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2ac385686f0d07d2/Documents/CATALYST Consulting/Clients/CVE/2023 COSS ^0 Rates 2024-00xxx/COS ^0 Rates/"/>
    </mc:Choice>
  </mc:AlternateContent>
  <xr:revisionPtr revIDLastSave="55" documentId="8_{1C121F13-D60A-489D-A423-4D5E49B6218A}" xr6:coauthVersionLast="47" xr6:coauthVersionMax="47" xr10:uidLastSave="{636CD64D-B0E3-4EC9-8F3F-8B6F94DE3F2C}"/>
  <bookViews>
    <workbookView xWindow="-120" yWindow="-120" windowWidth="29040" windowHeight="15720" tabRatio="741" xr2:uid="{00000000-000D-0000-FFFF-FFFF00000000}"/>
  </bookViews>
  <sheets>
    <sheet name="Summary of Returns" sheetId="4" r:id="rId1"/>
    <sheet name="Summary of Rates" sheetId="17" r:id="rId2"/>
    <sheet name="Func &amp; Classif" sheetId="1" r:id="rId3"/>
    <sheet name="Alloc &amp; Returns" sheetId="2" r:id="rId4"/>
    <sheet name="Billing Det" sheetId="15" r:id="rId5"/>
    <sheet name="Purchased Power" sheetId="16" r:id="rId6"/>
    <sheet name="Meters" sheetId="8" r:id="rId7"/>
    <sheet name="Services" sheetId="9" r:id="rId8"/>
    <sheet name="Line Loss Calculation" sheetId="10" state="hidden" r:id="rId9"/>
    <sheet name="ZeroInt" sheetId="18" r:id="rId10"/>
  </sheets>
  <definedNames>
    <definedName name="_xlnm.Print_Area" localSheetId="3">'Alloc &amp; Returns'!$A$1:$M$652</definedName>
    <definedName name="_xlnm.Print_Area" localSheetId="4">'Billing Det'!$A$1:$T$205</definedName>
    <definedName name="_xlnm.Print_Area" localSheetId="2">'Func &amp; Classif'!$A$1:$AA$488</definedName>
    <definedName name="_xlnm.Print_Area" localSheetId="6">Meters!$A$1:$G$32</definedName>
    <definedName name="_xlnm.Print_Area" localSheetId="5">'Purchased Power'!$A$1:$O$89</definedName>
    <definedName name="_xlnm.Print_Area" localSheetId="7">Services!$A$1:$G$33</definedName>
    <definedName name="_xlnm.Print_Area" localSheetId="1">'Summary of Rates'!$A$1:$G$18</definedName>
    <definedName name="_xlnm.Print_Area" localSheetId="0">'Summary of Returns'!$A$1:$I$49</definedName>
    <definedName name="_xlnm.Print_Titles" localSheetId="3">'Alloc &amp; Returns'!$A:$D,'Alloc &amp; Returns'!$1:$3</definedName>
    <definedName name="_xlnm.Print_Titles" localSheetId="4">'Billing Det'!$A:$B,'Billing Det'!$32:$36</definedName>
    <definedName name="_xlnm.Print_Titles" localSheetId="2">'Func &amp; Classif'!$A:$E,'Func &amp; Classif'!$1:$3</definedName>
    <definedName name="_xlnm.Print_Titles" localSheetId="5">'Purchased Power'!$1:$3</definedName>
    <definedName name="_xlnm.Print_Titles" localSheetId="9">ZeroInt!$1:$3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5" l="1"/>
  <c r="L10" i="15"/>
  <c r="L11" i="15"/>
  <c r="L12" i="15"/>
  <c r="L13" i="15"/>
  <c r="L14" i="15"/>
  <c r="L15" i="15"/>
  <c r="L8" i="15"/>
  <c r="B34" i="4" l="1"/>
  <c r="C34" i="4"/>
  <c r="B35" i="4"/>
  <c r="C35" i="4"/>
  <c r="B36" i="4"/>
  <c r="C36" i="4"/>
  <c r="B37" i="4"/>
  <c r="C37" i="4"/>
  <c r="B38" i="4"/>
  <c r="C38" i="4"/>
  <c r="B39" i="4"/>
  <c r="C39" i="4"/>
  <c r="B40" i="4"/>
  <c r="C40" i="4"/>
  <c r="E342" i="2" l="1"/>
  <c r="E341" i="2"/>
  <c r="AJ359" i="2"/>
  <c r="AJ358" i="2"/>
  <c r="G342" i="2"/>
  <c r="H342" i="2"/>
  <c r="I342" i="2"/>
  <c r="J342" i="2"/>
  <c r="K342" i="2"/>
  <c r="L342" i="2"/>
  <c r="M342" i="2"/>
  <c r="F342" i="2"/>
  <c r="G341" i="2"/>
  <c r="H341" i="2"/>
  <c r="I341" i="2"/>
  <c r="J341" i="2"/>
  <c r="K341" i="2"/>
  <c r="L341" i="2"/>
  <c r="M341" i="2"/>
  <c r="F341" i="2"/>
  <c r="D85" i="15"/>
  <c r="E85" i="15"/>
  <c r="F85" i="15"/>
  <c r="G85" i="15"/>
  <c r="H85" i="15"/>
  <c r="I85" i="15"/>
  <c r="J85" i="15"/>
  <c r="K85" i="15"/>
  <c r="L85" i="15"/>
  <c r="M85" i="15"/>
  <c r="N85" i="15"/>
  <c r="D83" i="15"/>
  <c r="E83" i="15"/>
  <c r="F83" i="15"/>
  <c r="G83" i="15"/>
  <c r="H83" i="15"/>
  <c r="I83" i="15"/>
  <c r="J83" i="15"/>
  <c r="K83" i="15"/>
  <c r="L83" i="15"/>
  <c r="M83" i="15"/>
  <c r="N83" i="15"/>
  <c r="D81" i="15"/>
  <c r="E81" i="15"/>
  <c r="F81" i="15"/>
  <c r="G81" i="15"/>
  <c r="H81" i="15"/>
  <c r="I81" i="15"/>
  <c r="J81" i="15"/>
  <c r="K81" i="15"/>
  <c r="L81" i="15"/>
  <c r="M81" i="15"/>
  <c r="N81" i="15"/>
  <c r="C85" i="15"/>
  <c r="C83" i="15"/>
  <c r="C81" i="15"/>
  <c r="N11" i="4"/>
  <c r="N12" i="4"/>
  <c r="N13" i="4"/>
  <c r="N14" i="4"/>
  <c r="N15" i="4"/>
  <c r="N16" i="4"/>
  <c r="N17" i="4"/>
  <c r="N10" i="4"/>
  <c r="L343" i="2"/>
  <c r="J343" i="2"/>
  <c r="I343" i="2"/>
  <c r="H343" i="2"/>
  <c r="F343" i="2"/>
  <c r="A26" i="4"/>
  <c r="O200" i="15"/>
  <c r="D200" i="15"/>
  <c r="E200" i="15"/>
  <c r="F200" i="15"/>
  <c r="G200" i="15"/>
  <c r="H200" i="15"/>
  <c r="I200" i="15"/>
  <c r="J200" i="15"/>
  <c r="K200" i="15"/>
  <c r="L200" i="15"/>
  <c r="M200" i="15"/>
  <c r="N200" i="15"/>
  <c r="C200" i="15"/>
  <c r="H126" i="15"/>
  <c r="N124" i="15"/>
  <c r="M124" i="15"/>
  <c r="L124" i="15"/>
  <c r="K124" i="15"/>
  <c r="J124" i="15"/>
  <c r="I124" i="15"/>
  <c r="H124" i="15"/>
  <c r="G124" i="15"/>
  <c r="F124" i="15"/>
  <c r="E124" i="15"/>
  <c r="D124" i="15"/>
  <c r="C124" i="15"/>
  <c r="O124" i="15" s="1"/>
  <c r="O122" i="15"/>
  <c r="N120" i="15"/>
  <c r="N126" i="15" s="1"/>
  <c r="M120" i="15"/>
  <c r="M126" i="15" s="1"/>
  <c r="L120" i="15"/>
  <c r="L126" i="15" s="1"/>
  <c r="K120" i="15"/>
  <c r="K126" i="15" s="1"/>
  <c r="J120" i="15"/>
  <c r="J126" i="15" s="1"/>
  <c r="I120" i="15"/>
  <c r="I126" i="15" s="1"/>
  <c r="H120" i="15"/>
  <c r="G120" i="15"/>
  <c r="G126" i="15" s="1"/>
  <c r="F120" i="15"/>
  <c r="F126" i="15" s="1"/>
  <c r="E120" i="15"/>
  <c r="E126" i="15" s="1"/>
  <c r="D120" i="15"/>
  <c r="D126" i="15" s="1"/>
  <c r="C120" i="15"/>
  <c r="C126" i="15" s="1"/>
  <c r="O119" i="15"/>
  <c r="O120" i="15" s="1"/>
  <c r="N134" i="15"/>
  <c r="M134" i="15"/>
  <c r="L134" i="15"/>
  <c r="K134" i="15"/>
  <c r="J134" i="15"/>
  <c r="I134" i="15"/>
  <c r="H134" i="15"/>
  <c r="G134" i="15"/>
  <c r="F134" i="15"/>
  <c r="E134" i="15"/>
  <c r="D134" i="15"/>
  <c r="O134" i="15" s="1"/>
  <c r="C134" i="15"/>
  <c r="O132" i="15"/>
  <c r="N130" i="15"/>
  <c r="N136" i="15" s="1"/>
  <c r="M130" i="15"/>
  <c r="M136" i="15" s="1"/>
  <c r="L130" i="15"/>
  <c r="L136" i="15" s="1"/>
  <c r="K130" i="15"/>
  <c r="K136" i="15" s="1"/>
  <c r="J130" i="15"/>
  <c r="J136" i="15" s="1"/>
  <c r="I130" i="15"/>
  <c r="I136" i="15" s="1"/>
  <c r="H130" i="15"/>
  <c r="H136" i="15" s="1"/>
  <c r="G130" i="15"/>
  <c r="G136" i="15" s="1"/>
  <c r="F130" i="15"/>
  <c r="F136" i="15" s="1"/>
  <c r="E130" i="15"/>
  <c r="E136" i="15" s="1"/>
  <c r="D130" i="15"/>
  <c r="D136" i="15" s="1"/>
  <c r="C130" i="15"/>
  <c r="C136" i="15" s="1"/>
  <c r="O129" i="15"/>
  <c r="O130" i="15" s="1"/>
  <c r="F175" i="1"/>
  <c r="O126" i="15" l="1"/>
  <c r="O136" i="15"/>
  <c r="E368" i="2"/>
  <c r="E343" i="2"/>
  <c r="AI358" i="2"/>
  <c r="E358" i="2" s="1"/>
  <c r="E369" i="2" l="1"/>
  <c r="AI370" i="2"/>
  <c r="AI359" i="2"/>
  <c r="E372" i="2"/>
  <c r="AI360" i="2" l="1"/>
  <c r="E359" i="2"/>
  <c r="E371" i="2"/>
  <c r="E370" i="2"/>
  <c r="AI361" i="2" l="1"/>
  <c r="E360" i="2"/>
  <c r="L348" i="2"/>
  <c r="O348" i="2"/>
  <c r="N348" i="2"/>
  <c r="M348" i="2"/>
  <c r="K348" i="2"/>
  <c r="J348" i="2"/>
  <c r="I348" i="2"/>
  <c r="H348" i="2"/>
  <c r="G348" i="2"/>
  <c r="F348" i="2"/>
  <c r="AM358" i="2"/>
  <c r="E348" i="2" s="1"/>
  <c r="L12" i="4"/>
  <c r="L14" i="4"/>
  <c r="L16" i="4"/>
  <c r="L11" i="4"/>
  <c r="L10" i="4"/>
  <c r="L361" i="2" l="1"/>
  <c r="J361" i="2"/>
  <c r="H361" i="2"/>
  <c r="I361" i="2"/>
  <c r="F361" i="2"/>
  <c r="AI362" i="2"/>
  <c r="E361" i="2"/>
  <c r="O40" i="16"/>
  <c r="O55" i="16"/>
  <c r="O56" i="16"/>
  <c r="O73" i="16"/>
  <c r="O74" i="16"/>
  <c r="AI363" i="2" l="1"/>
  <c r="E362" i="2"/>
  <c r="G16" i="17"/>
  <c r="F16" i="17"/>
  <c r="E16" i="17"/>
  <c r="C16" i="17"/>
  <c r="B16" i="17"/>
  <c r="AI364" i="2" l="1"/>
  <c r="E363" i="2"/>
  <c r="O609" i="2"/>
  <c r="N648" i="2"/>
  <c r="O648" i="2" s="1"/>
  <c r="N609" i="2"/>
  <c r="O428" i="2"/>
  <c r="O69" i="16"/>
  <c r="O66" i="16"/>
  <c r="O48" i="16"/>
  <c r="O51" i="16"/>
  <c r="A69" i="16"/>
  <c r="O68" i="16"/>
  <c r="O67" i="16"/>
  <c r="O65" i="16"/>
  <c r="O64" i="16"/>
  <c r="O63" i="16"/>
  <c r="O46" i="16"/>
  <c r="O47" i="16"/>
  <c r="O49" i="16"/>
  <c r="O50" i="16"/>
  <c r="O45" i="16"/>
  <c r="E101" i="15"/>
  <c r="F101" i="15"/>
  <c r="G101" i="15" s="1"/>
  <c r="H101" i="15" s="1"/>
  <c r="I101" i="15" s="1"/>
  <c r="J101" i="15" s="1"/>
  <c r="K101" i="15" s="1"/>
  <c r="L101" i="15" s="1"/>
  <c r="M101" i="15" s="1"/>
  <c r="N101" i="15" s="1"/>
  <c r="D101" i="15"/>
  <c r="E93" i="15"/>
  <c r="F93" i="15"/>
  <c r="G93" i="15" s="1"/>
  <c r="H93" i="15" s="1"/>
  <c r="I93" i="15" s="1"/>
  <c r="J93" i="15" s="1"/>
  <c r="K93" i="15" s="1"/>
  <c r="L93" i="15" s="1"/>
  <c r="M93" i="15" s="1"/>
  <c r="N93" i="15" s="1"/>
  <c r="D93" i="15"/>
  <c r="E61" i="15"/>
  <c r="F61" i="15" s="1"/>
  <c r="G61" i="15" s="1"/>
  <c r="H61" i="15" s="1"/>
  <c r="I61" i="15" s="1"/>
  <c r="J61" i="15" s="1"/>
  <c r="K61" i="15" s="1"/>
  <c r="L61" i="15" s="1"/>
  <c r="M61" i="15" s="1"/>
  <c r="N61" i="15" s="1"/>
  <c r="A33" i="4"/>
  <c r="A34" i="4" s="1"/>
  <c r="A35" i="4" s="1"/>
  <c r="A36" i="4" s="1"/>
  <c r="A37" i="4" s="1"/>
  <c r="A38" i="4" s="1"/>
  <c r="A39" i="4" s="1"/>
  <c r="A40" i="4" s="1"/>
  <c r="A49" i="4" s="1"/>
  <c r="AI365" i="2" l="1"/>
  <c r="E364" i="2"/>
  <c r="O25" i="16"/>
  <c r="O24" i="16"/>
  <c r="D80" i="16"/>
  <c r="E80" i="16"/>
  <c r="F80" i="16"/>
  <c r="G80" i="16"/>
  <c r="H80" i="16"/>
  <c r="I80" i="16"/>
  <c r="J80" i="16"/>
  <c r="K80" i="16"/>
  <c r="L80" i="16"/>
  <c r="M80" i="16"/>
  <c r="N80" i="16"/>
  <c r="D81" i="16"/>
  <c r="E81" i="16"/>
  <c r="F81" i="16"/>
  <c r="G81" i="16"/>
  <c r="H81" i="16"/>
  <c r="I81" i="16"/>
  <c r="J81" i="16"/>
  <c r="K81" i="16"/>
  <c r="L81" i="16"/>
  <c r="M81" i="16"/>
  <c r="N81" i="16"/>
  <c r="D86" i="16"/>
  <c r="E86" i="16"/>
  <c r="F86" i="16"/>
  <c r="G86" i="16"/>
  <c r="H86" i="16"/>
  <c r="I86" i="16"/>
  <c r="J86" i="16"/>
  <c r="K86" i="16"/>
  <c r="L86" i="16"/>
  <c r="M86" i="16"/>
  <c r="N86" i="16"/>
  <c r="D87" i="16"/>
  <c r="E87" i="16"/>
  <c r="F87" i="16"/>
  <c r="G87" i="16"/>
  <c r="H87" i="16"/>
  <c r="I87" i="16"/>
  <c r="J87" i="16"/>
  <c r="K87" i="16"/>
  <c r="L87" i="16"/>
  <c r="M87" i="16"/>
  <c r="N87" i="16"/>
  <c r="C87" i="16"/>
  <c r="C86" i="16"/>
  <c r="C81" i="16"/>
  <c r="C80" i="16"/>
  <c r="O16" i="16"/>
  <c r="O18" i="16"/>
  <c r="O19" i="16"/>
  <c r="O20" i="16"/>
  <c r="O21" i="16"/>
  <c r="N77" i="16"/>
  <c r="M77" i="16"/>
  <c r="L77" i="16"/>
  <c r="K77" i="16"/>
  <c r="J77" i="16"/>
  <c r="I77" i="16"/>
  <c r="H77" i="16"/>
  <c r="G77" i="16"/>
  <c r="F77" i="16"/>
  <c r="E77" i="16"/>
  <c r="D77" i="16"/>
  <c r="C77" i="16"/>
  <c r="O76" i="16"/>
  <c r="O75" i="16"/>
  <c r="O72" i="16"/>
  <c r="O71" i="16"/>
  <c r="O70" i="16"/>
  <c r="N59" i="16"/>
  <c r="M59" i="16"/>
  <c r="L59" i="16"/>
  <c r="K59" i="16"/>
  <c r="J59" i="16"/>
  <c r="I59" i="16"/>
  <c r="H59" i="16"/>
  <c r="G59" i="16"/>
  <c r="F59" i="16"/>
  <c r="E59" i="16"/>
  <c r="D59" i="16"/>
  <c r="C59" i="16"/>
  <c r="O58" i="16"/>
  <c r="O57" i="16"/>
  <c r="O54" i="16"/>
  <c r="O53" i="16"/>
  <c r="O52" i="16"/>
  <c r="AI366" i="2" l="1"/>
  <c r="E365" i="2"/>
  <c r="K88" i="16"/>
  <c r="K89" i="16" s="1"/>
  <c r="C82" i="16"/>
  <c r="C83" i="16" s="1"/>
  <c r="H82" i="16"/>
  <c r="H83" i="16" s="1"/>
  <c r="E82" i="16"/>
  <c r="E83" i="16" s="1"/>
  <c r="I88" i="16"/>
  <c r="I89" i="16" s="1"/>
  <c r="M88" i="16"/>
  <c r="M89" i="16" s="1"/>
  <c r="E88" i="16"/>
  <c r="E89" i="16" s="1"/>
  <c r="H88" i="16"/>
  <c r="H89" i="16" s="1"/>
  <c r="M82" i="16"/>
  <c r="M83" i="16" s="1"/>
  <c r="L88" i="16"/>
  <c r="L89" i="16" s="1"/>
  <c r="D88" i="16"/>
  <c r="D89" i="16" s="1"/>
  <c r="J82" i="16"/>
  <c r="J83" i="16" s="1"/>
  <c r="O86" i="16"/>
  <c r="J88" i="16"/>
  <c r="J89" i="16" s="1"/>
  <c r="O80" i="16"/>
  <c r="O81" i="16"/>
  <c r="G82" i="16"/>
  <c r="O87" i="16"/>
  <c r="I82" i="16"/>
  <c r="I83" i="16" s="1"/>
  <c r="L82" i="16"/>
  <c r="L83" i="16" s="1"/>
  <c r="D82" i="16"/>
  <c r="D83" i="16" s="1"/>
  <c r="C88" i="16"/>
  <c r="C89" i="16" s="1"/>
  <c r="G88" i="16"/>
  <c r="G89" i="16" s="1"/>
  <c r="K82" i="16"/>
  <c r="K83" i="16" s="1"/>
  <c r="G83" i="16"/>
  <c r="N88" i="16"/>
  <c r="N89" i="16" s="1"/>
  <c r="F88" i="16"/>
  <c r="F89" i="16" s="1"/>
  <c r="N82" i="16"/>
  <c r="N83" i="16" s="1"/>
  <c r="F82" i="16"/>
  <c r="F83" i="16" s="1"/>
  <c r="O77" i="16"/>
  <c r="O59" i="16"/>
  <c r="AI367" i="2" l="1"/>
  <c r="E367" i="2" s="1"/>
  <c r="E366" i="2"/>
  <c r="O88" i="16"/>
  <c r="O89" i="16" s="1"/>
  <c r="O82" i="16"/>
  <c r="O83" i="16" s="1"/>
  <c r="E10" i="9" l="1"/>
  <c r="E7" i="9"/>
  <c r="E7" i="8"/>
  <c r="E10" i="8"/>
  <c r="F427" i="1"/>
  <c r="F419" i="1"/>
  <c r="F405" i="1"/>
  <c r="F401" i="1"/>
  <c r="F383" i="1"/>
  <c r="F226" i="1"/>
  <c r="F277" i="1" l="1"/>
  <c r="F242" i="1"/>
  <c r="F222" i="1"/>
  <c r="F130" i="1"/>
  <c r="F131" i="1"/>
  <c r="F108" i="1"/>
  <c r="F87" i="1"/>
  <c r="F64" i="1"/>
  <c r="F63" i="1"/>
  <c r="F49" i="1"/>
  <c r="L26" i="15" l="1"/>
  <c r="AG344" i="2" l="1"/>
  <c r="AH344" i="2" s="1"/>
  <c r="AG348" i="2" l="1"/>
  <c r="E430" i="2" l="1"/>
  <c r="E431" i="2" s="1"/>
  <c r="F246" i="1" l="1"/>
  <c r="C53" i="18" l="1"/>
  <c r="C52" i="18"/>
  <c r="D95" i="15" l="1"/>
  <c r="E95" i="15" s="1"/>
  <c r="F95" i="15" s="1"/>
  <c r="G95" i="15" s="1"/>
  <c r="H95" i="15" s="1"/>
  <c r="I95" i="15" s="1"/>
  <c r="J95" i="15" s="1"/>
  <c r="K95" i="15" s="1"/>
  <c r="L95" i="15" s="1"/>
  <c r="M95" i="15" s="1"/>
  <c r="N95" i="15" s="1"/>
  <c r="D65" i="15" l="1"/>
  <c r="E65" i="15" s="1"/>
  <c r="F65" i="15" s="1"/>
  <c r="G65" i="15" s="1"/>
  <c r="H65" i="15" s="1"/>
  <c r="I65" i="15" s="1"/>
  <c r="J65" i="15" s="1"/>
  <c r="K65" i="15" s="1"/>
  <c r="L65" i="15" s="1"/>
  <c r="M65" i="15" s="1"/>
  <c r="N65" i="15" s="1"/>
  <c r="D71" i="15"/>
  <c r="E71" i="15" s="1"/>
  <c r="F71" i="15" s="1"/>
  <c r="G71" i="15" s="1"/>
  <c r="H71" i="15" s="1"/>
  <c r="I71" i="15" s="1"/>
  <c r="J71" i="15" s="1"/>
  <c r="K71" i="15" s="1"/>
  <c r="L71" i="15" s="1"/>
  <c r="M71" i="15" s="1"/>
  <c r="N71" i="15" s="1"/>
  <c r="D61" i="15"/>
  <c r="J13" i="18" l="1"/>
  <c r="I13" i="18"/>
  <c r="F13" i="18"/>
  <c r="H13" i="18" s="1"/>
  <c r="J12" i="18"/>
  <c r="I12" i="18"/>
  <c r="F12" i="18"/>
  <c r="H12" i="18" s="1"/>
  <c r="J11" i="18"/>
  <c r="I11" i="18"/>
  <c r="F11" i="18"/>
  <c r="H11" i="18" s="1"/>
  <c r="J10" i="18"/>
  <c r="I10" i="18"/>
  <c r="F10" i="18"/>
  <c r="H10" i="18" s="1"/>
  <c r="J9" i="18"/>
  <c r="I9" i="18"/>
  <c r="F9" i="18"/>
  <c r="H9" i="18" s="1"/>
  <c r="J14" i="18"/>
  <c r="I14" i="18"/>
  <c r="F14" i="18"/>
  <c r="H14" i="18" s="1"/>
  <c r="AA488" i="2" l="1"/>
  <c r="AB488" i="2"/>
  <c r="AC488" i="2"/>
  <c r="AD488" i="2"/>
  <c r="AE488" i="2"/>
  <c r="AF488" i="2"/>
  <c r="D73" i="15" l="1"/>
  <c r="E73" i="15" s="1"/>
  <c r="F73" i="15" s="1"/>
  <c r="G73" i="15" s="1"/>
  <c r="H73" i="15" s="1"/>
  <c r="I73" i="15" s="1"/>
  <c r="J73" i="15" s="1"/>
  <c r="K73" i="15" s="1"/>
  <c r="L73" i="15" s="1"/>
  <c r="M73" i="15" s="1"/>
  <c r="N73" i="15" s="1"/>
  <c r="E103" i="15" l="1"/>
  <c r="F103" i="15" s="1"/>
  <c r="G103" i="15" s="1"/>
  <c r="H103" i="15" s="1"/>
  <c r="I103" i="15" s="1"/>
  <c r="J103" i="15" s="1"/>
  <c r="K103" i="15" s="1"/>
  <c r="L103" i="15" s="1"/>
  <c r="M103" i="15" s="1"/>
  <c r="N103" i="15" s="1"/>
  <c r="D103" i="15"/>
  <c r="D91" i="15"/>
  <c r="E91" i="15"/>
  <c r="F91" i="15"/>
  <c r="G91" i="15"/>
  <c r="H91" i="15"/>
  <c r="I91" i="15"/>
  <c r="J91" i="15"/>
  <c r="K91" i="15"/>
  <c r="L91" i="15"/>
  <c r="M91" i="15"/>
  <c r="N91" i="15"/>
  <c r="D63" i="15"/>
  <c r="I63" i="15"/>
  <c r="J63" i="15"/>
  <c r="K63" i="15"/>
  <c r="L63" i="15"/>
  <c r="C63" i="15"/>
  <c r="D53" i="15"/>
  <c r="E53" i="15"/>
  <c r="E63" i="15" s="1"/>
  <c r="F53" i="15"/>
  <c r="F63" i="15" s="1"/>
  <c r="G53" i="15"/>
  <c r="G63" i="15" s="1"/>
  <c r="H53" i="15"/>
  <c r="H63" i="15" s="1"/>
  <c r="I53" i="15"/>
  <c r="J53" i="15"/>
  <c r="K53" i="15"/>
  <c r="L53" i="15"/>
  <c r="M53" i="15"/>
  <c r="M63" i="15" s="1"/>
  <c r="N53" i="15"/>
  <c r="N63" i="15" s="1"/>
  <c r="D51" i="15"/>
  <c r="E51" i="15"/>
  <c r="F51" i="15"/>
  <c r="G51" i="15"/>
  <c r="H51" i="15"/>
  <c r="I51" i="15"/>
  <c r="J51" i="15"/>
  <c r="K51" i="15"/>
  <c r="L51" i="15"/>
  <c r="M51" i="15"/>
  <c r="N51" i="15"/>
  <c r="C53" i="15"/>
  <c r="C51" i="15"/>
  <c r="N100" i="15"/>
  <c r="N105" i="15" s="1"/>
  <c r="M100" i="15"/>
  <c r="M105" i="15" s="1"/>
  <c r="L100" i="15"/>
  <c r="L105" i="15" s="1"/>
  <c r="K100" i="15"/>
  <c r="K105" i="15" s="1"/>
  <c r="J100" i="15"/>
  <c r="J105" i="15" s="1"/>
  <c r="I100" i="15"/>
  <c r="I105" i="15" s="1"/>
  <c r="H100" i="15"/>
  <c r="G100" i="15"/>
  <c r="G105" i="15" s="1"/>
  <c r="F100" i="15"/>
  <c r="F105" i="15" s="1"/>
  <c r="E100" i="15"/>
  <c r="D100" i="15"/>
  <c r="D105" i="15" s="1"/>
  <c r="C100" i="15"/>
  <c r="C105" i="15" s="1"/>
  <c r="N70" i="15"/>
  <c r="N75" i="15" s="1"/>
  <c r="M70" i="15"/>
  <c r="M75" i="15" s="1"/>
  <c r="L70" i="15"/>
  <c r="L75" i="15" s="1"/>
  <c r="K70" i="15"/>
  <c r="K75" i="15" s="1"/>
  <c r="J70" i="15"/>
  <c r="J75" i="15" s="1"/>
  <c r="I70" i="15"/>
  <c r="I75" i="15" s="1"/>
  <c r="H70" i="15"/>
  <c r="H75" i="15" s="1"/>
  <c r="G70" i="15"/>
  <c r="G75" i="15" s="1"/>
  <c r="F70" i="15"/>
  <c r="F75" i="15" s="1"/>
  <c r="E70" i="15"/>
  <c r="E75" i="15" s="1"/>
  <c r="D70" i="15"/>
  <c r="D75" i="15" s="1"/>
  <c r="C70" i="15"/>
  <c r="C75" i="15" s="1"/>
  <c r="N90" i="15"/>
  <c r="N96" i="15" s="1"/>
  <c r="M90" i="15"/>
  <c r="M96" i="15" s="1"/>
  <c r="L90" i="15"/>
  <c r="L96" i="15" s="1"/>
  <c r="K90" i="15"/>
  <c r="K96" i="15" s="1"/>
  <c r="J90" i="15"/>
  <c r="J96" i="15" s="1"/>
  <c r="I90" i="15"/>
  <c r="I96" i="15" s="1"/>
  <c r="H90" i="15"/>
  <c r="H96" i="15" s="1"/>
  <c r="G90" i="15"/>
  <c r="G96" i="15" s="1"/>
  <c r="F90" i="15"/>
  <c r="F96" i="15" s="1"/>
  <c r="E90" i="15"/>
  <c r="E96" i="15" s="1"/>
  <c r="D90" i="15"/>
  <c r="D96" i="15" s="1"/>
  <c r="C90" i="15"/>
  <c r="C96" i="15" s="1"/>
  <c r="N80" i="15"/>
  <c r="N86" i="15" s="1"/>
  <c r="M80" i="15"/>
  <c r="M86" i="15" s="1"/>
  <c r="L80" i="15"/>
  <c r="L86" i="15" s="1"/>
  <c r="K80" i="15"/>
  <c r="K86" i="15" s="1"/>
  <c r="J80" i="15"/>
  <c r="J86" i="15" s="1"/>
  <c r="I80" i="15"/>
  <c r="I86" i="15" s="1"/>
  <c r="H80" i="15"/>
  <c r="H86" i="15" s="1"/>
  <c r="G80" i="15"/>
  <c r="G86" i="15" s="1"/>
  <c r="F80" i="15"/>
  <c r="F86" i="15" s="1"/>
  <c r="E80" i="15"/>
  <c r="E86" i="15" s="1"/>
  <c r="D80" i="15"/>
  <c r="D86" i="15" s="1"/>
  <c r="C80" i="15"/>
  <c r="C86" i="15" s="1"/>
  <c r="N60" i="15"/>
  <c r="N66" i="15" s="1"/>
  <c r="M60" i="15"/>
  <c r="M66" i="15" s="1"/>
  <c r="L60" i="15"/>
  <c r="L66" i="15" s="1"/>
  <c r="K60" i="15"/>
  <c r="K66" i="15" s="1"/>
  <c r="J60" i="15"/>
  <c r="J66" i="15" s="1"/>
  <c r="I60" i="15"/>
  <c r="I66" i="15" s="1"/>
  <c r="H60" i="15"/>
  <c r="H66" i="15" s="1"/>
  <c r="G60" i="15"/>
  <c r="G66" i="15" s="1"/>
  <c r="F60" i="15"/>
  <c r="F66" i="15" s="1"/>
  <c r="E60" i="15"/>
  <c r="E66" i="15" s="1"/>
  <c r="D60" i="15"/>
  <c r="D66" i="15" s="1"/>
  <c r="C60" i="15"/>
  <c r="C66" i="15" s="1"/>
  <c r="N50" i="15"/>
  <c r="N56" i="15" s="1"/>
  <c r="M50" i="15"/>
  <c r="M56" i="15" s="1"/>
  <c r="L50" i="15"/>
  <c r="L56" i="15" s="1"/>
  <c r="K50" i="15"/>
  <c r="K56" i="15" s="1"/>
  <c r="J50" i="15"/>
  <c r="J56" i="15" s="1"/>
  <c r="I50" i="15"/>
  <c r="I56" i="15" s="1"/>
  <c r="H50" i="15"/>
  <c r="H56" i="15" s="1"/>
  <c r="G50" i="15"/>
  <c r="G56" i="15" s="1"/>
  <c r="F50" i="15"/>
  <c r="F56" i="15" s="1"/>
  <c r="E50" i="15"/>
  <c r="E56" i="15" s="1"/>
  <c r="D50" i="15"/>
  <c r="D56" i="15" s="1"/>
  <c r="C50" i="15"/>
  <c r="C56" i="15" s="1"/>
  <c r="H105" i="15" l="1"/>
  <c r="H102" i="15" s="1"/>
  <c r="H104" i="15" s="1"/>
  <c r="I102" i="15"/>
  <c r="I104" i="15" s="1"/>
  <c r="E105" i="15"/>
  <c r="E102" i="15" s="1"/>
  <c r="E104" i="15" s="1"/>
  <c r="C102" i="15"/>
  <c r="C104" i="15" s="1"/>
  <c r="G102" i="15"/>
  <c r="G104" i="15" s="1"/>
  <c r="K102" i="15"/>
  <c r="K104" i="15" s="1"/>
  <c r="D102" i="15"/>
  <c r="D104" i="15" s="1"/>
  <c r="L102" i="15"/>
  <c r="L104" i="15" s="1"/>
  <c r="M102" i="15"/>
  <c r="M104" i="15" s="1"/>
  <c r="F102" i="15"/>
  <c r="F104" i="15" s="1"/>
  <c r="J102" i="15"/>
  <c r="J104" i="15" s="1"/>
  <c r="N102" i="15"/>
  <c r="N104" i="15" s="1"/>
  <c r="C72" i="15"/>
  <c r="C74" i="15" s="1"/>
  <c r="G72" i="15"/>
  <c r="G74" i="15" s="1"/>
  <c r="K72" i="15"/>
  <c r="K74" i="15" s="1"/>
  <c r="D72" i="15"/>
  <c r="D74" i="15" s="1"/>
  <c r="H72" i="15"/>
  <c r="H74" i="15" s="1"/>
  <c r="L72" i="15"/>
  <c r="L74" i="15" s="1"/>
  <c r="E72" i="15"/>
  <c r="E74" i="15" s="1"/>
  <c r="I72" i="15"/>
  <c r="I74" i="15" s="1"/>
  <c r="M72" i="15"/>
  <c r="M74" i="15" s="1"/>
  <c r="F72" i="15"/>
  <c r="F74" i="15" s="1"/>
  <c r="J72" i="15"/>
  <c r="J74" i="15" s="1"/>
  <c r="N72" i="15"/>
  <c r="N74" i="15" s="1"/>
  <c r="F92" i="15"/>
  <c r="F94" i="15" s="1"/>
  <c r="J92" i="15"/>
  <c r="J94" i="15" s="1"/>
  <c r="N92" i="15"/>
  <c r="N94" i="15" s="1"/>
  <c r="C92" i="15"/>
  <c r="C94" i="15" s="1"/>
  <c r="G92" i="15"/>
  <c r="G94" i="15" s="1"/>
  <c r="K92" i="15"/>
  <c r="K94" i="15" s="1"/>
  <c r="D92" i="15"/>
  <c r="D94" i="15" s="1"/>
  <c r="H92" i="15"/>
  <c r="H94" i="15" s="1"/>
  <c r="L92" i="15"/>
  <c r="L94" i="15" s="1"/>
  <c r="E92" i="15"/>
  <c r="E94" i="15" s="1"/>
  <c r="I92" i="15"/>
  <c r="I94" i="15" s="1"/>
  <c r="M92" i="15"/>
  <c r="M94" i="15" s="1"/>
  <c r="C82" i="15"/>
  <c r="C84" i="15" s="1"/>
  <c r="G82" i="15"/>
  <c r="G84" i="15" s="1"/>
  <c r="K82" i="15"/>
  <c r="K84" i="15" s="1"/>
  <c r="D82" i="15"/>
  <c r="D84" i="15" s="1"/>
  <c r="H82" i="15"/>
  <c r="H84" i="15" s="1"/>
  <c r="L82" i="15"/>
  <c r="L84" i="15" s="1"/>
  <c r="E82" i="15"/>
  <c r="E84" i="15" s="1"/>
  <c r="I82" i="15"/>
  <c r="I84" i="15" s="1"/>
  <c r="M82" i="15"/>
  <c r="M84" i="15" s="1"/>
  <c r="F82" i="15"/>
  <c r="F84" i="15" s="1"/>
  <c r="J82" i="15"/>
  <c r="J84" i="15" s="1"/>
  <c r="N82" i="15"/>
  <c r="N84" i="15" s="1"/>
  <c r="C62" i="15"/>
  <c r="C64" i="15" s="1"/>
  <c r="G62" i="15"/>
  <c r="G64" i="15" s="1"/>
  <c r="K62" i="15"/>
  <c r="K64" i="15" s="1"/>
  <c r="D62" i="15"/>
  <c r="D64" i="15" s="1"/>
  <c r="H62" i="15"/>
  <c r="H64" i="15" s="1"/>
  <c r="L62" i="15"/>
  <c r="L64" i="15" s="1"/>
  <c r="E62" i="15"/>
  <c r="E64" i="15" s="1"/>
  <c r="I62" i="15"/>
  <c r="I64" i="15" s="1"/>
  <c r="M62" i="15"/>
  <c r="M64" i="15" s="1"/>
  <c r="F62" i="15"/>
  <c r="F64" i="15" s="1"/>
  <c r="J62" i="15"/>
  <c r="J64" i="15" s="1"/>
  <c r="N62" i="15"/>
  <c r="N64" i="15" s="1"/>
  <c r="F52" i="15"/>
  <c r="F54" i="15" s="1"/>
  <c r="J52" i="15"/>
  <c r="J54" i="15" s="1"/>
  <c r="N52" i="15"/>
  <c r="N54" i="15" s="1"/>
  <c r="C52" i="15"/>
  <c r="C54" i="15" s="1"/>
  <c r="G52" i="15"/>
  <c r="G54" i="15" s="1"/>
  <c r="K52" i="15"/>
  <c r="K54" i="15" s="1"/>
  <c r="D52" i="15"/>
  <c r="D54" i="15" s="1"/>
  <c r="H52" i="15"/>
  <c r="H54" i="15" s="1"/>
  <c r="L52" i="15"/>
  <c r="L54" i="15" s="1"/>
  <c r="E52" i="15"/>
  <c r="E54" i="15" s="1"/>
  <c r="I52" i="15"/>
  <c r="I54" i="15" s="1"/>
  <c r="M52" i="15"/>
  <c r="M54" i="15" s="1"/>
  <c r="H140" i="18" l="1"/>
  <c r="H139" i="18"/>
  <c r="H138" i="18"/>
  <c r="E114" i="18"/>
  <c r="L102" i="18"/>
  <c r="M102" i="18" s="1"/>
  <c r="J102" i="18"/>
  <c r="I102" i="18"/>
  <c r="F102" i="18"/>
  <c r="H102" i="18" s="1"/>
  <c r="L101" i="18"/>
  <c r="M101" i="18" s="1"/>
  <c r="J101" i="18"/>
  <c r="I101" i="18"/>
  <c r="F101" i="18"/>
  <c r="H101" i="18" s="1"/>
  <c r="L103" i="18"/>
  <c r="M103" i="18" s="1"/>
  <c r="J103" i="18"/>
  <c r="I103" i="18"/>
  <c r="F103" i="18"/>
  <c r="H103" i="18" s="1"/>
  <c r="L99" i="18"/>
  <c r="M99" i="18" s="1"/>
  <c r="J99" i="18"/>
  <c r="I99" i="18"/>
  <c r="F99" i="18"/>
  <c r="H99" i="18" s="1"/>
  <c r="L98" i="18"/>
  <c r="M98" i="18" s="1"/>
  <c r="J98" i="18"/>
  <c r="I98" i="18"/>
  <c r="F98" i="18"/>
  <c r="H98" i="18" s="1"/>
  <c r="L100" i="18"/>
  <c r="M100" i="18" s="1"/>
  <c r="J100" i="18"/>
  <c r="I100" i="18"/>
  <c r="F100" i="18"/>
  <c r="H100" i="18" s="1"/>
  <c r="L95" i="18"/>
  <c r="M95" i="18" s="1"/>
  <c r="J95" i="18"/>
  <c r="I95" i="18"/>
  <c r="F95" i="18"/>
  <c r="H95" i="18" s="1"/>
  <c r="J54" i="18" l="1"/>
  <c r="I54" i="18"/>
  <c r="F54" i="18"/>
  <c r="H54" i="18" s="1"/>
  <c r="J53" i="18"/>
  <c r="I53" i="18"/>
  <c r="F53" i="18"/>
  <c r="H53" i="18" s="1"/>
  <c r="J52" i="18"/>
  <c r="I52" i="18"/>
  <c r="F52" i="18"/>
  <c r="H52" i="18" s="1"/>
  <c r="J58" i="18"/>
  <c r="I58" i="18"/>
  <c r="F58" i="18"/>
  <c r="H58" i="18" s="1"/>
  <c r="J57" i="18"/>
  <c r="I57" i="18"/>
  <c r="F57" i="18"/>
  <c r="H57" i="18" s="1"/>
  <c r="J56" i="18"/>
  <c r="I56" i="18"/>
  <c r="F56" i="18"/>
  <c r="H56" i="18" s="1"/>
  <c r="J55" i="18"/>
  <c r="I55" i="18"/>
  <c r="F55" i="18"/>
  <c r="H55" i="18" s="1"/>
  <c r="J60" i="18"/>
  <c r="I60" i="18"/>
  <c r="F60" i="18"/>
  <c r="H60" i="18" s="1"/>
  <c r="J59" i="18"/>
  <c r="I59" i="18"/>
  <c r="F59" i="18"/>
  <c r="H59" i="18" s="1"/>
  <c r="J61" i="18"/>
  <c r="I61" i="18"/>
  <c r="F61" i="18"/>
  <c r="H61" i="18" s="1"/>
  <c r="J20" i="18"/>
  <c r="I20" i="18"/>
  <c r="F20" i="18"/>
  <c r="H20" i="18" s="1"/>
  <c r="J19" i="18"/>
  <c r="I19" i="18"/>
  <c r="F19" i="18"/>
  <c r="H19" i="18" s="1"/>
  <c r="J18" i="18"/>
  <c r="I18" i="18"/>
  <c r="F18" i="18"/>
  <c r="H18" i="18" s="1"/>
  <c r="J17" i="18"/>
  <c r="I17" i="18"/>
  <c r="F17" i="18"/>
  <c r="H17" i="18" s="1"/>
  <c r="J16" i="18"/>
  <c r="I16" i="18"/>
  <c r="F16" i="18"/>
  <c r="H16" i="18" s="1"/>
  <c r="J15" i="18"/>
  <c r="I15" i="18"/>
  <c r="F15" i="18"/>
  <c r="H15" i="18" s="1"/>
  <c r="J8" i="18"/>
  <c r="I8" i="18"/>
  <c r="F8" i="18"/>
  <c r="H8" i="18" s="1"/>
  <c r="J24" i="18"/>
  <c r="I24" i="18"/>
  <c r="F24" i="18"/>
  <c r="H24" i="18" s="1"/>
  <c r="J23" i="18"/>
  <c r="I23" i="18"/>
  <c r="F23" i="18"/>
  <c r="H23" i="18" s="1"/>
  <c r="J22" i="18"/>
  <c r="I22" i="18"/>
  <c r="F22" i="18"/>
  <c r="H22" i="18" s="1"/>
  <c r="J21" i="18"/>
  <c r="I21" i="18"/>
  <c r="F21" i="18"/>
  <c r="H21" i="18" s="1"/>
  <c r="J26" i="18"/>
  <c r="I26" i="18"/>
  <c r="F26" i="18"/>
  <c r="H26" i="18" s="1"/>
  <c r="J25" i="18"/>
  <c r="I25" i="18"/>
  <c r="F25" i="18"/>
  <c r="H25" i="18" s="1"/>
  <c r="D14" i="16" l="1"/>
  <c r="E14" i="16"/>
  <c r="F14" i="16"/>
  <c r="G14" i="16"/>
  <c r="H14" i="16"/>
  <c r="I14" i="16"/>
  <c r="J14" i="16"/>
  <c r="K14" i="16"/>
  <c r="L14" i="16"/>
  <c r="M14" i="16"/>
  <c r="N14" i="16"/>
  <c r="D17" i="16"/>
  <c r="E17" i="16"/>
  <c r="F17" i="16"/>
  <c r="G17" i="16"/>
  <c r="H17" i="16"/>
  <c r="I17" i="16"/>
  <c r="J17" i="16"/>
  <c r="K17" i="16"/>
  <c r="L17" i="16"/>
  <c r="M17" i="16"/>
  <c r="N17" i="16"/>
  <c r="C17" i="16"/>
  <c r="C14" i="16"/>
  <c r="C22" i="16" s="1"/>
  <c r="J22" i="16" l="1"/>
  <c r="I22" i="16"/>
  <c r="K22" i="16"/>
  <c r="G22" i="16"/>
  <c r="O17" i="16"/>
  <c r="H22" i="16"/>
  <c r="F22" i="16"/>
  <c r="E22" i="16"/>
  <c r="D22" i="16"/>
  <c r="N22" i="16"/>
  <c r="M22" i="16"/>
  <c r="L22" i="16"/>
  <c r="C10" i="17"/>
  <c r="C11" i="17"/>
  <c r="C12" i="17"/>
  <c r="C13" i="17"/>
  <c r="C14" i="17"/>
  <c r="C15" i="17"/>
  <c r="C17" i="17"/>
  <c r="C18" i="17"/>
  <c r="C9" i="17"/>
  <c r="C33" i="4"/>
  <c r="B33" i="4"/>
  <c r="O22" i="16" l="1"/>
  <c r="D201" i="15"/>
  <c r="E201" i="15"/>
  <c r="F201" i="15"/>
  <c r="G201" i="15"/>
  <c r="H201" i="15"/>
  <c r="I201" i="15"/>
  <c r="J201" i="15"/>
  <c r="K201" i="15"/>
  <c r="L201" i="15"/>
  <c r="M201" i="15"/>
  <c r="N201" i="15"/>
  <c r="C201" i="15"/>
  <c r="C110" i="15"/>
  <c r="C112" i="15" l="1"/>
  <c r="C114" i="15" s="1"/>
  <c r="C116" i="15"/>
  <c r="B10" i="17" l="1"/>
  <c r="B11" i="17"/>
  <c r="B12" i="17"/>
  <c r="B13" i="17"/>
  <c r="B14" i="17"/>
  <c r="B15" i="17"/>
  <c r="B17" i="17"/>
  <c r="B18" i="17"/>
  <c r="B9" i="17"/>
  <c r="C17" i="15" l="1"/>
  <c r="O108" i="15"/>
  <c r="C15" i="15" s="1"/>
  <c r="C16" i="15"/>
  <c r="N27" i="16" l="1"/>
  <c r="D27" i="16"/>
  <c r="E27" i="16"/>
  <c r="F27" i="16"/>
  <c r="G27" i="16"/>
  <c r="H27" i="16"/>
  <c r="I27" i="16"/>
  <c r="J27" i="16"/>
  <c r="K27" i="16"/>
  <c r="L27" i="16"/>
  <c r="M27" i="16"/>
  <c r="C27" i="16"/>
  <c r="O27" i="16" l="1"/>
  <c r="D16" i="9" l="1"/>
  <c r="F16" i="9" s="1"/>
  <c r="D15" i="9"/>
  <c r="F15" i="9" s="1"/>
  <c r="D14" i="9"/>
  <c r="F14" i="9" s="1"/>
  <c r="D13" i="9"/>
  <c r="F13" i="9" s="1"/>
  <c r="C12" i="9"/>
  <c r="C13" i="9"/>
  <c r="C14" i="9"/>
  <c r="C15" i="9"/>
  <c r="C16" i="9"/>
  <c r="B12" i="9"/>
  <c r="B13" i="9"/>
  <c r="B14" i="9"/>
  <c r="B15" i="9"/>
  <c r="B16" i="9"/>
  <c r="D16" i="8"/>
  <c r="F16" i="8" s="1"/>
  <c r="D15" i="8"/>
  <c r="F15" i="8" s="1"/>
  <c r="D14" i="8"/>
  <c r="F14" i="8" s="1"/>
  <c r="D13" i="8"/>
  <c r="F13" i="8" s="1"/>
  <c r="C12" i="8"/>
  <c r="C13" i="8"/>
  <c r="C14" i="8"/>
  <c r="C15" i="8"/>
  <c r="C16" i="8"/>
  <c r="B12" i="8"/>
  <c r="B13" i="8"/>
  <c r="B14" i="8"/>
  <c r="B15" i="8"/>
  <c r="B16" i="8"/>
  <c r="P2" i="2"/>
  <c r="O2" i="2"/>
  <c r="N2" i="2"/>
  <c r="M2" i="2"/>
  <c r="L2" i="2"/>
  <c r="P3" i="2"/>
  <c r="F87" i="18" l="1"/>
  <c r="F88" i="18"/>
  <c r="F89" i="18"/>
  <c r="F90" i="18"/>
  <c r="F91" i="18"/>
  <c r="F92" i="18"/>
  <c r="F93" i="18"/>
  <c r="F94" i="18"/>
  <c r="F96" i="18"/>
  <c r="F97" i="18"/>
  <c r="F104" i="18"/>
  <c r="F105" i="18"/>
  <c r="F106" i="18"/>
  <c r="F107" i="18"/>
  <c r="F108" i="18"/>
  <c r="F109" i="18"/>
  <c r="F110" i="18"/>
  <c r="F111" i="18"/>
  <c r="F112" i="18"/>
  <c r="F113" i="18"/>
  <c r="L87" i="18"/>
  <c r="L88" i="18"/>
  <c r="L89" i="18"/>
  <c r="L90" i="18"/>
  <c r="L91" i="18"/>
  <c r="L92" i="18"/>
  <c r="L93" i="18"/>
  <c r="L94" i="18"/>
  <c r="L96" i="18"/>
  <c r="L97" i="18"/>
  <c r="L104" i="18"/>
  <c r="L105" i="18"/>
  <c r="L106" i="18"/>
  <c r="L107" i="18"/>
  <c r="L108" i="18"/>
  <c r="L109" i="18"/>
  <c r="L110" i="18"/>
  <c r="L111" i="18"/>
  <c r="L112" i="18"/>
  <c r="L113" i="18"/>
  <c r="M113" i="18" l="1"/>
  <c r="J113" i="18"/>
  <c r="I113" i="18"/>
  <c r="H113" i="18"/>
  <c r="M112" i="18"/>
  <c r="J112" i="18"/>
  <c r="I112" i="18"/>
  <c r="H112" i="18"/>
  <c r="M111" i="18"/>
  <c r="J111" i="18"/>
  <c r="I111" i="18"/>
  <c r="H111" i="18"/>
  <c r="M110" i="18"/>
  <c r="J110" i="18"/>
  <c r="I110" i="18"/>
  <c r="H110" i="18"/>
  <c r="M109" i="18"/>
  <c r="J109" i="18"/>
  <c r="I109" i="18"/>
  <c r="H109" i="18"/>
  <c r="M108" i="18"/>
  <c r="J108" i="18"/>
  <c r="I108" i="18"/>
  <c r="H108" i="18"/>
  <c r="H87" i="18"/>
  <c r="I87" i="18"/>
  <c r="J87" i="18"/>
  <c r="M87" i="18"/>
  <c r="H88" i="18"/>
  <c r="I88" i="18"/>
  <c r="J88" i="18"/>
  <c r="M88" i="18"/>
  <c r="H89" i="18"/>
  <c r="I89" i="18"/>
  <c r="J89" i="18"/>
  <c r="M89" i="18"/>
  <c r="H90" i="18"/>
  <c r="I90" i="18"/>
  <c r="J90" i="18"/>
  <c r="M90" i="18"/>
  <c r="H91" i="18"/>
  <c r="I91" i="18"/>
  <c r="J91" i="18"/>
  <c r="M91" i="18"/>
  <c r="H92" i="18"/>
  <c r="I92" i="18"/>
  <c r="J92" i="18"/>
  <c r="M92" i="18"/>
  <c r="H93" i="18"/>
  <c r="I93" i="18"/>
  <c r="J93" i="18"/>
  <c r="M93" i="18"/>
  <c r="H94" i="18"/>
  <c r="I94" i="18"/>
  <c r="J94" i="18"/>
  <c r="M94" i="18"/>
  <c r="H96" i="18"/>
  <c r="I96" i="18"/>
  <c r="J96" i="18"/>
  <c r="M96" i="18"/>
  <c r="H97" i="18"/>
  <c r="I97" i="18"/>
  <c r="J97" i="18"/>
  <c r="M97" i="18"/>
  <c r="H104" i="18"/>
  <c r="I104" i="18"/>
  <c r="J104" i="18"/>
  <c r="M104" i="18"/>
  <c r="H105" i="18"/>
  <c r="I105" i="18"/>
  <c r="J105" i="18"/>
  <c r="M105" i="18"/>
  <c r="H106" i="18"/>
  <c r="I106" i="18"/>
  <c r="J106" i="18"/>
  <c r="M106" i="18"/>
  <c r="H107" i="18"/>
  <c r="I107" i="18"/>
  <c r="J107" i="18"/>
  <c r="M107" i="18"/>
  <c r="A6" i="16" l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l="1"/>
  <c r="A21" i="16" s="1"/>
  <c r="A22" i="16" s="1"/>
  <c r="A23" i="16" s="1"/>
  <c r="D28" i="16"/>
  <c r="D29" i="16" s="1"/>
  <c r="D30" i="16" s="1"/>
  <c r="E28" i="16"/>
  <c r="E29" i="16" s="1"/>
  <c r="E30" i="16" s="1"/>
  <c r="F28" i="16"/>
  <c r="F29" i="16" s="1"/>
  <c r="F30" i="16" s="1"/>
  <c r="G28" i="16"/>
  <c r="G29" i="16" s="1"/>
  <c r="G30" i="16" s="1"/>
  <c r="H28" i="16"/>
  <c r="H29" i="16" s="1"/>
  <c r="H30" i="16" s="1"/>
  <c r="I28" i="16"/>
  <c r="I29" i="16" s="1"/>
  <c r="I30" i="16" s="1"/>
  <c r="J28" i="16"/>
  <c r="J29" i="16" s="1"/>
  <c r="J30" i="16" s="1"/>
  <c r="K28" i="16"/>
  <c r="K29" i="16" s="1"/>
  <c r="K30" i="16" s="1"/>
  <c r="L28" i="16"/>
  <c r="L29" i="16" s="1"/>
  <c r="L30" i="16" s="1"/>
  <c r="M28" i="16"/>
  <c r="M29" i="16" s="1"/>
  <c r="M30" i="16" s="1"/>
  <c r="N28" i="16"/>
  <c r="N29" i="16" s="1"/>
  <c r="N30" i="16" s="1"/>
  <c r="C28" i="16"/>
  <c r="A24" i="16" l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O28" i="16"/>
  <c r="L23" i="15"/>
  <c r="L22" i="15"/>
  <c r="L21" i="15"/>
  <c r="L20" i="15"/>
  <c r="L19" i="15"/>
  <c r="L18" i="15"/>
  <c r="D114" i="18"/>
  <c r="D129" i="18" s="1"/>
  <c r="E62" i="18"/>
  <c r="D72" i="18" s="1"/>
  <c r="D62" i="18"/>
  <c r="D77" i="18" s="1"/>
  <c r="E27" i="18"/>
  <c r="D37" i="18" s="1"/>
  <c r="D27" i="18"/>
  <c r="D42" i="18" s="1"/>
  <c r="N190" i="15"/>
  <c r="N196" i="15" s="1"/>
  <c r="M190" i="15"/>
  <c r="M196" i="15" s="1"/>
  <c r="L190" i="15"/>
  <c r="L196" i="15" s="1"/>
  <c r="K190" i="15"/>
  <c r="K196" i="15" s="1"/>
  <c r="J190" i="15"/>
  <c r="J196" i="15" s="1"/>
  <c r="I190" i="15"/>
  <c r="I196" i="15" s="1"/>
  <c r="H190" i="15"/>
  <c r="H196" i="15" s="1"/>
  <c r="G190" i="15"/>
  <c r="G196" i="15" s="1"/>
  <c r="F190" i="15"/>
  <c r="F196" i="15" s="1"/>
  <c r="E190" i="15"/>
  <c r="E196" i="15" s="1"/>
  <c r="D190" i="15"/>
  <c r="D196" i="15" s="1"/>
  <c r="C190" i="15"/>
  <c r="C196" i="15" s="1"/>
  <c r="N180" i="15"/>
  <c r="N186" i="15" s="1"/>
  <c r="M180" i="15"/>
  <c r="M186" i="15" s="1"/>
  <c r="L180" i="15"/>
  <c r="L186" i="15" s="1"/>
  <c r="K180" i="15"/>
  <c r="K186" i="15" s="1"/>
  <c r="J180" i="15"/>
  <c r="J186" i="15" s="1"/>
  <c r="I180" i="15"/>
  <c r="I186" i="15" s="1"/>
  <c r="H180" i="15"/>
  <c r="H186" i="15" s="1"/>
  <c r="G180" i="15"/>
  <c r="G186" i="15" s="1"/>
  <c r="F180" i="15"/>
  <c r="F186" i="15" s="1"/>
  <c r="E180" i="15"/>
  <c r="E186" i="15" s="1"/>
  <c r="D180" i="15"/>
  <c r="D186" i="15" s="1"/>
  <c r="C180" i="15"/>
  <c r="C186" i="15" s="1"/>
  <c r="N170" i="15"/>
  <c r="N176" i="15" s="1"/>
  <c r="M170" i="15"/>
  <c r="M176" i="15" s="1"/>
  <c r="L170" i="15"/>
  <c r="L176" i="15" s="1"/>
  <c r="K170" i="15"/>
  <c r="K176" i="15" s="1"/>
  <c r="J170" i="15"/>
  <c r="J176" i="15" s="1"/>
  <c r="I170" i="15"/>
  <c r="I176" i="15" s="1"/>
  <c r="H170" i="15"/>
  <c r="H176" i="15" s="1"/>
  <c r="G170" i="15"/>
  <c r="G176" i="15" s="1"/>
  <c r="F170" i="15"/>
  <c r="F176" i="15" s="1"/>
  <c r="E170" i="15"/>
  <c r="E176" i="15" s="1"/>
  <c r="D170" i="15"/>
  <c r="D176" i="15" s="1"/>
  <c r="C170" i="15"/>
  <c r="C176" i="15" s="1"/>
  <c r="N160" i="15"/>
  <c r="N166" i="15" s="1"/>
  <c r="M160" i="15"/>
  <c r="M166" i="15" s="1"/>
  <c r="L160" i="15"/>
  <c r="L166" i="15" s="1"/>
  <c r="K160" i="15"/>
  <c r="K166" i="15" s="1"/>
  <c r="J160" i="15"/>
  <c r="J166" i="15" s="1"/>
  <c r="I160" i="15"/>
  <c r="I166" i="15" s="1"/>
  <c r="H160" i="15"/>
  <c r="H166" i="15" s="1"/>
  <c r="G160" i="15"/>
  <c r="G166" i="15" s="1"/>
  <c r="F160" i="15"/>
  <c r="F166" i="15" s="1"/>
  <c r="E160" i="15"/>
  <c r="E166" i="15" s="1"/>
  <c r="D160" i="15"/>
  <c r="D166" i="15" s="1"/>
  <c r="C160" i="15"/>
  <c r="C166" i="15" s="1"/>
  <c r="N150" i="15"/>
  <c r="N156" i="15" s="1"/>
  <c r="M150" i="15"/>
  <c r="M156" i="15" s="1"/>
  <c r="L150" i="15"/>
  <c r="L156" i="15" s="1"/>
  <c r="K150" i="15"/>
  <c r="K156" i="15" s="1"/>
  <c r="J150" i="15"/>
  <c r="J156" i="15" s="1"/>
  <c r="I150" i="15"/>
  <c r="I156" i="15" s="1"/>
  <c r="H150" i="15"/>
  <c r="H156" i="15" s="1"/>
  <c r="G150" i="15"/>
  <c r="G156" i="15" s="1"/>
  <c r="F150" i="15"/>
  <c r="F156" i="15" s="1"/>
  <c r="E150" i="15"/>
  <c r="E156" i="15" s="1"/>
  <c r="D150" i="15"/>
  <c r="D156" i="15" s="1"/>
  <c r="C150" i="15"/>
  <c r="C156" i="15" s="1"/>
  <c r="N140" i="15"/>
  <c r="N146" i="15" s="1"/>
  <c r="M140" i="15"/>
  <c r="M146" i="15" s="1"/>
  <c r="L140" i="15"/>
  <c r="L146" i="15" s="1"/>
  <c r="K140" i="15"/>
  <c r="K146" i="15" s="1"/>
  <c r="J140" i="15"/>
  <c r="J146" i="15" s="1"/>
  <c r="I140" i="15"/>
  <c r="I146" i="15" s="1"/>
  <c r="H140" i="15"/>
  <c r="H146" i="15" s="1"/>
  <c r="G140" i="15"/>
  <c r="G146" i="15" s="1"/>
  <c r="F140" i="15"/>
  <c r="F146" i="15" s="1"/>
  <c r="E140" i="15"/>
  <c r="E146" i="15" s="1"/>
  <c r="D140" i="15"/>
  <c r="D146" i="15" s="1"/>
  <c r="C140" i="15"/>
  <c r="C146" i="15" s="1"/>
  <c r="N110" i="15"/>
  <c r="M110" i="15"/>
  <c r="L110" i="15"/>
  <c r="K110" i="15"/>
  <c r="J110" i="15"/>
  <c r="I110" i="15"/>
  <c r="H110" i="15"/>
  <c r="G110" i="15"/>
  <c r="F110" i="15"/>
  <c r="E110" i="15"/>
  <c r="D110" i="15"/>
  <c r="M198" i="15"/>
  <c r="M211" i="15" s="1"/>
  <c r="K198" i="15"/>
  <c r="K211" i="15" s="1"/>
  <c r="I198" i="15"/>
  <c r="I211" i="15" s="1"/>
  <c r="E198" i="15"/>
  <c r="E211" i="15" s="1"/>
  <c r="I40" i="15"/>
  <c r="I46" i="15" s="1"/>
  <c r="H40" i="15"/>
  <c r="H46" i="15" s="1"/>
  <c r="D40" i="15"/>
  <c r="D46" i="15" s="1"/>
  <c r="O88" i="15"/>
  <c r="C13" i="15" s="1"/>
  <c r="M13" i="15" s="1"/>
  <c r="E349" i="2"/>
  <c r="O78" i="15"/>
  <c r="C12" i="15" s="1"/>
  <c r="M12" i="15" s="1"/>
  <c r="O98" i="15"/>
  <c r="C14" i="15" s="1"/>
  <c r="O68" i="15"/>
  <c r="C11" i="15" s="1"/>
  <c r="O58" i="15"/>
  <c r="C10" i="15" s="1"/>
  <c r="D8" i="9" s="1"/>
  <c r="F8" i="9" s="1"/>
  <c r="O48" i="15"/>
  <c r="C9" i="15" s="1"/>
  <c r="D7" i="9" s="1"/>
  <c r="F7" i="9" s="1"/>
  <c r="O38" i="15"/>
  <c r="C8" i="15" s="1"/>
  <c r="C40" i="15"/>
  <c r="C46" i="15" s="1"/>
  <c r="O15" i="16"/>
  <c r="O8" i="16"/>
  <c r="O9" i="16"/>
  <c r="O10" i="16"/>
  <c r="O11" i="16"/>
  <c r="O12" i="16"/>
  <c r="O6" i="16"/>
  <c r="O13" i="16"/>
  <c r="O7" i="16"/>
  <c r="F283" i="1"/>
  <c r="C11" i="8"/>
  <c r="B11" i="8"/>
  <c r="C10" i="8"/>
  <c r="B10" i="8"/>
  <c r="C9" i="8"/>
  <c r="B9" i="8"/>
  <c r="C8" i="8"/>
  <c r="B8" i="8"/>
  <c r="C7" i="8"/>
  <c r="B7" i="8"/>
  <c r="C6" i="8"/>
  <c r="B6" i="8"/>
  <c r="B7" i="9"/>
  <c r="C7" i="9"/>
  <c r="B8" i="9"/>
  <c r="C8" i="9"/>
  <c r="B9" i="9"/>
  <c r="C9" i="9"/>
  <c r="B10" i="9"/>
  <c r="C10" i="9"/>
  <c r="B11" i="9"/>
  <c r="C11" i="9"/>
  <c r="C6" i="9"/>
  <c r="B6" i="9"/>
  <c r="A32" i="15"/>
  <c r="O109" i="15"/>
  <c r="O110" i="15" s="1"/>
  <c r="F262" i="1"/>
  <c r="Y258" i="1"/>
  <c r="W258" i="1"/>
  <c r="U258" i="1"/>
  <c r="S258" i="1"/>
  <c r="R258" i="1"/>
  <c r="P258" i="1"/>
  <c r="O258" i="1"/>
  <c r="M258" i="1"/>
  <c r="K258" i="1"/>
  <c r="I258" i="1"/>
  <c r="H258" i="1"/>
  <c r="O59" i="15"/>
  <c r="D10" i="15" s="1"/>
  <c r="B8" i="15"/>
  <c r="B38" i="15" s="1"/>
  <c r="B9" i="15"/>
  <c r="B48" i="15" s="1"/>
  <c r="B10" i="15"/>
  <c r="B58" i="15" s="1"/>
  <c r="B11" i="15"/>
  <c r="B68" i="15" s="1"/>
  <c r="B12" i="15"/>
  <c r="B78" i="15" s="1"/>
  <c r="B13" i="15"/>
  <c r="B88" i="15" s="1"/>
  <c r="B14" i="15"/>
  <c r="B98" i="15" s="1"/>
  <c r="B15" i="15"/>
  <c r="B108" i="15" s="1"/>
  <c r="B16" i="15"/>
  <c r="B118" i="15" s="1"/>
  <c r="B17" i="15"/>
  <c r="B128" i="15" s="1"/>
  <c r="B18" i="15"/>
  <c r="B138" i="15" s="1"/>
  <c r="B19" i="15"/>
  <c r="B148" i="15" s="1"/>
  <c r="B20" i="15"/>
  <c r="B158" i="15" s="1"/>
  <c r="B21" i="15"/>
  <c r="B168" i="15" s="1"/>
  <c r="B22" i="15"/>
  <c r="B178" i="15" s="1"/>
  <c r="B23" i="15"/>
  <c r="B188" i="15" s="1"/>
  <c r="A23" i="15"/>
  <c r="A188" i="15" s="1"/>
  <c r="A22" i="15"/>
  <c r="A178" i="15" s="1"/>
  <c r="A21" i="15"/>
  <c r="A168" i="15" s="1"/>
  <c r="A20" i="15"/>
  <c r="A158" i="15" s="1"/>
  <c r="A19" i="15"/>
  <c r="A148" i="15" s="1"/>
  <c r="A18" i="15"/>
  <c r="A138" i="15" s="1"/>
  <c r="A17" i="15"/>
  <c r="A16" i="15"/>
  <c r="A15" i="15"/>
  <c r="A14" i="15"/>
  <c r="A13" i="15"/>
  <c r="A12" i="15"/>
  <c r="A11" i="15"/>
  <c r="A10" i="15"/>
  <c r="A9" i="15"/>
  <c r="A8" i="15"/>
  <c r="O3" i="2"/>
  <c r="N3" i="2"/>
  <c r="M3" i="2"/>
  <c r="L3" i="2"/>
  <c r="K3" i="2"/>
  <c r="J3" i="2"/>
  <c r="I3" i="2"/>
  <c r="H3" i="2"/>
  <c r="G3" i="2"/>
  <c r="F3" i="2"/>
  <c r="K2" i="2"/>
  <c r="J2" i="2"/>
  <c r="I2" i="2"/>
  <c r="H2" i="2"/>
  <c r="G2" i="2"/>
  <c r="F2" i="2"/>
  <c r="N184" i="15"/>
  <c r="M184" i="15"/>
  <c r="L184" i="15"/>
  <c r="K184" i="15"/>
  <c r="J184" i="15"/>
  <c r="I184" i="15"/>
  <c r="H184" i="15"/>
  <c r="G184" i="15"/>
  <c r="F184" i="15"/>
  <c r="E184" i="15"/>
  <c r="D184" i="15"/>
  <c r="C184" i="15"/>
  <c r="Q182" i="15"/>
  <c r="H22" i="15" s="1"/>
  <c r="T436" i="2" s="1"/>
  <c r="O182" i="15"/>
  <c r="O179" i="15"/>
  <c r="O180" i="15" s="1"/>
  <c r="N174" i="15"/>
  <c r="M174" i="15"/>
  <c r="L174" i="15"/>
  <c r="K174" i="15"/>
  <c r="J174" i="15"/>
  <c r="I174" i="15"/>
  <c r="H174" i="15"/>
  <c r="G174" i="15"/>
  <c r="F174" i="15"/>
  <c r="E174" i="15"/>
  <c r="D174" i="15"/>
  <c r="C174" i="15"/>
  <c r="Q172" i="15"/>
  <c r="H21" i="15" s="1"/>
  <c r="S436" i="2" s="1"/>
  <c r="O172" i="15"/>
  <c r="O169" i="15"/>
  <c r="O170" i="15" s="1"/>
  <c r="N164" i="15"/>
  <c r="M164" i="15"/>
  <c r="L164" i="15"/>
  <c r="K164" i="15"/>
  <c r="J164" i="15"/>
  <c r="I164" i="15"/>
  <c r="H164" i="15"/>
  <c r="G164" i="15"/>
  <c r="F164" i="15"/>
  <c r="E164" i="15"/>
  <c r="D164" i="15"/>
  <c r="C164" i="15"/>
  <c r="Q162" i="15"/>
  <c r="H20" i="15" s="1"/>
  <c r="R436" i="2" s="1"/>
  <c r="O162" i="15"/>
  <c r="O159" i="15"/>
  <c r="N154" i="15"/>
  <c r="M154" i="15"/>
  <c r="L154" i="15"/>
  <c r="K154" i="15"/>
  <c r="J154" i="15"/>
  <c r="I154" i="15"/>
  <c r="H154" i="15"/>
  <c r="G154" i="15"/>
  <c r="F154" i="15"/>
  <c r="E154" i="15"/>
  <c r="D154" i="15"/>
  <c r="C154" i="15"/>
  <c r="Q152" i="15"/>
  <c r="H19" i="15" s="1"/>
  <c r="Q436" i="2" s="1"/>
  <c r="O152" i="15"/>
  <c r="O149" i="15"/>
  <c r="N144" i="15"/>
  <c r="M144" i="15"/>
  <c r="L144" i="15"/>
  <c r="K144" i="15"/>
  <c r="J144" i="15"/>
  <c r="I144" i="15"/>
  <c r="H144" i="15"/>
  <c r="G144" i="15"/>
  <c r="F144" i="15"/>
  <c r="E144" i="15"/>
  <c r="D144" i="15"/>
  <c r="C144" i="15"/>
  <c r="Q142" i="15"/>
  <c r="H18" i="15" s="1"/>
  <c r="P436" i="2" s="1"/>
  <c r="O142" i="15"/>
  <c r="O139" i="15"/>
  <c r="O140" i="15" s="1"/>
  <c r="Q132" i="15"/>
  <c r="H17" i="15" s="1"/>
  <c r="O436" i="2" s="1"/>
  <c r="D17" i="15"/>
  <c r="N6" i="15"/>
  <c r="P6" i="15"/>
  <c r="P8" i="15"/>
  <c r="P9" i="15"/>
  <c r="P10" i="15"/>
  <c r="P1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M6" i="15"/>
  <c r="M15" i="15"/>
  <c r="M16" i="15"/>
  <c r="M17" i="15"/>
  <c r="M18" i="15"/>
  <c r="M19" i="15"/>
  <c r="M20" i="15"/>
  <c r="M21" i="15"/>
  <c r="M22" i="15"/>
  <c r="M23" i="15"/>
  <c r="M5" i="15"/>
  <c r="E383" i="2"/>
  <c r="E519" i="2" s="1"/>
  <c r="AF614" i="2"/>
  <c r="AE614" i="2"/>
  <c r="AD614" i="2"/>
  <c r="AC614" i="2"/>
  <c r="AB614" i="2"/>
  <c r="AA614" i="2"/>
  <c r="Z614" i="2"/>
  <c r="Y614" i="2"/>
  <c r="X614" i="2"/>
  <c r="W614" i="2"/>
  <c r="V614" i="2"/>
  <c r="U614" i="2"/>
  <c r="T614" i="2"/>
  <c r="S614" i="2"/>
  <c r="AF588" i="2"/>
  <c r="AE588" i="2"/>
  <c r="AD588" i="2"/>
  <c r="AC588" i="2"/>
  <c r="AB588" i="2"/>
  <c r="AA588" i="2"/>
  <c r="Z588" i="2"/>
  <c r="Y588" i="2"/>
  <c r="X588" i="2"/>
  <c r="W588" i="2"/>
  <c r="V588" i="2"/>
  <c r="U588" i="2"/>
  <c r="T588" i="2"/>
  <c r="S588" i="2"/>
  <c r="Q287" i="1"/>
  <c r="S648" i="2"/>
  <c r="S638" i="2"/>
  <c r="S636" i="2"/>
  <c r="O201" i="15"/>
  <c r="P429" i="2"/>
  <c r="AG429" i="2" s="1"/>
  <c r="AH429" i="2" s="1"/>
  <c r="Z416" i="2"/>
  <c r="U425" i="2"/>
  <c r="U426" i="2" s="1"/>
  <c r="U428" i="2" s="1"/>
  <c r="T425" i="2"/>
  <c r="T426" i="2" s="1"/>
  <c r="S425" i="2"/>
  <c r="S426" i="2" s="1"/>
  <c r="S428" i="2" s="1"/>
  <c r="R425" i="2"/>
  <c r="R430" i="2" s="1"/>
  <c r="Q425" i="2"/>
  <c r="Q430" i="2" s="1"/>
  <c r="P425" i="2"/>
  <c r="P426" i="2" s="1"/>
  <c r="P427" i="2" s="1"/>
  <c r="P431" i="2" s="1"/>
  <c r="O425" i="2"/>
  <c r="N425" i="2"/>
  <c r="M425" i="2"/>
  <c r="U421" i="2"/>
  <c r="T421" i="2"/>
  <c r="S421" i="2"/>
  <c r="R421" i="2"/>
  <c r="Q421" i="2"/>
  <c r="P421" i="2"/>
  <c r="O421" i="2"/>
  <c r="N421" i="2"/>
  <c r="M421" i="2"/>
  <c r="L421" i="2"/>
  <c r="K421" i="2"/>
  <c r="J421" i="2"/>
  <c r="I421" i="2"/>
  <c r="H421" i="2"/>
  <c r="G421" i="2"/>
  <c r="D198" i="15"/>
  <c r="D211" i="15" s="1"/>
  <c r="F198" i="15"/>
  <c r="F211" i="15" s="1"/>
  <c r="H198" i="15"/>
  <c r="H211" i="15" s="1"/>
  <c r="J198" i="15"/>
  <c r="J211" i="15" s="1"/>
  <c r="L198" i="15"/>
  <c r="L211" i="15" s="1"/>
  <c r="N198" i="15"/>
  <c r="N211" i="15" s="1"/>
  <c r="V424" i="2"/>
  <c r="V402" i="2" s="1"/>
  <c r="W424" i="2"/>
  <c r="W402" i="2" s="1"/>
  <c r="X424" i="2"/>
  <c r="X402" i="2" s="1"/>
  <c r="Y424" i="2"/>
  <c r="Y402" i="2" s="1"/>
  <c r="Z424" i="2"/>
  <c r="Z402" i="2" s="1"/>
  <c r="AA424" i="2"/>
  <c r="AA402" i="2" s="1"/>
  <c r="AB424" i="2"/>
  <c r="AB402" i="2" s="1"/>
  <c r="AC424" i="2"/>
  <c r="AC402" i="2" s="1"/>
  <c r="AD424" i="2"/>
  <c r="AD402" i="2" s="1"/>
  <c r="AE424" i="2"/>
  <c r="AE402" i="2" s="1"/>
  <c r="AF424" i="2"/>
  <c r="AF402" i="2" s="1"/>
  <c r="V415" i="2"/>
  <c r="W415" i="2"/>
  <c r="X415" i="2"/>
  <c r="Y415" i="2"/>
  <c r="Z415" i="2"/>
  <c r="AA415" i="2"/>
  <c r="AB415" i="2"/>
  <c r="AC415" i="2"/>
  <c r="AD415" i="2"/>
  <c r="AE415" i="2"/>
  <c r="AF415" i="2"/>
  <c r="V408" i="2"/>
  <c r="V409" i="2" s="1"/>
  <c r="W408" i="2"/>
  <c r="W409" i="2" s="1"/>
  <c r="X408" i="2"/>
  <c r="X409" i="2" s="1"/>
  <c r="Y408" i="2"/>
  <c r="Y409" i="2" s="1"/>
  <c r="Z408" i="2"/>
  <c r="Z409" i="2" s="1"/>
  <c r="AA408" i="2"/>
  <c r="AA409" i="2" s="1"/>
  <c r="AB408" i="2"/>
  <c r="AB409" i="2" s="1"/>
  <c r="AC408" i="2"/>
  <c r="AC409" i="2" s="1"/>
  <c r="AD408" i="2"/>
  <c r="AD409" i="2" s="1"/>
  <c r="AE408" i="2"/>
  <c r="AE409" i="2" s="1"/>
  <c r="AF408" i="2"/>
  <c r="AF409" i="2" s="1"/>
  <c r="V441" i="2"/>
  <c r="V448" i="2" s="1"/>
  <c r="V455" i="2"/>
  <c r="V462" i="2" s="1"/>
  <c r="V469" i="2"/>
  <c r="V476" i="2" s="1"/>
  <c r="V488" i="2"/>
  <c r="V495" i="2"/>
  <c r="V561" i="2"/>
  <c r="V563" i="2"/>
  <c r="V572" i="2"/>
  <c r="V577" i="2"/>
  <c r="V597" i="2"/>
  <c r="V623" i="2" s="1"/>
  <c r="V602" i="2"/>
  <c r="V628" i="2" s="1"/>
  <c r="Q326" i="1"/>
  <c r="Q328" i="1" s="1"/>
  <c r="F354" i="1"/>
  <c r="F345" i="1"/>
  <c r="AA352" i="1"/>
  <c r="Y352" i="1"/>
  <c r="W352" i="1"/>
  <c r="U352" i="1"/>
  <c r="S352" i="1"/>
  <c r="R352" i="1"/>
  <c r="P352" i="1"/>
  <c r="O352" i="1"/>
  <c r="M352" i="1"/>
  <c r="K352" i="1"/>
  <c r="I352" i="1"/>
  <c r="H352" i="1"/>
  <c r="AA351" i="1"/>
  <c r="Y351" i="1"/>
  <c r="W351" i="1"/>
  <c r="U351" i="1"/>
  <c r="S351" i="1"/>
  <c r="R351" i="1"/>
  <c r="P351" i="1"/>
  <c r="O351" i="1"/>
  <c r="M351" i="1"/>
  <c r="K351" i="1"/>
  <c r="I351" i="1"/>
  <c r="H351" i="1"/>
  <c r="AA350" i="1"/>
  <c r="Y350" i="1"/>
  <c r="W350" i="1"/>
  <c r="U350" i="1"/>
  <c r="S350" i="1"/>
  <c r="R350" i="1"/>
  <c r="P350" i="1"/>
  <c r="O350" i="1"/>
  <c r="M350" i="1"/>
  <c r="K350" i="1"/>
  <c r="I350" i="1"/>
  <c r="H350" i="1"/>
  <c r="AA349" i="1"/>
  <c r="Y349" i="1"/>
  <c r="W349" i="1"/>
  <c r="U349" i="1"/>
  <c r="S349" i="1"/>
  <c r="R349" i="1"/>
  <c r="P349" i="1"/>
  <c r="O349" i="1"/>
  <c r="M349" i="1"/>
  <c r="K349" i="1"/>
  <c r="I349" i="1"/>
  <c r="H349" i="1"/>
  <c r="AA348" i="1"/>
  <c r="Y348" i="1"/>
  <c r="W348" i="1"/>
  <c r="U348" i="1"/>
  <c r="S348" i="1"/>
  <c r="R348" i="1"/>
  <c r="P348" i="1"/>
  <c r="O348" i="1"/>
  <c r="M348" i="1"/>
  <c r="K348" i="1"/>
  <c r="I348" i="1"/>
  <c r="H348" i="1"/>
  <c r="AA343" i="1"/>
  <c r="Y343" i="1"/>
  <c r="W343" i="1"/>
  <c r="U343" i="1"/>
  <c r="S343" i="1"/>
  <c r="R343" i="1"/>
  <c r="P343" i="1"/>
  <c r="O343" i="1"/>
  <c r="M343" i="1"/>
  <c r="K343" i="1"/>
  <c r="I343" i="1"/>
  <c r="H343" i="1"/>
  <c r="AA342" i="1"/>
  <c r="Y342" i="1"/>
  <c r="W342" i="1"/>
  <c r="U342" i="1"/>
  <c r="S342" i="1"/>
  <c r="R342" i="1"/>
  <c r="P342" i="1"/>
  <c r="O342" i="1"/>
  <c r="M342" i="1"/>
  <c r="K342" i="1"/>
  <c r="I342" i="1"/>
  <c r="H342" i="1"/>
  <c r="AA341" i="1"/>
  <c r="Y341" i="1"/>
  <c r="W341" i="1"/>
  <c r="U341" i="1"/>
  <c r="S341" i="1"/>
  <c r="R341" i="1"/>
  <c r="P341" i="1"/>
  <c r="O341" i="1"/>
  <c r="M341" i="1"/>
  <c r="K341" i="1"/>
  <c r="I341" i="1"/>
  <c r="H341" i="1"/>
  <c r="AA340" i="1"/>
  <c r="Y340" i="1"/>
  <c r="W340" i="1"/>
  <c r="U340" i="1"/>
  <c r="S340" i="1"/>
  <c r="R340" i="1"/>
  <c r="P340" i="1"/>
  <c r="O340" i="1"/>
  <c r="M340" i="1"/>
  <c r="K340" i="1"/>
  <c r="I340" i="1"/>
  <c r="H340" i="1"/>
  <c r="AA339" i="1"/>
  <c r="Y339" i="1"/>
  <c r="W339" i="1"/>
  <c r="U339" i="1"/>
  <c r="S339" i="1"/>
  <c r="R339" i="1"/>
  <c r="P339" i="1"/>
  <c r="O339" i="1"/>
  <c r="M339" i="1"/>
  <c r="K339" i="1"/>
  <c r="I339" i="1"/>
  <c r="H339" i="1"/>
  <c r="AA338" i="1"/>
  <c r="Y338" i="1"/>
  <c r="W338" i="1"/>
  <c r="U338" i="1"/>
  <c r="S338" i="1"/>
  <c r="R338" i="1"/>
  <c r="P338" i="1"/>
  <c r="O338" i="1"/>
  <c r="M338" i="1"/>
  <c r="K338" i="1"/>
  <c r="I338" i="1"/>
  <c r="H338" i="1"/>
  <c r="AA337" i="1"/>
  <c r="Y337" i="1"/>
  <c r="W337" i="1"/>
  <c r="U337" i="1"/>
  <c r="S337" i="1"/>
  <c r="R337" i="1"/>
  <c r="P337" i="1"/>
  <c r="O337" i="1"/>
  <c r="M337" i="1"/>
  <c r="K337" i="1"/>
  <c r="I337" i="1"/>
  <c r="H337" i="1"/>
  <c r="AA336" i="1"/>
  <c r="Y336" i="1"/>
  <c r="W336" i="1"/>
  <c r="U336" i="1"/>
  <c r="S336" i="1"/>
  <c r="R336" i="1"/>
  <c r="P336" i="1"/>
  <c r="O336" i="1"/>
  <c r="M336" i="1"/>
  <c r="K336" i="1"/>
  <c r="I336" i="1"/>
  <c r="H336" i="1"/>
  <c r="AA177" i="1"/>
  <c r="Y177" i="1"/>
  <c r="W177" i="1"/>
  <c r="U177" i="1"/>
  <c r="S177" i="1"/>
  <c r="R177" i="1"/>
  <c r="P177" i="1"/>
  <c r="O177" i="1"/>
  <c r="M177" i="1"/>
  <c r="K177" i="1"/>
  <c r="AB487" i="1"/>
  <c r="AC487" i="1" s="1"/>
  <c r="AA156" i="1"/>
  <c r="Y156" i="1"/>
  <c r="W156" i="1"/>
  <c r="U156" i="1"/>
  <c r="S156" i="1"/>
  <c r="R156" i="1"/>
  <c r="P156" i="1"/>
  <c r="O156" i="1"/>
  <c r="M156" i="1"/>
  <c r="K156" i="1"/>
  <c r="I156" i="1"/>
  <c r="H156" i="1"/>
  <c r="AA21" i="1"/>
  <c r="Y21" i="1"/>
  <c r="W21" i="1"/>
  <c r="U21" i="1"/>
  <c r="S21" i="1"/>
  <c r="R21" i="1"/>
  <c r="P21" i="1"/>
  <c r="O21" i="1"/>
  <c r="M21" i="1"/>
  <c r="K21" i="1"/>
  <c r="I21" i="1"/>
  <c r="H21" i="1"/>
  <c r="AA22" i="1"/>
  <c r="Y22" i="1"/>
  <c r="W22" i="1"/>
  <c r="U22" i="1"/>
  <c r="S22" i="1"/>
  <c r="R22" i="1"/>
  <c r="P22" i="1"/>
  <c r="O22" i="1"/>
  <c r="M22" i="1"/>
  <c r="K22" i="1"/>
  <c r="I22" i="1"/>
  <c r="H22" i="1"/>
  <c r="AA20" i="1"/>
  <c r="Y20" i="1"/>
  <c r="W20" i="1"/>
  <c r="U20" i="1"/>
  <c r="S20" i="1"/>
  <c r="R20" i="1"/>
  <c r="P20" i="1"/>
  <c r="O20" i="1"/>
  <c r="M20" i="1"/>
  <c r="K20" i="1"/>
  <c r="I20" i="1"/>
  <c r="H20" i="1"/>
  <c r="AA19" i="1"/>
  <c r="Y19" i="1"/>
  <c r="W19" i="1"/>
  <c r="U19" i="1"/>
  <c r="S19" i="1"/>
  <c r="R19" i="1"/>
  <c r="P19" i="1"/>
  <c r="O19" i="1"/>
  <c r="M19" i="1"/>
  <c r="K19" i="1"/>
  <c r="I19" i="1"/>
  <c r="H19" i="1"/>
  <c r="AA18" i="1"/>
  <c r="Y18" i="1"/>
  <c r="W18" i="1"/>
  <c r="U18" i="1"/>
  <c r="S18" i="1"/>
  <c r="R18" i="1"/>
  <c r="P18" i="1"/>
  <c r="O18" i="1"/>
  <c r="M18" i="1"/>
  <c r="K18" i="1"/>
  <c r="I18" i="1"/>
  <c r="H18" i="1"/>
  <c r="AA17" i="1"/>
  <c r="Y17" i="1"/>
  <c r="W17" i="1"/>
  <c r="U17" i="1"/>
  <c r="S17" i="1"/>
  <c r="R17" i="1"/>
  <c r="P17" i="1"/>
  <c r="O17" i="1"/>
  <c r="M17" i="1"/>
  <c r="K17" i="1"/>
  <c r="I17" i="1"/>
  <c r="H17" i="1"/>
  <c r="AA16" i="1"/>
  <c r="Y16" i="1"/>
  <c r="W16" i="1"/>
  <c r="U16" i="1"/>
  <c r="S16" i="1"/>
  <c r="R16" i="1"/>
  <c r="P16" i="1"/>
  <c r="O16" i="1"/>
  <c r="M16" i="1"/>
  <c r="K16" i="1"/>
  <c r="I16" i="1"/>
  <c r="H16" i="1"/>
  <c r="AA15" i="1"/>
  <c r="Y15" i="1"/>
  <c r="W15" i="1"/>
  <c r="U15" i="1"/>
  <c r="S15" i="1"/>
  <c r="R15" i="1"/>
  <c r="P15" i="1"/>
  <c r="O15" i="1"/>
  <c r="M15" i="1"/>
  <c r="K15" i="1"/>
  <c r="I15" i="1"/>
  <c r="H15" i="1"/>
  <c r="F24" i="1"/>
  <c r="K162" i="1"/>
  <c r="F159" i="1"/>
  <c r="F168" i="1"/>
  <c r="F180" i="1"/>
  <c r="AA176" i="1"/>
  <c r="Y176" i="1"/>
  <c r="W176" i="1"/>
  <c r="U176" i="1"/>
  <c r="S176" i="1"/>
  <c r="R176" i="1"/>
  <c r="P176" i="1"/>
  <c r="O176" i="1"/>
  <c r="M176" i="1"/>
  <c r="K176" i="1"/>
  <c r="Y241" i="1"/>
  <c r="K27" i="1"/>
  <c r="AE586" i="2"/>
  <c r="AE612" i="2" s="1"/>
  <c r="AE587" i="2"/>
  <c r="AE613" i="2" s="1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F450" i="2"/>
  <c r="E450" i="2"/>
  <c r="F421" i="2"/>
  <c r="N194" i="15"/>
  <c r="M194" i="15"/>
  <c r="K194" i="15"/>
  <c r="G194" i="15"/>
  <c r="F194" i="15"/>
  <c r="E194" i="15"/>
  <c r="C194" i="15"/>
  <c r="O189" i="15"/>
  <c r="O190" i="15" s="1"/>
  <c r="O99" i="15"/>
  <c r="O100" i="15" s="1"/>
  <c r="O69" i="15"/>
  <c r="O70" i="15" s="1"/>
  <c r="O49" i="15"/>
  <c r="O50" i="15" s="1"/>
  <c r="N40" i="15"/>
  <c r="N46" i="15" s="1"/>
  <c r="M40" i="15"/>
  <c r="M42" i="15" s="1"/>
  <c r="M44" i="15" s="1"/>
  <c r="L40" i="15"/>
  <c r="L42" i="15" s="1"/>
  <c r="L44" i="15" s="1"/>
  <c r="K40" i="15"/>
  <c r="K42" i="15" s="1"/>
  <c r="K44" i="15" s="1"/>
  <c r="J40" i="15"/>
  <c r="J42" i="15" s="1"/>
  <c r="J44" i="15" s="1"/>
  <c r="G40" i="15"/>
  <c r="G46" i="15" s="1"/>
  <c r="F40" i="15"/>
  <c r="F42" i="15" s="1"/>
  <c r="E40" i="15"/>
  <c r="E46" i="15" s="1"/>
  <c r="O39" i="15"/>
  <c r="E25" i="15"/>
  <c r="M40" i="1"/>
  <c r="L54" i="1"/>
  <c r="L56" i="1" s="1"/>
  <c r="L58" i="1" s="1"/>
  <c r="F54" i="1"/>
  <c r="F392" i="1"/>
  <c r="J56" i="1"/>
  <c r="J58" i="1" s="1"/>
  <c r="Q56" i="1"/>
  <c r="Q58" i="1" s="1"/>
  <c r="T56" i="1"/>
  <c r="T58" i="1" s="1"/>
  <c r="V56" i="1"/>
  <c r="V58" i="1" s="1"/>
  <c r="X56" i="1"/>
  <c r="X58" i="1" s="1"/>
  <c r="Z56" i="1"/>
  <c r="Q457" i="2"/>
  <c r="AG457" i="2" s="1"/>
  <c r="AH457" i="2" s="1"/>
  <c r="N8" i="10"/>
  <c r="O8" i="10"/>
  <c r="F8" i="10"/>
  <c r="K7" i="10"/>
  <c r="K8" i="10" s="1"/>
  <c r="L7" i="10"/>
  <c r="L8" i="10" s="1"/>
  <c r="R7" i="10"/>
  <c r="R8" i="10" s="1"/>
  <c r="Q7" i="10"/>
  <c r="Q8" i="10" s="1"/>
  <c r="M7" i="10"/>
  <c r="M8" i="10"/>
  <c r="J7" i="10"/>
  <c r="J8" i="10" s="1"/>
  <c r="I7" i="10"/>
  <c r="I8" i="10" s="1"/>
  <c r="H7" i="10"/>
  <c r="H8" i="10" s="1"/>
  <c r="G7" i="10"/>
  <c r="S6" i="10"/>
  <c r="T6" i="10" s="1"/>
  <c r="AG490" i="2"/>
  <c r="AH490" i="2" s="1"/>
  <c r="K175" i="1"/>
  <c r="M175" i="1"/>
  <c r="O175" i="1"/>
  <c r="P175" i="1"/>
  <c r="R175" i="1"/>
  <c r="S175" i="1"/>
  <c r="U175" i="1"/>
  <c r="W175" i="1"/>
  <c r="Y175" i="1"/>
  <c r="AA175" i="1"/>
  <c r="AA432" i="1"/>
  <c r="W432" i="1"/>
  <c r="U432" i="1"/>
  <c r="S432" i="1"/>
  <c r="R432" i="1"/>
  <c r="P432" i="1"/>
  <c r="O432" i="1"/>
  <c r="M432" i="1"/>
  <c r="K432" i="1"/>
  <c r="I432" i="1"/>
  <c r="H432" i="1"/>
  <c r="Y432" i="1"/>
  <c r="AA255" i="1"/>
  <c r="W255" i="1"/>
  <c r="U255" i="1"/>
  <c r="S255" i="1"/>
  <c r="R255" i="1"/>
  <c r="P255" i="1"/>
  <c r="O255" i="1"/>
  <c r="M255" i="1"/>
  <c r="K255" i="1"/>
  <c r="I255" i="1"/>
  <c r="H255" i="1"/>
  <c r="Y255" i="1"/>
  <c r="AD455" i="2"/>
  <c r="AD485" i="2" s="1"/>
  <c r="AC455" i="2"/>
  <c r="AC485" i="2" s="1"/>
  <c r="AA455" i="2"/>
  <c r="AA485" i="2" s="1"/>
  <c r="Z426" i="2"/>
  <c r="Z427" i="2" s="1"/>
  <c r="AB426" i="2"/>
  <c r="AB428" i="2" s="1"/>
  <c r="AD426" i="2"/>
  <c r="AD428" i="2" s="1"/>
  <c r="AA426" i="2"/>
  <c r="AA428" i="2" s="1"/>
  <c r="AC426" i="2"/>
  <c r="AC428" i="2" s="1"/>
  <c r="AE426" i="2"/>
  <c r="AE427" i="2" s="1"/>
  <c r="AF426" i="2"/>
  <c r="AF428" i="2" s="1"/>
  <c r="AE441" i="2"/>
  <c r="AE448" i="2" s="1"/>
  <c r="AF441" i="2"/>
  <c r="AF448" i="2" s="1"/>
  <c r="AG443" i="2"/>
  <c r="AH443" i="2" s="1"/>
  <c r="AE455" i="2"/>
  <c r="AE485" i="2" s="1"/>
  <c r="AF455" i="2"/>
  <c r="AF485" i="2" s="1"/>
  <c r="E462" i="2"/>
  <c r="AD464" i="2"/>
  <c r="AG464" i="2" s="1"/>
  <c r="AH464" i="2" s="1"/>
  <c r="AF469" i="2"/>
  <c r="AF476" i="2" s="1"/>
  <c r="AG471" i="2"/>
  <c r="AH471" i="2" s="1"/>
  <c r="AE476" i="2"/>
  <c r="AG478" i="2"/>
  <c r="AH478" i="2" s="1"/>
  <c r="E485" i="2"/>
  <c r="AF495" i="2"/>
  <c r="AF623" i="2"/>
  <c r="AF628" i="2"/>
  <c r="AE629" i="2"/>
  <c r="Z455" i="2"/>
  <c r="Z485" i="2" s="1"/>
  <c r="Z469" i="2"/>
  <c r="Z476" i="2" s="1"/>
  <c r="AD476" i="2"/>
  <c r="AB441" i="2"/>
  <c r="AB448" i="2" s="1"/>
  <c r="AB469" i="2"/>
  <c r="AB476" i="2" s="1"/>
  <c r="K28" i="1"/>
  <c r="K29" i="1"/>
  <c r="K30" i="1"/>
  <c r="K31" i="1"/>
  <c r="K32" i="1"/>
  <c r="K33" i="1"/>
  <c r="M41" i="1"/>
  <c r="M295" i="1" s="1"/>
  <c r="M42" i="1"/>
  <c r="M400" i="1" s="1"/>
  <c r="M43" i="1"/>
  <c r="M44" i="1"/>
  <c r="M401" i="1" s="1"/>
  <c r="M45" i="1"/>
  <c r="M299" i="1" s="1"/>
  <c r="M46" i="1"/>
  <c r="M47" i="1"/>
  <c r="M301" i="1" s="1"/>
  <c r="M166" i="1"/>
  <c r="M48" i="1"/>
  <c r="M388" i="1" s="1"/>
  <c r="M49" i="1"/>
  <c r="M50" i="1"/>
  <c r="M51" i="1"/>
  <c r="M52" i="1"/>
  <c r="M305" i="1" s="1"/>
  <c r="O40" i="1"/>
  <c r="O41" i="1"/>
  <c r="O109" i="1" s="1"/>
  <c r="O42" i="1"/>
  <c r="O400" i="1" s="1"/>
  <c r="O48" i="1"/>
  <c r="O388" i="1" s="1"/>
  <c r="O49" i="1"/>
  <c r="O117" i="1" s="1"/>
  <c r="O50" i="1"/>
  <c r="O118" i="1" s="1"/>
  <c r="O154" i="1"/>
  <c r="O51" i="1"/>
  <c r="O52" i="1"/>
  <c r="O225" i="1" s="1"/>
  <c r="U27" i="1"/>
  <c r="U28" i="1"/>
  <c r="U29" i="1"/>
  <c r="U30" i="1"/>
  <c r="U31" i="1"/>
  <c r="U32" i="1"/>
  <c r="U33" i="1"/>
  <c r="U40" i="1"/>
  <c r="U41" i="1"/>
  <c r="U42" i="1"/>
  <c r="U203" i="1" s="1"/>
  <c r="U43" i="1"/>
  <c r="U44" i="1"/>
  <c r="U205" i="1" s="1"/>
  <c r="U45" i="1"/>
  <c r="U113" i="1" s="1"/>
  <c r="U46" i="1"/>
  <c r="U300" i="1" s="1"/>
  <c r="U47" i="1"/>
  <c r="U224" i="1" s="1"/>
  <c r="U48" i="1"/>
  <c r="U49" i="1"/>
  <c r="U226" i="1" s="1"/>
  <c r="U50" i="1"/>
  <c r="U207" i="1" s="1"/>
  <c r="U51" i="1"/>
  <c r="U52" i="1"/>
  <c r="U404" i="1" s="1"/>
  <c r="S27" i="1"/>
  <c r="S28" i="1"/>
  <c r="S29" i="1"/>
  <c r="S30" i="1"/>
  <c r="S31" i="1"/>
  <c r="S32" i="1"/>
  <c r="S33" i="1"/>
  <c r="S40" i="1"/>
  <c r="S41" i="1"/>
  <c r="S109" i="1" s="1"/>
  <c r="S42" i="1"/>
  <c r="S381" i="1" s="1"/>
  <c r="S43" i="1"/>
  <c r="S44" i="1"/>
  <c r="S45" i="1"/>
  <c r="S299" i="1" s="1"/>
  <c r="S46" i="1"/>
  <c r="S402" i="1" s="1"/>
  <c r="S47" i="1"/>
  <c r="S403" i="1" s="1"/>
  <c r="S48" i="1"/>
  <c r="S210" i="1" s="1"/>
  <c r="S49" i="1"/>
  <c r="S117" i="1" s="1"/>
  <c r="S50" i="1"/>
  <c r="S207" i="1" s="1"/>
  <c r="S51" i="1"/>
  <c r="S52" i="1"/>
  <c r="S225" i="1" s="1"/>
  <c r="R27" i="1"/>
  <c r="R28" i="1"/>
  <c r="R29" i="1"/>
  <c r="R30" i="1"/>
  <c r="R31" i="1"/>
  <c r="R32" i="1"/>
  <c r="R33" i="1"/>
  <c r="R40" i="1"/>
  <c r="R41" i="1"/>
  <c r="R42" i="1"/>
  <c r="R204" i="1" s="1"/>
  <c r="R43" i="1"/>
  <c r="R297" i="1" s="1"/>
  <c r="R44" i="1"/>
  <c r="R112" i="1" s="1"/>
  <c r="R45" i="1"/>
  <c r="R299" i="1" s="1"/>
  <c r="R46" i="1"/>
  <c r="R402" i="1" s="1"/>
  <c r="R47" i="1"/>
  <c r="R224" i="1" s="1"/>
  <c r="R48" i="1"/>
  <c r="R116" i="1" s="1"/>
  <c r="R49" i="1"/>
  <c r="R303" i="1" s="1"/>
  <c r="R50" i="1"/>
  <c r="R385" i="1" s="1"/>
  <c r="R51" i="1"/>
  <c r="R52" i="1"/>
  <c r="R305" i="1" s="1"/>
  <c r="M27" i="1"/>
  <c r="M28" i="1"/>
  <c r="M29" i="1"/>
  <c r="M30" i="1"/>
  <c r="M31" i="1"/>
  <c r="M32" i="1"/>
  <c r="M33" i="1"/>
  <c r="Y27" i="1"/>
  <c r="Y28" i="1"/>
  <c r="Y29" i="1"/>
  <c r="Y30" i="1"/>
  <c r="Y31" i="1"/>
  <c r="Y32" i="1"/>
  <c r="Y33" i="1"/>
  <c r="Y41" i="1"/>
  <c r="Y109" i="1" s="1"/>
  <c r="Y42" i="1"/>
  <c r="Y381" i="1" s="1"/>
  <c r="Y43" i="1"/>
  <c r="Y111" i="1" s="1"/>
  <c r="Y44" i="1"/>
  <c r="Y383" i="1" s="1"/>
  <c r="Y45" i="1"/>
  <c r="Y299" i="1" s="1"/>
  <c r="Y46" i="1"/>
  <c r="Y384" i="1" s="1"/>
  <c r="Y47" i="1"/>
  <c r="Y48" i="1"/>
  <c r="Y49" i="1"/>
  <c r="Y303" i="1" s="1"/>
  <c r="Y50" i="1"/>
  <c r="Y385" i="1" s="1"/>
  <c r="Y52" i="1"/>
  <c r="Y40" i="1"/>
  <c r="Y51" i="1"/>
  <c r="F75" i="1"/>
  <c r="AA27" i="1"/>
  <c r="AA28" i="1"/>
  <c r="AA29" i="1"/>
  <c r="AA30" i="1"/>
  <c r="AA31" i="1"/>
  <c r="AA32" i="1"/>
  <c r="AA33" i="1"/>
  <c r="AA40" i="1"/>
  <c r="AA41" i="1"/>
  <c r="AA42" i="1"/>
  <c r="AA204" i="1" s="1"/>
  <c r="AA43" i="1"/>
  <c r="AA111" i="1" s="1"/>
  <c r="AA44" i="1"/>
  <c r="AA298" i="1" s="1"/>
  <c r="AA45" i="1"/>
  <c r="AA299" i="1" s="1"/>
  <c r="AA46" i="1"/>
  <c r="AA206" i="1" s="1"/>
  <c r="AA47" i="1"/>
  <c r="AA224" i="1" s="1"/>
  <c r="AA48" i="1"/>
  <c r="AA388" i="1" s="1"/>
  <c r="AA157" i="1"/>
  <c r="AA49" i="1"/>
  <c r="AA405" i="1" s="1"/>
  <c r="AA50" i="1"/>
  <c r="AA154" i="1"/>
  <c r="AA51" i="1"/>
  <c r="AA52" i="1"/>
  <c r="AA305" i="1" s="1"/>
  <c r="P27" i="1"/>
  <c r="P28" i="1"/>
  <c r="P29" i="1"/>
  <c r="P30" i="1"/>
  <c r="P31" i="1"/>
  <c r="P32" i="1"/>
  <c r="P33" i="1"/>
  <c r="P40" i="1"/>
  <c r="P41" i="1"/>
  <c r="P109" i="1" s="1"/>
  <c r="P42" i="1"/>
  <c r="P221" i="1" s="1"/>
  <c r="P48" i="1"/>
  <c r="P302" i="1" s="1"/>
  <c r="P49" i="1"/>
  <c r="P303" i="1" s="1"/>
  <c r="P50" i="1"/>
  <c r="P118" i="1" s="1"/>
  <c r="P51" i="1"/>
  <c r="P52" i="1"/>
  <c r="P404" i="1" s="1"/>
  <c r="W27" i="1"/>
  <c r="W28" i="1"/>
  <c r="W29" i="1"/>
  <c r="W30" i="1"/>
  <c r="W31" i="1"/>
  <c r="W32" i="1"/>
  <c r="W33" i="1"/>
  <c r="W41" i="1"/>
  <c r="W42" i="1"/>
  <c r="W203" i="1" s="1"/>
  <c r="W43" i="1"/>
  <c r="W297" i="1" s="1"/>
  <c r="W44" i="1"/>
  <c r="W383" i="1" s="1"/>
  <c r="W45" i="1"/>
  <c r="W299" i="1" s="1"/>
  <c r="W46" i="1"/>
  <c r="W223" i="1" s="1"/>
  <c r="W47" i="1"/>
  <c r="W115" i="1" s="1"/>
  <c r="W48" i="1"/>
  <c r="W210" i="1" s="1"/>
  <c r="W49" i="1"/>
  <c r="W405" i="1" s="1"/>
  <c r="W50" i="1"/>
  <c r="W385" i="1" s="1"/>
  <c r="W52" i="1"/>
  <c r="W119" i="1" s="1"/>
  <c r="W40" i="1"/>
  <c r="W51" i="1"/>
  <c r="O27" i="1"/>
  <c r="O28" i="1"/>
  <c r="O29" i="1"/>
  <c r="O30" i="1"/>
  <c r="O31" i="1"/>
  <c r="O32" i="1"/>
  <c r="O33" i="1"/>
  <c r="F12" i="1"/>
  <c r="F91" i="1"/>
  <c r="F99" i="1" s="1"/>
  <c r="F124" i="1"/>
  <c r="Y387" i="1"/>
  <c r="Y362" i="1"/>
  <c r="Y363" i="1"/>
  <c r="Y417" i="1"/>
  <c r="Y418" i="1"/>
  <c r="Y419" i="1"/>
  <c r="Y420" i="1"/>
  <c r="Y421" i="1"/>
  <c r="Y426" i="1"/>
  <c r="Y427" i="1"/>
  <c r="Y428" i="1"/>
  <c r="Y429" i="1"/>
  <c r="Y430" i="1"/>
  <c r="Y431" i="1"/>
  <c r="Y433" i="1"/>
  <c r="Y434" i="1"/>
  <c r="Y435" i="1"/>
  <c r="Y436" i="1"/>
  <c r="Y209" i="1"/>
  <c r="Y212" i="1"/>
  <c r="Y240" i="1"/>
  <c r="Y242" i="1"/>
  <c r="Y243" i="1"/>
  <c r="Y249" i="1"/>
  <c r="Y250" i="1"/>
  <c r="Y251" i="1"/>
  <c r="Y252" i="1"/>
  <c r="Y253" i="1"/>
  <c r="Y254" i="1"/>
  <c r="Y256" i="1"/>
  <c r="Y257" i="1"/>
  <c r="Y259" i="1"/>
  <c r="Y260" i="1"/>
  <c r="F408" i="1"/>
  <c r="F377" i="1"/>
  <c r="F423" i="1"/>
  <c r="W209" i="1"/>
  <c r="W212" i="1"/>
  <c r="W178" i="1"/>
  <c r="W240" i="1"/>
  <c r="W241" i="1"/>
  <c r="W242" i="1"/>
  <c r="W243" i="1"/>
  <c r="W244" i="1"/>
  <c r="W249" i="1"/>
  <c r="W250" i="1"/>
  <c r="W251" i="1"/>
  <c r="W252" i="1"/>
  <c r="W253" i="1"/>
  <c r="W254" i="1"/>
  <c r="W256" i="1"/>
  <c r="W257" i="1"/>
  <c r="W259" i="1"/>
  <c r="W260" i="1"/>
  <c r="W387" i="1"/>
  <c r="W417" i="1"/>
  <c r="W418" i="1"/>
  <c r="W419" i="1"/>
  <c r="W420" i="1"/>
  <c r="W421" i="1"/>
  <c r="W426" i="1"/>
  <c r="W427" i="1"/>
  <c r="W428" i="1"/>
  <c r="W429" i="1"/>
  <c r="W430" i="1"/>
  <c r="W431" i="1"/>
  <c r="W433" i="1"/>
  <c r="W434" i="1"/>
  <c r="W435" i="1"/>
  <c r="W436" i="1"/>
  <c r="Y178" i="1"/>
  <c r="U209" i="1"/>
  <c r="U212" i="1"/>
  <c r="U178" i="1"/>
  <c r="U240" i="1"/>
  <c r="U241" i="1"/>
  <c r="U242" i="1"/>
  <c r="U243" i="1"/>
  <c r="U244" i="1"/>
  <c r="U249" i="1"/>
  <c r="U250" i="1"/>
  <c r="U251" i="1"/>
  <c r="U252" i="1"/>
  <c r="U253" i="1"/>
  <c r="U254" i="1"/>
  <c r="U256" i="1"/>
  <c r="U257" i="1"/>
  <c r="U259" i="1"/>
  <c r="U260" i="1"/>
  <c r="U387" i="1"/>
  <c r="U417" i="1"/>
  <c r="U418" i="1"/>
  <c r="U419" i="1"/>
  <c r="U420" i="1"/>
  <c r="U421" i="1"/>
  <c r="U426" i="1"/>
  <c r="U427" i="1"/>
  <c r="U428" i="1"/>
  <c r="U429" i="1"/>
  <c r="U430" i="1"/>
  <c r="U431" i="1"/>
  <c r="U433" i="1"/>
  <c r="U434" i="1"/>
  <c r="U435" i="1"/>
  <c r="U436" i="1"/>
  <c r="U362" i="1"/>
  <c r="U363" i="1"/>
  <c r="R387" i="1"/>
  <c r="R362" i="1"/>
  <c r="R363" i="1"/>
  <c r="R417" i="1"/>
  <c r="R418" i="1"/>
  <c r="R419" i="1"/>
  <c r="R420" i="1"/>
  <c r="R421" i="1"/>
  <c r="R426" i="1"/>
  <c r="R427" i="1"/>
  <c r="R428" i="1"/>
  <c r="R429" i="1"/>
  <c r="R430" i="1"/>
  <c r="R431" i="1"/>
  <c r="R433" i="1"/>
  <c r="R434" i="1"/>
  <c r="R435" i="1"/>
  <c r="R436" i="1"/>
  <c r="R209" i="1"/>
  <c r="R212" i="1"/>
  <c r="R240" i="1"/>
  <c r="R241" i="1"/>
  <c r="R242" i="1"/>
  <c r="R243" i="1"/>
  <c r="R244" i="1"/>
  <c r="R249" i="1"/>
  <c r="R250" i="1"/>
  <c r="R251" i="1"/>
  <c r="R252" i="1"/>
  <c r="R253" i="1"/>
  <c r="R254" i="1"/>
  <c r="R256" i="1"/>
  <c r="R257" i="1"/>
  <c r="R259" i="1"/>
  <c r="R260" i="1"/>
  <c r="R178" i="1"/>
  <c r="W362" i="1"/>
  <c r="W363" i="1"/>
  <c r="K202" i="1"/>
  <c r="K42" i="1"/>
  <c r="K400" i="1" s="1"/>
  <c r="K44" i="1"/>
  <c r="K222" i="1" s="1"/>
  <c r="K46" i="1"/>
  <c r="K223" i="1" s="1"/>
  <c r="K50" i="1"/>
  <c r="K304" i="1" s="1"/>
  <c r="K49" i="1"/>
  <c r="K209" i="1"/>
  <c r="K48" i="1"/>
  <c r="K302" i="1" s="1"/>
  <c r="K211" i="1"/>
  <c r="K212" i="1"/>
  <c r="K213" i="1"/>
  <c r="K220" i="1"/>
  <c r="K47" i="1"/>
  <c r="K403" i="1" s="1"/>
  <c r="K52" i="1"/>
  <c r="K404" i="1" s="1"/>
  <c r="K227" i="1"/>
  <c r="K240" i="1"/>
  <c r="K241" i="1"/>
  <c r="K242" i="1"/>
  <c r="K243" i="1"/>
  <c r="K244" i="1"/>
  <c r="K249" i="1"/>
  <c r="K250" i="1"/>
  <c r="K251" i="1"/>
  <c r="K252" i="1"/>
  <c r="K253" i="1"/>
  <c r="K254" i="1"/>
  <c r="K256" i="1"/>
  <c r="K257" i="1"/>
  <c r="K259" i="1"/>
  <c r="K260" i="1"/>
  <c r="K380" i="1"/>
  <c r="K387" i="1"/>
  <c r="K389" i="1"/>
  <c r="K390" i="1"/>
  <c r="K399" i="1"/>
  <c r="K406" i="1"/>
  <c r="K417" i="1"/>
  <c r="K418" i="1"/>
  <c r="K419" i="1"/>
  <c r="K420" i="1"/>
  <c r="K421" i="1"/>
  <c r="K426" i="1"/>
  <c r="K427" i="1"/>
  <c r="K428" i="1"/>
  <c r="K429" i="1"/>
  <c r="K430" i="1"/>
  <c r="K431" i="1"/>
  <c r="K433" i="1"/>
  <c r="K434" i="1"/>
  <c r="K435" i="1"/>
  <c r="K436" i="1"/>
  <c r="K78" i="1"/>
  <c r="K41" i="1"/>
  <c r="K43" i="1"/>
  <c r="K297" i="1" s="1"/>
  <c r="K45" i="1"/>
  <c r="K108" i="1"/>
  <c r="S387" i="1"/>
  <c r="S362" i="1"/>
  <c r="S363" i="1"/>
  <c r="S417" i="1"/>
  <c r="S418" i="1"/>
  <c r="S419" i="1"/>
  <c r="S420" i="1"/>
  <c r="S421" i="1"/>
  <c r="S426" i="1"/>
  <c r="S427" i="1"/>
  <c r="S428" i="1"/>
  <c r="S429" i="1"/>
  <c r="S430" i="1"/>
  <c r="S431" i="1"/>
  <c r="S433" i="1"/>
  <c r="S434" i="1"/>
  <c r="S435" i="1"/>
  <c r="S436" i="1"/>
  <c r="S209" i="1"/>
  <c r="S212" i="1"/>
  <c r="S240" i="1"/>
  <c r="S241" i="1"/>
  <c r="S242" i="1"/>
  <c r="S243" i="1"/>
  <c r="S244" i="1"/>
  <c r="S249" i="1"/>
  <c r="S250" i="1"/>
  <c r="S251" i="1"/>
  <c r="S252" i="1"/>
  <c r="S253" i="1"/>
  <c r="S254" i="1"/>
  <c r="S256" i="1"/>
  <c r="S257" i="1"/>
  <c r="S259" i="1"/>
  <c r="S260" i="1"/>
  <c r="AA209" i="1"/>
  <c r="AA212" i="1"/>
  <c r="AA178" i="1"/>
  <c r="AA240" i="1"/>
  <c r="AA241" i="1"/>
  <c r="AA242" i="1"/>
  <c r="AA243" i="1"/>
  <c r="AA244" i="1"/>
  <c r="AA249" i="1"/>
  <c r="AA250" i="1"/>
  <c r="AA251" i="1"/>
  <c r="AA252" i="1"/>
  <c r="AA253" i="1"/>
  <c r="AA254" i="1"/>
  <c r="AA256" i="1"/>
  <c r="AA257" i="1"/>
  <c r="AA259" i="1"/>
  <c r="AA260" i="1"/>
  <c r="AA387" i="1"/>
  <c r="AA417" i="1"/>
  <c r="AA418" i="1"/>
  <c r="AA419" i="1"/>
  <c r="AA420" i="1"/>
  <c r="AA421" i="1"/>
  <c r="AA426" i="1"/>
  <c r="AA427" i="1"/>
  <c r="AA428" i="1"/>
  <c r="AA429" i="1"/>
  <c r="AA430" i="1"/>
  <c r="AA431" i="1"/>
  <c r="AA433" i="1"/>
  <c r="AA434" i="1"/>
  <c r="AA435" i="1"/>
  <c r="AA436" i="1"/>
  <c r="P209" i="1"/>
  <c r="P212" i="1"/>
  <c r="P178" i="1"/>
  <c r="P240" i="1"/>
  <c r="P241" i="1"/>
  <c r="P242" i="1"/>
  <c r="P243" i="1"/>
  <c r="P244" i="1"/>
  <c r="P249" i="1"/>
  <c r="P250" i="1"/>
  <c r="P251" i="1"/>
  <c r="P252" i="1"/>
  <c r="P253" i="1"/>
  <c r="P254" i="1"/>
  <c r="P256" i="1"/>
  <c r="P257" i="1"/>
  <c r="P259" i="1"/>
  <c r="P260" i="1"/>
  <c r="P387" i="1"/>
  <c r="P417" i="1"/>
  <c r="P418" i="1"/>
  <c r="P419" i="1"/>
  <c r="P420" i="1"/>
  <c r="P421" i="1"/>
  <c r="P426" i="1"/>
  <c r="P427" i="1"/>
  <c r="P428" i="1"/>
  <c r="P429" i="1"/>
  <c r="P430" i="1"/>
  <c r="P431" i="1"/>
  <c r="P433" i="1"/>
  <c r="P434" i="1"/>
  <c r="P435" i="1"/>
  <c r="P436" i="1"/>
  <c r="I40" i="1"/>
  <c r="I41" i="1"/>
  <c r="I295" i="1" s="1"/>
  <c r="I42" i="1"/>
  <c r="I400" i="1" s="1"/>
  <c r="I43" i="1"/>
  <c r="I111" i="1" s="1"/>
  <c r="I44" i="1"/>
  <c r="I401" i="1" s="1"/>
  <c r="I45" i="1"/>
  <c r="I113" i="1" s="1"/>
  <c r="I46" i="1"/>
  <c r="I402" i="1" s="1"/>
  <c r="I47" i="1"/>
  <c r="I48" i="1"/>
  <c r="I302" i="1" s="1"/>
  <c r="I157" i="1"/>
  <c r="I49" i="1"/>
  <c r="I50" i="1"/>
  <c r="I118" i="1" s="1"/>
  <c r="I51" i="1"/>
  <c r="I52" i="1"/>
  <c r="I119" i="1" s="1"/>
  <c r="I209" i="1"/>
  <c r="I212" i="1"/>
  <c r="I27" i="1"/>
  <c r="I28" i="1"/>
  <c r="I29" i="1"/>
  <c r="I30" i="1"/>
  <c r="I31" i="1"/>
  <c r="I32" i="1"/>
  <c r="I33" i="1"/>
  <c r="I240" i="1"/>
  <c r="I241" i="1"/>
  <c r="I242" i="1"/>
  <c r="I243" i="1"/>
  <c r="I244" i="1"/>
  <c r="I249" i="1"/>
  <c r="I250" i="1"/>
  <c r="I251" i="1"/>
  <c r="I252" i="1"/>
  <c r="I253" i="1"/>
  <c r="I254" i="1"/>
  <c r="I256" i="1"/>
  <c r="I257" i="1"/>
  <c r="I259" i="1"/>
  <c r="I260" i="1"/>
  <c r="I387" i="1"/>
  <c r="I417" i="1"/>
  <c r="I418" i="1"/>
  <c r="I419" i="1"/>
  <c r="I420" i="1"/>
  <c r="I421" i="1"/>
  <c r="I426" i="1"/>
  <c r="I427" i="1"/>
  <c r="I428" i="1"/>
  <c r="I429" i="1"/>
  <c r="I430" i="1"/>
  <c r="I431" i="1"/>
  <c r="I433" i="1"/>
  <c r="I434" i="1"/>
  <c r="I435" i="1"/>
  <c r="I436" i="1"/>
  <c r="M209" i="1"/>
  <c r="M212" i="1"/>
  <c r="M178" i="1"/>
  <c r="M240" i="1"/>
  <c r="M241" i="1"/>
  <c r="M242" i="1"/>
  <c r="M243" i="1"/>
  <c r="M244" i="1"/>
  <c r="M249" i="1"/>
  <c r="M250" i="1"/>
  <c r="M251" i="1"/>
  <c r="M252" i="1"/>
  <c r="M253" i="1"/>
  <c r="M254" i="1"/>
  <c r="M256" i="1"/>
  <c r="M257" i="1"/>
  <c r="M259" i="1"/>
  <c r="M260" i="1"/>
  <c r="M387" i="1"/>
  <c r="M417" i="1"/>
  <c r="M418" i="1"/>
  <c r="M419" i="1"/>
  <c r="M420" i="1"/>
  <c r="M421" i="1"/>
  <c r="M426" i="1"/>
  <c r="M427" i="1"/>
  <c r="M428" i="1"/>
  <c r="M429" i="1"/>
  <c r="M430" i="1"/>
  <c r="M431" i="1"/>
  <c r="M433" i="1"/>
  <c r="M434" i="1"/>
  <c r="M435" i="1"/>
  <c r="M436" i="1"/>
  <c r="AA362" i="1"/>
  <c r="AA363" i="1"/>
  <c r="M362" i="1"/>
  <c r="M363" i="1"/>
  <c r="S178" i="1"/>
  <c r="P362" i="1"/>
  <c r="P363" i="1"/>
  <c r="O387" i="1"/>
  <c r="O362" i="1"/>
  <c r="O363" i="1"/>
  <c r="O417" i="1"/>
  <c r="O418" i="1"/>
  <c r="O419" i="1"/>
  <c r="O420" i="1"/>
  <c r="O421" i="1"/>
  <c r="O426" i="1"/>
  <c r="O427" i="1"/>
  <c r="O428" i="1"/>
  <c r="O429" i="1"/>
  <c r="O430" i="1"/>
  <c r="O431" i="1"/>
  <c r="O433" i="1"/>
  <c r="O434" i="1"/>
  <c r="O435" i="1"/>
  <c r="O436" i="1"/>
  <c r="O209" i="1"/>
  <c r="O212" i="1"/>
  <c r="O240" i="1"/>
  <c r="O241" i="1"/>
  <c r="O242" i="1"/>
  <c r="O243" i="1"/>
  <c r="O244" i="1"/>
  <c r="O249" i="1"/>
  <c r="O250" i="1"/>
  <c r="O251" i="1"/>
  <c r="O252" i="1"/>
  <c r="O253" i="1"/>
  <c r="O254" i="1"/>
  <c r="O256" i="1"/>
  <c r="O257" i="1"/>
  <c r="O259" i="1"/>
  <c r="O260" i="1"/>
  <c r="O178" i="1"/>
  <c r="K306" i="1"/>
  <c r="K310" i="1"/>
  <c r="H40" i="1"/>
  <c r="H41" i="1"/>
  <c r="H109" i="1" s="1"/>
  <c r="H42" i="1"/>
  <c r="H381" i="1" s="1"/>
  <c r="H43" i="1"/>
  <c r="H111" i="1" s="1"/>
  <c r="H44" i="1"/>
  <c r="H205" i="1" s="1"/>
  <c r="H45" i="1"/>
  <c r="H299" i="1" s="1"/>
  <c r="H46" i="1"/>
  <c r="H114" i="1" s="1"/>
  <c r="H47" i="1"/>
  <c r="H403" i="1" s="1"/>
  <c r="H48" i="1"/>
  <c r="H388" i="1" s="1"/>
  <c r="H49" i="1"/>
  <c r="H303" i="1" s="1"/>
  <c r="H50" i="1"/>
  <c r="H118" i="1" s="1"/>
  <c r="H51" i="1"/>
  <c r="H52" i="1"/>
  <c r="H225" i="1" s="1"/>
  <c r="H209" i="1"/>
  <c r="H212" i="1"/>
  <c r="H27" i="1"/>
  <c r="H28" i="1"/>
  <c r="H29" i="1"/>
  <c r="H30" i="1"/>
  <c r="H31" i="1"/>
  <c r="H32" i="1"/>
  <c r="H33" i="1"/>
  <c r="H240" i="1"/>
  <c r="H241" i="1"/>
  <c r="H242" i="1"/>
  <c r="H243" i="1"/>
  <c r="H244" i="1"/>
  <c r="H249" i="1"/>
  <c r="H251" i="1"/>
  <c r="H252" i="1"/>
  <c r="H253" i="1"/>
  <c r="H254" i="1"/>
  <c r="H256" i="1"/>
  <c r="H257" i="1"/>
  <c r="H259" i="1"/>
  <c r="H260" i="1"/>
  <c r="H387" i="1"/>
  <c r="H417" i="1"/>
  <c r="H418" i="1"/>
  <c r="H419" i="1"/>
  <c r="H420" i="1"/>
  <c r="H421" i="1"/>
  <c r="H426" i="1"/>
  <c r="H427" i="1"/>
  <c r="H428" i="1"/>
  <c r="H429" i="1"/>
  <c r="H430" i="1"/>
  <c r="H431" i="1"/>
  <c r="H433" i="1"/>
  <c r="H434" i="1"/>
  <c r="H435" i="1"/>
  <c r="H436" i="1"/>
  <c r="K40" i="1"/>
  <c r="K51" i="1"/>
  <c r="F365" i="1"/>
  <c r="F459" i="1"/>
  <c r="F312" i="1"/>
  <c r="AB467" i="1"/>
  <c r="AC467" i="1" s="1"/>
  <c r="AB472" i="1"/>
  <c r="AC472" i="1" s="1"/>
  <c r="AB473" i="1"/>
  <c r="AC473" i="1" s="1"/>
  <c r="AB474" i="1"/>
  <c r="AC474" i="1" s="1"/>
  <c r="AB475" i="1"/>
  <c r="AC475" i="1"/>
  <c r="AB476" i="1"/>
  <c r="AC476" i="1" s="1"/>
  <c r="AB477" i="1"/>
  <c r="AC477" i="1" s="1"/>
  <c r="AB478" i="1"/>
  <c r="AC478" i="1" s="1"/>
  <c r="AB483" i="1"/>
  <c r="AC483" i="1" s="1"/>
  <c r="AB484" i="1"/>
  <c r="AC484" i="1" s="1"/>
  <c r="AB485" i="1"/>
  <c r="AC485" i="1" s="1"/>
  <c r="AB486" i="1"/>
  <c r="AC486" i="1" s="1"/>
  <c r="AA469" i="2"/>
  <c r="AA476" i="2" s="1"/>
  <c r="AA441" i="2"/>
  <c r="AA448" i="2" s="1"/>
  <c r="F438" i="1"/>
  <c r="Z441" i="2"/>
  <c r="Z448" i="2" s="1"/>
  <c r="AB455" i="2"/>
  <c r="AB462" i="2" s="1"/>
  <c r="AC441" i="2"/>
  <c r="AC448" i="2" s="1"/>
  <c r="AC469" i="2"/>
  <c r="AC476" i="2" s="1"/>
  <c r="AD441" i="2"/>
  <c r="AD448" i="2" s="1"/>
  <c r="K363" i="1"/>
  <c r="K362" i="1"/>
  <c r="K178" i="1"/>
  <c r="Z495" i="2"/>
  <c r="Z488" i="2"/>
  <c r="X495" i="2"/>
  <c r="Y495" i="2"/>
  <c r="W495" i="2"/>
  <c r="Y455" i="2"/>
  <c r="Y485" i="2" s="1"/>
  <c r="W469" i="2"/>
  <c r="W476" i="2" s="1"/>
  <c r="Y441" i="2"/>
  <c r="Y448" i="2" s="1"/>
  <c r="W455" i="2"/>
  <c r="W462" i="2" s="1"/>
  <c r="X455" i="2"/>
  <c r="X485" i="2" s="1"/>
  <c r="Y488" i="2"/>
  <c r="AG497" i="2"/>
  <c r="AH497" i="2" s="1"/>
  <c r="X488" i="2"/>
  <c r="X469" i="2"/>
  <c r="X476" i="2" s="1"/>
  <c r="W488" i="2"/>
  <c r="X441" i="2"/>
  <c r="X448" i="2" s="1"/>
  <c r="Y469" i="2"/>
  <c r="Y476" i="2" s="1"/>
  <c r="W441" i="2"/>
  <c r="W448" i="2" s="1"/>
  <c r="G8" i="10"/>
  <c r="P7" i="10"/>
  <c r="P8" i="10"/>
  <c r="AF602" i="2"/>
  <c r="AF577" i="2"/>
  <c r="AF573" i="2"/>
  <c r="AE563" i="2"/>
  <c r="Z563" i="2"/>
  <c r="AA563" i="2"/>
  <c r="U563" i="2"/>
  <c r="Y563" i="2"/>
  <c r="AD563" i="2"/>
  <c r="T563" i="2"/>
  <c r="AB563" i="2"/>
  <c r="AC563" i="2"/>
  <c r="AF563" i="2"/>
  <c r="AF587" i="2"/>
  <c r="AF613" i="2" s="1"/>
  <c r="X563" i="2"/>
  <c r="W563" i="2"/>
  <c r="E448" i="2"/>
  <c r="E476" i="2" s="1"/>
  <c r="U572" i="2"/>
  <c r="U597" i="2"/>
  <c r="U623" i="2" s="1"/>
  <c r="W572" i="2"/>
  <c r="W597" i="2"/>
  <c r="W623" i="2" s="1"/>
  <c r="AB597" i="2"/>
  <c r="AB623" i="2" s="1"/>
  <c r="AB572" i="2"/>
  <c r="AD577" i="2"/>
  <c r="AD602" i="2"/>
  <c r="AD628" i="2" s="1"/>
  <c r="AA572" i="2"/>
  <c r="AA597" i="2"/>
  <c r="AA623" i="2" s="1"/>
  <c r="AC602" i="2"/>
  <c r="AC628" i="2" s="1"/>
  <c r="AC577" i="2"/>
  <c r="Y602" i="2"/>
  <c r="Y628" i="2" s="1"/>
  <c r="Y577" i="2"/>
  <c r="T602" i="2"/>
  <c r="T628" i="2" s="1"/>
  <c r="T577" i="2"/>
  <c r="X577" i="2"/>
  <c r="X602" i="2"/>
  <c r="X628" i="2" s="1"/>
  <c r="Z577" i="2"/>
  <c r="Z602" i="2"/>
  <c r="Z628" i="2" s="1"/>
  <c r="AE572" i="2"/>
  <c r="AE597" i="2"/>
  <c r="AE623" i="2"/>
  <c r="AF578" i="2"/>
  <c r="AA577" i="2"/>
  <c r="AA602" i="2"/>
  <c r="AA628" i="2" s="1"/>
  <c r="Y572" i="2"/>
  <c r="Y597" i="2"/>
  <c r="Y623" i="2" s="1"/>
  <c r="X597" i="2"/>
  <c r="X623" i="2" s="1"/>
  <c r="X572" i="2"/>
  <c r="Z597" i="2"/>
  <c r="Z623" i="2" s="1"/>
  <c r="Z572" i="2"/>
  <c r="AE602" i="2"/>
  <c r="AE628" i="2" s="1"/>
  <c r="AE577" i="2"/>
  <c r="AF597" i="2"/>
  <c r="AF572" i="2"/>
  <c r="AF574" i="2" s="1"/>
  <c r="AC597" i="2"/>
  <c r="AC623" i="2" s="1"/>
  <c r="AC572" i="2"/>
  <c r="U602" i="2"/>
  <c r="U628" i="2" s="1"/>
  <c r="U577" i="2"/>
  <c r="W577" i="2"/>
  <c r="W602" i="2"/>
  <c r="W628" i="2" s="1"/>
  <c r="AB602" i="2"/>
  <c r="AB628" i="2" s="1"/>
  <c r="AB577" i="2"/>
  <c r="AD572" i="2"/>
  <c r="AD597" i="2"/>
  <c r="AD623" i="2" s="1"/>
  <c r="T597" i="2"/>
  <c r="T623" i="2" s="1"/>
  <c r="T572" i="2"/>
  <c r="AD561" i="2"/>
  <c r="AC561" i="2"/>
  <c r="AF561" i="2"/>
  <c r="AF586" i="2"/>
  <c r="AF612" i="2" s="1"/>
  <c r="T561" i="2"/>
  <c r="U561" i="2"/>
  <c r="X561" i="2"/>
  <c r="AE561" i="2"/>
  <c r="AA561" i="2"/>
  <c r="W561" i="2"/>
  <c r="Y561" i="2"/>
  <c r="AB561" i="2"/>
  <c r="Z561" i="2"/>
  <c r="R162" i="1"/>
  <c r="S162" i="1"/>
  <c r="H157" i="1"/>
  <c r="H152" i="1"/>
  <c r="H164" i="1"/>
  <c r="I166" i="1"/>
  <c r="K155" i="1"/>
  <c r="K151" i="1"/>
  <c r="K163" i="1"/>
  <c r="K150" i="1"/>
  <c r="W166" i="1"/>
  <c r="P154" i="1"/>
  <c r="P153" i="1"/>
  <c r="P165" i="1"/>
  <c r="P151" i="1"/>
  <c r="P163" i="1"/>
  <c r="P150" i="1"/>
  <c r="AA153" i="1"/>
  <c r="AA165" i="1"/>
  <c r="AA151" i="1"/>
  <c r="AA163" i="1"/>
  <c r="AA150" i="1"/>
  <c r="Y157" i="1"/>
  <c r="Y152" i="1"/>
  <c r="Y164" i="1"/>
  <c r="R154" i="1"/>
  <c r="R165" i="1"/>
  <c r="R153" i="1"/>
  <c r="R151" i="1"/>
  <c r="R163" i="1"/>
  <c r="R150" i="1"/>
  <c r="S154" i="1"/>
  <c r="S153" i="1"/>
  <c r="S165" i="1"/>
  <c r="S151" i="1"/>
  <c r="S163" i="1"/>
  <c r="S150" i="1"/>
  <c r="U154" i="1"/>
  <c r="U153" i="1"/>
  <c r="U165" i="1"/>
  <c r="U163" i="1"/>
  <c r="U150" i="1"/>
  <c r="U151" i="1"/>
  <c r="O153" i="1"/>
  <c r="O165" i="1"/>
  <c r="O163" i="1"/>
  <c r="O150" i="1"/>
  <c r="O151" i="1"/>
  <c r="H155" i="1"/>
  <c r="I164" i="1"/>
  <c r="I152" i="1"/>
  <c r="K152" i="1"/>
  <c r="K164" i="1"/>
  <c r="W157" i="1"/>
  <c r="W164" i="1"/>
  <c r="W152" i="1"/>
  <c r="P166" i="1"/>
  <c r="AA166" i="1"/>
  <c r="Y155" i="1"/>
  <c r="R166" i="1"/>
  <c r="S166" i="1"/>
  <c r="U166" i="1"/>
  <c r="O166" i="1"/>
  <c r="M157" i="1"/>
  <c r="M152" i="1"/>
  <c r="M164" i="1"/>
  <c r="H154" i="1"/>
  <c r="H153" i="1"/>
  <c r="H165" i="1"/>
  <c r="H163" i="1"/>
  <c r="H150" i="1"/>
  <c r="H151" i="1"/>
  <c r="I155" i="1"/>
  <c r="K157" i="1"/>
  <c r="K165" i="1"/>
  <c r="K153" i="1"/>
  <c r="W155" i="1"/>
  <c r="P157" i="1"/>
  <c r="P164" i="1"/>
  <c r="P152" i="1"/>
  <c r="AA152" i="1"/>
  <c r="AA164" i="1"/>
  <c r="Y154" i="1"/>
  <c r="Y165" i="1"/>
  <c r="Y153" i="1"/>
  <c r="Y151" i="1"/>
  <c r="Y163" i="1"/>
  <c r="Y150" i="1"/>
  <c r="R157" i="1"/>
  <c r="R152" i="1"/>
  <c r="R164" i="1"/>
  <c r="S157" i="1"/>
  <c r="S152" i="1"/>
  <c r="S164" i="1"/>
  <c r="U157" i="1"/>
  <c r="U152" i="1"/>
  <c r="U164" i="1"/>
  <c r="O157" i="1"/>
  <c r="O152" i="1"/>
  <c r="O164" i="1"/>
  <c r="M155" i="1"/>
  <c r="O162" i="1"/>
  <c r="H166" i="1"/>
  <c r="I154" i="1"/>
  <c r="I153" i="1"/>
  <c r="I165" i="1"/>
  <c r="I151" i="1"/>
  <c r="I163" i="1"/>
  <c r="I150" i="1"/>
  <c r="K166" i="1"/>
  <c r="K154" i="1"/>
  <c r="W154" i="1"/>
  <c r="W153" i="1"/>
  <c r="W165" i="1"/>
  <c r="W151" i="1"/>
  <c r="W163" i="1"/>
  <c r="W150" i="1"/>
  <c r="P155" i="1"/>
  <c r="AA155" i="1"/>
  <c r="Y166" i="1"/>
  <c r="R155" i="1"/>
  <c r="S155" i="1"/>
  <c r="U155" i="1"/>
  <c r="O155" i="1"/>
  <c r="M154" i="1"/>
  <c r="M153" i="1"/>
  <c r="M165" i="1"/>
  <c r="M151" i="1"/>
  <c r="M163" i="1"/>
  <c r="M150" i="1"/>
  <c r="I162" i="1"/>
  <c r="AA162" i="1"/>
  <c r="Y162" i="1"/>
  <c r="P162" i="1"/>
  <c r="W162" i="1"/>
  <c r="M162" i="1"/>
  <c r="H162" i="1"/>
  <c r="U162" i="1"/>
  <c r="K87" i="1"/>
  <c r="K136" i="1"/>
  <c r="H194" i="15"/>
  <c r="O79" i="15"/>
  <c r="D12" i="15" s="1"/>
  <c r="N12" i="15" s="1"/>
  <c r="I194" i="15"/>
  <c r="U409" i="2"/>
  <c r="U314" i="2" s="1"/>
  <c r="L194" i="15"/>
  <c r="D194" i="15"/>
  <c r="J194" i="15"/>
  <c r="O192" i="15"/>
  <c r="Q192" i="15"/>
  <c r="H23" i="15" s="1"/>
  <c r="U436" i="2" s="1"/>
  <c r="O66" i="15"/>
  <c r="F10" i="15" s="1"/>
  <c r="P66" i="15"/>
  <c r="G10" i="15" s="1"/>
  <c r="P76" i="15"/>
  <c r="G11" i="15" s="1"/>
  <c r="O76" i="15"/>
  <c r="F11" i="15" s="1"/>
  <c r="I437" i="2" s="1"/>
  <c r="I455" i="2" s="1"/>
  <c r="O86" i="15"/>
  <c r="F12" i="15" s="1"/>
  <c r="J437" i="2" s="1"/>
  <c r="J455" i="2" s="1"/>
  <c r="P86" i="15"/>
  <c r="G12" i="15" s="1"/>
  <c r="S409" i="2"/>
  <c r="S314" i="2" s="1"/>
  <c r="T409" i="2"/>
  <c r="T314" i="2" s="1"/>
  <c r="P415" i="2"/>
  <c r="Q415" i="2"/>
  <c r="R415" i="2"/>
  <c r="K139" i="1"/>
  <c r="F229" i="1"/>
  <c r="F35" i="1"/>
  <c r="F199" i="1"/>
  <c r="F215" i="1"/>
  <c r="Y244" i="1"/>
  <c r="P408" i="2"/>
  <c r="P409" i="2" s="1"/>
  <c r="Q408" i="2"/>
  <c r="Q409" i="2" s="1"/>
  <c r="R408" i="2"/>
  <c r="R409" i="2" s="1"/>
  <c r="R314" i="2" s="1"/>
  <c r="K89" i="1"/>
  <c r="K137" i="1"/>
  <c r="K138" i="1"/>
  <c r="K105" i="1"/>
  <c r="AA258" i="1"/>
  <c r="F170" i="1"/>
  <c r="F356" i="1"/>
  <c r="AF416" i="2"/>
  <c r="V416" i="2"/>
  <c r="Q416" i="2"/>
  <c r="N416" i="2"/>
  <c r="I416" i="2"/>
  <c r="AC416" i="2"/>
  <c r="J416" i="2"/>
  <c r="S416" i="2"/>
  <c r="X416" i="2"/>
  <c r="M416" i="2"/>
  <c r="H416" i="2"/>
  <c r="G416" i="2"/>
  <c r="AA416" i="2"/>
  <c r="AE416" i="2"/>
  <c r="R416" i="2"/>
  <c r="Y416" i="2"/>
  <c r="AD416" i="2"/>
  <c r="W416" i="2"/>
  <c r="U416" i="2"/>
  <c r="T416" i="2"/>
  <c r="AB416" i="2"/>
  <c r="L416" i="2"/>
  <c r="F416" i="2"/>
  <c r="P56" i="15"/>
  <c r="G9" i="15" s="1"/>
  <c r="O56" i="15"/>
  <c r="F9" i="15" s="1"/>
  <c r="G437" i="2" s="1"/>
  <c r="G455" i="2" s="1"/>
  <c r="V485" i="2"/>
  <c r="AA427" i="2"/>
  <c r="AC427" i="2"/>
  <c r="AA462" i="2"/>
  <c r="AG450" i="2"/>
  <c r="AH450" i="2" s="1"/>
  <c r="D18" i="15"/>
  <c r="O89" i="15"/>
  <c r="D13" i="15" s="1"/>
  <c r="C198" i="15"/>
  <c r="C211" i="15" s="1"/>
  <c r="G198" i="15"/>
  <c r="G211" i="15" s="1"/>
  <c r="X462" i="2" l="1"/>
  <c r="AE630" i="2"/>
  <c r="P416" i="2"/>
  <c r="AG416" i="2" s="1"/>
  <c r="AH416" i="2" s="1"/>
  <c r="A48" i="16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7" i="16" s="1"/>
  <c r="A68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S8" i="10"/>
  <c r="T8" i="10" s="1"/>
  <c r="S7" i="10"/>
  <c r="T7" i="10" s="1"/>
  <c r="Y462" i="2"/>
  <c r="AB427" i="2"/>
  <c r="AB485" i="2"/>
  <c r="D6" i="9"/>
  <c r="F6" i="9" s="1"/>
  <c r="C25" i="15"/>
  <c r="AA486" i="2"/>
  <c r="AD427" i="2"/>
  <c r="E421" i="2"/>
  <c r="X347" i="2" s="1"/>
  <c r="D8" i="15"/>
  <c r="F422" i="2" s="1"/>
  <c r="F495" i="2" s="1"/>
  <c r="G112" i="15"/>
  <c r="G114" i="15" s="1"/>
  <c r="G116" i="15"/>
  <c r="K112" i="15"/>
  <c r="K114" i="15" s="1"/>
  <c r="K116" i="15"/>
  <c r="D112" i="15"/>
  <c r="D114" i="15" s="1"/>
  <c r="D116" i="15"/>
  <c r="H112" i="15"/>
  <c r="H114" i="15" s="1"/>
  <c r="H116" i="15"/>
  <c r="L112" i="15"/>
  <c r="L114" i="15" s="1"/>
  <c r="L116" i="15"/>
  <c r="E112" i="15"/>
  <c r="E114" i="15" s="1"/>
  <c r="E116" i="15"/>
  <c r="I112" i="15"/>
  <c r="I114" i="15" s="1"/>
  <c r="I116" i="15"/>
  <c r="M112" i="15"/>
  <c r="M114" i="15" s="1"/>
  <c r="M116" i="15"/>
  <c r="F116" i="15"/>
  <c r="F112" i="15"/>
  <c r="F114" i="15" s="1"/>
  <c r="J116" i="15"/>
  <c r="J112" i="15"/>
  <c r="J114" i="15" s="1"/>
  <c r="N116" i="15"/>
  <c r="N112" i="15"/>
  <c r="N114" i="15" s="1"/>
  <c r="D42" i="15"/>
  <c r="D44" i="15" s="1"/>
  <c r="H437" i="2"/>
  <c r="S174" i="15"/>
  <c r="J21" i="15" s="1"/>
  <c r="S434" i="2" s="1"/>
  <c r="Q17" i="15"/>
  <c r="Q15" i="15"/>
  <c r="Q16" i="15"/>
  <c r="Q18" i="15"/>
  <c r="D6" i="8"/>
  <c r="F6" i="8" s="1"/>
  <c r="M8" i="15"/>
  <c r="F425" i="2"/>
  <c r="F426" i="2" s="1"/>
  <c r="F428" i="2" s="1"/>
  <c r="F430" i="2" s="1"/>
  <c r="F431" i="2" s="1"/>
  <c r="AA354" i="1"/>
  <c r="S354" i="1"/>
  <c r="I354" i="1"/>
  <c r="A128" i="15"/>
  <c r="L17" i="15"/>
  <c r="A118" i="15"/>
  <c r="L16" i="15"/>
  <c r="A98" i="15"/>
  <c r="A108" i="15"/>
  <c r="C42" i="15"/>
  <c r="C44" i="15" s="1"/>
  <c r="M46" i="15"/>
  <c r="O422" i="2"/>
  <c r="Q9" i="15"/>
  <c r="E313" i="2"/>
  <c r="E316" i="2" s="1"/>
  <c r="E338" i="2" s="1"/>
  <c r="E351" i="2" s="1"/>
  <c r="J46" i="15"/>
  <c r="A78" i="15"/>
  <c r="A68" i="15"/>
  <c r="W485" i="2"/>
  <c r="AE462" i="2"/>
  <c r="Z462" i="2"/>
  <c r="Z428" i="2"/>
  <c r="AD462" i="2"/>
  <c r="V486" i="2"/>
  <c r="X486" i="2"/>
  <c r="AF427" i="2"/>
  <c r="AD486" i="2"/>
  <c r="AC486" i="2"/>
  <c r="S427" i="2"/>
  <c r="S431" i="2" s="1"/>
  <c r="AE428" i="2"/>
  <c r="AC462" i="2"/>
  <c r="Y486" i="2"/>
  <c r="AE486" i="2"/>
  <c r="AF486" i="2"/>
  <c r="AF579" i="2"/>
  <c r="W486" i="2"/>
  <c r="AB486" i="2"/>
  <c r="AF462" i="2"/>
  <c r="Q20" i="15"/>
  <c r="Q22" i="15"/>
  <c r="N17" i="15"/>
  <c r="D11" i="15"/>
  <c r="N11" i="15" s="1"/>
  <c r="O174" i="15"/>
  <c r="R174" i="15" s="1"/>
  <c r="I21" i="15" s="1"/>
  <c r="S435" i="2" s="1"/>
  <c r="S441" i="2" s="1"/>
  <c r="F46" i="15"/>
  <c r="U427" i="2"/>
  <c r="L46" i="15"/>
  <c r="D15" i="15"/>
  <c r="U430" i="2"/>
  <c r="D9" i="15"/>
  <c r="N9" i="15" s="1"/>
  <c r="O40" i="15"/>
  <c r="N42" i="15"/>
  <c r="N44" i="15" s="1"/>
  <c r="O164" i="15"/>
  <c r="R164" i="15" s="1"/>
  <c r="I20" i="15" s="1"/>
  <c r="R435" i="2" s="1"/>
  <c r="R488" i="2" s="1"/>
  <c r="S164" i="15"/>
  <c r="J20" i="15" s="1"/>
  <c r="R434" i="2" s="1"/>
  <c r="O60" i="15"/>
  <c r="F17" i="15"/>
  <c r="P136" i="15"/>
  <c r="G17" i="15" s="1"/>
  <c r="N8" i="15"/>
  <c r="O80" i="15"/>
  <c r="G425" i="2"/>
  <c r="G426" i="2" s="1"/>
  <c r="O427" i="2"/>
  <c r="N428" i="2"/>
  <c r="N427" i="2"/>
  <c r="G462" i="2"/>
  <c r="G485" i="2"/>
  <c r="G486" i="2" s="1"/>
  <c r="P146" i="15"/>
  <c r="G18" i="15" s="1"/>
  <c r="S346" i="2"/>
  <c r="R134" i="15"/>
  <c r="I42" i="15"/>
  <c r="I44" i="15" s="1"/>
  <c r="M9" i="15"/>
  <c r="K46" i="15"/>
  <c r="D23" i="15"/>
  <c r="N23" i="15" s="1"/>
  <c r="D22" i="15"/>
  <c r="O166" i="15"/>
  <c r="F20" i="15" s="1"/>
  <c r="P346" i="2"/>
  <c r="O90" i="15"/>
  <c r="R426" i="2"/>
  <c r="R427" i="2" s="1"/>
  <c r="R431" i="2" s="1"/>
  <c r="S194" i="15"/>
  <c r="J23" i="15" s="1"/>
  <c r="U434" i="2" s="1"/>
  <c r="O154" i="15"/>
  <c r="R154" i="15" s="1"/>
  <c r="I19" i="15" s="1"/>
  <c r="Q435" i="2" s="1"/>
  <c r="A38" i="15"/>
  <c r="D12" i="9"/>
  <c r="F12" i="9" s="1"/>
  <c r="D12" i="8"/>
  <c r="F12" i="8" s="1"/>
  <c r="K425" i="2"/>
  <c r="K426" i="2" s="1"/>
  <c r="K428" i="2" s="1"/>
  <c r="K430" i="2" s="1"/>
  <c r="K431" i="2" s="1"/>
  <c r="D8" i="8"/>
  <c r="F8" i="8" s="1"/>
  <c r="H425" i="2"/>
  <c r="M10" i="15"/>
  <c r="D7" i="8"/>
  <c r="F7" i="8" s="1"/>
  <c r="D14" i="15"/>
  <c r="N14" i="15" s="1"/>
  <c r="P96" i="15"/>
  <c r="G13" i="15" s="1"/>
  <c r="J422" i="2"/>
  <c r="J495" i="2" s="1"/>
  <c r="N10" i="15"/>
  <c r="H422" i="2"/>
  <c r="H495" i="2" s="1"/>
  <c r="S64" i="15"/>
  <c r="J10" i="15" s="1"/>
  <c r="H434" i="2" s="1"/>
  <c r="E42" i="15"/>
  <c r="E44" i="15" s="1"/>
  <c r="G42" i="15"/>
  <c r="G44" i="15" s="1"/>
  <c r="H42" i="15"/>
  <c r="H44" i="15" s="1"/>
  <c r="F410" i="1"/>
  <c r="F412" i="1" s="1"/>
  <c r="F440" i="1" s="1"/>
  <c r="O354" i="1"/>
  <c r="O144" i="15"/>
  <c r="R144" i="15" s="1"/>
  <c r="S144" i="15"/>
  <c r="J18" i="15" s="1"/>
  <c r="P434" i="2" s="1"/>
  <c r="Q314" i="2"/>
  <c r="P314" i="2"/>
  <c r="O184" i="15"/>
  <c r="R184" i="15" s="1"/>
  <c r="I22" i="15" s="1"/>
  <c r="T435" i="2" s="1"/>
  <c r="T488" i="2" s="1"/>
  <c r="S154" i="15"/>
  <c r="J19" i="15" s="1"/>
  <c r="Q434" i="2" s="1"/>
  <c r="P186" i="15"/>
  <c r="G22" i="15" s="1"/>
  <c r="D21" i="15"/>
  <c r="N21" i="15" s="1"/>
  <c r="N18" i="15"/>
  <c r="P422" i="2"/>
  <c r="P495" i="2" s="1"/>
  <c r="P166" i="15"/>
  <c r="G20" i="15" s="1"/>
  <c r="P106" i="15"/>
  <c r="G14" i="15" s="1"/>
  <c r="O106" i="15"/>
  <c r="F14" i="15" s="1"/>
  <c r="O196" i="15"/>
  <c r="F23" i="15" s="1"/>
  <c r="O186" i="15"/>
  <c r="F22" i="15" s="1"/>
  <c r="T469" i="2"/>
  <c r="T476" i="2" s="1"/>
  <c r="T441" i="2"/>
  <c r="T448" i="2" s="1"/>
  <c r="O146" i="15"/>
  <c r="F18" i="15" s="1"/>
  <c r="O156" i="15"/>
  <c r="F19" i="15" s="1"/>
  <c r="D16" i="15"/>
  <c r="O150" i="15"/>
  <c r="D19" i="15"/>
  <c r="D20" i="15"/>
  <c r="O160" i="15"/>
  <c r="L425" i="2"/>
  <c r="M14" i="15"/>
  <c r="P176" i="15"/>
  <c r="G21" i="15" s="1"/>
  <c r="O176" i="15"/>
  <c r="F21" i="15" s="1"/>
  <c r="S184" i="15"/>
  <c r="J22" i="15" s="1"/>
  <c r="T434" i="2" s="1"/>
  <c r="O198" i="15"/>
  <c r="P156" i="15"/>
  <c r="G19" i="15" s="1"/>
  <c r="O194" i="15"/>
  <c r="R194" i="15" s="1"/>
  <c r="I23" i="15" s="1"/>
  <c r="U435" i="2" s="1"/>
  <c r="U488" i="2" s="1"/>
  <c r="P196" i="15"/>
  <c r="G23" i="15" s="1"/>
  <c r="S134" i="15"/>
  <c r="J17" i="15" s="1"/>
  <c r="O434" i="2" s="1"/>
  <c r="AG421" i="2"/>
  <c r="N346" i="2"/>
  <c r="W346" i="2"/>
  <c r="R346" i="2"/>
  <c r="P428" i="2"/>
  <c r="Q10" i="15"/>
  <c r="Q19" i="15"/>
  <c r="Q11" i="15"/>
  <c r="Q13" i="15"/>
  <c r="Q25" i="15"/>
  <c r="Q23" i="15"/>
  <c r="Q8" i="15"/>
  <c r="P25" i="15"/>
  <c r="Q21" i="15"/>
  <c r="Q12" i="15"/>
  <c r="Q14" i="15"/>
  <c r="M426" i="2"/>
  <c r="S430" i="2"/>
  <c r="Q426" i="2"/>
  <c r="A58" i="15"/>
  <c r="D74" i="18"/>
  <c r="H66" i="18" a="1"/>
  <c r="H67" i="18" s="1"/>
  <c r="M114" i="18"/>
  <c r="D124" i="18" s="1"/>
  <c r="F326" i="1"/>
  <c r="K354" i="1"/>
  <c r="Y354" i="1"/>
  <c r="M354" i="1"/>
  <c r="O24" i="1"/>
  <c r="O149" i="1" s="1"/>
  <c r="O159" i="1" s="1"/>
  <c r="P354" i="1"/>
  <c r="W354" i="1"/>
  <c r="F82" i="1"/>
  <c r="F56" i="1"/>
  <c r="F58" i="1" s="1"/>
  <c r="C29" i="16"/>
  <c r="C31" i="16" s="1"/>
  <c r="D31" i="16"/>
  <c r="O14" i="16"/>
  <c r="U24" i="1"/>
  <c r="U149" i="1" s="1"/>
  <c r="U159" i="1" s="1"/>
  <c r="L32" i="16"/>
  <c r="P304" i="1"/>
  <c r="M404" i="1"/>
  <c r="M302" i="1"/>
  <c r="M116" i="1"/>
  <c r="M109" i="1"/>
  <c r="M119" i="1"/>
  <c r="K221" i="1"/>
  <c r="P207" i="1"/>
  <c r="M210" i="1"/>
  <c r="W111" i="1"/>
  <c r="M225" i="1"/>
  <c r="K204" i="1"/>
  <c r="R301" i="1"/>
  <c r="M113" i="1"/>
  <c r="W301" i="1"/>
  <c r="P385" i="1"/>
  <c r="W403" i="1"/>
  <c r="Y113" i="1"/>
  <c r="O110" i="1"/>
  <c r="Y180" i="1"/>
  <c r="K115" i="1"/>
  <c r="R24" i="1"/>
  <c r="R106" i="1" s="1"/>
  <c r="Y24" i="1"/>
  <c r="Y80" i="1" s="1"/>
  <c r="H301" i="1"/>
  <c r="R400" i="1"/>
  <c r="H224" i="1"/>
  <c r="K300" i="1"/>
  <c r="S221" i="1"/>
  <c r="I305" i="1"/>
  <c r="M298" i="1"/>
  <c r="AA381" i="1"/>
  <c r="W206" i="1"/>
  <c r="AA365" i="1"/>
  <c r="H119" i="1"/>
  <c r="P208" i="1"/>
  <c r="R203" i="1"/>
  <c r="U204" i="1"/>
  <c r="AA221" i="1"/>
  <c r="K114" i="1"/>
  <c r="Y205" i="1"/>
  <c r="W114" i="1"/>
  <c r="O204" i="1"/>
  <c r="M205" i="1"/>
  <c r="W207" i="1"/>
  <c r="U381" i="1"/>
  <c r="AB16" i="1"/>
  <c r="AC16" i="1" s="1"/>
  <c r="AB20" i="1"/>
  <c r="AC20" i="1" s="1"/>
  <c r="M24" i="1"/>
  <c r="M149" i="1" s="1"/>
  <c r="M159" i="1" s="1"/>
  <c r="S24" i="1"/>
  <c r="S293" i="1" s="1"/>
  <c r="AA24" i="1"/>
  <c r="AA149" i="1" s="1"/>
  <c r="AA159" i="1" s="1"/>
  <c r="AB156" i="1"/>
  <c r="AC156" i="1" s="1"/>
  <c r="AB337" i="1"/>
  <c r="AC337" i="1" s="1"/>
  <c r="AB338" i="1"/>
  <c r="AC338" i="1" s="1"/>
  <c r="AB340" i="1"/>
  <c r="AC340" i="1" s="1"/>
  <c r="AB341" i="1"/>
  <c r="AC341" i="1" s="1"/>
  <c r="AB343" i="1"/>
  <c r="AC343" i="1" s="1"/>
  <c r="AB349" i="1"/>
  <c r="AC349" i="1" s="1"/>
  <c r="AB350" i="1"/>
  <c r="AC350" i="1" s="1"/>
  <c r="AB351" i="1"/>
  <c r="AC351" i="1" s="1"/>
  <c r="AB352" i="1"/>
  <c r="AC352" i="1" s="1"/>
  <c r="U223" i="1"/>
  <c r="AA203" i="1"/>
  <c r="K384" i="1"/>
  <c r="P117" i="1"/>
  <c r="W384" i="1"/>
  <c r="AA402" i="1"/>
  <c r="U384" i="1"/>
  <c r="O221" i="1"/>
  <c r="O381" i="1"/>
  <c r="M222" i="1"/>
  <c r="M112" i="1"/>
  <c r="S304" i="1"/>
  <c r="U296" i="1"/>
  <c r="U110" i="1"/>
  <c r="U168" i="1"/>
  <c r="O180" i="1"/>
  <c r="K296" i="1"/>
  <c r="W24" i="1"/>
  <c r="W85" i="1" s="1"/>
  <c r="P386" i="1"/>
  <c r="K206" i="1"/>
  <c r="U114" i="1"/>
  <c r="O203" i="1"/>
  <c r="M383" i="1"/>
  <c r="K402" i="1"/>
  <c r="Y168" i="1"/>
  <c r="AB240" i="1"/>
  <c r="AC240" i="1" s="1"/>
  <c r="S423" i="1"/>
  <c r="AB17" i="1"/>
  <c r="AC17" i="1" s="1"/>
  <c r="AB19" i="1"/>
  <c r="AC19" i="1" s="1"/>
  <c r="AB22" i="1"/>
  <c r="AC22" i="1" s="1"/>
  <c r="H115" i="1"/>
  <c r="U402" i="1"/>
  <c r="S118" i="1"/>
  <c r="S400" i="1"/>
  <c r="S204" i="1"/>
  <c r="AA384" i="1"/>
  <c r="O382" i="1"/>
  <c r="O296" i="1"/>
  <c r="U385" i="1"/>
  <c r="R381" i="1"/>
  <c r="W304" i="1"/>
  <c r="K24" i="1"/>
  <c r="S119" i="1"/>
  <c r="M381" i="1"/>
  <c r="P400" i="1"/>
  <c r="H117" i="1"/>
  <c r="I297" i="1"/>
  <c r="AA116" i="1"/>
  <c r="R383" i="1"/>
  <c r="O386" i="1"/>
  <c r="H35" i="1"/>
  <c r="H369" i="1" s="1"/>
  <c r="K205" i="1"/>
  <c r="AA401" i="1"/>
  <c r="H405" i="1"/>
  <c r="S302" i="1"/>
  <c r="U299" i="1"/>
  <c r="AA438" i="1"/>
  <c r="R225" i="1"/>
  <c r="W386" i="1"/>
  <c r="K112" i="1"/>
  <c r="AB251" i="1"/>
  <c r="AC251" i="1" s="1"/>
  <c r="M365" i="1"/>
  <c r="R404" i="1"/>
  <c r="U305" i="1"/>
  <c r="R302" i="1"/>
  <c r="H296" i="1"/>
  <c r="I206" i="1"/>
  <c r="U401" i="1"/>
  <c r="O305" i="1"/>
  <c r="U117" i="1"/>
  <c r="H300" i="1"/>
  <c r="O304" i="1"/>
  <c r="S113" i="1"/>
  <c r="W222" i="1"/>
  <c r="P204" i="1"/>
  <c r="U208" i="1"/>
  <c r="Y304" i="1"/>
  <c r="M296" i="1"/>
  <c r="W113" i="1"/>
  <c r="O303" i="1"/>
  <c r="Y296" i="1"/>
  <c r="AA113" i="1"/>
  <c r="S388" i="1"/>
  <c r="I204" i="1"/>
  <c r="R117" i="1"/>
  <c r="H402" i="1"/>
  <c r="K111" i="1"/>
  <c r="Y246" i="1"/>
  <c r="K401" i="1"/>
  <c r="I223" i="1"/>
  <c r="S115" i="1"/>
  <c r="O404" i="1"/>
  <c r="W117" i="1"/>
  <c r="W303" i="1"/>
  <c r="H168" i="1"/>
  <c r="K168" i="1"/>
  <c r="W54" i="1"/>
  <c r="W310" i="1" s="1"/>
  <c r="K383" i="1"/>
  <c r="R111" i="1"/>
  <c r="P110" i="1"/>
  <c r="AA110" i="1"/>
  <c r="AA400" i="1"/>
  <c r="S385" i="1"/>
  <c r="S296" i="1"/>
  <c r="H116" i="1"/>
  <c r="H295" i="1"/>
  <c r="S110" i="1"/>
  <c r="O208" i="1"/>
  <c r="U206" i="1"/>
  <c r="Y208" i="1"/>
  <c r="I382" i="1"/>
  <c r="U221" i="1"/>
  <c r="U400" i="1"/>
  <c r="R296" i="1"/>
  <c r="AA403" i="1"/>
  <c r="U382" i="1"/>
  <c r="H302" i="1"/>
  <c r="O207" i="1"/>
  <c r="U365" i="1"/>
  <c r="Y365" i="1"/>
  <c r="P35" i="1"/>
  <c r="P294" i="1" s="1"/>
  <c r="M35" i="1"/>
  <c r="M183" i="1" s="1"/>
  <c r="S35" i="1"/>
  <c r="S375" i="1" s="1"/>
  <c r="AA180" i="1"/>
  <c r="H208" i="1"/>
  <c r="I221" i="1"/>
  <c r="H262" i="1"/>
  <c r="Y423" i="1"/>
  <c r="K180" i="1"/>
  <c r="K298" i="1"/>
  <c r="P296" i="1"/>
  <c r="AA296" i="1"/>
  <c r="AA382" i="1"/>
  <c r="R221" i="1"/>
  <c r="H112" i="1"/>
  <c r="S382" i="1"/>
  <c r="S203" i="1"/>
  <c r="Y295" i="1"/>
  <c r="AA297" i="1"/>
  <c r="P382" i="1"/>
  <c r="O405" i="1"/>
  <c r="O226" i="1"/>
  <c r="O385" i="1"/>
  <c r="I299" i="1"/>
  <c r="AA223" i="1"/>
  <c r="P210" i="1"/>
  <c r="O119" i="1"/>
  <c r="I296" i="1"/>
  <c r="U304" i="1"/>
  <c r="U118" i="1"/>
  <c r="R382" i="1"/>
  <c r="H298" i="1"/>
  <c r="R110" i="1"/>
  <c r="H383" i="1"/>
  <c r="P381" i="1"/>
  <c r="AA246" i="1"/>
  <c r="U262" i="1"/>
  <c r="W262" i="1"/>
  <c r="W246" i="1"/>
  <c r="AB50" i="1"/>
  <c r="AC50" i="1" s="1"/>
  <c r="AB28" i="1"/>
  <c r="AC28" i="1" s="1"/>
  <c r="S438" i="1"/>
  <c r="P180" i="1"/>
  <c r="U386" i="1"/>
  <c r="H206" i="1"/>
  <c r="I388" i="1"/>
  <c r="I210" i="1"/>
  <c r="P116" i="1"/>
  <c r="AA302" i="1"/>
  <c r="W298" i="1"/>
  <c r="AB431" i="1"/>
  <c r="AC431" i="1" s="1"/>
  <c r="AB419" i="1"/>
  <c r="AC419" i="1" s="1"/>
  <c r="AB242" i="1"/>
  <c r="AC242" i="1" s="1"/>
  <c r="W438" i="1"/>
  <c r="AA35" i="1"/>
  <c r="AA195" i="1" s="1"/>
  <c r="R119" i="1"/>
  <c r="U225" i="1"/>
  <c r="U405" i="1"/>
  <c r="Y114" i="1"/>
  <c r="P295" i="1"/>
  <c r="W224" i="1"/>
  <c r="H113" i="1"/>
  <c r="M207" i="1"/>
  <c r="I116" i="1"/>
  <c r="H305" i="1"/>
  <c r="Y221" i="1"/>
  <c r="P388" i="1"/>
  <c r="AA210" i="1"/>
  <c r="K224" i="1"/>
  <c r="S295" i="1"/>
  <c r="I205" i="1"/>
  <c r="H304" i="1"/>
  <c r="W205" i="1"/>
  <c r="R226" i="1"/>
  <c r="I298" i="1"/>
  <c r="M168" i="1"/>
  <c r="AA168" i="1"/>
  <c r="AB155" i="1"/>
  <c r="AC155" i="1" s="1"/>
  <c r="W168" i="1"/>
  <c r="P168" i="1"/>
  <c r="P203" i="1"/>
  <c r="AB253" i="1"/>
  <c r="AC253" i="1" s="1"/>
  <c r="AB32" i="1"/>
  <c r="AC32" i="1" s="1"/>
  <c r="S262" i="1"/>
  <c r="S180" i="1"/>
  <c r="M180" i="1"/>
  <c r="P262" i="1"/>
  <c r="W112" i="1"/>
  <c r="U303" i="1"/>
  <c r="P119" i="1"/>
  <c r="I383" i="1"/>
  <c r="R386" i="1"/>
  <c r="AB426" i="1"/>
  <c r="AC426" i="1" s="1"/>
  <c r="AB436" i="1"/>
  <c r="AC436" i="1" s="1"/>
  <c r="U119" i="1"/>
  <c r="M423" i="1"/>
  <c r="H386" i="1"/>
  <c r="M385" i="1"/>
  <c r="P225" i="1"/>
  <c r="H404" i="1"/>
  <c r="H297" i="1"/>
  <c r="U222" i="1"/>
  <c r="K301" i="1"/>
  <c r="S116" i="1"/>
  <c r="P305" i="1"/>
  <c r="W401" i="1"/>
  <c r="H385" i="1"/>
  <c r="H207" i="1"/>
  <c r="K226" i="1"/>
  <c r="K386" i="1"/>
  <c r="K208" i="1"/>
  <c r="K303" i="1"/>
  <c r="K405" i="1"/>
  <c r="Y404" i="1"/>
  <c r="Y305" i="1"/>
  <c r="Y225" i="1"/>
  <c r="R295" i="1"/>
  <c r="R109" i="1"/>
  <c r="U295" i="1"/>
  <c r="U109" i="1"/>
  <c r="Y438" i="1"/>
  <c r="R54" i="1"/>
  <c r="R89" i="1" s="1"/>
  <c r="H382" i="1"/>
  <c r="H221" i="1"/>
  <c r="H203" i="1"/>
  <c r="I385" i="1"/>
  <c r="I304" i="1"/>
  <c r="I207" i="1"/>
  <c r="AB257" i="1"/>
  <c r="AC257" i="1" s="1"/>
  <c r="K385" i="1"/>
  <c r="K118" i="1"/>
  <c r="K207" i="1"/>
  <c r="K110" i="1"/>
  <c r="K381" i="1"/>
  <c r="K203" i="1"/>
  <c r="K382" i="1"/>
  <c r="R423" i="1"/>
  <c r="U246" i="1"/>
  <c r="W305" i="1"/>
  <c r="W225" i="1"/>
  <c r="AA304" i="1"/>
  <c r="AA385" i="1"/>
  <c r="AA118" i="1"/>
  <c r="AA205" i="1"/>
  <c r="AA112" i="1"/>
  <c r="AA222" i="1"/>
  <c r="AA54" i="1"/>
  <c r="AA399" i="1" s="1"/>
  <c r="Y207" i="1"/>
  <c r="Y118" i="1"/>
  <c r="Y402" i="1"/>
  <c r="Y206" i="1"/>
  <c r="Y300" i="1"/>
  <c r="Y223" i="1"/>
  <c r="R388" i="1"/>
  <c r="R210" i="1"/>
  <c r="S383" i="1"/>
  <c r="S112" i="1"/>
  <c r="S298" i="1"/>
  <c r="S205" i="1"/>
  <c r="S401" i="1"/>
  <c r="S222" i="1"/>
  <c r="U116" i="1"/>
  <c r="U302" i="1"/>
  <c r="U54" i="1"/>
  <c r="U310" i="1" s="1"/>
  <c r="M203" i="1"/>
  <c r="M204" i="1"/>
  <c r="M110" i="1"/>
  <c r="M382" i="1"/>
  <c r="M221" i="1"/>
  <c r="R180" i="1"/>
  <c r="U438" i="1"/>
  <c r="Y115" i="1"/>
  <c r="Y403" i="1"/>
  <c r="S386" i="1"/>
  <c r="S303" i="1"/>
  <c r="O302" i="1"/>
  <c r="O116" i="1"/>
  <c r="M403" i="1"/>
  <c r="M115" i="1"/>
  <c r="Y262" i="1"/>
  <c r="AB15" i="1"/>
  <c r="AC15" i="1" s="1"/>
  <c r="H24" i="1"/>
  <c r="H80" i="1" s="1"/>
  <c r="W302" i="1"/>
  <c r="S226" i="1"/>
  <c r="K117" i="1"/>
  <c r="Y119" i="1"/>
  <c r="AB212" i="1"/>
  <c r="AC212" i="1" s="1"/>
  <c r="R262" i="1"/>
  <c r="H54" i="1"/>
  <c r="H399" i="1" s="1"/>
  <c r="AB41" i="1"/>
  <c r="AC41" i="1" s="1"/>
  <c r="S405" i="1"/>
  <c r="Y54" i="1"/>
  <c r="Y137" i="1" s="1"/>
  <c r="AB249" i="1"/>
  <c r="AC249" i="1" s="1"/>
  <c r="AB42" i="1"/>
  <c r="AC42" i="1" s="1"/>
  <c r="H204" i="1"/>
  <c r="Y301" i="1"/>
  <c r="M224" i="1"/>
  <c r="O210" i="1"/>
  <c r="O295" i="1"/>
  <c r="S208" i="1"/>
  <c r="Y297" i="1"/>
  <c r="H110" i="1"/>
  <c r="H400" i="1"/>
  <c r="AB21" i="1"/>
  <c r="AC21" i="1" s="1"/>
  <c r="Y224" i="1"/>
  <c r="K35" i="1"/>
  <c r="K370" i="1" s="1"/>
  <c r="W404" i="1"/>
  <c r="R401" i="1"/>
  <c r="AA383" i="1"/>
  <c r="AA207" i="1"/>
  <c r="R113" i="1"/>
  <c r="AA262" i="1"/>
  <c r="AB418" i="1"/>
  <c r="AC418" i="1" s="1"/>
  <c r="H210" i="1"/>
  <c r="AB48" i="1"/>
  <c r="AC48" i="1" s="1"/>
  <c r="O262" i="1"/>
  <c r="AB241" i="1"/>
  <c r="AC241" i="1" s="1"/>
  <c r="AB387" i="1"/>
  <c r="AC387" i="1" s="1"/>
  <c r="AB256" i="1"/>
  <c r="AC256" i="1" s="1"/>
  <c r="AB33" i="1"/>
  <c r="AC33" i="1" s="1"/>
  <c r="I114" i="1"/>
  <c r="I384" i="1"/>
  <c r="I300" i="1"/>
  <c r="I110" i="1"/>
  <c r="I203" i="1"/>
  <c r="I381" i="1"/>
  <c r="S365" i="1"/>
  <c r="AB427" i="1"/>
  <c r="AC427" i="1" s="1"/>
  <c r="K388" i="1"/>
  <c r="K116" i="1"/>
  <c r="K210" i="1"/>
  <c r="W402" i="1"/>
  <c r="W300" i="1"/>
  <c r="W221" i="1"/>
  <c r="W296" i="1"/>
  <c r="W400" i="1"/>
  <c r="W110" i="1"/>
  <c r="W382" i="1"/>
  <c r="AA404" i="1"/>
  <c r="AA225" i="1"/>
  <c r="AA119" i="1"/>
  <c r="AA303" i="1"/>
  <c r="AA117" i="1"/>
  <c r="AA226" i="1"/>
  <c r="AA208" i="1"/>
  <c r="AA386" i="1"/>
  <c r="AA115" i="1"/>
  <c r="AA301" i="1"/>
  <c r="R115" i="1"/>
  <c r="R403" i="1"/>
  <c r="S301" i="1"/>
  <c r="S224" i="1"/>
  <c r="AB51" i="1"/>
  <c r="AC51" i="1" s="1"/>
  <c r="H423" i="1"/>
  <c r="H222" i="1"/>
  <c r="H401" i="1"/>
  <c r="W226" i="1"/>
  <c r="W208" i="1"/>
  <c r="W109" i="1"/>
  <c r="W295" i="1"/>
  <c r="P226" i="1"/>
  <c r="P405" i="1"/>
  <c r="Y401" i="1"/>
  <c r="Y222" i="1"/>
  <c r="Y112" i="1"/>
  <c r="Y298" i="1"/>
  <c r="R207" i="1"/>
  <c r="R304" i="1"/>
  <c r="R118" i="1"/>
  <c r="S300" i="1"/>
  <c r="S223" i="1"/>
  <c r="AB260" i="1"/>
  <c r="AC260" i="1" s="1"/>
  <c r="AB254" i="1"/>
  <c r="AC254" i="1" s="1"/>
  <c r="AB250" i="1"/>
  <c r="AC250" i="1" s="1"/>
  <c r="O246" i="1"/>
  <c r="O423" i="1"/>
  <c r="O365" i="1"/>
  <c r="P365" i="1"/>
  <c r="R35" i="1"/>
  <c r="R191" i="1" s="1"/>
  <c r="AB339" i="1"/>
  <c r="AC339" i="1" s="1"/>
  <c r="AB342" i="1"/>
  <c r="AC342" i="1" s="1"/>
  <c r="W365" i="1"/>
  <c r="R246" i="1"/>
  <c r="K141" i="1"/>
  <c r="I168" i="1"/>
  <c r="AB163" i="1"/>
  <c r="AC163" i="1" s="1"/>
  <c r="AB154" i="1"/>
  <c r="AC154" i="1" s="1"/>
  <c r="AB164" i="1"/>
  <c r="AC164" i="1" s="1"/>
  <c r="O168" i="1"/>
  <c r="AB151" i="1"/>
  <c r="AC151" i="1" s="1"/>
  <c r="AB157" i="1"/>
  <c r="AC157" i="1" s="1"/>
  <c r="AB166" i="1"/>
  <c r="AC166" i="1" s="1"/>
  <c r="R168" i="1"/>
  <c r="AB165" i="1"/>
  <c r="AC165" i="1" s="1"/>
  <c r="I115" i="1"/>
  <c r="I224" i="1"/>
  <c r="I403" i="1"/>
  <c r="I301" i="1"/>
  <c r="K299" i="1"/>
  <c r="K113" i="1"/>
  <c r="K262" i="1"/>
  <c r="K246" i="1"/>
  <c r="M297" i="1"/>
  <c r="M111" i="1"/>
  <c r="M54" i="1"/>
  <c r="AB255" i="1"/>
  <c r="AC255" i="1" s="1"/>
  <c r="M262" i="1"/>
  <c r="AB432" i="1"/>
  <c r="AC432" i="1" s="1"/>
  <c r="M438" i="1"/>
  <c r="AB258" i="1"/>
  <c r="AC258" i="1" s="1"/>
  <c r="AB428" i="1"/>
  <c r="AC428" i="1" s="1"/>
  <c r="I438" i="1"/>
  <c r="I423" i="1"/>
  <c r="AB420" i="1"/>
  <c r="AC420" i="1" s="1"/>
  <c r="I262" i="1"/>
  <c r="AB243" i="1"/>
  <c r="AC243" i="1" s="1"/>
  <c r="I246" i="1"/>
  <c r="AB29" i="1"/>
  <c r="AC29" i="1" s="1"/>
  <c r="I35" i="1"/>
  <c r="I184" i="1" s="1"/>
  <c r="I208" i="1"/>
  <c r="I117" i="1"/>
  <c r="I386" i="1"/>
  <c r="I226" i="1"/>
  <c r="AB49" i="1"/>
  <c r="AC49" i="1" s="1"/>
  <c r="I303" i="1"/>
  <c r="S111" i="1"/>
  <c r="S54" i="1"/>
  <c r="S227" i="1" s="1"/>
  <c r="S297" i="1"/>
  <c r="U301" i="1"/>
  <c r="U115" i="1"/>
  <c r="U403" i="1"/>
  <c r="U297" i="1"/>
  <c r="U111" i="1"/>
  <c r="U35" i="1"/>
  <c r="AB30" i="1"/>
  <c r="AC30" i="1" s="1"/>
  <c r="M117" i="1"/>
  <c r="M226" i="1"/>
  <c r="M303" i="1"/>
  <c r="M386" i="1"/>
  <c r="M405" i="1"/>
  <c r="M402" i="1"/>
  <c r="M384" i="1"/>
  <c r="M300" i="1"/>
  <c r="M114" i="1"/>
  <c r="M223" i="1"/>
  <c r="M206" i="1"/>
  <c r="M208" i="1"/>
  <c r="I405" i="1"/>
  <c r="Y386" i="1"/>
  <c r="Y405" i="1"/>
  <c r="Y226" i="1"/>
  <c r="Y117" i="1"/>
  <c r="Y400" i="1"/>
  <c r="Y204" i="1"/>
  <c r="Y110" i="1"/>
  <c r="Y382" i="1"/>
  <c r="Y203" i="1"/>
  <c r="Y35" i="1"/>
  <c r="Y191" i="1" s="1"/>
  <c r="R384" i="1"/>
  <c r="R223" i="1"/>
  <c r="R206" i="1"/>
  <c r="R300" i="1"/>
  <c r="R114" i="1"/>
  <c r="S305" i="1"/>
  <c r="S404" i="1"/>
  <c r="AB52" i="1"/>
  <c r="AC52" i="1" s="1"/>
  <c r="H384" i="1"/>
  <c r="H223" i="1"/>
  <c r="AB40" i="1"/>
  <c r="AC40" i="1" s="1"/>
  <c r="AB209" i="1"/>
  <c r="AC209" i="1" s="1"/>
  <c r="AB433" i="1"/>
  <c r="AC433" i="1" s="1"/>
  <c r="M246" i="1"/>
  <c r="I225" i="1"/>
  <c r="I404" i="1"/>
  <c r="K438" i="1"/>
  <c r="AA109" i="1"/>
  <c r="AA295" i="1"/>
  <c r="Y116" i="1"/>
  <c r="Y210" i="1"/>
  <c r="Y302" i="1"/>
  <c r="Y388" i="1"/>
  <c r="R405" i="1"/>
  <c r="R208" i="1"/>
  <c r="AB152" i="1"/>
  <c r="AC152" i="1" s="1"/>
  <c r="K365" i="1"/>
  <c r="AB435" i="1"/>
  <c r="AC435" i="1" s="1"/>
  <c r="AB430" i="1"/>
  <c r="AC430" i="1" s="1"/>
  <c r="AB259" i="1"/>
  <c r="AC259" i="1" s="1"/>
  <c r="AB31" i="1"/>
  <c r="AC31" i="1" s="1"/>
  <c r="AB434" i="1"/>
  <c r="AC434" i="1" s="1"/>
  <c r="AB244" i="1"/>
  <c r="AC244" i="1" s="1"/>
  <c r="K225" i="1"/>
  <c r="K119" i="1"/>
  <c r="K305" i="1"/>
  <c r="R365" i="1"/>
  <c r="W118" i="1"/>
  <c r="AB18" i="1"/>
  <c r="AC18" i="1" s="1"/>
  <c r="AB336" i="1"/>
  <c r="AC336" i="1" s="1"/>
  <c r="AB348" i="1"/>
  <c r="AC348" i="1" s="1"/>
  <c r="AB421" i="1"/>
  <c r="AC421" i="1" s="1"/>
  <c r="H246" i="1"/>
  <c r="W381" i="1"/>
  <c r="W204" i="1"/>
  <c r="AA300" i="1"/>
  <c r="AA114" i="1"/>
  <c r="R205" i="1"/>
  <c r="R222" i="1"/>
  <c r="R298" i="1"/>
  <c r="S114" i="1"/>
  <c r="S206" i="1"/>
  <c r="U210" i="1"/>
  <c r="U388" i="1"/>
  <c r="U383" i="1"/>
  <c r="U298" i="1"/>
  <c r="U112" i="1"/>
  <c r="M118" i="1"/>
  <c r="M304" i="1"/>
  <c r="N31" i="16"/>
  <c r="AB162" i="1"/>
  <c r="AC162" i="1" s="1"/>
  <c r="S168" i="1"/>
  <c r="AA423" i="1"/>
  <c r="I24" i="1"/>
  <c r="H354" i="1"/>
  <c r="U354" i="1"/>
  <c r="M31" i="16"/>
  <c r="P24" i="1"/>
  <c r="R354" i="1"/>
  <c r="F44" i="15"/>
  <c r="O438" i="1"/>
  <c r="I54" i="1"/>
  <c r="I109" i="1"/>
  <c r="AB429" i="1"/>
  <c r="AC429" i="1" s="1"/>
  <c r="P438" i="1"/>
  <c r="P423" i="1"/>
  <c r="AB417" i="1"/>
  <c r="AC417" i="1" s="1"/>
  <c r="R438" i="1"/>
  <c r="O35" i="1"/>
  <c r="AB27" i="1"/>
  <c r="AC27" i="1" s="1"/>
  <c r="W116" i="1"/>
  <c r="W388" i="1"/>
  <c r="T428" i="2"/>
  <c r="T427" i="2"/>
  <c r="K422" i="2"/>
  <c r="K495" i="2" s="1"/>
  <c r="N13" i="15"/>
  <c r="J462" i="2"/>
  <c r="J485" i="2"/>
  <c r="J486" i="2" s="1"/>
  <c r="H32" i="16"/>
  <c r="H31" i="16"/>
  <c r="K31" i="16"/>
  <c r="K32" i="16"/>
  <c r="I462" i="2"/>
  <c r="I485" i="2"/>
  <c r="D32" i="16"/>
  <c r="O96" i="15"/>
  <c r="F13" i="15" s="1"/>
  <c r="K437" i="2" s="1"/>
  <c r="K455" i="2" s="1"/>
  <c r="F231" i="1"/>
  <c r="U469" i="2"/>
  <c r="U441" i="2"/>
  <c r="AB252" i="1"/>
  <c r="AC252" i="1" s="1"/>
  <c r="I112" i="1"/>
  <c r="I222" i="1"/>
  <c r="W35" i="1"/>
  <c r="AB153" i="1"/>
  <c r="AC153" i="1" s="1"/>
  <c r="W423" i="1"/>
  <c r="D9" i="9"/>
  <c r="F9" i="9" s="1"/>
  <c r="M11" i="15"/>
  <c r="I425" i="2"/>
  <c r="D9" i="8"/>
  <c r="F9" i="8" s="1"/>
  <c r="AB150" i="1"/>
  <c r="AC150" i="1" s="1"/>
  <c r="H438" i="1"/>
  <c r="P246" i="1"/>
  <c r="S246" i="1"/>
  <c r="K295" i="1"/>
  <c r="K109" i="1"/>
  <c r="K423" i="1"/>
  <c r="U423" i="1"/>
  <c r="U180" i="1"/>
  <c r="D10" i="9"/>
  <c r="F10" i="9" s="1"/>
  <c r="D10" i="8"/>
  <c r="F10" i="8" s="1"/>
  <c r="J425" i="2"/>
  <c r="H31" i="18" a="1"/>
  <c r="D39" i="18"/>
  <c r="W180" i="1"/>
  <c r="A48" i="15"/>
  <c r="S384" i="1"/>
  <c r="D11" i="9"/>
  <c r="F11" i="9" s="1"/>
  <c r="D11" i="8"/>
  <c r="F11" i="8" s="1"/>
  <c r="Z486" i="2"/>
  <c r="A88" i="15"/>
  <c r="D126" i="18"/>
  <c r="H118" i="18" a="1"/>
  <c r="F424" i="2" l="1"/>
  <c r="F402" i="2" s="1"/>
  <c r="W347" i="2"/>
  <c r="T174" i="15"/>
  <c r="K21" i="15" s="1"/>
  <c r="S433" i="2" s="1"/>
  <c r="AC347" i="2"/>
  <c r="A66" i="16"/>
  <c r="P201" i="15"/>
  <c r="O211" i="15"/>
  <c r="H345" i="2"/>
  <c r="I346" i="2"/>
  <c r="J347" i="2"/>
  <c r="G345" i="2"/>
  <c r="I347" i="2"/>
  <c r="I345" i="2"/>
  <c r="J346" i="2"/>
  <c r="K347" i="2"/>
  <c r="L345" i="2"/>
  <c r="J345" i="2"/>
  <c r="K346" i="2"/>
  <c r="L347" i="2"/>
  <c r="M346" i="2"/>
  <c r="K345" i="2"/>
  <c r="L346" i="2"/>
  <c r="M347" i="2"/>
  <c r="H347" i="2"/>
  <c r="M345" i="2"/>
  <c r="G347" i="2"/>
  <c r="G346" i="2"/>
  <c r="H346" i="2"/>
  <c r="N347" i="2"/>
  <c r="E425" i="2"/>
  <c r="C26" i="15"/>
  <c r="M26" i="15" s="1"/>
  <c r="R347" i="2"/>
  <c r="AF345" i="2"/>
  <c r="AB345" i="2"/>
  <c r="X345" i="2"/>
  <c r="T345" i="2"/>
  <c r="P345" i="2"/>
  <c r="F346" i="2"/>
  <c r="AE345" i="2"/>
  <c r="AA345" i="2"/>
  <c r="W345" i="2"/>
  <c r="S345" i="2"/>
  <c r="O345" i="2"/>
  <c r="F347" i="2"/>
  <c r="R345" i="2"/>
  <c r="AC345" i="2"/>
  <c r="U345" i="2"/>
  <c r="Q345" i="2"/>
  <c r="AD345" i="2"/>
  <c r="Z345" i="2"/>
  <c r="V345" i="2"/>
  <c r="N345" i="2"/>
  <c r="F345" i="2"/>
  <c r="Y345" i="2"/>
  <c r="N431" i="2"/>
  <c r="N430" i="2"/>
  <c r="AA346" i="2"/>
  <c r="AC346" i="2"/>
  <c r="Z346" i="2"/>
  <c r="AB346" i="2"/>
  <c r="AA313" i="2"/>
  <c r="Z347" i="2"/>
  <c r="V347" i="2"/>
  <c r="AB347" i="2"/>
  <c r="U346" i="2"/>
  <c r="V346" i="2"/>
  <c r="AE346" i="2"/>
  <c r="X313" i="2"/>
  <c r="AH421" i="2"/>
  <c r="O431" i="2"/>
  <c r="O430" i="2"/>
  <c r="Q347" i="2"/>
  <c r="AD347" i="2"/>
  <c r="O347" i="2"/>
  <c r="AE347" i="2"/>
  <c r="P347" i="2"/>
  <c r="AF347" i="2"/>
  <c r="O346" i="2"/>
  <c r="AA347" i="2"/>
  <c r="X346" i="2"/>
  <c r="Y346" i="2"/>
  <c r="AF346" i="2"/>
  <c r="AD346" i="2"/>
  <c r="Q346" i="2"/>
  <c r="T346" i="2"/>
  <c r="Y347" i="2"/>
  <c r="S347" i="2"/>
  <c r="U347" i="2"/>
  <c r="T347" i="2"/>
  <c r="M427" i="2"/>
  <c r="M428" i="2"/>
  <c r="M430" i="2" s="1"/>
  <c r="M431" i="2" s="1"/>
  <c r="I422" i="2"/>
  <c r="G427" i="2"/>
  <c r="G428" i="2"/>
  <c r="G430" i="2" s="1"/>
  <c r="G431" i="2" s="1"/>
  <c r="O37" i="16"/>
  <c r="O39" i="16" s="1"/>
  <c r="H455" i="2"/>
  <c r="H462" i="2" s="1"/>
  <c r="S437" i="2"/>
  <c r="S455" i="2" s="1"/>
  <c r="P437" i="2"/>
  <c r="P455" i="2" s="1"/>
  <c r="U437" i="2"/>
  <c r="U455" i="2" s="1"/>
  <c r="R437" i="2"/>
  <c r="R455" i="2" s="1"/>
  <c r="Q437" i="2"/>
  <c r="Q455" i="2" s="1"/>
  <c r="T437" i="2"/>
  <c r="T455" i="2" s="1"/>
  <c r="S124" i="15"/>
  <c r="J16" i="15" s="1"/>
  <c r="N434" i="2" s="1"/>
  <c r="AE313" i="2"/>
  <c r="F313" i="2"/>
  <c r="F410" i="2" s="1"/>
  <c r="O313" i="2"/>
  <c r="Y313" i="2"/>
  <c r="G313" i="2"/>
  <c r="G410" i="2" s="1"/>
  <c r="U313" i="2"/>
  <c r="AD313" i="2"/>
  <c r="M313" i="2"/>
  <c r="J313" i="2"/>
  <c r="J410" i="2" s="1"/>
  <c r="K313" i="2"/>
  <c r="K410" i="2" s="1"/>
  <c r="W313" i="2"/>
  <c r="AF313" i="2"/>
  <c r="Q313" i="2"/>
  <c r="AB313" i="2"/>
  <c r="H313" i="2"/>
  <c r="H410" i="2" s="1"/>
  <c r="P313" i="2"/>
  <c r="Z313" i="2"/>
  <c r="L313" i="2"/>
  <c r="I313" i="2"/>
  <c r="I410" i="2" s="1"/>
  <c r="S313" i="2"/>
  <c r="V313" i="2"/>
  <c r="N313" i="2"/>
  <c r="AC313" i="2"/>
  <c r="R313" i="2"/>
  <c r="T313" i="2"/>
  <c r="S104" i="15"/>
  <c r="J14" i="15" s="1"/>
  <c r="L434" i="2" s="1"/>
  <c r="O424" i="2"/>
  <c r="O402" i="2" s="1"/>
  <c r="F16" i="15"/>
  <c r="N437" i="2" s="1"/>
  <c r="O116" i="15"/>
  <c r="F15" i="15" s="1"/>
  <c r="M437" i="2" s="1"/>
  <c r="M455" i="2" s="1"/>
  <c r="S94" i="15"/>
  <c r="J13" i="15" s="1"/>
  <c r="K434" i="2" s="1"/>
  <c r="P46" i="15"/>
  <c r="G8" i="15" s="1"/>
  <c r="F427" i="2"/>
  <c r="I67" i="18"/>
  <c r="P126" i="15"/>
  <c r="G16" i="15" s="1"/>
  <c r="P116" i="15"/>
  <c r="G15" i="15" s="1"/>
  <c r="S114" i="15"/>
  <c r="J15" i="15" s="1"/>
  <c r="M434" i="2" s="1"/>
  <c r="O46" i="15"/>
  <c r="F8" i="15" s="1"/>
  <c r="F437" i="2" s="1"/>
  <c r="F455" i="2" s="1"/>
  <c r="M25" i="15"/>
  <c r="O437" i="2"/>
  <c r="R124" i="15"/>
  <c r="I16" i="15" s="1"/>
  <c r="N435" i="2" s="1"/>
  <c r="Q122" i="15"/>
  <c r="H16" i="15" s="1"/>
  <c r="N436" i="2" s="1"/>
  <c r="O114" i="15"/>
  <c r="R114" i="15" s="1"/>
  <c r="I15" i="15" s="1"/>
  <c r="M435" i="2" s="1"/>
  <c r="M488" i="2" s="1"/>
  <c r="Q112" i="15"/>
  <c r="H15" i="15" s="1"/>
  <c r="M436" i="2" s="1"/>
  <c r="O112" i="15"/>
  <c r="O104" i="15"/>
  <c r="R104" i="15" s="1"/>
  <c r="I14" i="15" s="1"/>
  <c r="L435" i="2" s="1"/>
  <c r="Q102" i="15"/>
  <c r="H14" i="15" s="1"/>
  <c r="L436" i="2" s="1"/>
  <c r="O102" i="15"/>
  <c r="Q82" i="15"/>
  <c r="H12" i="15" s="1"/>
  <c r="J436" i="2" s="1"/>
  <c r="O82" i="15"/>
  <c r="G422" i="2"/>
  <c r="L437" i="2"/>
  <c r="L455" i="2" s="1"/>
  <c r="C32" i="16"/>
  <c r="R441" i="2"/>
  <c r="R448" i="2" s="1"/>
  <c r="R469" i="2" s="1"/>
  <c r="R476" i="2" s="1"/>
  <c r="C30" i="16"/>
  <c r="O30" i="16" s="1"/>
  <c r="O29" i="16"/>
  <c r="F358" i="2"/>
  <c r="N15" i="15"/>
  <c r="M422" i="2"/>
  <c r="M495" i="2" s="1"/>
  <c r="O54" i="15"/>
  <c r="R54" i="15" s="1"/>
  <c r="I9" i="15" s="1"/>
  <c r="G435" i="2" s="1"/>
  <c r="Q52" i="15"/>
  <c r="H9" i="15" s="1"/>
  <c r="G436" i="2" s="1"/>
  <c r="R428" i="2"/>
  <c r="U422" i="2"/>
  <c r="U495" i="2" s="1"/>
  <c r="S54" i="15"/>
  <c r="J9" i="15" s="1"/>
  <c r="G434" i="2" s="1"/>
  <c r="Q441" i="2"/>
  <c r="Q448" i="2" s="1"/>
  <c r="Q488" i="2"/>
  <c r="L422" i="2"/>
  <c r="T164" i="15"/>
  <c r="K20" i="15" s="1"/>
  <c r="R433" i="2" s="1"/>
  <c r="T134" i="15"/>
  <c r="K17" i="15" s="1"/>
  <c r="O433" i="2" s="1"/>
  <c r="Q92" i="15"/>
  <c r="H13" i="15" s="1"/>
  <c r="K436" i="2" s="1"/>
  <c r="I17" i="15"/>
  <c r="O435" i="2" s="1"/>
  <c r="S422" i="2"/>
  <c r="T422" i="2"/>
  <c r="N22" i="15"/>
  <c r="T194" i="15"/>
  <c r="K23" i="15" s="1"/>
  <c r="U433" i="2" s="1"/>
  <c r="T154" i="15"/>
  <c r="K19" i="15" s="1"/>
  <c r="Q433" i="2" s="1"/>
  <c r="T184" i="15"/>
  <c r="K22" i="15" s="1"/>
  <c r="T433" i="2" s="1"/>
  <c r="S44" i="15"/>
  <c r="J8" i="15" s="1"/>
  <c r="F434" i="2" s="1"/>
  <c r="O52" i="15"/>
  <c r="K427" i="2"/>
  <c r="H426" i="2"/>
  <c r="H428" i="2" s="1"/>
  <c r="H430" i="2" s="1"/>
  <c r="H431" i="2" s="1"/>
  <c r="O92" i="15"/>
  <c r="J424" i="2"/>
  <c r="J402" i="2" s="1"/>
  <c r="H424" i="2"/>
  <c r="H402" i="2" s="1"/>
  <c r="O42" i="15"/>
  <c r="Q42" i="15"/>
  <c r="H8" i="15" s="1"/>
  <c r="F436" i="2" s="1"/>
  <c r="F414" i="1"/>
  <c r="F461" i="1" s="1"/>
  <c r="F463" i="1" s="1"/>
  <c r="T144" i="15"/>
  <c r="K18" i="15" s="1"/>
  <c r="P433" i="2" s="1"/>
  <c r="I18" i="15"/>
  <c r="P435" i="2" s="1"/>
  <c r="S488" i="2"/>
  <c r="R422" i="2"/>
  <c r="N20" i="15"/>
  <c r="N422" i="2"/>
  <c r="N16" i="15"/>
  <c r="Q422" i="2"/>
  <c r="N19" i="15"/>
  <c r="P424" i="2"/>
  <c r="P402" i="2" s="1"/>
  <c r="L426" i="2"/>
  <c r="L428" i="2" s="1"/>
  <c r="L430" i="2" s="1"/>
  <c r="L431" i="2" s="1"/>
  <c r="D25" i="15"/>
  <c r="Q428" i="2"/>
  <c r="Q427" i="2"/>
  <c r="Q431" i="2" s="1"/>
  <c r="P430" i="2"/>
  <c r="H68" i="18"/>
  <c r="D68" i="18" s="1"/>
  <c r="I66" i="18"/>
  <c r="D67" i="18" s="1"/>
  <c r="D73" i="18" s="1"/>
  <c r="D76" i="18" s="1"/>
  <c r="D78" i="18" s="1"/>
  <c r="D79" i="18" s="1"/>
  <c r="D80" i="18" s="1"/>
  <c r="D139" i="18" s="1"/>
  <c r="O470" i="1" s="1"/>
  <c r="H66" i="18"/>
  <c r="D66" i="18" s="1"/>
  <c r="I68" i="18"/>
  <c r="F98" i="1"/>
  <c r="F101" i="1" s="1"/>
  <c r="F126" i="1" s="1"/>
  <c r="H197" i="1"/>
  <c r="O335" i="1"/>
  <c r="O345" i="1" s="1"/>
  <c r="O356" i="1" s="1"/>
  <c r="O85" i="1"/>
  <c r="O80" i="1"/>
  <c r="O293" i="1"/>
  <c r="O106" i="1"/>
  <c r="F93" i="1"/>
  <c r="U293" i="1"/>
  <c r="U106" i="1"/>
  <c r="U85" i="1"/>
  <c r="U335" i="1"/>
  <c r="U345" i="1" s="1"/>
  <c r="U356" i="1" s="1"/>
  <c r="U80" i="1"/>
  <c r="R335" i="1"/>
  <c r="R345" i="1" s="1"/>
  <c r="R356" i="1" s="1"/>
  <c r="W80" i="1"/>
  <c r="J32" i="16"/>
  <c r="I31" i="16"/>
  <c r="AA85" i="1"/>
  <c r="R80" i="1"/>
  <c r="W149" i="1"/>
  <c r="W159" i="1" s="1"/>
  <c r="R85" i="1"/>
  <c r="AA293" i="1"/>
  <c r="R293" i="1"/>
  <c r="AA335" i="1"/>
  <c r="AA345" i="1" s="1"/>
  <c r="AA356" i="1" s="1"/>
  <c r="R149" i="1"/>
  <c r="R159" i="1" s="1"/>
  <c r="R170" i="1" s="1"/>
  <c r="Y335" i="1"/>
  <c r="Y345" i="1" s="1"/>
  <c r="Y356" i="1" s="1"/>
  <c r="I32" i="16"/>
  <c r="Y149" i="1"/>
  <c r="Y159" i="1" s="1"/>
  <c r="Y170" i="1" s="1"/>
  <c r="Y85" i="1"/>
  <c r="Y106" i="1"/>
  <c r="Y293" i="1"/>
  <c r="E32" i="16"/>
  <c r="S149" i="1"/>
  <c r="S159" i="1" s="1"/>
  <c r="S170" i="1" s="1"/>
  <c r="M293" i="1"/>
  <c r="S187" i="1"/>
  <c r="W106" i="1"/>
  <c r="AA80" i="1"/>
  <c r="W335" i="1"/>
  <c r="W345" i="1" s="1"/>
  <c r="AA106" i="1"/>
  <c r="U170" i="1"/>
  <c r="W293" i="1"/>
  <c r="M80" i="1"/>
  <c r="S106" i="1"/>
  <c r="S335" i="1"/>
  <c r="S345" i="1" s="1"/>
  <c r="S356" i="1" s="1"/>
  <c r="M85" i="1"/>
  <c r="S80" i="1"/>
  <c r="M106" i="1"/>
  <c r="M335" i="1"/>
  <c r="M345" i="1" s="1"/>
  <c r="M356" i="1" s="1"/>
  <c r="S85" i="1"/>
  <c r="S192" i="1"/>
  <c r="H188" i="1"/>
  <c r="K85" i="1"/>
  <c r="K149" i="1"/>
  <c r="K159" i="1" s="1"/>
  <c r="K170" i="1" s="1"/>
  <c r="K335" i="1"/>
  <c r="K345" i="1" s="1"/>
  <c r="K356" i="1" s="1"/>
  <c r="K106" i="1"/>
  <c r="K80" i="1"/>
  <c r="K293" i="1"/>
  <c r="S368" i="1"/>
  <c r="K408" i="1"/>
  <c r="L31" i="16"/>
  <c r="S370" i="1"/>
  <c r="H194" i="1"/>
  <c r="S184" i="1"/>
  <c r="H196" i="1"/>
  <c r="H85" i="1"/>
  <c r="R380" i="1"/>
  <c r="R220" i="1"/>
  <c r="Y390" i="1"/>
  <c r="M193" i="1"/>
  <c r="M188" i="1"/>
  <c r="M191" i="1"/>
  <c r="R137" i="1"/>
  <c r="S185" i="1"/>
  <c r="S190" i="1"/>
  <c r="S188" i="1"/>
  <c r="S374" i="1"/>
  <c r="H190" i="1"/>
  <c r="H189" i="1"/>
  <c r="H370" i="1"/>
  <c r="I369" i="1"/>
  <c r="S306" i="1"/>
  <c r="M196" i="1"/>
  <c r="S186" i="1"/>
  <c r="S194" i="1"/>
  <c r="K188" i="1"/>
  <c r="S193" i="1"/>
  <c r="S372" i="1"/>
  <c r="S189" i="1"/>
  <c r="S371" i="1"/>
  <c r="H185" i="1"/>
  <c r="H374" i="1"/>
  <c r="H373" i="1"/>
  <c r="H375" i="1"/>
  <c r="H195" i="1"/>
  <c r="H186" i="1"/>
  <c r="H191" i="1"/>
  <c r="H193" i="1"/>
  <c r="S294" i="1"/>
  <c r="S56" i="1"/>
  <c r="S9" i="1" s="1"/>
  <c r="S369" i="1"/>
  <c r="S373" i="1"/>
  <c r="S86" i="1"/>
  <c r="H187" i="1"/>
  <c r="H183" i="1"/>
  <c r="H184" i="1"/>
  <c r="H371" i="1"/>
  <c r="S195" i="1"/>
  <c r="S105" i="1"/>
  <c r="M192" i="1"/>
  <c r="Y227" i="1"/>
  <c r="S107" i="1"/>
  <c r="S197" i="1"/>
  <c r="S183" i="1"/>
  <c r="S196" i="1"/>
  <c r="U105" i="1"/>
  <c r="H368" i="1"/>
  <c r="H294" i="1"/>
  <c r="H107" i="1"/>
  <c r="H192" i="1"/>
  <c r="M187" i="1"/>
  <c r="H86" i="1"/>
  <c r="S191" i="1"/>
  <c r="H372" i="1"/>
  <c r="U227" i="1"/>
  <c r="AA373" i="1"/>
  <c r="H220" i="1"/>
  <c r="R368" i="1"/>
  <c r="AA108" i="1"/>
  <c r="AB168" i="1"/>
  <c r="AC168" i="1" s="1"/>
  <c r="U211" i="1"/>
  <c r="W202" i="1"/>
  <c r="W406" i="1"/>
  <c r="W227" i="1"/>
  <c r="P86" i="1"/>
  <c r="R372" i="1"/>
  <c r="S406" i="1"/>
  <c r="M170" i="1"/>
  <c r="U406" i="1"/>
  <c r="P369" i="1"/>
  <c r="R373" i="1"/>
  <c r="R188" i="1"/>
  <c r="P191" i="1"/>
  <c r="AA107" i="1"/>
  <c r="R374" i="1"/>
  <c r="S220" i="1"/>
  <c r="S229" i="1" s="1"/>
  <c r="AA183" i="1"/>
  <c r="U220" i="1"/>
  <c r="W389" i="1"/>
  <c r="W105" i="1"/>
  <c r="W390" i="1"/>
  <c r="K229" i="1"/>
  <c r="P187" i="1"/>
  <c r="K371" i="1"/>
  <c r="W380" i="1"/>
  <c r="P190" i="1"/>
  <c r="P185" i="1"/>
  <c r="R371" i="1"/>
  <c r="R375" i="1"/>
  <c r="R190" i="1"/>
  <c r="P107" i="1"/>
  <c r="U138" i="1"/>
  <c r="U137" i="1"/>
  <c r="U136" i="1"/>
  <c r="W108" i="1"/>
  <c r="O170" i="1"/>
  <c r="K215" i="1"/>
  <c r="AB304" i="1"/>
  <c r="AC304" i="1" s="1"/>
  <c r="P183" i="1"/>
  <c r="W211" i="1"/>
  <c r="P186" i="1"/>
  <c r="P371" i="1"/>
  <c r="W399" i="1"/>
  <c r="P195" i="1"/>
  <c r="R197" i="1"/>
  <c r="R187" i="1"/>
  <c r="R194" i="1"/>
  <c r="P196" i="1"/>
  <c r="AA190" i="1"/>
  <c r="U380" i="1"/>
  <c r="U389" i="1"/>
  <c r="P374" i="1"/>
  <c r="P373" i="1"/>
  <c r="AA306" i="1"/>
  <c r="R211" i="1"/>
  <c r="R56" i="1"/>
  <c r="R71" i="1" s="1"/>
  <c r="Y56" i="1"/>
  <c r="Y71" i="1" s="1"/>
  <c r="P188" i="1"/>
  <c r="P184" i="1"/>
  <c r="R390" i="1"/>
  <c r="M373" i="1"/>
  <c r="M86" i="1"/>
  <c r="H227" i="1"/>
  <c r="H406" i="1"/>
  <c r="H408" i="1" s="1"/>
  <c r="AA192" i="1"/>
  <c r="AA375" i="1"/>
  <c r="H149" i="1"/>
  <c r="H159" i="1" s="1"/>
  <c r="H170" i="1" s="1"/>
  <c r="AB262" i="1"/>
  <c r="AC262" i="1" s="1"/>
  <c r="Y310" i="1"/>
  <c r="P194" i="1"/>
  <c r="W137" i="1"/>
  <c r="M369" i="1"/>
  <c r="W87" i="1"/>
  <c r="W306" i="1"/>
  <c r="W213" i="1"/>
  <c r="M371" i="1"/>
  <c r="M195" i="1"/>
  <c r="P197" i="1"/>
  <c r="M197" i="1"/>
  <c r="M368" i="1"/>
  <c r="M294" i="1"/>
  <c r="H56" i="1"/>
  <c r="H58" i="1" s="1"/>
  <c r="AB296" i="1"/>
  <c r="AC296" i="1" s="1"/>
  <c r="M186" i="1"/>
  <c r="M372" i="1"/>
  <c r="M190" i="1"/>
  <c r="AB385" i="1"/>
  <c r="AC385" i="1" s="1"/>
  <c r="AB225" i="1"/>
  <c r="AC225" i="1" s="1"/>
  <c r="AA170" i="1"/>
  <c r="W220" i="1"/>
  <c r="W139" i="1"/>
  <c r="AA369" i="1"/>
  <c r="E31" i="16"/>
  <c r="W89" i="1"/>
  <c r="W78" i="1"/>
  <c r="P192" i="1"/>
  <c r="P370" i="1"/>
  <c r="R78" i="1"/>
  <c r="AA310" i="1"/>
  <c r="AB110" i="1"/>
  <c r="AC110" i="1" s="1"/>
  <c r="P368" i="1"/>
  <c r="P372" i="1"/>
  <c r="R406" i="1"/>
  <c r="M375" i="1"/>
  <c r="M189" i="1"/>
  <c r="M185" i="1"/>
  <c r="AA86" i="1"/>
  <c r="M56" i="1"/>
  <c r="M71" i="1" s="1"/>
  <c r="M374" i="1"/>
  <c r="P375" i="1"/>
  <c r="W136" i="1"/>
  <c r="M370" i="1"/>
  <c r="M107" i="1"/>
  <c r="W138" i="1"/>
  <c r="M194" i="1"/>
  <c r="M184" i="1"/>
  <c r="P189" i="1"/>
  <c r="P193" i="1"/>
  <c r="AB423" i="1"/>
  <c r="AC423" i="1" s="1"/>
  <c r="I190" i="1"/>
  <c r="AA390" i="1"/>
  <c r="AA139" i="1"/>
  <c r="S139" i="1"/>
  <c r="S78" i="1"/>
  <c r="S213" i="1"/>
  <c r="AB381" i="1"/>
  <c r="AC381" i="1" s="1"/>
  <c r="AB305" i="1"/>
  <c r="AC305" i="1" s="1"/>
  <c r="AB404" i="1"/>
  <c r="AC404" i="1" s="1"/>
  <c r="K294" i="1"/>
  <c r="K368" i="1"/>
  <c r="AA196" i="1"/>
  <c r="AA197" i="1"/>
  <c r="AA374" i="1"/>
  <c r="AA368" i="1"/>
  <c r="AA370" i="1"/>
  <c r="AA189" i="1"/>
  <c r="AA294" i="1"/>
  <c r="K107" i="1"/>
  <c r="AA193" i="1"/>
  <c r="E442" i="2"/>
  <c r="E449" i="2" s="1"/>
  <c r="R136" i="1"/>
  <c r="R202" i="1"/>
  <c r="AA211" i="1"/>
  <c r="AA105" i="1"/>
  <c r="R186" i="1"/>
  <c r="R294" i="1"/>
  <c r="R189" i="1"/>
  <c r="R184" i="1"/>
  <c r="R183" i="1"/>
  <c r="R107" i="1"/>
  <c r="Y184" i="1"/>
  <c r="S138" i="1"/>
  <c r="S211" i="1"/>
  <c r="S310" i="1"/>
  <c r="S108" i="1"/>
  <c r="AB119" i="1"/>
  <c r="AC119" i="1" s="1"/>
  <c r="R105" i="1"/>
  <c r="AA185" i="1"/>
  <c r="AA191" i="1"/>
  <c r="AA187" i="1"/>
  <c r="AA186" i="1"/>
  <c r="AB303" i="1"/>
  <c r="AC303" i="1" s="1"/>
  <c r="AB117" i="1"/>
  <c r="AC117" i="1" s="1"/>
  <c r="K195" i="1"/>
  <c r="K185" i="1"/>
  <c r="U108" i="1"/>
  <c r="U202" i="1"/>
  <c r="U306" i="1"/>
  <c r="U139" i="1"/>
  <c r="U89" i="1"/>
  <c r="U213" i="1"/>
  <c r="AA188" i="1"/>
  <c r="K197" i="1"/>
  <c r="AA380" i="1"/>
  <c r="S202" i="1"/>
  <c r="S389" i="1"/>
  <c r="K372" i="1"/>
  <c r="K193" i="1"/>
  <c r="K187" i="1"/>
  <c r="R306" i="1"/>
  <c r="AA136" i="1"/>
  <c r="AA220" i="1"/>
  <c r="R370" i="1"/>
  <c r="R86" i="1"/>
  <c r="R369" i="1"/>
  <c r="R193" i="1"/>
  <c r="R195" i="1"/>
  <c r="Y375" i="1"/>
  <c r="S390" i="1"/>
  <c r="S89" i="1"/>
  <c r="S380" i="1"/>
  <c r="R139" i="1"/>
  <c r="AA194" i="1"/>
  <c r="AA372" i="1"/>
  <c r="AA56" i="1"/>
  <c r="AA71" i="1" s="1"/>
  <c r="AA184" i="1"/>
  <c r="K374" i="1"/>
  <c r="U87" i="1"/>
  <c r="U390" i="1"/>
  <c r="U78" i="1"/>
  <c r="U399" i="1"/>
  <c r="AA371" i="1"/>
  <c r="AB382" i="1"/>
  <c r="AC382" i="1" s="1"/>
  <c r="AB221" i="1"/>
  <c r="AC221" i="1" s="1"/>
  <c r="Y78" i="1"/>
  <c r="Y211" i="1"/>
  <c r="Y139" i="1"/>
  <c r="AB207" i="1"/>
  <c r="AC207" i="1" s="1"/>
  <c r="H293" i="1"/>
  <c r="Y202" i="1"/>
  <c r="Y87" i="1"/>
  <c r="K192" i="1"/>
  <c r="K196" i="1"/>
  <c r="K86" i="1"/>
  <c r="K191" i="1"/>
  <c r="K369" i="1"/>
  <c r="AA137" i="1"/>
  <c r="AA78" i="1"/>
  <c r="AA138" i="1"/>
  <c r="AA202" i="1"/>
  <c r="AA213" i="1"/>
  <c r="Y194" i="1"/>
  <c r="AB118" i="1"/>
  <c r="AC118" i="1" s="1"/>
  <c r="AB302" i="1"/>
  <c r="AC302" i="1" s="1"/>
  <c r="AB203" i="1"/>
  <c r="AC203" i="1" s="1"/>
  <c r="AB400" i="1"/>
  <c r="AC400" i="1" s="1"/>
  <c r="Y89" i="1"/>
  <c r="H335" i="1"/>
  <c r="H345" i="1" s="1"/>
  <c r="H356" i="1" s="1"/>
  <c r="Y105" i="1"/>
  <c r="K184" i="1"/>
  <c r="K186" i="1"/>
  <c r="K194" i="1"/>
  <c r="Y399" i="1"/>
  <c r="Y213" i="1"/>
  <c r="Y136" i="1"/>
  <c r="Y406" i="1"/>
  <c r="R192" i="1"/>
  <c r="R196" i="1"/>
  <c r="R185" i="1"/>
  <c r="K392" i="1"/>
  <c r="R87" i="1"/>
  <c r="R399" i="1"/>
  <c r="R138" i="1"/>
  <c r="R108" i="1"/>
  <c r="R213" i="1"/>
  <c r="R389" i="1"/>
  <c r="R227" i="1"/>
  <c r="R310" i="1"/>
  <c r="AB24" i="1"/>
  <c r="AC24" i="1" s="1"/>
  <c r="Y306" i="1"/>
  <c r="K190" i="1"/>
  <c r="K189" i="1"/>
  <c r="AA89" i="1"/>
  <c r="AA227" i="1"/>
  <c r="AA87" i="1"/>
  <c r="AA389" i="1"/>
  <c r="AA406" i="1"/>
  <c r="AA408" i="1" s="1"/>
  <c r="AB210" i="1"/>
  <c r="AC210" i="1" s="1"/>
  <c r="AB204" i="1"/>
  <c r="AC204" i="1" s="1"/>
  <c r="AB208" i="1"/>
  <c r="AC208" i="1" s="1"/>
  <c r="Y108" i="1"/>
  <c r="H106" i="1"/>
  <c r="Y220" i="1"/>
  <c r="AB386" i="1"/>
  <c r="AC386" i="1" s="1"/>
  <c r="K375" i="1"/>
  <c r="K56" i="1"/>
  <c r="K73" i="1" s="1"/>
  <c r="K373" i="1"/>
  <c r="K183" i="1"/>
  <c r="Y138" i="1"/>
  <c r="Y389" i="1"/>
  <c r="Y380" i="1"/>
  <c r="H306" i="1"/>
  <c r="H389" i="1"/>
  <c r="H136" i="1"/>
  <c r="H211" i="1"/>
  <c r="H310" i="1"/>
  <c r="H139" i="1"/>
  <c r="H390" i="1"/>
  <c r="H380" i="1"/>
  <c r="H137" i="1"/>
  <c r="H105" i="1"/>
  <c r="H89" i="1"/>
  <c r="H213" i="1"/>
  <c r="H78" i="1"/>
  <c r="H108" i="1"/>
  <c r="H202" i="1"/>
  <c r="H138" i="1"/>
  <c r="H87" i="1"/>
  <c r="G31" i="16"/>
  <c r="Y197" i="1"/>
  <c r="Y189" i="1"/>
  <c r="Y107" i="1"/>
  <c r="Y188" i="1"/>
  <c r="Y190" i="1"/>
  <c r="Y372" i="1"/>
  <c r="Y187" i="1"/>
  <c r="Y193" i="1"/>
  <c r="Y373" i="1"/>
  <c r="Y192" i="1"/>
  <c r="Y370" i="1"/>
  <c r="Y185" i="1"/>
  <c r="AB388" i="1"/>
  <c r="AC388" i="1" s="1"/>
  <c r="Y294" i="1"/>
  <c r="Y186" i="1"/>
  <c r="Y369" i="1"/>
  <c r="Y183" i="1"/>
  <c r="Y374" i="1"/>
  <c r="P85" i="1"/>
  <c r="P335" i="1"/>
  <c r="P345" i="1" s="1"/>
  <c r="P356" i="1" s="1"/>
  <c r="P293" i="1"/>
  <c r="P80" i="1"/>
  <c r="P149" i="1"/>
  <c r="P159" i="1" s="1"/>
  <c r="P170" i="1" s="1"/>
  <c r="P106" i="1"/>
  <c r="AB354" i="1"/>
  <c r="AC354" i="1" s="1"/>
  <c r="AB405" i="1"/>
  <c r="AC405" i="1" s="1"/>
  <c r="M213" i="1"/>
  <c r="M406" i="1"/>
  <c r="M310" i="1"/>
  <c r="M389" i="1"/>
  <c r="M137" i="1"/>
  <c r="M399" i="1"/>
  <c r="M108" i="1"/>
  <c r="M306" i="1"/>
  <c r="M139" i="1"/>
  <c r="M211" i="1"/>
  <c r="M227" i="1"/>
  <c r="M380" i="1"/>
  <c r="M220" i="1"/>
  <c r="M390" i="1"/>
  <c r="M202" i="1"/>
  <c r="M78" i="1"/>
  <c r="M87" i="1"/>
  <c r="M89" i="1"/>
  <c r="M136" i="1"/>
  <c r="M105" i="1"/>
  <c r="M138" i="1"/>
  <c r="M32" i="16"/>
  <c r="F31" i="16"/>
  <c r="U372" i="1"/>
  <c r="U187" i="1"/>
  <c r="U368" i="1"/>
  <c r="U374" i="1"/>
  <c r="U197" i="1"/>
  <c r="U191" i="1"/>
  <c r="U193" i="1"/>
  <c r="U194" i="1"/>
  <c r="U373" i="1"/>
  <c r="U196" i="1"/>
  <c r="U188" i="1"/>
  <c r="U56" i="1"/>
  <c r="U86" i="1"/>
  <c r="U375" i="1"/>
  <c r="U183" i="1"/>
  <c r="U190" i="1"/>
  <c r="U195" i="1"/>
  <c r="U184" i="1"/>
  <c r="U371" i="1"/>
  <c r="U189" i="1"/>
  <c r="U369" i="1"/>
  <c r="U192" i="1"/>
  <c r="U107" i="1"/>
  <c r="U370" i="1"/>
  <c r="U186" i="1"/>
  <c r="U294" i="1"/>
  <c r="U185" i="1"/>
  <c r="N32" i="16"/>
  <c r="AB116" i="1"/>
  <c r="AC116" i="1" s="1"/>
  <c r="Y195" i="1"/>
  <c r="Y196" i="1"/>
  <c r="Y368" i="1"/>
  <c r="Y86" i="1"/>
  <c r="Y371" i="1"/>
  <c r="I293" i="1"/>
  <c r="I335" i="1"/>
  <c r="I345" i="1" s="1"/>
  <c r="I356" i="1" s="1"/>
  <c r="I106" i="1"/>
  <c r="I85" i="1"/>
  <c r="I149" i="1"/>
  <c r="I159" i="1" s="1"/>
  <c r="I170" i="1" s="1"/>
  <c r="I80" i="1"/>
  <c r="F32" i="16"/>
  <c r="G32" i="16"/>
  <c r="S136" i="1"/>
  <c r="S87" i="1"/>
  <c r="S399" i="1"/>
  <c r="S137" i="1"/>
  <c r="AB226" i="1"/>
  <c r="AC226" i="1" s="1"/>
  <c r="I187" i="1"/>
  <c r="I368" i="1"/>
  <c r="I188" i="1"/>
  <c r="I186" i="1"/>
  <c r="I191" i="1"/>
  <c r="I375" i="1"/>
  <c r="I194" i="1"/>
  <c r="I86" i="1"/>
  <c r="I183" i="1"/>
  <c r="I197" i="1"/>
  <c r="I189" i="1"/>
  <c r="I372" i="1"/>
  <c r="I196" i="1"/>
  <c r="I192" i="1"/>
  <c r="I195" i="1"/>
  <c r="I374" i="1"/>
  <c r="I294" i="1"/>
  <c r="I107" i="1"/>
  <c r="I185" i="1"/>
  <c r="I371" i="1"/>
  <c r="I370" i="1"/>
  <c r="I193" i="1"/>
  <c r="I373" i="1"/>
  <c r="H119" i="18"/>
  <c r="I120" i="18"/>
  <c r="H120" i="18"/>
  <c r="D120" i="18" s="1"/>
  <c r="I119" i="18"/>
  <c r="H118" i="18"/>
  <c r="D118" i="18" s="1"/>
  <c r="I118" i="18"/>
  <c r="D119" i="18" s="1"/>
  <c r="D125" i="18" s="1"/>
  <c r="D128" i="18" s="1"/>
  <c r="D130" i="18" s="1"/>
  <c r="D131" i="18" s="1"/>
  <c r="I426" i="2"/>
  <c r="I428" i="2" s="1"/>
  <c r="I430" i="2" s="1"/>
  <c r="I431" i="2" s="1"/>
  <c r="AG425" i="2"/>
  <c r="F233" i="1"/>
  <c r="F264" i="1" s="1"/>
  <c r="F237" i="1"/>
  <c r="F285" i="1" s="1"/>
  <c r="S448" i="2"/>
  <c r="AB109" i="1"/>
  <c r="AC109" i="1" s="1"/>
  <c r="D33" i="9"/>
  <c r="O44" i="15"/>
  <c r="R44" i="15" s="1"/>
  <c r="H31" i="18"/>
  <c r="D31" i="18" s="1"/>
  <c r="I33" i="18"/>
  <c r="I32" i="18"/>
  <c r="H33" i="18"/>
  <c r="D33" i="18" s="1"/>
  <c r="H32" i="18"/>
  <c r="I31" i="18"/>
  <c r="D32" i="18" s="1"/>
  <c r="D38" i="18" s="1"/>
  <c r="D41" i="18" s="1"/>
  <c r="D43" i="18" s="1"/>
  <c r="D44" i="18" s="1"/>
  <c r="O62" i="15"/>
  <c r="Q62" i="15"/>
  <c r="H10" i="15" s="1"/>
  <c r="H436" i="2" s="1"/>
  <c r="O94" i="15"/>
  <c r="R94" i="15" s="1"/>
  <c r="C203" i="15"/>
  <c r="I486" i="2"/>
  <c r="K424" i="2"/>
  <c r="K402" i="2" s="1"/>
  <c r="I105" i="1"/>
  <c r="I213" i="1"/>
  <c r="I220" i="1"/>
  <c r="I306" i="1"/>
  <c r="I108" i="1"/>
  <c r="I139" i="1"/>
  <c r="I390" i="1"/>
  <c r="I138" i="1"/>
  <c r="I78" i="1"/>
  <c r="I89" i="1"/>
  <c r="I211" i="1"/>
  <c r="I399" i="1"/>
  <c r="I202" i="1"/>
  <c r="I87" i="1"/>
  <c r="I227" i="1"/>
  <c r="I137" i="1"/>
  <c r="I406" i="1"/>
  <c r="I56" i="1"/>
  <c r="I136" i="1"/>
  <c r="I389" i="1"/>
  <c r="I380" i="1"/>
  <c r="I310" i="1"/>
  <c r="S74" i="15"/>
  <c r="J11" i="15" s="1"/>
  <c r="AB438" i="1"/>
  <c r="AC438" i="1" s="1"/>
  <c r="F33" i="9"/>
  <c r="G9" i="9" s="1"/>
  <c r="I408" i="2" s="1"/>
  <c r="I409" i="2" s="1"/>
  <c r="W369" i="1"/>
  <c r="W192" i="1"/>
  <c r="W194" i="1"/>
  <c r="W370" i="1"/>
  <c r="W189" i="1"/>
  <c r="W374" i="1"/>
  <c r="W183" i="1"/>
  <c r="W188" i="1"/>
  <c r="W185" i="1"/>
  <c r="W193" i="1"/>
  <c r="W184" i="1"/>
  <c r="W191" i="1"/>
  <c r="W294" i="1"/>
  <c r="W86" i="1"/>
  <c r="W107" i="1"/>
  <c r="W186" i="1"/>
  <c r="W196" i="1"/>
  <c r="W190" i="1"/>
  <c r="W187" i="1"/>
  <c r="W368" i="1"/>
  <c r="W373" i="1"/>
  <c r="W375" i="1"/>
  <c r="W56" i="1"/>
  <c r="W372" i="1"/>
  <c r="W371" i="1"/>
  <c r="W197" i="1"/>
  <c r="W195" i="1"/>
  <c r="F235" i="1"/>
  <c r="U448" i="2"/>
  <c r="T430" i="2"/>
  <c r="O192" i="1"/>
  <c r="O370" i="1"/>
  <c r="O372" i="1"/>
  <c r="O186" i="1"/>
  <c r="O107" i="1"/>
  <c r="O184" i="1"/>
  <c r="O369" i="1"/>
  <c r="O187" i="1"/>
  <c r="O193" i="1"/>
  <c r="O197" i="1"/>
  <c r="O194" i="1"/>
  <c r="O195" i="1"/>
  <c r="O191" i="1"/>
  <c r="O185" i="1"/>
  <c r="O371" i="1"/>
  <c r="O368" i="1"/>
  <c r="O188" i="1"/>
  <c r="O373" i="1"/>
  <c r="O375" i="1"/>
  <c r="O183" i="1"/>
  <c r="O196" i="1"/>
  <c r="O374" i="1"/>
  <c r="AB35" i="1"/>
  <c r="AC35" i="1" s="1"/>
  <c r="O86" i="1"/>
  <c r="O189" i="1"/>
  <c r="O190" i="1"/>
  <c r="O294" i="1"/>
  <c r="J426" i="2"/>
  <c r="J428" i="2" s="1"/>
  <c r="J430" i="2" s="1"/>
  <c r="J431" i="2" s="1"/>
  <c r="O72" i="15"/>
  <c r="Q72" i="15"/>
  <c r="H11" i="15" s="1"/>
  <c r="I436" i="2" s="1"/>
  <c r="AB246" i="1"/>
  <c r="AC246" i="1" s="1"/>
  <c r="AB295" i="1"/>
  <c r="AC295" i="1" s="1"/>
  <c r="D32" i="8"/>
  <c r="U476" i="2"/>
  <c r="F349" i="2" l="1"/>
  <c r="AG345" i="2"/>
  <c r="AH345" i="2" s="1"/>
  <c r="AH348" i="2"/>
  <c r="AG347" i="2"/>
  <c r="AH347" i="2" s="1"/>
  <c r="AG346" i="2"/>
  <c r="AH346" i="2" s="1"/>
  <c r="Z413" i="2"/>
  <c r="S418" i="2"/>
  <c r="T413" i="2"/>
  <c r="E410" i="2"/>
  <c r="M417" i="2"/>
  <c r="L424" i="2"/>
  <c r="L402" i="2" s="1"/>
  <c r="L495" i="2"/>
  <c r="L441" i="2"/>
  <c r="L488" i="2"/>
  <c r="K417" i="2"/>
  <c r="I424" i="2"/>
  <c r="I402" i="2" s="1"/>
  <c r="I495" i="2"/>
  <c r="G424" i="2"/>
  <c r="G402" i="2" s="1"/>
  <c r="G495" i="2"/>
  <c r="G417" i="2"/>
  <c r="O413" i="2"/>
  <c r="F413" i="2"/>
  <c r="P413" i="2"/>
  <c r="G413" i="2"/>
  <c r="W413" i="2"/>
  <c r="X413" i="2"/>
  <c r="Y413" i="2"/>
  <c r="V413" i="2"/>
  <c r="AD413" i="2"/>
  <c r="AC413" i="2"/>
  <c r="AF413" i="2"/>
  <c r="S413" i="2"/>
  <c r="AA413" i="2"/>
  <c r="AB413" i="2"/>
  <c r="U413" i="2"/>
  <c r="AE413" i="2"/>
  <c r="N413" i="2"/>
  <c r="H485" i="2"/>
  <c r="H486" i="2" s="1"/>
  <c r="G441" i="2"/>
  <c r="G448" i="2" s="1"/>
  <c r="G469" i="2" s="1"/>
  <c r="G476" i="2" s="1"/>
  <c r="G488" i="2"/>
  <c r="AG410" i="2"/>
  <c r="AE316" i="2"/>
  <c r="AE338" i="2" s="1"/>
  <c r="R485" i="2"/>
  <c r="R486" i="2" s="1"/>
  <c r="R462" i="2"/>
  <c r="T462" i="2"/>
  <c r="T485" i="2"/>
  <c r="T486" i="2" s="1"/>
  <c r="P485" i="2"/>
  <c r="P486" i="2" s="1"/>
  <c r="P462" i="2"/>
  <c r="U485" i="2"/>
  <c r="U486" i="2" s="1"/>
  <c r="U462" i="2"/>
  <c r="Q462" i="2"/>
  <c r="Q485" i="2"/>
  <c r="Q486" i="2" s="1"/>
  <c r="S485" i="2"/>
  <c r="S486" i="2" s="1"/>
  <c r="S462" i="2"/>
  <c r="AG313" i="2"/>
  <c r="AH313" i="2" s="1"/>
  <c r="N441" i="2"/>
  <c r="N448" i="2" s="1"/>
  <c r="T124" i="15"/>
  <c r="K16" i="15" s="1"/>
  <c r="N433" i="2" s="1"/>
  <c r="T114" i="15"/>
  <c r="K15" i="15" s="1"/>
  <c r="M433" i="2" s="1"/>
  <c r="G25" i="15"/>
  <c r="T104" i="15"/>
  <c r="K14" i="15" s="1"/>
  <c r="L433" i="2" s="1"/>
  <c r="K418" i="2"/>
  <c r="F25" i="15"/>
  <c r="E437" i="2" s="1"/>
  <c r="F417" i="2"/>
  <c r="E139" i="18"/>
  <c r="P470" i="1" s="1"/>
  <c r="P46" i="1" s="1"/>
  <c r="M485" i="2"/>
  <c r="M486" i="2" s="1"/>
  <c r="M462" i="2"/>
  <c r="O15" i="15"/>
  <c r="E40" i="4" s="1"/>
  <c r="O16" i="15"/>
  <c r="E41" i="4" s="1"/>
  <c r="O17" i="15"/>
  <c r="E42" i="4" s="1"/>
  <c r="AH425" i="2"/>
  <c r="O485" i="2"/>
  <c r="O486" i="2" s="1"/>
  <c r="O462" i="2"/>
  <c r="AG437" i="2"/>
  <c r="N485" i="2"/>
  <c r="N486" i="2" s="1"/>
  <c r="N462" i="2"/>
  <c r="M441" i="2"/>
  <c r="M448" i="2" s="1"/>
  <c r="M469" i="2" s="1"/>
  <c r="F462" i="2"/>
  <c r="F485" i="2"/>
  <c r="F486" i="2" s="1"/>
  <c r="AA9" i="1"/>
  <c r="S215" i="1"/>
  <c r="S231" i="1" s="1"/>
  <c r="O45" i="1"/>
  <c r="O46" i="1"/>
  <c r="M413" i="2"/>
  <c r="K358" i="2"/>
  <c r="J358" i="2"/>
  <c r="H358" i="2"/>
  <c r="T54" i="15"/>
  <c r="K9" i="15" s="1"/>
  <c r="G433" i="2" s="1"/>
  <c r="O441" i="2"/>
  <c r="O448" i="2" s="1"/>
  <c r="R413" i="2"/>
  <c r="R417" i="2"/>
  <c r="M424" i="2"/>
  <c r="M402" i="2" s="1"/>
  <c r="U424" i="2"/>
  <c r="U402" i="2" s="1"/>
  <c r="AG422" i="2"/>
  <c r="AG436" i="2"/>
  <c r="T495" i="2"/>
  <c r="T424" i="2"/>
  <c r="T402" i="2" s="1"/>
  <c r="S495" i="2"/>
  <c r="S424" i="2"/>
  <c r="S402" i="2" s="1"/>
  <c r="E427" i="2"/>
  <c r="K414" i="2" s="1"/>
  <c r="K413" i="2"/>
  <c r="H427" i="2"/>
  <c r="H25" i="15"/>
  <c r="E436" i="2" s="1"/>
  <c r="AF406" i="2" s="1"/>
  <c r="X316" i="2"/>
  <c r="X338" i="2" s="1"/>
  <c r="P441" i="2"/>
  <c r="P448" i="2" s="1"/>
  <c r="P469" i="2" s="1"/>
  <c r="P476" i="2" s="1"/>
  <c r="P488" i="2"/>
  <c r="G11" i="9"/>
  <c r="K408" i="2" s="1"/>
  <c r="K409" i="2" s="1"/>
  <c r="G12" i="9"/>
  <c r="L408" i="2" s="1"/>
  <c r="L409" i="2" s="1"/>
  <c r="G14" i="9"/>
  <c r="N408" i="2" s="1"/>
  <c r="N409" i="2" s="1"/>
  <c r="G16" i="9"/>
  <c r="G13" i="9"/>
  <c r="M408" i="2" s="1"/>
  <c r="M409" i="2" s="1"/>
  <c r="G15" i="9"/>
  <c r="O408" i="2" s="1"/>
  <c r="O409" i="2" s="1"/>
  <c r="Y316" i="2"/>
  <c r="Y338" i="2" s="1"/>
  <c r="T316" i="2"/>
  <c r="T338" i="2" s="1"/>
  <c r="S316" i="2"/>
  <c r="S338" i="2" s="1"/>
  <c r="W316" i="2"/>
  <c r="W338" i="2" s="1"/>
  <c r="AD316" i="2"/>
  <c r="AD338" i="2" s="1"/>
  <c r="P316" i="2"/>
  <c r="P338" i="2" s="1"/>
  <c r="AF316" i="2"/>
  <c r="AF338" i="2" s="1"/>
  <c r="AC316" i="2"/>
  <c r="AC338" i="2" s="1"/>
  <c r="AB316" i="2"/>
  <c r="AB338" i="2" s="1"/>
  <c r="V316" i="2"/>
  <c r="V338" i="2" s="1"/>
  <c r="Z316" i="2"/>
  <c r="Z338" i="2" s="1"/>
  <c r="U316" i="2"/>
  <c r="U338" i="2" s="1"/>
  <c r="R316" i="2"/>
  <c r="R338" i="2" s="1"/>
  <c r="Q316" i="2"/>
  <c r="Q338" i="2" s="1"/>
  <c r="AA316" i="2"/>
  <c r="AA338" i="2" s="1"/>
  <c r="L427" i="2"/>
  <c r="Q495" i="2"/>
  <c r="Q424" i="2"/>
  <c r="Q402" i="2" s="1"/>
  <c r="R495" i="2"/>
  <c r="R424" i="2"/>
  <c r="R402" i="2" s="1"/>
  <c r="N424" i="2"/>
  <c r="E422" i="2"/>
  <c r="O10" i="15"/>
  <c r="E35" i="4" s="1"/>
  <c r="O8" i="15"/>
  <c r="E33" i="4" s="1"/>
  <c r="O11" i="15"/>
  <c r="E36" i="4" s="1"/>
  <c r="O18" i="15"/>
  <c r="E43" i="4" s="1"/>
  <c r="O25" i="15"/>
  <c r="E49" i="4" s="1"/>
  <c r="O9" i="15"/>
  <c r="E34" i="4" s="1"/>
  <c r="N25" i="15"/>
  <c r="O22" i="15"/>
  <c r="E47" i="4" s="1"/>
  <c r="O21" i="15"/>
  <c r="E46" i="4" s="1"/>
  <c r="O14" i="15"/>
  <c r="E39" i="4" s="1"/>
  <c r="O23" i="15"/>
  <c r="E48" i="4" s="1"/>
  <c r="O13" i="15"/>
  <c r="E38" i="4" s="1"/>
  <c r="O12" i="15"/>
  <c r="E37" i="4" s="1"/>
  <c r="O20" i="15"/>
  <c r="E45" i="4" s="1"/>
  <c r="O19" i="15"/>
  <c r="E44" i="4" s="1"/>
  <c r="AC418" i="2"/>
  <c r="P418" i="2"/>
  <c r="AA418" i="2"/>
  <c r="R418" i="2"/>
  <c r="G418" i="2"/>
  <c r="W418" i="2"/>
  <c r="Q418" i="2"/>
  <c r="O418" i="2"/>
  <c r="AD418" i="2"/>
  <c r="F418" i="2"/>
  <c r="G10" i="9"/>
  <c r="J408" i="2" s="1"/>
  <c r="J409" i="2" s="1"/>
  <c r="Q413" i="2"/>
  <c r="Q417" i="2"/>
  <c r="O31" i="16"/>
  <c r="O32" i="16"/>
  <c r="I481" i="1" s="1"/>
  <c r="I362" i="1" s="1"/>
  <c r="J31" i="16"/>
  <c r="U229" i="1"/>
  <c r="Y73" i="1"/>
  <c r="R229" i="1"/>
  <c r="M408" i="1"/>
  <c r="Y67" i="1"/>
  <c r="R408" i="1"/>
  <c r="Y408" i="1"/>
  <c r="S68" i="1"/>
  <c r="S69" i="1"/>
  <c r="K410" i="1"/>
  <c r="H229" i="1"/>
  <c r="S72" i="1"/>
  <c r="Y70" i="1"/>
  <c r="S377" i="1"/>
  <c r="S73" i="1"/>
  <c r="Y8" i="1"/>
  <c r="S408" i="1"/>
  <c r="AB106" i="1"/>
  <c r="AC106" i="1" s="1"/>
  <c r="AG442" i="2"/>
  <c r="AH442" i="2" s="1"/>
  <c r="H309" i="1"/>
  <c r="H377" i="1"/>
  <c r="H199" i="1"/>
  <c r="AA392" i="1"/>
  <c r="AA410" i="1" s="1"/>
  <c r="H8" i="1"/>
  <c r="R70" i="1"/>
  <c r="H77" i="1"/>
  <c r="H64" i="1"/>
  <c r="H73" i="1"/>
  <c r="H71" i="1"/>
  <c r="S199" i="1"/>
  <c r="S67" i="1"/>
  <c r="S77" i="1"/>
  <c r="W215" i="1"/>
  <c r="S58" i="1"/>
  <c r="S8" i="1"/>
  <c r="S71" i="1"/>
  <c r="S309" i="1"/>
  <c r="S10" i="1"/>
  <c r="S65" i="1"/>
  <c r="S66" i="1"/>
  <c r="Y58" i="1"/>
  <c r="Y65" i="1"/>
  <c r="M69" i="1"/>
  <c r="Y229" i="1"/>
  <c r="W229" i="1"/>
  <c r="S64" i="1"/>
  <c r="S70" i="1"/>
  <c r="S63" i="1"/>
  <c r="Y10" i="1"/>
  <c r="Y63" i="1"/>
  <c r="H66" i="1"/>
  <c r="H72" i="1"/>
  <c r="W408" i="1"/>
  <c r="U408" i="1"/>
  <c r="Y72" i="1"/>
  <c r="Y9" i="1"/>
  <c r="Y66" i="1"/>
  <c r="Y309" i="1"/>
  <c r="H67" i="1"/>
  <c r="H69" i="1"/>
  <c r="H68" i="1"/>
  <c r="H63" i="1"/>
  <c r="H70" i="1"/>
  <c r="K231" i="1"/>
  <c r="W392" i="1"/>
  <c r="Y68" i="1"/>
  <c r="Y64" i="1"/>
  <c r="Y69" i="1"/>
  <c r="Y77" i="1"/>
  <c r="H9" i="1"/>
  <c r="H65" i="1"/>
  <c r="H10" i="1"/>
  <c r="Y215" i="1"/>
  <c r="K58" i="1"/>
  <c r="AB293" i="1"/>
  <c r="AC293" i="1" s="1"/>
  <c r="U141" i="1"/>
  <c r="W141" i="1"/>
  <c r="P199" i="1"/>
  <c r="R10" i="1"/>
  <c r="M68" i="1"/>
  <c r="R392" i="1"/>
  <c r="R141" i="1"/>
  <c r="P377" i="1"/>
  <c r="M199" i="1"/>
  <c r="M377" i="1"/>
  <c r="R77" i="1"/>
  <c r="R9" i="1"/>
  <c r="M10" i="1"/>
  <c r="M66" i="1"/>
  <c r="R215" i="1"/>
  <c r="U392" i="1"/>
  <c r="AB195" i="1"/>
  <c r="AC195" i="1" s="1"/>
  <c r="AB187" i="1"/>
  <c r="AC187" i="1" s="1"/>
  <c r="AB186" i="1"/>
  <c r="AC186" i="1" s="1"/>
  <c r="R67" i="1"/>
  <c r="M77" i="1"/>
  <c r="R69" i="1"/>
  <c r="R66" i="1"/>
  <c r="M67" i="1"/>
  <c r="M72" i="1"/>
  <c r="K199" i="1"/>
  <c r="AA141" i="1"/>
  <c r="AA377" i="1"/>
  <c r="R8" i="1"/>
  <c r="R58" i="1"/>
  <c r="R72" i="1"/>
  <c r="R73" i="1"/>
  <c r="E470" i="2"/>
  <c r="E472" i="2" s="1"/>
  <c r="M65" i="1"/>
  <c r="M309" i="1"/>
  <c r="M9" i="1"/>
  <c r="S392" i="1"/>
  <c r="R377" i="1"/>
  <c r="U215" i="1"/>
  <c r="AA199" i="1"/>
  <c r="R199" i="1"/>
  <c r="R68" i="1"/>
  <c r="R63" i="1"/>
  <c r="AB80" i="1"/>
  <c r="AC80" i="1" s="1"/>
  <c r="M73" i="1"/>
  <c r="M64" i="1"/>
  <c r="K9" i="1"/>
  <c r="AA215" i="1"/>
  <c r="AB149" i="1"/>
  <c r="AC149" i="1" s="1"/>
  <c r="R309" i="1"/>
  <c r="R64" i="1"/>
  <c r="R65" i="1"/>
  <c r="M8" i="1"/>
  <c r="M63" i="1"/>
  <c r="M58" i="1"/>
  <c r="M70" i="1"/>
  <c r="H215" i="1"/>
  <c r="AA63" i="1"/>
  <c r="AA73" i="1"/>
  <c r="AA68" i="1"/>
  <c r="AA67" i="1"/>
  <c r="AA66" i="1"/>
  <c r="AA65" i="1"/>
  <c r="K66" i="1"/>
  <c r="AA64" i="1"/>
  <c r="AB369" i="1"/>
  <c r="AC369" i="1" s="1"/>
  <c r="E444" i="2"/>
  <c r="U444" i="2" s="1"/>
  <c r="U445" i="2" s="1"/>
  <c r="I199" i="1"/>
  <c r="AB189" i="1"/>
  <c r="AC189" i="1" s="1"/>
  <c r="AA77" i="1"/>
  <c r="K63" i="1"/>
  <c r="K71" i="1"/>
  <c r="AA58" i="1"/>
  <c r="AA229" i="1"/>
  <c r="AA8" i="1"/>
  <c r="AA69" i="1"/>
  <c r="AA72" i="1"/>
  <c r="K10" i="1"/>
  <c r="AA309" i="1"/>
  <c r="K377" i="1"/>
  <c r="AA10" i="1"/>
  <c r="K72" i="1"/>
  <c r="K77" i="1"/>
  <c r="H392" i="1"/>
  <c r="H410" i="1" s="1"/>
  <c r="H141" i="1"/>
  <c r="Y392" i="1"/>
  <c r="Y141" i="1"/>
  <c r="AA70" i="1"/>
  <c r="AB335" i="1"/>
  <c r="AC335" i="1" s="1"/>
  <c r="AB85" i="1"/>
  <c r="AC85" i="1" s="1"/>
  <c r="M229" i="1"/>
  <c r="Y199" i="1"/>
  <c r="Y377" i="1"/>
  <c r="K67" i="1"/>
  <c r="K68" i="1"/>
  <c r="K69" i="1"/>
  <c r="K70" i="1"/>
  <c r="K65" i="1"/>
  <c r="I377" i="1"/>
  <c r="S141" i="1"/>
  <c r="M392" i="1"/>
  <c r="K64" i="1"/>
  <c r="K309" i="1"/>
  <c r="K8" i="1"/>
  <c r="AB374" i="1"/>
  <c r="AC374" i="1" s="1"/>
  <c r="AB373" i="1"/>
  <c r="AC373" i="1" s="1"/>
  <c r="AB185" i="1"/>
  <c r="AC185" i="1" s="1"/>
  <c r="AB197" i="1"/>
  <c r="AC197" i="1" s="1"/>
  <c r="AB184" i="1"/>
  <c r="AC184" i="1" s="1"/>
  <c r="AB370" i="1"/>
  <c r="AC370" i="1" s="1"/>
  <c r="M141" i="1"/>
  <c r="M215" i="1"/>
  <c r="U199" i="1"/>
  <c r="U377" i="1"/>
  <c r="AB190" i="1"/>
  <c r="AC190" i="1" s="1"/>
  <c r="AB375" i="1"/>
  <c r="AC375" i="1" s="1"/>
  <c r="AB371" i="1"/>
  <c r="AC371" i="1" s="1"/>
  <c r="AB194" i="1"/>
  <c r="AC194" i="1" s="1"/>
  <c r="AB372" i="1"/>
  <c r="AC372" i="1" s="1"/>
  <c r="AB86" i="1"/>
  <c r="AC86" i="1" s="1"/>
  <c r="AB196" i="1"/>
  <c r="AC196" i="1" s="1"/>
  <c r="AB188" i="1"/>
  <c r="AC188" i="1" s="1"/>
  <c r="AB191" i="1"/>
  <c r="AC191" i="1" s="1"/>
  <c r="AB193" i="1"/>
  <c r="AC193" i="1" s="1"/>
  <c r="AB107" i="1"/>
  <c r="AC107" i="1" s="1"/>
  <c r="AB192" i="1"/>
  <c r="AC192" i="1" s="1"/>
  <c r="U68" i="1"/>
  <c r="U70" i="1"/>
  <c r="U69" i="1"/>
  <c r="U10" i="1"/>
  <c r="U67" i="1"/>
  <c r="U9" i="1"/>
  <c r="U58" i="1"/>
  <c r="U65" i="1"/>
  <c r="U8" i="1"/>
  <c r="U309" i="1"/>
  <c r="U66" i="1"/>
  <c r="U63" i="1"/>
  <c r="U71" i="1"/>
  <c r="U64" i="1"/>
  <c r="U72" i="1"/>
  <c r="U77" i="1"/>
  <c r="U73" i="1"/>
  <c r="F32" i="8"/>
  <c r="E203" i="15"/>
  <c r="E205" i="15" s="1"/>
  <c r="E35" i="15" s="1"/>
  <c r="O74" i="15"/>
  <c r="R74" i="15" s="1"/>
  <c r="I314" i="2"/>
  <c r="I408" i="1"/>
  <c r="T94" i="15"/>
  <c r="K13" i="15" s="1"/>
  <c r="K433" i="2" s="1"/>
  <c r="I13" i="15"/>
  <c r="K435" i="2" s="1"/>
  <c r="K488" i="2" s="1"/>
  <c r="F203" i="15"/>
  <c r="F205" i="15" s="1"/>
  <c r="F35" i="15" s="1"/>
  <c r="G203" i="15"/>
  <c r="G205" i="15" s="1"/>
  <c r="G35" i="15" s="1"/>
  <c r="Q469" i="2"/>
  <c r="G8" i="9"/>
  <c r="H408" i="2" s="1"/>
  <c r="H409" i="2" s="1"/>
  <c r="G7" i="9"/>
  <c r="G408" i="2" s="1"/>
  <c r="G409" i="2" s="1"/>
  <c r="G6" i="9"/>
  <c r="E33" i="9"/>
  <c r="I434" i="2"/>
  <c r="I141" i="1"/>
  <c r="D45" i="18"/>
  <c r="D138" i="18" s="1"/>
  <c r="O469" i="1" s="1"/>
  <c r="O468" i="1" s="1"/>
  <c r="E138" i="18"/>
  <c r="P469" i="1" s="1"/>
  <c r="L448" i="2"/>
  <c r="J427" i="2"/>
  <c r="E451" i="2"/>
  <c r="AG449" i="2"/>
  <c r="AH449" i="2" s="1"/>
  <c r="W377" i="1"/>
  <c r="I73" i="1"/>
  <c r="I9" i="1"/>
  <c r="I65" i="1"/>
  <c r="I72" i="1"/>
  <c r="I58" i="1"/>
  <c r="I309" i="1"/>
  <c r="I66" i="1"/>
  <c r="I68" i="1"/>
  <c r="I63" i="1"/>
  <c r="I71" i="1"/>
  <c r="I67" i="1"/>
  <c r="I69" i="1"/>
  <c r="I8" i="1"/>
  <c r="I77" i="1"/>
  <c r="I64" i="1"/>
  <c r="I70" i="1"/>
  <c r="I10" i="1"/>
  <c r="I229" i="1"/>
  <c r="W356" i="1"/>
  <c r="AB345" i="1"/>
  <c r="AC345" i="1" s="1"/>
  <c r="F328" i="1"/>
  <c r="F287" i="1"/>
  <c r="F129" i="1"/>
  <c r="F133" i="1" s="1"/>
  <c r="F144" i="1" s="1"/>
  <c r="D132" i="18"/>
  <c r="D140" i="18" s="1"/>
  <c r="O471" i="1" s="1"/>
  <c r="E140" i="18"/>
  <c r="P471" i="1" s="1"/>
  <c r="P47" i="1" s="1"/>
  <c r="AB294" i="1"/>
  <c r="AC294" i="1" s="1"/>
  <c r="O199" i="1"/>
  <c r="AB183" i="1"/>
  <c r="AC183" i="1" s="1"/>
  <c r="O377" i="1"/>
  <c r="AB368" i="1"/>
  <c r="AC368" i="1" s="1"/>
  <c r="W170" i="1"/>
  <c r="AB159" i="1"/>
  <c r="AC159" i="1" s="1"/>
  <c r="W67" i="1"/>
  <c r="W70" i="1"/>
  <c r="W73" i="1"/>
  <c r="W77" i="1"/>
  <c r="W10" i="1"/>
  <c r="W63" i="1"/>
  <c r="W58" i="1"/>
  <c r="W65" i="1"/>
  <c r="W309" i="1"/>
  <c r="W68" i="1"/>
  <c r="W9" i="1"/>
  <c r="W69" i="1"/>
  <c r="W64" i="1"/>
  <c r="W66" i="1"/>
  <c r="W71" i="1"/>
  <c r="W72" i="1"/>
  <c r="W8" i="1"/>
  <c r="W199" i="1"/>
  <c r="I392" i="1"/>
  <c r="I215" i="1"/>
  <c r="C205" i="15"/>
  <c r="O64" i="15"/>
  <c r="R64" i="15" s="1"/>
  <c r="D203" i="15"/>
  <c r="D205" i="15" s="1"/>
  <c r="D35" i="15" s="1"/>
  <c r="I8" i="15"/>
  <c r="T44" i="15"/>
  <c r="K8" i="15" s="1"/>
  <c r="S469" i="2"/>
  <c r="I427" i="2"/>
  <c r="AG426" i="2"/>
  <c r="AH426" i="2" s="1"/>
  <c r="L358" i="2" l="1"/>
  <c r="P44" i="1"/>
  <c r="P468" i="1"/>
  <c r="P43" i="1" s="1"/>
  <c r="Y418" i="2"/>
  <c r="T418" i="2"/>
  <c r="N418" i="2"/>
  <c r="AF418" i="2"/>
  <c r="AE418" i="2"/>
  <c r="AB418" i="2"/>
  <c r="M418" i="2"/>
  <c r="X417" i="2"/>
  <c r="W417" i="2"/>
  <c r="AD417" i="2"/>
  <c r="V417" i="2"/>
  <c r="Y417" i="2"/>
  <c r="U417" i="2"/>
  <c r="S417" i="2"/>
  <c r="AB417" i="2"/>
  <c r="AF417" i="2"/>
  <c r="AC417" i="2"/>
  <c r="AA417" i="2"/>
  <c r="N417" i="2"/>
  <c r="AE417" i="2"/>
  <c r="O417" i="2"/>
  <c r="P417" i="2"/>
  <c r="T417" i="2"/>
  <c r="Z417" i="2"/>
  <c r="V418" i="2"/>
  <c r="Z418" i="2"/>
  <c r="X418" i="2"/>
  <c r="U418" i="2"/>
  <c r="G358" i="2"/>
  <c r="I358" i="2"/>
  <c r="L418" i="2"/>
  <c r="J418" i="2"/>
  <c r="AB470" i="1"/>
  <c r="AC470" i="1" s="1"/>
  <c r="AH410" i="2"/>
  <c r="AH437" i="2"/>
  <c r="C35" i="15"/>
  <c r="C34" i="15"/>
  <c r="E34" i="15"/>
  <c r="G34" i="15"/>
  <c r="D34" i="15"/>
  <c r="F34" i="15"/>
  <c r="M451" i="2"/>
  <c r="M452" i="2" s="1"/>
  <c r="L417" i="2"/>
  <c r="H418" i="2"/>
  <c r="H414" i="2"/>
  <c r="X414" i="2"/>
  <c r="AA414" i="2"/>
  <c r="AD414" i="2"/>
  <c r="Y414" i="2"/>
  <c r="AC414" i="2"/>
  <c r="W414" i="2"/>
  <c r="Z414" i="2"/>
  <c r="AB414" i="2"/>
  <c r="AE414" i="2"/>
  <c r="AF414" i="2"/>
  <c r="V414" i="2"/>
  <c r="Q414" i="2"/>
  <c r="R414" i="2"/>
  <c r="S414" i="2"/>
  <c r="G414" i="2"/>
  <c r="U414" i="2"/>
  <c r="O414" i="2"/>
  <c r="N414" i="2"/>
  <c r="F414" i="2"/>
  <c r="T414" i="2"/>
  <c r="J414" i="2"/>
  <c r="I414" i="2"/>
  <c r="L414" i="2"/>
  <c r="M414" i="2"/>
  <c r="P414" i="2"/>
  <c r="P45" i="1"/>
  <c r="P113" i="1" s="1"/>
  <c r="P111" i="1"/>
  <c r="P297" i="1"/>
  <c r="O43" i="1"/>
  <c r="AB468" i="1"/>
  <c r="AC468" i="1" s="1"/>
  <c r="N314" i="2"/>
  <c r="N316" i="2" s="1"/>
  <c r="N338" i="2" s="1"/>
  <c r="O314" i="2"/>
  <c r="O316" i="2" s="1"/>
  <c r="O338" i="2" s="1"/>
  <c r="L314" i="2"/>
  <c r="L316" i="2" s="1"/>
  <c r="L338" i="2" s="1"/>
  <c r="M314" i="2"/>
  <c r="M316" i="2" s="1"/>
  <c r="M338" i="2" s="1"/>
  <c r="L485" i="2"/>
  <c r="L486" i="2" s="1"/>
  <c r="L462" i="2"/>
  <c r="P298" i="1"/>
  <c r="P112" i="1"/>
  <c r="P401" i="1"/>
  <c r="P222" i="1"/>
  <c r="P205" i="1"/>
  <c r="P383" i="1"/>
  <c r="O44" i="1"/>
  <c r="AB469" i="1"/>
  <c r="AC469" i="1" s="1"/>
  <c r="P384" i="1"/>
  <c r="P114" i="1"/>
  <c r="P402" i="1"/>
  <c r="P206" i="1"/>
  <c r="P300" i="1"/>
  <c r="P223" i="1"/>
  <c r="O206" i="1"/>
  <c r="O384" i="1"/>
  <c r="AB46" i="1"/>
  <c r="AC46" i="1" s="1"/>
  <c r="O114" i="1"/>
  <c r="O223" i="1"/>
  <c r="O300" i="1"/>
  <c r="O402" i="1"/>
  <c r="O113" i="1"/>
  <c r="O299" i="1"/>
  <c r="P403" i="1"/>
  <c r="P301" i="1"/>
  <c r="P224" i="1"/>
  <c r="P115" i="1"/>
  <c r="O47" i="1"/>
  <c r="AB471" i="1"/>
  <c r="AC471" i="1" s="1"/>
  <c r="M358" i="2"/>
  <c r="X407" i="2"/>
  <c r="G407" i="2"/>
  <c r="P407" i="2"/>
  <c r="AH436" i="2"/>
  <c r="W406" i="2"/>
  <c r="H406" i="2"/>
  <c r="M407" i="2"/>
  <c r="AE406" i="2"/>
  <c r="Z407" i="2"/>
  <c r="I407" i="2"/>
  <c r="X406" i="2"/>
  <c r="V406" i="2"/>
  <c r="V407" i="2"/>
  <c r="R406" i="2"/>
  <c r="S406" i="2"/>
  <c r="N406" i="2"/>
  <c r="AA407" i="2"/>
  <c r="L406" i="2"/>
  <c r="AB407" i="2"/>
  <c r="J407" i="2"/>
  <c r="T407" i="2"/>
  <c r="AA406" i="2"/>
  <c r="F407" i="2"/>
  <c r="I406" i="2"/>
  <c r="Z406" i="2"/>
  <c r="G406" i="2"/>
  <c r="R407" i="2"/>
  <c r="AE407" i="2"/>
  <c r="O406" i="2"/>
  <c r="S407" i="2"/>
  <c r="K406" i="2"/>
  <c r="M406" i="2"/>
  <c r="U406" i="2"/>
  <c r="U407" i="2"/>
  <c r="AD406" i="2"/>
  <c r="AC406" i="2"/>
  <c r="Q407" i="2"/>
  <c r="L407" i="2"/>
  <c r="AF407" i="2"/>
  <c r="T406" i="2"/>
  <c r="AB406" i="2"/>
  <c r="K407" i="2"/>
  <c r="Y406" i="2"/>
  <c r="J406" i="2"/>
  <c r="AC407" i="2"/>
  <c r="Q406" i="2"/>
  <c r="W407" i="2"/>
  <c r="P406" i="2"/>
  <c r="AD407" i="2"/>
  <c r="H407" i="2"/>
  <c r="F406" i="2"/>
  <c r="O407" i="2"/>
  <c r="Y407" i="2"/>
  <c r="N407" i="2"/>
  <c r="H413" i="2"/>
  <c r="H417" i="2"/>
  <c r="AG495" i="2"/>
  <c r="AH495" i="2" s="1"/>
  <c r="K314" i="2"/>
  <c r="K412" i="1"/>
  <c r="K414" i="1" s="1"/>
  <c r="J314" i="2"/>
  <c r="G9" i="8"/>
  <c r="I415" i="2" s="1"/>
  <c r="G14" i="8"/>
  <c r="N415" i="2" s="1"/>
  <c r="G15" i="8"/>
  <c r="O415" i="2" s="1"/>
  <c r="G16" i="8"/>
  <c r="G12" i="8"/>
  <c r="L415" i="2" s="1"/>
  <c r="G13" i="8"/>
  <c r="M415" i="2" s="1"/>
  <c r="N402" i="2"/>
  <c r="AG424" i="2"/>
  <c r="AH424" i="2" s="1"/>
  <c r="AH422" i="2"/>
  <c r="L413" i="2"/>
  <c r="H481" i="1"/>
  <c r="H177" i="1" s="1"/>
  <c r="I363" i="1"/>
  <c r="I365" i="1" s="1"/>
  <c r="I178" i="1"/>
  <c r="I177" i="1"/>
  <c r="I175" i="1"/>
  <c r="I176" i="1"/>
  <c r="U231" i="1"/>
  <c r="U235" i="1" s="1"/>
  <c r="R231" i="1"/>
  <c r="R237" i="1" s="1"/>
  <c r="R410" i="1"/>
  <c r="R412" i="1" s="1"/>
  <c r="R440" i="1" s="1"/>
  <c r="M410" i="1"/>
  <c r="M412" i="1" s="1"/>
  <c r="M414" i="1" s="1"/>
  <c r="Y410" i="1"/>
  <c r="Y412" i="1" s="1"/>
  <c r="Y440" i="1" s="1"/>
  <c r="Y450" i="1" s="1"/>
  <c r="S12" i="1"/>
  <c r="U410" i="1"/>
  <c r="U412" i="1" s="1"/>
  <c r="U414" i="1" s="1"/>
  <c r="Y231" i="1"/>
  <c r="Y233" i="1" s="1"/>
  <c r="Y264" i="1" s="1"/>
  <c r="Y452" i="1" s="1"/>
  <c r="H231" i="1"/>
  <c r="H233" i="1" s="1"/>
  <c r="H264" i="1" s="1"/>
  <c r="H277" i="1" s="1"/>
  <c r="S410" i="1"/>
  <c r="S412" i="1" s="1"/>
  <c r="S414" i="1" s="1"/>
  <c r="H412" i="1"/>
  <c r="H440" i="1" s="1"/>
  <c r="H447" i="1" s="1"/>
  <c r="H12" i="1"/>
  <c r="Y12" i="1"/>
  <c r="Y75" i="1"/>
  <c r="Y121" i="1" s="1"/>
  <c r="S75" i="1"/>
  <c r="S122" i="1" s="1"/>
  <c r="W231" i="1"/>
  <c r="W235" i="1" s="1"/>
  <c r="S233" i="1"/>
  <c r="S264" i="1" s="1"/>
  <c r="S454" i="1" s="1"/>
  <c r="H75" i="1"/>
  <c r="H308" i="1" s="1"/>
  <c r="R12" i="1"/>
  <c r="K237" i="1"/>
  <c r="W410" i="1"/>
  <c r="W412" i="1" s="1"/>
  <c r="W414" i="1" s="1"/>
  <c r="V444" i="2"/>
  <c r="K233" i="1"/>
  <c r="K264" i="1" s="1"/>
  <c r="K275" i="1" s="1"/>
  <c r="R444" i="2"/>
  <c r="R445" i="2" s="1"/>
  <c r="K235" i="1"/>
  <c r="K12" i="1"/>
  <c r="AG470" i="2"/>
  <c r="AH470" i="2" s="1"/>
  <c r="O451" i="2"/>
  <c r="O452" i="2" s="1"/>
  <c r="M12" i="1"/>
  <c r="AB444" i="2"/>
  <c r="E477" i="2"/>
  <c r="AG477" i="2" s="1"/>
  <c r="AH477" i="2" s="1"/>
  <c r="R75" i="1"/>
  <c r="R279" i="1" s="1"/>
  <c r="M75" i="1"/>
  <c r="M120" i="1" s="1"/>
  <c r="S451" i="2"/>
  <c r="S452" i="2" s="1"/>
  <c r="N444" i="2"/>
  <c r="N445" i="2" s="1"/>
  <c r="AA444" i="2"/>
  <c r="L444" i="2"/>
  <c r="L445" i="2" s="1"/>
  <c r="Y444" i="2"/>
  <c r="M444" i="2"/>
  <c r="M445" i="2" s="1"/>
  <c r="AE444" i="2"/>
  <c r="T444" i="2"/>
  <c r="T445" i="2" s="1"/>
  <c r="X444" i="2"/>
  <c r="W444" i="2"/>
  <c r="Q444" i="2"/>
  <c r="Q445" i="2" s="1"/>
  <c r="AA412" i="1"/>
  <c r="AA12" i="1"/>
  <c r="G444" i="2"/>
  <c r="G445" i="2" s="1"/>
  <c r="AC444" i="2"/>
  <c r="E445" i="2"/>
  <c r="AD52" i="2" s="1"/>
  <c r="S235" i="1"/>
  <c r="S444" i="2"/>
  <c r="S445" i="2" s="1"/>
  <c r="O444" i="2"/>
  <c r="O445" i="2" s="1"/>
  <c r="AD444" i="2"/>
  <c r="P444" i="2"/>
  <c r="P445" i="2" s="1"/>
  <c r="AF444" i="2"/>
  <c r="Z444" i="2"/>
  <c r="AA231" i="1"/>
  <c r="AA235" i="1" s="1"/>
  <c r="S237" i="1"/>
  <c r="K75" i="1"/>
  <c r="K308" i="1" s="1"/>
  <c r="AA75" i="1"/>
  <c r="U12" i="1"/>
  <c r="AB377" i="1"/>
  <c r="AC377" i="1" s="1"/>
  <c r="M231" i="1"/>
  <c r="M235" i="1" s="1"/>
  <c r="P472" i="2"/>
  <c r="P473" i="2" s="1"/>
  <c r="W472" i="2"/>
  <c r="W473" i="2" s="1"/>
  <c r="AD472" i="2"/>
  <c r="AD473" i="2" s="1"/>
  <c r="AA472" i="2"/>
  <c r="AA473" i="2" s="1"/>
  <c r="R472" i="2"/>
  <c r="R473" i="2" s="1"/>
  <c r="G472" i="2"/>
  <c r="G473" i="2" s="1"/>
  <c r="AF472" i="2"/>
  <c r="AF473" i="2" s="1"/>
  <c r="AC472" i="2"/>
  <c r="AC473" i="2" s="1"/>
  <c r="V472" i="2"/>
  <c r="V473" i="2" s="1"/>
  <c r="Z472" i="2"/>
  <c r="Z473" i="2" s="1"/>
  <c r="X472" i="2"/>
  <c r="X473" i="2" s="1"/>
  <c r="Y472" i="2"/>
  <c r="Y473" i="2" s="1"/>
  <c r="AE472" i="2"/>
  <c r="AE473" i="2" s="1"/>
  <c r="E473" i="2"/>
  <c r="AB472" i="2"/>
  <c r="AB473" i="2" s="1"/>
  <c r="T472" i="2"/>
  <c r="T473" i="2" s="1"/>
  <c r="U472" i="2"/>
  <c r="U473" i="2" s="1"/>
  <c r="I316" i="2"/>
  <c r="I338" i="2" s="1"/>
  <c r="U75" i="1"/>
  <c r="AG427" i="2"/>
  <c r="AH427" i="2" s="1"/>
  <c r="I413" i="2"/>
  <c r="I417" i="2"/>
  <c r="AG428" i="2"/>
  <c r="AH428" i="2" s="1"/>
  <c r="S476" i="2"/>
  <c r="S472" i="2"/>
  <c r="S473" i="2" s="1"/>
  <c r="I410" i="1"/>
  <c r="W75" i="1"/>
  <c r="I12" i="1"/>
  <c r="I75" i="1"/>
  <c r="V451" i="2"/>
  <c r="W451" i="2"/>
  <c r="AA451" i="2"/>
  <c r="AB451" i="2"/>
  <c r="AF451" i="2"/>
  <c r="Z451" i="2"/>
  <c r="AC451" i="2"/>
  <c r="E452" i="2"/>
  <c r="Y451" i="2"/>
  <c r="T451" i="2"/>
  <c r="T452" i="2" s="1"/>
  <c r="X451" i="2"/>
  <c r="AE451" i="2"/>
  <c r="P451" i="2"/>
  <c r="P452" i="2" s="1"/>
  <c r="AD451" i="2"/>
  <c r="R451" i="2"/>
  <c r="R452" i="2" s="1"/>
  <c r="G451" i="2"/>
  <c r="G452" i="2" s="1"/>
  <c r="L469" i="2"/>
  <c r="L451" i="2"/>
  <c r="L452" i="2" s="1"/>
  <c r="T64" i="15"/>
  <c r="K10" i="15" s="1"/>
  <c r="H433" i="2" s="1"/>
  <c r="I10" i="15"/>
  <c r="H435" i="2" s="1"/>
  <c r="H488" i="2" s="1"/>
  <c r="N451" i="2"/>
  <c r="N452" i="2" s="1"/>
  <c r="I231" i="1"/>
  <c r="W12" i="1"/>
  <c r="AB170" i="1"/>
  <c r="AC170" i="1" s="1"/>
  <c r="G33" i="9"/>
  <c r="E408" i="2" s="1"/>
  <c r="F408" i="2"/>
  <c r="U451" i="2"/>
  <c r="U452" i="2" s="1"/>
  <c r="K441" i="2"/>
  <c r="G8" i="8"/>
  <c r="H415" i="2" s="1"/>
  <c r="E32" i="8"/>
  <c r="G6" i="8"/>
  <c r="G7" i="8"/>
  <c r="G415" i="2" s="1"/>
  <c r="G10" i="8"/>
  <c r="J415" i="2" s="1"/>
  <c r="G11" i="8"/>
  <c r="K415" i="2" s="1"/>
  <c r="M476" i="2"/>
  <c r="M472" i="2"/>
  <c r="M473" i="2" s="1"/>
  <c r="F433" i="2"/>
  <c r="O476" i="2"/>
  <c r="O472" i="2"/>
  <c r="O473" i="2" s="1"/>
  <c r="AB356" i="1"/>
  <c r="AC356" i="1" s="1"/>
  <c r="J413" i="2"/>
  <c r="J417" i="2"/>
  <c r="G314" i="2"/>
  <c r="Q451" i="2"/>
  <c r="Q452" i="2" s="1"/>
  <c r="I11" i="15"/>
  <c r="I435" i="2" s="1"/>
  <c r="T74" i="15"/>
  <c r="K11" i="15" s="1"/>
  <c r="I433" i="2" s="1"/>
  <c r="F435" i="2"/>
  <c r="K462" i="2"/>
  <c r="K485" i="2"/>
  <c r="AG455" i="2"/>
  <c r="AH455" i="2" s="1"/>
  <c r="H314" i="2"/>
  <c r="Q476" i="2"/>
  <c r="Q472" i="2"/>
  <c r="Q473" i="2" s="1"/>
  <c r="AB199" i="1"/>
  <c r="AC199" i="1" s="1"/>
  <c r="AG341" i="2" l="1"/>
  <c r="AH341" i="2" s="1"/>
  <c r="AG342" i="2"/>
  <c r="P299" i="1"/>
  <c r="AB299" i="1" s="1"/>
  <c r="AC299" i="1" s="1"/>
  <c r="I441" i="2"/>
  <c r="I488" i="2"/>
  <c r="AG430" i="2"/>
  <c r="AH430" i="2" s="1"/>
  <c r="AG414" i="2"/>
  <c r="AH414" i="2" s="1"/>
  <c r="AB45" i="1"/>
  <c r="AC45" i="1" s="1"/>
  <c r="P54" i="1"/>
  <c r="P105" i="1" s="1"/>
  <c r="O111" i="1"/>
  <c r="AB111" i="1" s="1"/>
  <c r="AC111" i="1" s="1"/>
  <c r="AB43" i="1"/>
  <c r="AC43" i="1" s="1"/>
  <c r="O297" i="1"/>
  <c r="AB297" i="1" s="1"/>
  <c r="AC297" i="1" s="1"/>
  <c r="AB114" i="1"/>
  <c r="AC114" i="1" s="1"/>
  <c r="AB113" i="1"/>
  <c r="AC113" i="1" s="1"/>
  <c r="AB223" i="1"/>
  <c r="AC223" i="1" s="1"/>
  <c r="O222" i="1"/>
  <c r="AB222" i="1" s="1"/>
  <c r="AC222" i="1" s="1"/>
  <c r="O205" i="1"/>
  <c r="AB205" i="1" s="1"/>
  <c r="AC205" i="1" s="1"/>
  <c r="O112" i="1"/>
  <c r="AB112" i="1" s="1"/>
  <c r="AC112" i="1" s="1"/>
  <c r="O383" i="1"/>
  <c r="AB383" i="1" s="1"/>
  <c r="AC383" i="1" s="1"/>
  <c r="O401" i="1"/>
  <c r="AB401" i="1" s="1"/>
  <c r="AC401" i="1" s="1"/>
  <c r="O298" i="1"/>
  <c r="AB298" i="1" s="1"/>
  <c r="AC298" i="1" s="1"/>
  <c r="AB44" i="1"/>
  <c r="AC44" i="1" s="1"/>
  <c r="AB402" i="1"/>
  <c r="AC402" i="1" s="1"/>
  <c r="AB384" i="1"/>
  <c r="AC384" i="1" s="1"/>
  <c r="AB206" i="1"/>
  <c r="AC206" i="1" s="1"/>
  <c r="AB300" i="1"/>
  <c r="AC300" i="1" s="1"/>
  <c r="AB47" i="1"/>
  <c r="AC47" i="1" s="1"/>
  <c r="O301" i="1"/>
  <c r="AB301" i="1" s="1"/>
  <c r="AC301" i="1" s="1"/>
  <c r="O54" i="1"/>
  <c r="O224" i="1"/>
  <c r="AB224" i="1" s="1"/>
  <c r="AC224" i="1" s="1"/>
  <c r="O115" i="1"/>
  <c r="AB115" i="1" s="1"/>
  <c r="AC115" i="1" s="1"/>
  <c r="O403" i="1"/>
  <c r="AB403" i="1" s="1"/>
  <c r="AC403" i="1" s="1"/>
  <c r="AG402" i="2"/>
  <c r="AH402" i="2" s="1"/>
  <c r="AG358" i="2"/>
  <c r="AH358" i="2" s="1"/>
  <c r="K440" i="1"/>
  <c r="K274" i="1" s="1"/>
  <c r="AG407" i="2"/>
  <c r="AH407" i="2" s="1"/>
  <c r="AG406" i="2"/>
  <c r="AH406" i="2" s="1"/>
  <c r="AB177" i="1"/>
  <c r="AC177" i="1" s="1"/>
  <c r="H175" i="1"/>
  <c r="AB175" i="1" s="1"/>
  <c r="AC175" i="1" s="1"/>
  <c r="AB481" i="1"/>
  <c r="AC481" i="1" s="1"/>
  <c r="H178" i="1"/>
  <c r="AB178" i="1" s="1"/>
  <c r="AC178" i="1" s="1"/>
  <c r="H362" i="1"/>
  <c r="AB362" i="1" s="1"/>
  <c r="AC362" i="1" s="1"/>
  <c r="H176" i="1"/>
  <c r="AB176" i="1" s="1"/>
  <c r="AC176" i="1" s="1"/>
  <c r="H363" i="1"/>
  <c r="AB363" i="1" s="1"/>
  <c r="AC363" i="1" s="1"/>
  <c r="K316" i="2"/>
  <c r="K338" i="2" s="1"/>
  <c r="J316" i="2"/>
  <c r="J338" i="2" s="1"/>
  <c r="U237" i="1"/>
  <c r="U233" i="1"/>
  <c r="U264" i="1" s="1"/>
  <c r="U276" i="1" s="1"/>
  <c r="I180" i="1"/>
  <c r="R235" i="1"/>
  <c r="T52" i="2"/>
  <c r="Y235" i="1"/>
  <c r="H235" i="1"/>
  <c r="R233" i="1"/>
  <c r="R264" i="1" s="1"/>
  <c r="R452" i="1" s="1"/>
  <c r="Y308" i="1"/>
  <c r="Y237" i="1"/>
  <c r="H280" i="1"/>
  <c r="W233" i="1"/>
  <c r="W264" i="1" s="1"/>
  <c r="W454" i="1" s="1"/>
  <c r="Y456" i="1"/>
  <c r="S271" i="1"/>
  <c r="Y280" i="1"/>
  <c r="S275" i="1"/>
  <c r="Y122" i="1"/>
  <c r="S446" i="1"/>
  <c r="R457" i="1"/>
  <c r="Y279" i="1"/>
  <c r="Y120" i="1"/>
  <c r="S453" i="1"/>
  <c r="S452" i="1"/>
  <c r="S440" i="1"/>
  <c r="S270" i="1" s="1"/>
  <c r="S82" i="1"/>
  <c r="S142" i="1" s="1"/>
  <c r="Y457" i="1"/>
  <c r="Y88" i="1"/>
  <c r="Y91" i="1" s="1"/>
  <c r="Y99" i="1" s="1"/>
  <c r="S279" i="1"/>
  <c r="K446" i="1"/>
  <c r="S277" i="1"/>
  <c r="S269" i="1"/>
  <c r="S121" i="1"/>
  <c r="R307" i="1"/>
  <c r="Y307" i="1"/>
  <c r="S448" i="1"/>
  <c r="S276" i="1"/>
  <c r="W237" i="1"/>
  <c r="S307" i="1"/>
  <c r="K453" i="1"/>
  <c r="H446" i="1"/>
  <c r="H450" i="1"/>
  <c r="H270" i="1"/>
  <c r="S457" i="1"/>
  <c r="H456" i="1"/>
  <c r="Y82" i="1"/>
  <c r="Y130" i="1" s="1"/>
  <c r="N90" i="2"/>
  <c r="N524" i="2" s="1"/>
  <c r="K277" i="1"/>
  <c r="H120" i="1"/>
  <c r="H88" i="1"/>
  <c r="H91" i="1" s="1"/>
  <c r="H99" i="1" s="1"/>
  <c r="H451" i="1"/>
  <c r="R122" i="1"/>
  <c r="S120" i="1"/>
  <c r="K276" i="1"/>
  <c r="K448" i="1"/>
  <c r="H122" i="1"/>
  <c r="Y273" i="1"/>
  <c r="R120" i="1"/>
  <c r="S280" i="1"/>
  <c r="S308" i="1"/>
  <c r="S88" i="1"/>
  <c r="S91" i="1" s="1"/>
  <c r="S99" i="1" s="1"/>
  <c r="K269" i="1"/>
  <c r="K271" i="1"/>
  <c r="H82" i="1"/>
  <c r="E8" i="2" s="1"/>
  <c r="H457" i="1"/>
  <c r="H307" i="1"/>
  <c r="H312" i="1" s="1"/>
  <c r="E199" i="2" s="1"/>
  <c r="H276" i="1"/>
  <c r="S456" i="1"/>
  <c r="K454" i="1"/>
  <c r="K452" i="1"/>
  <c r="H121" i="1"/>
  <c r="K456" i="1"/>
  <c r="H274" i="1"/>
  <c r="H273" i="1"/>
  <c r="M457" i="1"/>
  <c r="R82" i="1"/>
  <c r="R130" i="1" s="1"/>
  <c r="U440" i="1"/>
  <c r="U450" i="1" s="1"/>
  <c r="M308" i="1"/>
  <c r="R456" i="1"/>
  <c r="R121" i="1"/>
  <c r="M456" i="1"/>
  <c r="K82" i="1"/>
  <c r="K131" i="1" s="1"/>
  <c r="M82" i="1"/>
  <c r="M142" i="1" s="1"/>
  <c r="M307" i="1"/>
  <c r="R88" i="1"/>
  <c r="R91" i="1" s="1"/>
  <c r="R99" i="1" s="1"/>
  <c r="R308" i="1"/>
  <c r="R280" i="1"/>
  <c r="M122" i="1"/>
  <c r="E479" i="2"/>
  <c r="O479" i="2" s="1"/>
  <c r="O480" i="2" s="1"/>
  <c r="H453" i="1"/>
  <c r="Y451" i="1"/>
  <c r="K280" i="1"/>
  <c r="H452" i="1"/>
  <c r="R13" i="2"/>
  <c r="AA90" i="2"/>
  <c r="K457" i="1"/>
  <c r="H275" i="1"/>
  <c r="R274" i="1"/>
  <c r="R273" i="1"/>
  <c r="R270" i="1"/>
  <c r="R450" i="1"/>
  <c r="S446" i="2"/>
  <c r="P13" i="2"/>
  <c r="Y271" i="1"/>
  <c r="Y447" i="1"/>
  <c r="G446" i="2"/>
  <c r="AF204" i="2"/>
  <c r="J52" i="2"/>
  <c r="O204" i="2"/>
  <c r="K88" i="1"/>
  <c r="K91" i="1" s="1"/>
  <c r="K99" i="1" s="1"/>
  <c r="R414" i="1"/>
  <c r="V204" i="2"/>
  <c r="Q90" i="2"/>
  <c r="Q524" i="2" s="1"/>
  <c r="Q553" i="2" s="1"/>
  <c r="W440" i="1"/>
  <c r="W450" i="1" s="1"/>
  <c r="H90" i="2"/>
  <c r="H524" i="2" s="1"/>
  <c r="AE90" i="2"/>
  <c r="M13" i="2"/>
  <c r="AE446" i="2"/>
  <c r="K122" i="1"/>
  <c r="M440" i="1"/>
  <c r="M450" i="1" s="1"/>
  <c r="R451" i="1"/>
  <c r="AE204" i="2"/>
  <c r="AC90" i="2"/>
  <c r="Q204" i="2"/>
  <c r="T90" i="2"/>
  <c r="R204" i="2"/>
  <c r="S204" i="2"/>
  <c r="AC52" i="2"/>
  <c r="M52" i="2"/>
  <c r="M280" i="1"/>
  <c r="M88" i="1"/>
  <c r="M91" i="1" s="1"/>
  <c r="M99" i="1" s="1"/>
  <c r="M121" i="1"/>
  <c r="H269" i="1"/>
  <c r="H454" i="1"/>
  <c r="H448" i="1"/>
  <c r="AA237" i="1"/>
  <c r="R447" i="1"/>
  <c r="Z90" i="2"/>
  <c r="P52" i="2"/>
  <c r="I13" i="2"/>
  <c r="U52" i="2"/>
  <c r="Q446" i="2"/>
  <c r="AB13" i="2"/>
  <c r="I90" i="2"/>
  <c r="I524" i="2" s="1"/>
  <c r="K204" i="2"/>
  <c r="W90" i="2"/>
  <c r="M279" i="1"/>
  <c r="H271" i="1"/>
  <c r="M237" i="1"/>
  <c r="AA440" i="1"/>
  <c r="AA414" i="1"/>
  <c r="L90" i="2"/>
  <c r="L524" i="2" s="1"/>
  <c r="I52" i="2"/>
  <c r="AE52" i="2"/>
  <c r="U204" i="2"/>
  <c r="N446" i="2"/>
  <c r="O52" i="2"/>
  <c r="N13" i="2"/>
  <c r="AF13" i="2"/>
  <c r="O446" i="2"/>
  <c r="P446" i="2"/>
  <c r="Z446" i="2"/>
  <c r="W204" i="2"/>
  <c r="Y446" i="2"/>
  <c r="AA204" i="2"/>
  <c r="N204" i="2"/>
  <c r="J90" i="2"/>
  <c r="J524" i="2" s="1"/>
  <c r="Y204" i="2"/>
  <c r="M233" i="1"/>
  <c r="M264" i="1" s="1"/>
  <c r="M277" i="1" s="1"/>
  <c r="G204" i="2"/>
  <c r="U13" i="2"/>
  <c r="AD13" i="2"/>
  <c r="L446" i="2"/>
  <c r="S52" i="2"/>
  <c r="Q13" i="2"/>
  <c r="Z52" i="2"/>
  <c r="T446" i="2"/>
  <c r="R446" i="2"/>
  <c r="AD90" i="2"/>
  <c r="X13" i="2"/>
  <c r="X204" i="2"/>
  <c r="Z13" i="2"/>
  <c r="AF446" i="2"/>
  <c r="AC13" i="2"/>
  <c r="X52" i="2"/>
  <c r="P204" i="2"/>
  <c r="AD446" i="2"/>
  <c r="M446" i="2"/>
  <c r="L52" i="2"/>
  <c r="X446" i="2"/>
  <c r="AA52" i="2"/>
  <c r="F90" i="2"/>
  <c r="F524" i="2" s="1"/>
  <c r="G13" i="2"/>
  <c r="N52" i="2"/>
  <c r="G52" i="2"/>
  <c r="M204" i="2"/>
  <c r="H204" i="2"/>
  <c r="V90" i="2"/>
  <c r="AD204" i="2"/>
  <c r="P90" i="2"/>
  <c r="P524" i="2" s="1"/>
  <c r="Y52" i="2"/>
  <c r="T204" i="2"/>
  <c r="J204" i="2"/>
  <c r="Y453" i="1"/>
  <c r="AA233" i="1"/>
  <c r="AA264" i="1" s="1"/>
  <c r="AA276" i="1" s="1"/>
  <c r="AE13" i="2"/>
  <c r="AA446" i="2"/>
  <c r="O90" i="2"/>
  <c r="O524" i="2" s="1"/>
  <c r="L204" i="2"/>
  <c r="M90" i="2"/>
  <c r="M524" i="2" s="1"/>
  <c r="Q52" i="2"/>
  <c r="K52" i="2"/>
  <c r="AF90" i="2"/>
  <c r="Y90" i="2"/>
  <c r="W13" i="2"/>
  <c r="AB204" i="2"/>
  <c r="U90" i="2"/>
  <c r="G90" i="2"/>
  <c r="G524" i="2" s="1"/>
  <c r="AC446" i="2"/>
  <c r="Y13" i="2"/>
  <c r="F52" i="2"/>
  <c r="K446" i="2"/>
  <c r="J13" i="2"/>
  <c r="AB446" i="2"/>
  <c r="H52" i="2"/>
  <c r="S13" i="2"/>
  <c r="H13" i="2"/>
  <c r="R52" i="2"/>
  <c r="R90" i="2"/>
  <c r="R524" i="2" s="1"/>
  <c r="R553" i="2" s="1"/>
  <c r="I204" i="2"/>
  <c r="L13" i="2"/>
  <c r="I446" i="2"/>
  <c r="F204" i="2"/>
  <c r="AA13" i="2"/>
  <c r="K13" i="2"/>
  <c r="S90" i="2"/>
  <c r="Z204" i="2"/>
  <c r="V13" i="2"/>
  <c r="AB90" i="2"/>
  <c r="V52" i="2"/>
  <c r="F446" i="2"/>
  <c r="V446" i="2"/>
  <c r="F13" i="2"/>
  <c r="X90" i="2"/>
  <c r="AB52" i="2"/>
  <c r="J446" i="2"/>
  <c r="K90" i="2"/>
  <c r="K524" i="2" s="1"/>
  <c r="W52" i="2"/>
  <c r="AC204" i="2"/>
  <c r="U446" i="2"/>
  <c r="AF52" i="2"/>
  <c r="W446" i="2"/>
  <c r="T13" i="2"/>
  <c r="O13" i="2"/>
  <c r="H446" i="2"/>
  <c r="Y448" i="1"/>
  <c r="AA121" i="1"/>
  <c r="AA308" i="1"/>
  <c r="AA307" i="1"/>
  <c r="AA456" i="1"/>
  <c r="AA88" i="1"/>
  <c r="AA91" i="1" s="1"/>
  <c r="AA99" i="1" s="1"/>
  <c r="AA280" i="1"/>
  <c r="AA457" i="1"/>
  <c r="AA279" i="1"/>
  <c r="AA120" i="1"/>
  <c r="AA122" i="1"/>
  <c r="Y274" i="1"/>
  <c r="W82" i="1"/>
  <c r="W130" i="1" s="1"/>
  <c r="K120" i="1"/>
  <c r="K121" i="1"/>
  <c r="Y270" i="1"/>
  <c r="K279" i="1"/>
  <c r="K307" i="1"/>
  <c r="K312" i="1" s="1"/>
  <c r="E204" i="2" s="1"/>
  <c r="Y414" i="1"/>
  <c r="AA82" i="1"/>
  <c r="Y276" i="1"/>
  <c r="Y275" i="1"/>
  <c r="Q474" i="2"/>
  <c r="Y277" i="1"/>
  <c r="Y454" i="1"/>
  <c r="Y446" i="1"/>
  <c r="U474" i="2"/>
  <c r="O474" i="2"/>
  <c r="M474" i="2"/>
  <c r="Y269" i="1"/>
  <c r="S474" i="2"/>
  <c r="U120" i="1"/>
  <c r="U279" i="1"/>
  <c r="U457" i="1"/>
  <c r="U307" i="1"/>
  <c r="U280" i="1"/>
  <c r="U308" i="1"/>
  <c r="U456" i="1"/>
  <c r="U88" i="1"/>
  <c r="U91" i="1" s="1"/>
  <c r="U99" i="1" s="1"/>
  <c r="U122" i="1"/>
  <c r="U121" i="1"/>
  <c r="U82" i="1"/>
  <c r="V474" i="2"/>
  <c r="G474" i="2"/>
  <c r="W474" i="2"/>
  <c r="P474" i="2"/>
  <c r="AE474" i="2"/>
  <c r="Y474" i="2"/>
  <c r="Z474" i="2"/>
  <c r="AF474" i="2"/>
  <c r="X474" i="2"/>
  <c r="AB474" i="2"/>
  <c r="T474" i="2"/>
  <c r="AA474" i="2"/>
  <c r="AC474" i="2"/>
  <c r="R474" i="2"/>
  <c r="AD474" i="2"/>
  <c r="G316" i="2"/>
  <c r="N476" i="2"/>
  <c r="N472" i="2"/>
  <c r="N473" i="2" s="1"/>
  <c r="N474" i="2" s="1"/>
  <c r="I203" i="15"/>
  <c r="I205" i="15" s="1"/>
  <c r="I35" i="15" s="1"/>
  <c r="L476" i="2"/>
  <c r="L472" i="2"/>
  <c r="L473" i="2" s="1"/>
  <c r="L474" i="2" s="1"/>
  <c r="I418" i="2"/>
  <c r="AG431" i="2"/>
  <c r="AH431" i="2" s="1"/>
  <c r="K486" i="2"/>
  <c r="AG485" i="2"/>
  <c r="AH485" i="2" s="1"/>
  <c r="F488" i="2"/>
  <c r="F441" i="2"/>
  <c r="H441" i="2"/>
  <c r="M242" i="2"/>
  <c r="G453" i="2"/>
  <c r="M128" i="2"/>
  <c r="V128" i="2"/>
  <c r="AE242" i="2"/>
  <c r="O242" i="2"/>
  <c r="X453" i="2"/>
  <c r="W166" i="2"/>
  <c r="U242" i="2"/>
  <c r="M453" i="2"/>
  <c r="H242" i="2"/>
  <c r="G166" i="2"/>
  <c r="P166" i="2"/>
  <c r="F453" i="2"/>
  <c r="AC280" i="2"/>
  <c r="P453" i="2"/>
  <c r="K166" i="2"/>
  <c r="I242" i="2"/>
  <c r="G128" i="2"/>
  <c r="J453" i="2"/>
  <c r="T453" i="2"/>
  <c r="AE128" i="2"/>
  <c r="H280" i="2"/>
  <c r="AC242" i="2"/>
  <c r="W280" i="2"/>
  <c r="Q453" i="2"/>
  <c r="AB242" i="2"/>
  <c r="S280" i="2"/>
  <c r="R128" i="2"/>
  <c r="V242" i="2"/>
  <c r="N166" i="2"/>
  <c r="I280" i="2"/>
  <c r="N280" i="2"/>
  <c r="O453" i="2"/>
  <c r="Y166" i="2"/>
  <c r="S242" i="2"/>
  <c r="Y280" i="2"/>
  <c r="U453" i="2"/>
  <c r="P280" i="2"/>
  <c r="AE166" i="2"/>
  <c r="H166" i="2"/>
  <c r="Y453" i="2"/>
  <c r="L453" i="2"/>
  <c r="Q128" i="2"/>
  <c r="Q242" i="2"/>
  <c r="V453" i="2"/>
  <c r="F166" i="2"/>
  <c r="O166" i="2"/>
  <c r="AD280" i="2"/>
  <c r="J166" i="2"/>
  <c r="K453" i="2"/>
  <c r="N242" i="2"/>
  <c r="AA453" i="2"/>
  <c r="G280" i="2"/>
  <c r="AA242" i="2"/>
  <c r="AA128" i="2"/>
  <c r="Y128" i="2"/>
  <c r="X242" i="2"/>
  <c r="R166" i="2"/>
  <c r="I166" i="2"/>
  <c r="P242" i="2"/>
  <c r="T280" i="2"/>
  <c r="Z453" i="2"/>
  <c r="T166" i="2"/>
  <c r="H128" i="2"/>
  <c r="AC166" i="2"/>
  <c r="T128" i="2"/>
  <c r="AF166" i="2"/>
  <c r="X128" i="2"/>
  <c r="R453" i="2"/>
  <c r="X280" i="2"/>
  <c r="W453" i="2"/>
  <c r="L242" i="2"/>
  <c r="X166" i="2"/>
  <c r="K280" i="2"/>
  <c r="AA166" i="2"/>
  <c r="G242" i="2"/>
  <c r="AB453" i="2"/>
  <c r="Z280" i="2"/>
  <c r="L166" i="2"/>
  <c r="J242" i="2"/>
  <c r="H453" i="2"/>
  <c r="N453" i="2"/>
  <c r="O128" i="2"/>
  <c r="AF242" i="2"/>
  <c r="U280" i="2"/>
  <c r="AE280" i="2"/>
  <c r="AF453" i="2"/>
  <c r="O280" i="2"/>
  <c r="Z166" i="2"/>
  <c r="K128" i="2"/>
  <c r="V280" i="2"/>
  <c r="AF128" i="2"/>
  <c r="M280" i="2"/>
  <c r="K242" i="2"/>
  <c r="AD166" i="2"/>
  <c r="AD128" i="2"/>
  <c r="AC128" i="2"/>
  <c r="AC453" i="2"/>
  <c r="AB128" i="2"/>
  <c r="J280" i="2"/>
  <c r="Q280" i="2"/>
  <c r="U128" i="2"/>
  <c r="W128" i="2"/>
  <c r="AA280" i="2"/>
  <c r="F242" i="2"/>
  <c r="AD453" i="2"/>
  <c r="U166" i="2"/>
  <c r="M166" i="2"/>
  <c r="T242" i="2"/>
  <c r="V166" i="2"/>
  <c r="S453" i="2"/>
  <c r="F128" i="2"/>
  <c r="S166" i="2"/>
  <c r="Q166" i="2"/>
  <c r="I453" i="2"/>
  <c r="AB280" i="2"/>
  <c r="S128" i="2"/>
  <c r="J128" i="2"/>
  <c r="AF280" i="2"/>
  <c r="P128" i="2"/>
  <c r="N128" i="2"/>
  <c r="Y242" i="2"/>
  <c r="F280" i="2"/>
  <c r="AE453" i="2"/>
  <c r="L280" i="2"/>
  <c r="Z128" i="2"/>
  <c r="AD242" i="2"/>
  <c r="I128" i="2"/>
  <c r="L128" i="2"/>
  <c r="Z242" i="2"/>
  <c r="R242" i="2"/>
  <c r="AB166" i="2"/>
  <c r="W242" i="2"/>
  <c r="R280" i="2"/>
  <c r="I82" i="1"/>
  <c r="W308" i="1"/>
  <c r="W121" i="1"/>
  <c r="W456" i="1"/>
  <c r="W279" i="1"/>
  <c r="W88" i="1"/>
  <c r="W91" i="1" s="1"/>
  <c r="W99" i="1" s="1"/>
  <c r="W120" i="1"/>
  <c r="W457" i="1"/>
  <c r="W280" i="1"/>
  <c r="W307" i="1"/>
  <c r="W122" i="1"/>
  <c r="I412" i="1"/>
  <c r="AG417" i="2"/>
  <c r="AH417" i="2" s="1"/>
  <c r="H316" i="2"/>
  <c r="AG462" i="2"/>
  <c r="AH462" i="2" s="1"/>
  <c r="G32" i="8"/>
  <c r="E415" i="2" s="1"/>
  <c r="F415" i="2"/>
  <c r="AG415" i="2" s="1"/>
  <c r="AG408" i="2"/>
  <c r="AH408" i="2" s="1"/>
  <c r="F409" i="2"/>
  <c r="I233" i="1"/>
  <c r="I235" i="1"/>
  <c r="AG413" i="2"/>
  <c r="AH413" i="2" s="1"/>
  <c r="K448" i="2"/>
  <c r="K444" i="2"/>
  <c r="K445" i="2" s="1"/>
  <c r="H203" i="15"/>
  <c r="I457" i="1"/>
  <c r="I280" i="1"/>
  <c r="I279" i="1"/>
  <c r="I122" i="1"/>
  <c r="I88" i="1"/>
  <c r="I120" i="1"/>
  <c r="I456" i="1"/>
  <c r="I307" i="1"/>
  <c r="I121" i="1"/>
  <c r="I308" i="1"/>
  <c r="O619" i="2" l="1"/>
  <c r="O553" i="2"/>
  <c r="N619" i="2"/>
  <c r="N553" i="2"/>
  <c r="AJ128" i="2"/>
  <c r="K553" i="2"/>
  <c r="J553" i="2"/>
  <c r="H553" i="2"/>
  <c r="G553" i="2"/>
  <c r="I553" i="2"/>
  <c r="I34" i="15"/>
  <c r="P108" i="1"/>
  <c r="P202" i="1"/>
  <c r="P389" i="1"/>
  <c r="P89" i="1"/>
  <c r="P306" i="1"/>
  <c r="P139" i="1"/>
  <c r="P406" i="1"/>
  <c r="P399" i="1"/>
  <c r="P78" i="1"/>
  <c r="P136" i="1"/>
  <c r="P56" i="1"/>
  <c r="P73" i="1" s="1"/>
  <c r="P390" i="1"/>
  <c r="P211" i="1"/>
  <c r="P227" i="1"/>
  <c r="P137" i="1"/>
  <c r="P138" i="1"/>
  <c r="P380" i="1"/>
  <c r="P220" i="1"/>
  <c r="P213" i="1"/>
  <c r="P87" i="1"/>
  <c r="P310" i="1"/>
  <c r="O87" i="1"/>
  <c r="O406" i="1"/>
  <c r="O89" i="1"/>
  <c r="O139" i="1"/>
  <c r="O220" i="1"/>
  <c r="E456" i="2"/>
  <c r="AB54" i="1"/>
  <c r="AC54" i="1" s="1"/>
  <c r="O390" i="1"/>
  <c r="O389" i="1"/>
  <c r="O136" i="1"/>
  <c r="O78" i="1"/>
  <c r="O211" i="1"/>
  <c r="O213" i="1"/>
  <c r="O380" i="1"/>
  <c r="O108" i="1"/>
  <c r="O137" i="1"/>
  <c r="O138" i="1"/>
  <c r="O399" i="1"/>
  <c r="O56" i="1"/>
  <c r="O227" i="1"/>
  <c r="O202" i="1"/>
  <c r="O306" i="1"/>
  <c r="O105" i="1"/>
  <c r="AB105" i="1" s="1"/>
  <c r="AC105" i="1" s="1"/>
  <c r="O310" i="1"/>
  <c r="L553" i="2"/>
  <c r="K270" i="1"/>
  <c r="K451" i="1"/>
  <c r="K447" i="1"/>
  <c r="K273" i="1"/>
  <c r="K450" i="1"/>
  <c r="H180" i="1"/>
  <c r="H237" i="1" s="1"/>
  <c r="H365" i="1"/>
  <c r="H414" i="1" s="1"/>
  <c r="U275" i="1"/>
  <c r="U277" i="1"/>
  <c r="I237" i="1"/>
  <c r="U446" i="1"/>
  <c r="U454" i="1"/>
  <c r="U453" i="1"/>
  <c r="U452" i="1"/>
  <c r="U269" i="1"/>
  <c r="U448" i="1"/>
  <c r="U271" i="1"/>
  <c r="Y312" i="1"/>
  <c r="E226" i="2" s="1"/>
  <c r="W312" i="1"/>
  <c r="E223" i="2" s="1"/>
  <c r="R275" i="1"/>
  <c r="R271" i="1"/>
  <c r="R269" i="1"/>
  <c r="R277" i="1"/>
  <c r="R276" i="1"/>
  <c r="R453" i="1"/>
  <c r="R446" i="1"/>
  <c r="R454" i="1"/>
  <c r="R448" i="1"/>
  <c r="G479" i="2"/>
  <c r="G480" i="2" s="1"/>
  <c r="W452" i="1"/>
  <c r="W269" i="1"/>
  <c r="W446" i="1"/>
  <c r="S451" i="1"/>
  <c r="S274" i="1"/>
  <c r="S450" i="1"/>
  <c r="E13" i="2"/>
  <c r="H130" i="1"/>
  <c r="W276" i="1"/>
  <c r="W275" i="1"/>
  <c r="W453" i="1"/>
  <c r="W277" i="1"/>
  <c r="W448" i="1"/>
  <c r="W271" i="1"/>
  <c r="AE479" i="2"/>
  <c r="AE480" i="2" s="1"/>
  <c r="K142" i="1"/>
  <c r="AB479" i="2"/>
  <c r="AB480" i="2" s="1"/>
  <c r="K130" i="1"/>
  <c r="U479" i="2"/>
  <c r="U480" i="2" s="1"/>
  <c r="AD479" i="2"/>
  <c r="AD480" i="2" s="1"/>
  <c r="S130" i="1"/>
  <c r="S273" i="1"/>
  <c r="S447" i="1"/>
  <c r="R312" i="1"/>
  <c r="E215" i="2" s="1"/>
  <c r="S312" i="1"/>
  <c r="E216" i="2" s="1"/>
  <c r="T216" i="2" s="1"/>
  <c r="S98" i="1"/>
  <c r="S101" i="1" s="1"/>
  <c r="S104" i="1" s="1"/>
  <c r="S124" i="1" s="1"/>
  <c r="S126" i="1" s="1"/>
  <c r="S131" i="1"/>
  <c r="E25" i="2"/>
  <c r="F25" i="2" s="1"/>
  <c r="Y142" i="1"/>
  <c r="U451" i="1"/>
  <c r="E35" i="2"/>
  <c r="M35" i="2" s="1"/>
  <c r="Y93" i="1"/>
  <c r="E24" i="2"/>
  <c r="R24" i="2" s="1"/>
  <c r="U274" i="1"/>
  <c r="H142" i="1"/>
  <c r="H98" i="1"/>
  <c r="H101" i="1" s="1"/>
  <c r="H104" i="1" s="1"/>
  <c r="H124" i="1" s="1"/>
  <c r="H126" i="1" s="1"/>
  <c r="M479" i="2"/>
  <c r="M480" i="2" s="1"/>
  <c r="Y131" i="1"/>
  <c r="Y98" i="1"/>
  <c r="Y101" i="1" s="1"/>
  <c r="Y104" i="1" s="1"/>
  <c r="Y124" i="1" s="1"/>
  <c r="Y126" i="1" s="1"/>
  <c r="H131" i="1"/>
  <c r="H93" i="1"/>
  <c r="K98" i="1"/>
  <c r="K101" i="1" s="1"/>
  <c r="K104" i="1" s="1"/>
  <c r="K124" i="1" s="1"/>
  <c r="K126" i="1" s="1"/>
  <c r="K449" i="1" s="1"/>
  <c r="Y479" i="2"/>
  <c r="Y480" i="2" s="1"/>
  <c r="W479" i="2"/>
  <c r="W480" i="2" s="1"/>
  <c r="R98" i="1"/>
  <c r="R101" i="1" s="1"/>
  <c r="R104" i="1" s="1"/>
  <c r="R124" i="1" s="1"/>
  <c r="R126" i="1" s="1"/>
  <c r="R131" i="1"/>
  <c r="R142" i="1"/>
  <c r="R93" i="1"/>
  <c r="AC479" i="2"/>
  <c r="AC480" i="2" s="1"/>
  <c r="T479" i="2"/>
  <c r="T480" i="2" s="1"/>
  <c r="Q479" i="2"/>
  <c r="Q480" i="2" s="1"/>
  <c r="M274" i="1"/>
  <c r="W98" i="1"/>
  <c r="W101" i="1" s="1"/>
  <c r="M448" i="1"/>
  <c r="W447" i="1"/>
  <c r="S93" i="1"/>
  <c r="M447" i="1"/>
  <c r="M312" i="1"/>
  <c r="E207" i="2" s="1"/>
  <c r="G207" i="2" s="1"/>
  <c r="U270" i="1"/>
  <c r="W142" i="1"/>
  <c r="U447" i="1"/>
  <c r="M131" i="1"/>
  <c r="M273" i="1"/>
  <c r="M130" i="1"/>
  <c r="E32" i="2"/>
  <c r="I32" i="2" s="1"/>
  <c r="U273" i="1"/>
  <c r="M452" i="1"/>
  <c r="AA454" i="1"/>
  <c r="P553" i="2"/>
  <c r="L479" i="2"/>
  <c r="L480" i="2" s="1"/>
  <c r="S479" i="2"/>
  <c r="S480" i="2" s="1"/>
  <c r="AF479" i="2"/>
  <c r="AF480" i="2" s="1"/>
  <c r="AA479" i="2"/>
  <c r="AA480" i="2" s="1"/>
  <c r="X479" i="2"/>
  <c r="X480" i="2" s="1"/>
  <c r="R479" i="2"/>
  <c r="R480" i="2" s="1"/>
  <c r="M98" i="1"/>
  <c r="M101" i="1" s="1"/>
  <c r="M104" i="1" s="1"/>
  <c r="M124" i="1" s="1"/>
  <c r="M126" i="1" s="1"/>
  <c r="N479" i="2"/>
  <c r="N480" i="2" s="1"/>
  <c r="E480" i="2"/>
  <c r="O481" i="2" s="1"/>
  <c r="P479" i="2"/>
  <c r="P480" i="2" s="1"/>
  <c r="Z479" i="2"/>
  <c r="Z480" i="2" s="1"/>
  <c r="V479" i="2"/>
  <c r="V480" i="2" s="1"/>
  <c r="E16" i="2"/>
  <c r="Q16" i="2" s="1"/>
  <c r="W274" i="1"/>
  <c r="W451" i="1"/>
  <c r="W273" i="1"/>
  <c r="W270" i="1"/>
  <c r="AA446" i="1"/>
  <c r="M275" i="1"/>
  <c r="M271" i="1"/>
  <c r="M270" i="1"/>
  <c r="AA277" i="1"/>
  <c r="AA271" i="1"/>
  <c r="AA275" i="1"/>
  <c r="M276" i="1"/>
  <c r="K93" i="1"/>
  <c r="M451" i="1"/>
  <c r="AG446" i="2"/>
  <c r="AH446" i="2" s="1"/>
  <c r="AG204" i="2"/>
  <c r="AH204" i="2" s="1"/>
  <c r="AG52" i="2"/>
  <c r="AG13" i="2"/>
  <c r="AG90" i="2"/>
  <c r="M269" i="1"/>
  <c r="M454" i="1"/>
  <c r="M93" i="1"/>
  <c r="M446" i="1"/>
  <c r="M453" i="1"/>
  <c r="W131" i="1"/>
  <c r="AA448" i="1"/>
  <c r="AA452" i="1"/>
  <c r="AA269" i="1"/>
  <c r="AA453" i="1"/>
  <c r="AA274" i="1"/>
  <c r="AA450" i="1"/>
  <c r="AA451" i="1"/>
  <c r="AA273" i="1"/>
  <c r="AA270" i="1"/>
  <c r="AA447" i="1"/>
  <c r="AA312" i="1"/>
  <c r="E229" i="2" s="1"/>
  <c r="I229" i="2" s="1"/>
  <c r="AA130" i="1"/>
  <c r="AA142" i="1"/>
  <c r="E38" i="2"/>
  <c r="I38" i="2" s="1"/>
  <c r="AA93" i="1"/>
  <c r="AA131" i="1"/>
  <c r="AA98" i="1"/>
  <c r="AA101" i="1" s="1"/>
  <c r="AA104" i="1" s="1"/>
  <c r="AA124" i="1" s="1"/>
  <c r="AA126" i="1" s="1"/>
  <c r="I506" i="2"/>
  <c r="J506" i="2"/>
  <c r="K506" i="2"/>
  <c r="G506" i="2"/>
  <c r="M506" i="2"/>
  <c r="U312" i="1"/>
  <c r="E220" i="2" s="1"/>
  <c r="I220" i="2" s="1"/>
  <c r="L506" i="2"/>
  <c r="N506" i="2"/>
  <c r="N515" i="2" s="1"/>
  <c r="N544" i="2" s="1"/>
  <c r="N567" i="2" s="1"/>
  <c r="U131" i="1"/>
  <c r="U142" i="1"/>
  <c r="U98" i="1"/>
  <c r="U101" i="1" s="1"/>
  <c r="U104" i="1" s="1"/>
  <c r="U124" i="1" s="1"/>
  <c r="U126" i="1" s="1"/>
  <c r="U272" i="1" s="1"/>
  <c r="E29" i="2"/>
  <c r="L29" i="2" s="1"/>
  <c r="U93" i="1"/>
  <c r="U130" i="1"/>
  <c r="O506" i="2"/>
  <c r="O515" i="2" s="1"/>
  <c r="O544" i="2" s="1"/>
  <c r="O567" i="2" s="1"/>
  <c r="I312" i="1"/>
  <c r="I142" i="1"/>
  <c r="E9" i="2"/>
  <c r="I98" i="1"/>
  <c r="I131" i="1"/>
  <c r="I130" i="1"/>
  <c r="P506" i="2"/>
  <c r="P515" i="2" s="1"/>
  <c r="AG128" i="2"/>
  <c r="F506" i="2"/>
  <c r="H506" i="2"/>
  <c r="R506" i="2"/>
  <c r="R515" i="2" s="1"/>
  <c r="AG524" i="2"/>
  <c r="F553" i="2"/>
  <c r="AH415" i="2"/>
  <c r="I440" i="1"/>
  <c r="I414" i="1"/>
  <c r="AG166" i="2"/>
  <c r="H205" i="15"/>
  <c r="H35" i="15" s="1"/>
  <c r="K469" i="2"/>
  <c r="K451" i="2"/>
  <c r="K452" i="2" s="1"/>
  <c r="I444" i="2"/>
  <c r="I445" i="2" s="1"/>
  <c r="I448" i="2"/>
  <c r="AG280" i="2"/>
  <c r="Q506" i="2"/>
  <c r="Q515" i="2" s="1"/>
  <c r="F444" i="2"/>
  <c r="F448" i="2"/>
  <c r="AG486" i="2"/>
  <c r="AH486" i="2" s="1"/>
  <c r="AG418" i="2"/>
  <c r="AH418" i="2" s="1"/>
  <c r="W93" i="1"/>
  <c r="I264" i="1"/>
  <c r="F314" i="2"/>
  <c r="AG314" i="2" s="1"/>
  <c r="AH314" i="2" s="1"/>
  <c r="AG409" i="2"/>
  <c r="AH409" i="2" s="1"/>
  <c r="I91" i="1"/>
  <c r="I93" i="1" s="1"/>
  <c r="H338" i="2"/>
  <c r="AG242" i="2"/>
  <c r="AG453" i="2"/>
  <c r="AH453" i="2" s="1"/>
  <c r="H448" i="2"/>
  <c r="H444" i="2"/>
  <c r="H445" i="2" s="1"/>
  <c r="G338" i="2"/>
  <c r="N618" i="2" l="1"/>
  <c r="N620" i="2" s="1"/>
  <c r="N592" i="2"/>
  <c r="O618" i="2"/>
  <c r="O620" i="2" s="1"/>
  <c r="O592" i="2"/>
  <c r="F515" i="2"/>
  <c r="L515" i="2"/>
  <c r="L544" i="2" s="1"/>
  <c r="L567" i="2" s="1"/>
  <c r="K515" i="2"/>
  <c r="K544" i="2" s="1"/>
  <c r="K567" i="2" s="1"/>
  <c r="J515" i="2"/>
  <c r="J544" i="2" s="1"/>
  <c r="J567" i="2" s="1"/>
  <c r="J592" i="2" s="1"/>
  <c r="H515" i="2"/>
  <c r="H544" i="2" s="1"/>
  <c r="H567" i="2" s="1"/>
  <c r="M515" i="2"/>
  <c r="I515" i="2"/>
  <c r="I544" i="2" s="1"/>
  <c r="I567" i="2" s="1"/>
  <c r="G515" i="2"/>
  <c r="G544" i="2" s="1"/>
  <c r="G567" i="2" s="1"/>
  <c r="P229" i="1"/>
  <c r="H34" i="15"/>
  <c r="AB108" i="1"/>
  <c r="AC108" i="1" s="1"/>
  <c r="AB139" i="1"/>
  <c r="AC139" i="1" s="1"/>
  <c r="P68" i="1"/>
  <c r="AB389" i="1"/>
  <c r="AC389" i="1" s="1"/>
  <c r="P70" i="1"/>
  <c r="AB406" i="1"/>
  <c r="AC406" i="1" s="1"/>
  <c r="P77" i="1"/>
  <c r="AB89" i="1"/>
  <c r="AC89" i="1" s="1"/>
  <c r="AB306" i="1"/>
  <c r="AC306" i="1" s="1"/>
  <c r="P67" i="1"/>
  <c r="P8" i="1"/>
  <c r="P66" i="1"/>
  <c r="P69" i="1"/>
  <c r="P63" i="1"/>
  <c r="P64" i="1"/>
  <c r="P408" i="1"/>
  <c r="P58" i="1"/>
  <c r="P65" i="1"/>
  <c r="P10" i="1"/>
  <c r="P309" i="1"/>
  <c r="P72" i="1"/>
  <c r="P71" i="1"/>
  <c r="P9" i="1"/>
  <c r="AB390" i="1"/>
  <c r="AC390" i="1" s="1"/>
  <c r="P141" i="1"/>
  <c r="AB78" i="1"/>
  <c r="AC78" i="1" s="1"/>
  <c r="P215" i="1"/>
  <c r="AB310" i="1"/>
  <c r="AC310" i="1" s="1"/>
  <c r="AB211" i="1"/>
  <c r="AC211" i="1" s="1"/>
  <c r="AB213" i="1"/>
  <c r="AC213" i="1" s="1"/>
  <c r="AB227" i="1"/>
  <c r="AC227" i="1" s="1"/>
  <c r="AB137" i="1"/>
  <c r="AC137" i="1" s="1"/>
  <c r="P392" i="1"/>
  <c r="AB138" i="1"/>
  <c r="AC138" i="1" s="1"/>
  <c r="AB87" i="1"/>
  <c r="AC87" i="1" s="1"/>
  <c r="O65" i="1"/>
  <c r="O77" i="1"/>
  <c r="O63" i="1"/>
  <c r="O8" i="1"/>
  <c r="O309" i="1"/>
  <c r="O10" i="1"/>
  <c r="O69" i="1"/>
  <c r="O72" i="1"/>
  <c r="O68" i="1"/>
  <c r="O64" i="1"/>
  <c r="O9" i="1"/>
  <c r="O71" i="1"/>
  <c r="O67" i="1"/>
  <c r="AB56" i="1"/>
  <c r="AC56" i="1" s="1"/>
  <c r="O70" i="1"/>
  <c r="O58" i="1"/>
  <c r="O66" i="1"/>
  <c r="AB66" i="1" s="1"/>
  <c r="AC66" i="1" s="1"/>
  <c r="O73" i="1"/>
  <c r="AB73" i="1" s="1"/>
  <c r="AC73" i="1" s="1"/>
  <c r="AB399" i="1"/>
  <c r="AC399" i="1" s="1"/>
  <c r="O408" i="1"/>
  <c r="O392" i="1"/>
  <c r="AB380" i="1"/>
  <c r="AC380" i="1" s="1"/>
  <c r="O141" i="1"/>
  <c r="AB136" i="1"/>
  <c r="AC136" i="1" s="1"/>
  <c r="E458" i="2"/>
  <c r="E463" i="2"/>
  <c r="AG456" i="2"/>
  <c r="AH456" i="2" s="1"/>
  <c r="AB202" i="1"/>
  <c r="AC202" i="1" s="1"/>
  <c r="O215" i="1"/>
  <c r="O229" i="1"/>
  <c r="AB220" i="1"/>
  <c r="AC220" i="1" s="1"/>
  <c r="AB365" i="1"/>
  <c r="AC365" i="1" s="1"/>
  <c r="AB180" i="1"/>
  <c r="AC180" i="1" s="1"/>
  <c r="AF216" i="2"/>
  <c r="AC24" i="2"/>
  <c r="AH13" i="2"/>
  <c r="AB25" i="2"/>
  <c r="R25" i="2"/>
  <c r="R26" i="2" s="1"/>
  <c r="AA35" i="2"/>
  <c r="T25" i="2"/>
  <c r="AD25" i="2"/>
  <c r="J25" i="2"/>
  <c r="X25" i="2"/>
  <c r="K25" i="2"/>
  <c r="AC25" i="2"/>
  <c r="N25" i="2"/>
  <c r="AF25" i="2"/>
  <c r="M25" i="2"/>
  <c r="J35" i="2"/>
  <c r="AC35" i="2"/>
  <c r="S35" i="2"/>
  <c r="I35" i="2"/>
  <c r="X35" i="2"/>
  <c r="AD216" i="2"/>
  <c r="O216" i="2"/>
  <c r="X216" i="2"/>
  <c r="N216" i="2"/>
  <c r="AA216" i="2"/>
  <c r="W216" i="2"/>
  <c r="P24" i="2"/>
  <c r="V25" i="2"/>
  <c r="W25" i="2"/>
  <c r="L25" i="2"/>
  <c r="AE25" i="2"/>
  <c r="Q25" i="2"/>
  <c r="S25" i="2"/>
  <c r="I24" i="2"/>
  <c r="P25" i="2"/>
  <c r="I25" i="2"/>
  <c r="AA25" i="2"/>
  <c r="Y25" i="2"/>
  <c r="Z25" i="2"/>
  <c r="O25" i="2"/>
  <c r="H25" i="2"/>
  <c r="J216" i="2"/>
  <c r="U216" i="2"/>
  <c r="V216" i="2"/>
  <c r="L216" i="2"/>
  <c r="H216" i="2"/>
  <c r="Y216" i="2"/>
  <c r="Z216" i="2"/>
  <c r="AE216" i="2"/>
  <c r="S216" i="2"/>
  <c r="I216" i="2"/>
  <c r="P216" i="2"/>
  <c r="M216" i="2"/>
  <c r="Z24" i="2"/>
  <c r="U35" i="2"/>
  <c r="AE35" i="2"/>
  <c r="AC216" i="2"/>
  <c r="K216" i="2"/>
  <c r="Q216" i="2"/>
  <c r="K24" i="2"/>
  <c r="F216" i="2"/>
  <c r="R216" i="2"/>
  <c r="AB216" i="2"/>
  <c r="G216" i="2"/>
  <c r="O35" i="2"/>
  <c r="K35" i="2"/>
  <c r="E26" i="2"/>
  <c r="G24" i="2"/>
  <c r="V35" i="2"/>
  <c r="N35" i="2"/>
  <c r="F35" i="2"/>
  <c r="H24" i="2"/>
  <c r="AE24" i="2"/>
  <c r="F24" i="2"/>
  <c r="F26" i="2" s="1"/>
  <c r="AB35" i="2"/>
  <c r="Q35" i="2"/>
  <c r="AD35" i="2"/>
  <c r="W35" i="2"/>
  <c r="Y35" i="2"/>
  <c r="P35" i="2"/>
  <c r="AF24" i="2"/>
  <c r="Z220" i="2"/>
  <c r="V24" i="2"/>
  <c r="N24" i="2"/>
  <c r="AB24" i="2"/>
  <c r="Z35" i="2"/>
  <c r="H35" i="2"/>
  <c r="AF35" i="2"/>
  <c r="L35" i="2"/>
  <c r="R35" i="2"/>
  <c r="T35" i="2"/>
  <c r="G35" i="2"/>
  <c r="G25" i="2"/>
  <c r="U25" i="2"/>
  <c r="AB32" i="2"/>
  <c r="AD32" i="2"/>
  <c r="O24" i="2"/>
  <c r="AD24" i="2"/>
  <c r="T24" i="2"/>
  <c r="J24" i="2"/>
  <c r="AA24" i="2"/>
  <c r="U24" i="2"/>
  <c r="Y24" i="2"/>
  <c r="X24" i="2"/>
  <c r="Q24" i="2"/>
  <c r="W24" i="2"/>
  <c r="L24" i="2"/>
  <c r="S24" i="2"/>
  <c r="M24" i="2"/>
  <c r="R316" i="1"/>
  <c r="E291" i="2" s="1"/>
  <c r="L291" i="2" s="1"/>
  <c r="E63" i="2"/>
  <c r="K63" i="2" s="1"/>
  <c r="R278" i="1"/>
  <c r="R318" i="1"/>
  <c r="U32" i="2"/>
  <c r="M32" i="2"/>
  <c r="AF32" i="2"/>
  <c r="K324" i="1"/>
  <c r="Q32" i="2"/>
  <c r="G32" i="2"/>
  <c r="AB481" i="2"/>
  <c r="AF16" i="2"/>
  <c r="J32" i="2"/>
  <c r="Z32" i="2"/>
  <c r="N32" i="2"/>
  <c r="R314" i="1"/>
  <c r="E253" i="2" s="1"/>
  <c r="M253" i="2" s="1"/>
  <c r="S32" i="2"/>
  <c r="O32" i="2"/>
  <c r="X32" i="2"/>
  <c r="F32" i="2"/>
  <c r="R449" i="1"/>
  <c r="R455" i="1"/>
  <c r="AC32" i="2"/>
  <c r="P32" i="2"/>
  <c r="W32" i="2"/>
  <c r="R32" i="2"/>
  <c r="T32" i="2"/>
  <c r="AE32" i="2"/>
  <c r="K32" i="2"/>
  <c r="R324" i="1"/>
  <c r="R272" i="1"/>
  <c r="T481" i="2"/>
  <c r="AD16" i="2"/>
  <c r="X16" i="2"/>
  <c r="N16" i="2"/>
  <c r="H32" i="2"/>
  <c r="Y32" i="2"/>
  <c r="AA32" i="2"/>
  <c r="V32" i="2"/>
  <c r="L32" i="2"/>
  <c r="L16" i="2"/>
  <c r="R281" i="1"/>
  <c r="R322" i="1"/>
  <c r="R320" i="1"/>
  <c r="G481" i="2"/>
  <c r="G16" i="2"/>
  <c r="U481" i="2"/>
  <c r="M481" i="2"/>
  <c r="AA481" i="2"/>
  <c r="AE481" i="2"/>
  <c r="AC16" i="2"/>
  <c r="AF481" i="2"/>
  <c r="V481" i="2"/>
  <c r="AD481" i="2"/>
  <c r="Y481" i="2"/>
  <c r="Z16" i="2"/>
  <c r="V16" i="2"/>
  <c r="AB16" i="2"/>
  <c r="S481" i="2"/>
  <c r="Q481" i="2"/>
  <c r="O16" i="2"/>
  <c r="R481" i="2"/>
  <c r="W16" i="2"/>
  <c r="AA16" i="2"/>
  <c r="Y16" i="2"/>
  <c r="P481" i="2"/>
  <c r="Z481" i="2"/>
  <c r="AC481" i="2"/>
  <c r="X481" i="2"/>
  <c r="T16" i="2"/>
  <c r="P16" i="2"/>
  <c r="AE16" i="2"/>
  <c r="R16" i="2"/>
  <c r="N481" i="2"/>
  <c r="W481" i="2"/>
  <c r="L481" i="2"/>
  <c r="S16" i="2"/>
  <c r="M16" i="2"/>
  <c r="U16" i="2"/>
  <c r="K320" i="1"/>
  <c r="U455" i="1"/>
  <c r="K281" i="1"/>
  <c r="K272" i="1"/>
  <c r="K314" i="1"/>
  <c r="E242" i="2" s="1"/>
  <c r="AH242" i="2" s="1"/>
  <c r="K316" i="1"/>
  <c r="E280" i="2" s="1"/>
  <c r="AH280" i="2" s="1"/>
  <c r="K318" i="1"/>
  <c r="K322" i="1"/>
  <c r="K278" i="1"/>
  <c r="E52" i="2"/>
  <c r="AH52" i="2" s="1"/>
  <c r="K455" i="1"/>
  <c r="K459" i="1" s="1"/>
  <c r="K461" i="1" s="1"/>
  <c r="K463" i="1" s="1"/>
  <c r="E166" i="2" s="1"/>
  <c r="AH166" i="2" s="1"/>
  <c r="U324" i="1"/>
  <c r="L220" i="2"/>
  <c r="U316" i="1"/>
  <c r="E296" i="2" s="1"/>
  <c r="AB296" i="2" s="1"/>
  <c r="AD220" i="2"/>
  <c r="J220" i="2"/>
  <c r="AC220" i="2"/>
  <c r="E68" i="2"/>
  <c r="AB68" i="2" s="1"/>
  <c r="AF220" i="2"/>
  <c r="U449" i="1"/>
  <c r="T38" i="2"/>
  <c r="K38" i="2"/>
  <c r="AC38" i="2"/>
  <c r="AB38" i="2"/>
  <c r="N38" i="2"/>
  <c r="Z38" i="2"/>
  <c r="O38" i="2"/>
  <c r="AE38" i="2"/>
  <c r="U38" i="2"/>
  <c r="X38" i="2"/>
  <c r="M38" i="2"/>
  <c r="AD38" i="2"/>
  <c r="AF38" i="2"/>
  <c r="R38" i="2"/>
  <c r="F38" i="2"/>
  <c r="G38" i="2"/>
  <c r="V38" i="2"/>
  <c r="L38" i="2"/>
  <c r="Q38" i="2"/>
  <c r="Y38" i="2"/>
  <c r="H38" i="2"/>
  <c r="J38" i="2"/>
  <c r="W38" i="2"/>
  <c r="P38" i="2"/>
  <c r="AA38" i="2"/>
  <c r="S38" i="2"/>
  <c r="AA449" i="1"/>
  <c r="AA281" i="1"/>
  <c r="AA272" i="1"/>
  <c r="AA455" i="1"/>
  <c r="AA322" i="1"/>
  <c r="AA314" i="1"/>
  <c r="AA278" i="1"/>
  <c r="AA318" i="1"/>
  <c r="E77" i="2"/>
  <c r="AA320" i="1"/>
  <c r="AA324" i="1"/>
  <c r="AA316" i="1"/>
  <c r="E305" i="2" s="1"/>
  <c r="AC229" i="2"/>
  <c r="Q229" i="2"/>
  <c r="Y229" i="2"/>
  <c r="AE229" i="2"/>
  <c r="K229" i="2"/>
  <c r="T229" i="2"/>
  <c r="R229" i="2"/>
  <c r="N229" i="2"/>
  <c r="Z229" i="2"/>
  <c r="O229" i="2"/>
  <c r="X229" i="2"/>
  <c r="AF229" i="2"/>
  <c r="AD229" i="2"/>
  <c r="G229" i="2"/>
  <c r="M229" i="2"/>
  <c r="H229" i="2"/>
  <c r="U229" i="2"/>
  <c r="W229" i="2"/>
  <c r="L229" i="2"/>
  <c r="AA229" i="2"/>
  <c r="P229" i="2"/>
  <c r="V229" i="2"/>
  <c r="J229" i="2"/>
  <c r="S229" i="2"/>
  <c r="AB229" i="2"/>
  <c r="F229" i="2"/>
  <c r="Q29" i="2"/>
  <c r="AC207" i="2"/>
  <c r="V29" i="2"/>
  <c r="AD29" i="2"/>
  <c r="P29" i="2"/>
  <c r="V220" i="2"/>
  <c r="R220" i="2"/>
  <c r="N220" i="2"/>
  <c r="K29" i="2"/>
  <c r="U220" i="2"/>
  <c r="L207" i="2"/>
  <c r="U281" i="1"/>
  <c r="U320" i="1"/>
  <c r="U318" i="1"/>
  <c r="U278" i="1"/>
  <c r="X207" i="2"/>
  <c r="N207" i="2"/>
  <c r="W29" i="2"/>
  <c r="AB220" i="2"/>
  <c r="U29" i="2"/>
  <c r="X29" i="2"/>
  <c r="AE220" i="2"/>
  <c r="O29" i="2"/>
  <c r="U322" i="1"/>
  <c r="U314" i="1"/>
  <c r="E258" i="2" s="1"/>
  <c r="U207" i="2"/>
  <c r="S207" i="2"/>
  <c r="M207" i="2"/>
  <c r="Q207" i="2"/>
  <c r="O207" i="2"/>
  <c r="V207" i="2"/>
  <c r="P207" i="2"/>
  <c r="T207" i="2"/>
  <c r="AB207" i="2"/>
  <c r="AD207" i="2"/>
  <c r="Y207" i="2"/>
  <c r="AE207" i="2"/>
  <c r="AA207" i="2"/>
  <c r="AF207" i="2"/>
  <c r="W207" i="2"/>
  <c r="R207" i="2"/>
  <c r="Z207" i="2"/>
  <c r="I29" i="2"/>
  <c r="M220" i="2"/>
  <c r="S220" i="2"/>
  <c r="O220" i="2"/>
  <c r="Y220" i="2"/>
  <c r="AB29" i="2"/>
  <c r="Q220" i="2"/>
  <c r="F29" i="2"/>
  <c r="X220" i="2"/>
  <c r="T220" i="2"/>
  <c r="G220" i="2"/>
  <c r="R29" i="2"/>
  <c r="H220" i="2"/>
  <c r="AC29" i="2"/>
  <c r="P220" i="2"/>
  <c r="W220" i="2"/>
  <c r="AE29" i="2"/>
  <c r="H281" i="1"/>
  <c r="H449" i="1"/>
  <c r="H455" i="1"/>
  <c r="E47" i="2"/>
  <c r="H318" i="1"/>
  <c r="H278" i="1"/>
  <c r="H320" i="1"/>
  <c r="H316" i="1"/>
  <c r="E275" i="2" s="1"/>
  <c r="H314" i="1"/>
  <c r="H322" i="1"/>
  <c r="H324" i="1"/>
  <c r="H272" i="1"/>
  <c r="M316" i="1"/>
  <c r="E283" i="2" s="1"/>
  <c r="M322" i="1"/>
  <c r="M278" i="1"/>
  <c r="M324" i="1"/>
  <c r="M449" i="1"/>
  <c r="E55" i="2"/>
  <c r="M272" i="1"/>
  <c r="M318" i="1"/>
  <c r="M281" i="1"/>
  <c r="M320" i="1"/>
  <c r="M455" i="1"/>
  <c r="M314" i="1"/>
  <c r="AF29" i="2"/>
  <c r="Z29" i="2"/>
  <c r="AA220" i="2"/>
  <c r="K220" i="2"/>
  <c r="N29" i="2"/>
  <c r="AA29" i="2"/>
  <c r="G29" i="2"/>
  <c r="H29" i="2"/>
  <c r="F220" i="2"/>
  <c r="T29" i="2"/>
  <c r="Y29" i="2"/>
  <c r="S29" i="2"/>
  <c r="J29" i="2"/>
  <c r="M29" i="2"/>
  <c r="Y455" i="1"/>
  <c r="E74" i="2"/>
  <c r="Y324" i="1"/>
  <c r="Y314" i="1"/>
  <c r="Y449" i="1"/>
  <c r="Y316" i="1"/>
  <c r="E302" i="2" s="1"/>
  <c r="Y322" i="1"/>
  <c r="Y281" i="1"/>
  <c r="Y278" i="1"/>
  <c r="Y272" i="1"/>
  <c r="Y318" i="1"/>
  <c r="Y320" i="1"/>
  <c r="S320" i="1"/>
  <c r="S449" i="1"/>
  <c r="E64" i="2"/>
  <c r="S322" i="1"/>
  <c r="S272" i="1"/>
  <c r="S281" i="1"/>
  <c r="S314" i="1"/>
  <c r="S278" i="1"/>
  <c r="S316" i="1"/>
  <c r="E292" i="2" s="1"/>
  <c r="S324" i="1"/>
  <c r="S318" i="1"/>
  <c r="S455" i="1"/>
  <c r="I223" i="2"/>
  <c r="X223" i="2"/>
  <c r="W223" i="2"/>
  <c r="G223" i="2"/>
  <c r="S223" i="2"/>
  <c r="K223" i="2"/>
  <c r="N223" i="2"/>
  <c r="F223" i="2"/>
  <c r="M223" i="2"/>
  <c r="T223" i="2"/>
  <c r="U223" i="2"/>
  <c r="AD223" i="2"/>
  <c r="R223" i="2"/>
  <c r="J223" i="2"/>
  <c r="O223" i="2"/>
  <c r="AC223" i="2"/>
  <c r="V223" i="2"/>
  <c r="AB223" i="2"/>
  <c r="AF223" i="2"/>
  <c r="P223" i="2"/>
  <c r="H223" i="2"/>
  <c r="Z223" i="2"/>
  <c r="Q223" i="2"/>
  <c r="AE223" i="2"/>
  <c r="Y223" i="2"/>
  <c r="AA223" i="2"/>
  <c r="L223" i="2"/>
  <c r="K203" i="15"/>
  <c r="K205" i="15" s="1"/>
  <c r="K35" i="15" s="1"/>
  <c r="F316" i="2"/>
  <c r="F451" i="2"/>
  <c r="F469" i="2"/>
  <c r="Q544" i="2"/>
  <c r="Q567" i="2" s="1"/>
  <c r="R544" i="2"/>
  <c r="R567" i="2" s="1"/>
  <c r="P544" i="2"/>
  <c r="P567" i="2" s="1"/>
  <c r="E10" i="2"/>
  <c r="W104" i="1"/>
  <c r="W124" i="1" s="1"/>
  <c r="W126" i="1" s="1"/>
  <c r="I469" i="2"/>
  <c r="I451" i="2"/>
  <c r="I452" i="2" s="1"/>
  <c r="E217" i="2"/>
  <c r="AD215" i="2"/>
  <c r="W215" i="2"/>
  <c r="M215" i="2"/>
  <c r="X215" i="2"/>
  <c r="P215" i="2"/>
  <c r="H215" i="2"/>
  <c r="AF215" i="2"/>
  <c r="Q215" i="2"/>
  <c r="K215" i="2"/>
  <c r="S215" i="2"/>
  <c r="AA215" i="2"/>
  <c r="G215" i="2"/>
  <c r="T215" i="2"/>
  <c r="T217" i="2" s="1"/>
  <c r="V215" i="2"/>
  <c r="Z215" i="2"/>
  <c r="I215" i="2"/>
  <c r="Y215" i="2"/>
  <c r="R215" i="2"/>
  <c r="AB215" i="2"/>
  <c r="U215" i="2"/>
  <c r="AC215" i="2"/>
  <c r="O215" i="2"/>
  <c r="F215" i="2"/>
  <c r="AE215" i="2"/>
  <c r="N215" i="2"/>
  <c r="L215" i="2"/>
  <c r="J215" i="2"/>
  <c r="F445" i="2"/>
  <c r="I450" i="1"/>
  <c r="I274" i="1"/>
  <c r="I273" i="1"/>
  <c r="I451" i="1"/>
  <c r="I270" i="1"/>
  <c r="I447" i="1"/>
  <c r="J203" i="15"/>
  <c r="S84" i="15"/>
  <c r="J12" i="15" s="1"/>
  <c r="H469" i="2"/>
  <c r="H451" i="2"/>
  <c r="H452" i="2" s="1"/>
  <c r="I99" i="1"/>
  <c r="I452" i="1"/>
  <c r="I275" i="1"/>
  <c r="I269" i="1"/>
  <c r="I448" i="1"/>
  <c r="I277" i="1"/>
  <c r="I454" i="1"/>
  <c r="I453" i="1"/>
  <c r="I271" i="1"/>
  <c r="I446" i="1"/>
  <c r="I276" i="1"/>
  <c r="K476" i="2"/>
  <c r="K479" i="2" s="1"/>
  <c r="K480" i="2" s="1"/>
  <c r="K481" i="2" s="1"/>
  <c r="K472" i="2"/>
  <c r="K473" i="2" s="1"/>
  <c r="K474" i="2" s="1"/>
  <c r="AF226" i="2"/>
  <c r="U226" i="2"/>
  <c r="AD226" i="2"/>
  <c r="V226" i="2"/>
  <c r="P226" i="2"/>
  <c r="L226" i="2"/>
  <c r="X226" i="2"/>
  <c r="N226" i="2"/>
  <c r="Y226" i="2"/>
  <c r="W226" i="2"/>
  <c r="AA226" i="2"/>
  <c r="O226" i="2"/>
  <c r="AC226" i="2"/>
  <c r="S226" i="2"/>
  <c r="K226" i="2"/>
  <c r="AB226" i="2"/>
  <c r="G226" i="2"/>
  <c r="AE226" i="2"/>
  <c r="Z226" i="2"/>
  <c r="F226" i="2"/>
  <c r="Q226" i="2"/>
  <c r="R226" i="2"/>
  <c r="T226" i="2"/>
  <c r="M226" i="2"/>
  <c r="H226" i="2"/>
  <c r="I226" i="2"/>
  <c r="J226" i="2"/>
  <c r="AG506" i="2"/>
  <c r="E200" i="2"/>
  <c r="AG515" i="2" l="1"/>
  <c r="AB309" i="1"/>
  <c r="AC309" i="1" s="1"/>
  <c r="G618" i="2"/>
  <c r="G592" i="2"/>
  <c r="J618" i="2"/>
  <c r="K618" i="2"/>
  <c r="K592" i="2"/>
  <c r="H592" i="2"/>
  <c r="H618" i="2"/>
  <c r="I618" i="2"/>
  <c r="I592" i="2"/>
  <c r="P231" i="1"/>
  <c r="P235" i="1" s="1"/>
  <c r="AB229" i="1"/>
  <c r="AC229" i="1" s="1"/>
  <c r="K34" i="15"/>
  <c r="P12" i="1"/>
  <c r="AB68" i="1"/>
  <c r="AC68" i="1" s="1"/>
  <c r="AB70" i="1"/>
  <c r="AC70" i="1" s="1"/>
  <c r="P410" i="1"/>
  <c r="P412" i="1" s="1"/>
  <c r="P414" i="1" s="1"/>
  <c r="AB77" i="1"/>
  <c r="AC77" i="1" s="1"/>
  <c r="AB9" i="1"/>
  <c r="AC9" i="1" s="1"/>
  <c r="AB64" i="1"/>
  <c r="AC64" i="1" s="1"/>
  <c r="AB10" i="1"/>
  <c r="AC10" i="1" s="1"/>
  <c r="AB67" i="1"/>
  <c r="AC67" i="1" s="1"/>
  <c r="AB65" i="1"/>
  <c r="AC65" i="1" s="1"/>
  <c r="AB408" i="1"/>
  <c r="AC408" i="1" s="1"/>
  <c r="AB58" i="1"/>
  <c r="AC58" i="1" s="1"/>
  <c r="AB141" i="1"/>
  <c r="AC141" i="1" s="1"/>
  <c r="AB69" i="1"/>
  <c r="AC69" i="1" s="1"/>
  <c r="P75" i="1"/>
  <c r="P307" i="1" s="1"/>
  <c r="AB71" i="1"/>
  <c r="AC71" i="1" s="1"/>
  <c r="AB72" i="1"/>
  <c r="AC72" i="1" s="1"/>
  <c r="Y459" i="1"/>
  <c r="Y461" i="1" s="1"/>
  <c r="Y463" i="1" s="1"/>
  <c r="E188" i="2" s="1"/>
  <c r="AF188" i="2" s="1"/>
  <c r="AB63" i="1"/>
  <c r="AC63" i="1" s="1"/>
  <c r="O75" i="1"/>
  <c r="E465" i="2"/>
  <c r="AG463" i="2"/>
  <c r="AH463" i="2" s="1"/>
  <c r="X458" i="2"/>
  <c r="X459" i="2" s="1"/>
  <c r="S458" i="2"/>
  <c r="S459" i="2" s="1"/>
  <c r="AC458" i="2"/>
  <c r="AC459" i="2" s="1"/>
  <c r="AF458" i="2"/>
  <c r="AF459" i="2" s="1"/>
  <c r="AD458" i="2"/>
  <c r="AD459" i="2" s="1"/>
  <c r="Q458" i="2"/>
  <c r="Q459" i="2" s="1"/>
  <c r="I458" i="2"/>
  <c r="I459" i="2" s="1"/>
  <c r="AB458" i="2"/>
  <c r="AB459" i="2" s="1"/>
  <c r="V458" i="2"/>
  <c r="V459" i="2" s="1"/>
  <c r="U458" i="2"/>
  <c r="U459" i="2" s="1"/>
  <c r="R458" i="2"/>
  <c r="R459" i="2" s="1"/>
  <c r="AA458" i="2"/>
  <c r="AA459" i="2" s="1"/>
  <c r="L458" i="2"/>
  <c r="L459" i="2" s="1"/>
  <c r="Y458" i="2"/>
  <c r="Y459" i="2" s="1"/>
  <c r="H458" i="2"/>
  <c r="H459" i="2" s="1"/>
  <c r="G458" i="2"/>
  <c r="G459" i="2" s="1"/>
  <c r="N458" i="2"/>
  <c r="N459" i="2" s="1"/>
  <c r="Z458" i="2"/>
  <c r="Z459" i="2" s="1"/>
  <c r="E459" i="2"/>
  <c r="W458" i="2"/>
  <c r="W459" i="2" s="1"/>
  <c r="AE458" i="2"/>
  <c r="AE459" i="2" s="1"/>
  <c r="O458" i="2"/>
  <c r="O459" i="2" s="1"/>
  <c r="F458" i="2"/>
  <c r="J458" i="2"/>
  <c r="J459" i="2" s="1"/>
  <c r="T458" i="2"/>
  <c r="T459" i="2" s="1"/>
  <c r="P458" i="2"/>
  <c r="P459" i="2" s="1"/>
  <c r="M458" i="2"/>
  <c r="M459" i="2" s="1"/>
  <c r="K458" i="2"/>
  <c r="K459" i="2" s="1"/>
  <c r="O410" i="1"/>
  <c r="AB392" i="1"/>
  <c r="AC392" i="1" s="1"/>
  <c r="O231" i="1"/>
  <c r="AB215" i="1"/>
  <c r="AC215" i="1" s="1"/>
  <c r="AB8" i="1"/>
  <c r="AC8" i="1" s="1"/>
  <c r="O12" i="1"/>
  <c r="L618" i="2"/>
  <c r="L592" i="2"/>
  <c r="AF217" i="2"/>
  <c r="Z26" i="2"/>
  <c r="AB291" i="2"/>
  <c r="U291" i="2"/>
  <c r="S291" i="2"/>
  <c r="E293" i="2"/>
  <c r="R291" i="2"/>
  <c r="I291" i="2"/>
  <c r="M291" i="2"/>
  <c r="H291" i="2"/>
  <c r="AD291" i="2"/>
  <c r="J291" i="2"/>
  <c r="AA291" i="2"/>
  <c r="F291" i="2"/>
  <c r="AC26" i="2"/>
  <c r="Z291" i="2"/>
  <c r="V291" i="2"/>
  <c r="X291" i="2"/>
  <c r="AA217" i="2"/>
  <c r="T26" i="2"/>
  <c r="AE26" i="2"/>
  <c r="S26" i="2"/>
  <c r="X26" i="2"/>
  <c r="AF26" i="2"/>
  <c r="P217" i="2"/>
  <c r="P253" i="2"/>
  <c r="AB26" i="2"/>
  <c r="L217" i="2"/>
  <c r="G63" i="2"/>
  <c r="K217" i="2"/>
  <c r="M26" i="2"/>
  <c r="AA26" i="2"/>
  <c r="K26" i="2"/>
  <c r="W63" i="2"/>
  <c r="G217" i="2"/>
  <c r="E65" i="2"/>
  <c r="Z63" i="2"/>
  <c r="O217" i="2"/>
  <c r="W217" i="2"/>
  <c r="H26" i="2"/>
  <c r="J26" i="2"/>
  <c r="AE217" i="2"/>
  <c r="Q217" i="2"/>
  <c r="AC253" i="2"/>
  <c r="Z217" i="2"/>
  <c r="N253" i="2"/>
  <c r="AD26" i="2"/>
  <c r="N217" i="2"/>
  <c r="Q26" i="2"/>
  <c r="V26" i="2"/>
  <c r="J217" i="2"/>
  <c r="H217" i="2"/>
  <c r="N26" i="2"/>
  <c r="U217" i="2"/>
  <c r="O26" i="2"/>
  <c r="AD217" i="2"/>
  <c r="X217" i="2"/>
  <c r="AB217" i="2"/>
  <c r="AC217" i="2"/>
  <c r="I217" i="2"/>
  <c r="Y26" i="2"/>
  <c r="K283" i="1"/>
  <c r="K285" i="1" s="1"/>
  <c r="K129" i="1" s="1"/>
  <c r="K133" i="1" s="1"/>
  <c r="K144" i="1" s="1"/>
  <c r="E90" i="2" s="1"/>
  <c r="E524" i="2" s="1"/>
  <c r="AH524" i="2" s="1"/>
  <c r="AG25" i="2"/>
  <c r="AH25" i="2" s="1"/>
  <c r="AG216" i="2"/>
  <c r="AH216" i="2" s="1"/>
  <c r="I26" i="2"/>
  <c r="M217" i="2"/>
  <c r="H253" i="2"/>
  <c r="V253" i="2"/>
  <c r="L26" i="2"/>
  <c r="P26" i="2"/>
  <c r="R217" i="2"/>
  <c r="L253" i="2"/>
  <c r="Z253" i="2"/>
  <c r="W26" i="2"/>
  <c r="AG35" i="2"/>
  <c r="AH35" i="2" s="1"/>
  <c r="V217" i="2"/>
  <c r="S217" i="2"/>
  <c r="Y217" i="2"/>
  <c r="M63" i="2"/>
  <c r="V63" i="2"/>
  <c r="AF63" i="2"/>
  <c r="X63" i="2"/>
  <c r="AE63" i="2"/>
  <c r="AG24" i="2"/>
  <c r="AH24" i="2" s="1"/>
  <c r="G291" i="2"/>
  <c r="AC291" i="2"/>
  <c r="K291" i="2"/>
  <c r="O291" i="2"/>
  <c r="W291" i="2"/>
  <c r="AE291" i="2"/>
  <c r="N291" i="2"/>
  <c r="G26" i="2"/>
  <c r="AD283" i="2"/>
  <c r="AD63" i="2"/>
  <c r="U26" i="2"/>
  <c r="J63" i="2"/>
  <c r="U63" i="2"/>
  <c r="T63" i="2"/>
  <c r="AB63" i="2"/>
  <c r="T291" i="2"/>
  <c r="Y291" i="2"/>
  <c r="Q291" i="2"/>
  <c r="P291" i="2"/>
  <c r="AF291" i="2"/>
  <c r="R296" i="2"/>
  <c r="N63" i="2"/>
  <c r="Q63" i="2"/>
  <c r="AA63" i="2"/>
  <c r="H63" i="2"/>
  <c r="O63" i="2"/>
  <c r="Y63" i="2"/>
  <c r="I63" i="2"/>
  <c r="R63" i="2"/>
  <c r="F63" i="2"/>
  <c r="AC63" i="2"/>
  <c r="P63" i="2"/>
  <c r="L63" i="2"/>
  <c r="S63" i="2"/>
  <c r="G296" i="2"/>
  <c r="F253" i="2"/>
  <c r="J253" i="2"/>
  <c r="I253" i="2"/>
  <c r="AF253" i="2"/>
  <c r="K253" i="2"/>
  <c r="AD253" i="2"/>
  <c r="U253" i="2"/>
  <c r="O253" i="2"/>
  <c r="T253" i="2"/>
  <c r="Y253" i="2"/>
  <c r="X253" i="2"/>
  <c r="AB253" i="2"/>
  <c r="G253" i="2"/>
  <c r="S253" i="2"/>
  <c r="AG32" i="2"/>
  <c r="AH32" i="2" s="1"/>
  <c r="W253" i="2"/>
  <c r="R253" i="2"/>
  <c r="AA253" i="2"/>
  <c r="Q253" i="2"/>
  <c r="AE253" i="2"/>
  <c r="R459" i="1"/>
  <c r="R461" i="1" s="1"/>
  <c r="R463" i="1" s="1"/>
  <c r="E177" i="2" s="1"/>
  <c r="W177" i="2" s="1"/>
  <c r="T283" i="2"/>
  <c r="AC296" i="2"/>
  <c r="R283" i="1"/>
  <c r="R285" i="1" s="1"/>
  <c r="R129" i="1" s="1"/>
  <c r="R133" i="1" s="1"/>
  <c r="R144" i="1" s="1"/>
  <c r="E101" i="2" s="1"/>
  <c r="V296" i="2"/>
  <c r="R326" i="1"/>
  <c r="U459" i="1"/>
  <c r="U461" i="1" s="1"/>
  <c r="U463" i="1" s="1"/>
  <c r="E182" i="2" s="1"/>
  <c r="W182" i="2" s="1"/>
  <c r="L68" i="2"/>
  <c r="G68" i="2"/>
  <c r="M68" i="2"/>
  <c r="U68" i="2"/>
  <c r="AF68" i="2"/>
  <c r="J68" i="2"/>
  <c r="J296" i="2"/>
  <c r="K296" i="2"/>
  <c r="K326" i="1"/>
  <c r="Y68" i="2"/>
  <c r="F68" i="2"/>
  <c r="I68" i="2"/>
  <c r="P296" i="2"/>
  <c r="N68" i="2"/>
  <c r="U296" i="2"/>
  <c r="W68" i="2"/>
  <c r="Z68" i="2"/>
  <c r="X68" i="2"/>
  <c r="S68" i="2"/>
  <c r="AA68" i="2"/>
  <c r="N296" i="2"/>
  <c r="AA296" i="2"/>
  <c r="T296" i="2"/>
  <c r="L296" i="2"/>
  <c r="AE68" i="2"/>
  <c r="I296" i="2"/>
  <c r="Q296" i="2"/>
  <c r="AE296" i="2"/>
  <c r="S296" i="2"/>
  <c r="O68" i="2"/>
  <c r="V68" i="2"/>
  <c r="AD296" i="2"/>
  <c r="M296" i="2"/>
  <c r="F296" i="2"/>
  <c r="U326" i="1"/>
  <c r="X296" i="2"/>
  <c r="AG229" i="2"/>
  <c r="AH229" i="2" s="1"/>
  <c r="AD68" i="2"/>
  <c r="P68" i="2"/>
  <c r="T68" i="2"/>
  <c r="AC68" i="2"/>
  <c r="W296" i="2"/>
  <c r="O296" i="2"/>
  <c r="AF296" i="2"/>
  <c r="Y296" i="2"/>
  <c r="Z296" i="2"/>
  <c r="H296" i="2"/>
  <c r="AA459" i="1"/>
  <c r="AA461" i="1" s="1"/>
  <c r="AA463" i="1" s="1"/>
  <c r="E191" i="2" s="1"/>
  <c r="AA191" i="2" s="1"/>
  <c r="M459" i="1"/>
  <c r="M461" i="1" s="1"/>
  <c r="M463" i="1" s="1"/>
  <c r="E169" i="2" s="1"/>
  <c r="G169" i="2" s="1"/>
  <c r="H283" i="1"/>
  <c r="H285" i="1" s="1"/>
  <c r="E123" i="2" s="1"/>
  <c r="AG38" i="2"/>
  <c r="AH38" i="2" s="1"/>
  <c r="H68" i="2"/>
  <c r="Q68" i="2"/>
  <c r="K68" i="2"/>
  <c r="R68" i="2"/>
  <c r="I77" i="2"/>
  <c r="Q77" i="2"/>
  <c r="AB77" i="2"/>
  <c r="Y77" i="2"/>
  <c r="AA77" i="2"/>
  <c r="L77" i="2"/>
  <c r="M77" i="2"/>
  <c r="AC77" i="2"/>
  <c r="T77" i="2"/>
  <c r="W77" i="2"/>
  <c r="F77" i="2"/>
  <c r="K77" i="2"/>
  <c r="O77" i="2"/>
  <c r="H77" i="2"/>
  <c r="G77" i="2"/>
  <c r="AD77" i="2"/>
  <c r="AF77" i="2"/>
  <c r="N77" i="2"/>
  <c r="V77" i="2"/>
  <c r="P77" i="2"/>
  <c r="S77" i="2"/>
  <c r="U77" i="2"/>
  <c r="Z77" i="2"/>
  <c r="AE77" i="2"/>
  <c r="X77" i="2"/>
  <c r="R77" i="2"/>
  <c r="J77" i="2"/>
  <c r="E267" i="2"/>
  <c r="AA326" i="1"/>
  <c r="O305" i="2"/>
  <c r="AE305" i="2"/>
  <c r="K305" i="2"/>
  <c r="N305" i="2"/>
  <c r="T305" i="2"/>
  <c r="Y305" i="2"/>
  <c r="I305" i="2"/>
  <c r="X305" i="2"/>
  <c r="V305" i="2"/>
  <c r="G305" i="2"/>
  <c r="AB305" i="2"/>
  <c r="AC305" i="2"/>
  <c r="R305" i="2"/>
  <c r="H305" i="2"/>
  <c r="L305" i="2"/>
  <c r="S305" i="2"/>
  <c r="U305" i="2"/>
  <c r="P305" i="2"/>
  <c r="W305" i="2"/>
  <c r="M305" i="2"/>
  <c r="F305" i="2"/>
  <c r="AF305" i="2"/>
  <c r="Q305" i="2"/>
  <c r="J305" i="2"/>
  <c r="AA305" i="2"/>
  <c r="Z305" i="2"/>
  <c r="AD305" i="2"/>
  <c r="U283" i="1"/>
  <c r="U285" i="1" s="1"/>
  <c r="E144" i="2" s="1"/>
  <c r="AA283" i="1"/>
  <c r="AA285" i="1" s="1"/>
  <c r="I101" i="1"/>
  <c r="I104" i="1" s="1"/>
  <c r="AG29" i="2"/>
  <c r="AH29" i="2" s="1"/>
  <c r="AG220" i="2"/>
  <c r="AH220" i="2" s="1"/>
  <c r="M283" i="1"/>
  <c r="M285" i="1" s="1"/>
  <c r="R283" i="2"/>
  <c r="X283" i="2"/>
  <c r="AC283" i="2"/>
  <c r="Z283" i="2"/>
  <c r="Y283" i="1"/>
  <c r="Y285" i="1" s="1"/>
  <c r="Y287" i="1" s="1"/>
  <c r="V283" i="2"/>
  <c r="O55" i="2"/>
  <c r="U55" i="2"/>
  <c r="Q55" i="2"/>
  <c r="S55" i="2"/>
  <c r="M55" i="2"/>
  <c r="R55" i="2"/>
  <c r="AC55" i="2"/>
  <c r="AD55" i="2"/>
  <c r="Z55" i="2"/>
  <c r="L55" i="2"/>
  <c r="AF55" i="2"/>
  <c r="G55" i="2"/>
  <c r="X55" i="2"/>
  <c r="V55" i="2"/>
  <c r="T55" i="2"/>
  <c r="Y55" i="2"/>
  <c r="AE55" i="2"/>
  <c r="AB55" i="2"/>
  <c r="W55" i="2"/>
  <c r="N55" i="2"/>
  <c r="P55" i="2"/>
  <c r="AA55" i="2"/>
  <c r="E237" i="2"/>
  <c r="H326" i="1"/>
  <c r="H459" i="1"/>
  <c r="H461" i="1" s="1"/>
  <c r="H463" i="1" s="1"/>
  <c r="E161" i="2" s="1"/>
  <c r="AE283" i="2"/>
  <c r="AB283" i="2"/>
  <c r="S283" i="2"/>
  <c r="M283" i="2"/>
  <c r="W283" i="2"/>
  <c r="AF283" i="2"/>
  <c r="Q283" i="2"/>
  <c r="N283" i="2"/>
  <c r="L283" i="2"/>
  <c r="U283" i="2"/>
  <c r="O283" i="2"/>
  <c r="G283" i="2"/>
  <c r="Y283" i="2"/>
  <c r="E245" i="2"/>
  <c r="K245" i="2" s="1"/>
  <c r="M326" i="1"/>
  <c r="AA283" i="2"/>
  <c r="P283" i="2"/>
  <c r="W278" i="1"/>
  <c r="W449" i="1"/>
  <c r="W314" i="1"/>
  <c r="W455" i="1"/>
  <c r="W281" i="1"/>
  <c r="W272" i="1"/>
  <c r="W320" i="1"/>
  <c r="W318" i="1"/>
  <c r="W322" i="1"/>
  <c r="E71" i="2"/>
  <c r="W324" i="1"/>
  <c r="W316" i="1"/>
  <c r="E299" i="2" s="1"/>
  <c r="F338" i="2"/>
  <c r="F351" i="2" s="1"/>
  <c r="AG316" i="2"/>
  <c r="AH316" i="2" s="1"/>
  <c r="E264" i="2"/>
  <c r="Y326" i="1"/>
  <c r="F217" i="2"/>
  <c r="AG215" i="2"/>
  <c r="AH215" i="2" s="1"/>
  <c r="R592" i="2"/>
  <c r="R618" i="2"/>
  <c r="E254" i="2"/>
  <c r="S326" i="1"/>
  <c r="F64" i="2"/>
  <c r="AC64" i="2"/>
  <c r="P64" i="2"/>
  <c r="S64" i="2"/>
  <c r="AF64" i="2"/>
  <c r="Y64" i="2"/>
  <c r="T64" i="2"/>
  <c r="Z64" i="2"/>
  <c r="L64" i="2"/>
  <c r="W64" i="2"/>
  <c r="V64" i="2"/>
  <c r="M64" i="2"/>
  <c r="K64" i="2"/>
  <c r="K65" i="2" s="1"/>
  <c r="X64" i="2"/>
  <c r="AE64" i="2"/>
  <c r="O64" i="2"/>
  <c r="AB64" i="2"/>
  <c r="J64" i="2"/>
  <c r="U64" i="2"/>
  <c r="I64" i="2"/>
  <c r="Q64" i="2"/>
  <c r="AA64" i="2"/>
  <c r="R64" i="2"/>
  <c r="G64" i="2"/>
  <c r="AD64" i="2"/>
  <c r="H64" i="2"/>
  <c r="N64" i="2"/>
  <c r="AB258" i="2"/>
  <c r="AE258" i="2"/>
  <c r="O258" i="2"/>
  <c r="Q258" i="2"/>
  <c r="R258" i="2"/>
  <c r="AF258" i="2"/>
  <c r="X258" i="2"/>
  <c r="M258" i="2"/>
  <c r="Y258" i="2"/>
  <c r="L258" i="2"/>
  <c r="V258" i="2"/>
  <c r="AC258" i="2"/>
  <c r="I258" i="2"/>
  <c r="AA258" i="2"/>
  <c r="T258" i="2"/>
  <c r="Z258" i="2"/>
  <c r="W258" i="2"/>
  <c r="U258" i="2"/>
  <c r="P258" i="2"/>
  <c r="K258" i="2"/>
  <c r="F258" i="2"/>
  <c r="G258" i="2"/>
  <c r="H258" i="2"/>
  <c r="J258" i="2"/>
  <c r="N258" i="2"/>
  <c r="AD258" i="2"/>
  <c r="S258" i="2"/>
  <c r="H476" i="2"/>
  <c r="H479" i="2" s="1"/>
  <c r="H480" i="2" s="1"/>
  <c r="H481" i="2" s="1"/>
  <c r="H472" i="2"/>
  <c r="H473" i="2" s="1"/>
  <c r="H474" i="2" s="1"/>
  <c r="E201" i="2"/>
  <c r="AG226" i="2"/>
  <c r="AH226" i="2" s="1"/>
  <c r="K207" i="2"/>
  <c r="K16" i="2"/>
  <c r="K55" i="2"/>
  <c r="J434" i="2"/>
  <c r="AG434" i="2" s="1"/>
  <c r="J25" i="15"/>
  <c r="E434" i="2" s="1"/>
  <c r="I476" i="2"/>
  <c r="I479" i="2" s="1"/>
  <c r="I480" i="2" s="1"/>
  <c r="I481" i="2" s="1"/>
  <c r="I472" i="2"/>
  <c r="I473" i="2" s="1"/>
  <c r="I474" i="2" s="1"/>
  <c r="F452" i="2"/>
  <c r="AC292" i="2"/>
  <c r="I292" i="2"/>
  <c r="N292" i="2"/>
  <c r="T292" i="2"/>
  <c r="AB292" i="2"/>
  <c r="G292" i="2"/>
  <c r="AF292" i="2"/>
  <c r="M292" i="2"/>
  <c r="Q292" i="2"/>
  <c r="W292" i="2"/>
  <c r="K292" i="2"/>
  <c r="V292" i="2"/>
  <c r="J292" i="2"/>
  <c r="X292" i="2"/>
  <c r="Y292" i="2"/>
  <c r="AA292" i="2"/>
  <c r="H292" i="2"/>
  <c r="AD292" i="2"/>
  <c r="Z292" i="2"/>
  <c r="O292" i="2"/>
  <c r="AE292" i="2"/>
  <c r="R292" i="2"/>
  <c r="S292" i="2"/>
  <c r="U292" i="2"/>
  <c r="L292" i="2"/>
  <c r="L293" i="2" s="1"/>
  <c r="P292" i="2"/>
  <c r="F292" i="2"/>
  <c r="S459" i="1"/>
  <c r="S461" i="1" s="1"/>
  <c r="S463" i="1" s="1"/>
  <c r="E178" i="2" s="1"/>
  <c r="U302" i="2"/>
  <c r="X302" i="2"/>
  <c r="AD302" i="2"/>
  <c r="Y302" i="2"/>
  <c r="W302" i="2"/>
  <c r="AF302" i="2"/>
  <c r="S302" i="2"/>
  <c r="N302" i="2"/>
  <c r="AC302" i="2"/>
  <c r="AB302" i="2"/>
  <c r="P302" i="2"/>
  <c r="L302" i="2"/>
  <c r="AA302" i="2"/>
  <c r="K302" i="2"/>
  <c r="Z302" i="2"/>
  <c r="O302" i="2"/>
  <c r="V302" i="2"/>
  <c r="G302" i="2"/>
  <c r="AE302" i="2"/>
  <c r="F302" i="2"/>
  <c r="Q302" i="2"/>
  <c r="R302" i="2"/>
  <c r="T302" i="2"/>
  <c r="M302" i="2"/>
  <c r="H302" i="2"/>
  <c r="I302" i="2"/>
  <c r="J302" i="2"/>
  <c r="AA74" i="2"/>
  <c r="X74" i="2"/>
  <c r="AD74" i="2"/>
  <c r="U74" i="2"/>
  <c r="N74" i="2"/>
  <c r="Z74" i="2"/>
  <c r="S74" i="2"/>
  <c r="AB74" i="2"/>
  <c r="L74" i="2"/>
  <c r="Y74" i="2"/>
  <c r="AC74" i="2"/>
  <c r="AE74" i="2"/>
  <c r="W74" i="2"/>
  <c r="AF74" i="2"/>
  <c r="O74" i="2"/>
  <c r="K74" i="2"/>
  <c r="P74" i="2"/>
  <c r="V74" i="2"/>
  <c r="G74" i="2"/>
  <c r="F74" i="2"/>
  <c r="R74" i="2"/>
  <c r="Q74" i="2"/>
  <c r="M74" i="2"/>
  <c r="H74" i="2"/>
  <c r="T74" i="2"/>
  <c r="J74" i="2"/>
  <c r="I74" i="2"/>
  <c r="F476" i="2"/>
  <c r="F472" i="2"/>
  <c r="L203" i="15"/>
  <c r="L205" i="15" s="1"/>
  <c r="L35" i="15" s="1"/>
  <c r="F544" i="2"/>
  <c r="F567" i="2" s="1"/>
  <c r="K283" i="2"/>
  <c r="J205" i="15"/>
  <c r="J35" i="15" s="1"/>
  <c r="P592" i="2"/>
  <c r="P618" i="2"/>
  <c r="Q592" i="2"/>
  <c r="Q618" i="2"/>
  <c r="AG223" i="2"/>
  <c r="AH223" i="2" s="1"/>
  <c r="S283" i="1"/>
  <c r="S285" i="1" s="1"/>
  <c r="AE177" i="2" l="1"/>
  <c r="P233" i="1"/>
  <c r="P264" i="1" s="1"/>
  <c r="P275" i="1" s="1"/>
  <c r="P237" i="1"/>
  <c r="E504" i="2"/>
  <c r="E513" i="2" s="1"/>
  <c r="J34" i="15"/>
  <c r="L34" i="15"/>
  <c r="P440" i="1"/>
  <c r="P273" i="1" s="1"/>
  <c r="P120" i="1"/>
  <c r="P121" i="1"/>
  <c r="P308" i="1"/>
  <c r="P312" i="1" s="1"/>
  <c r="E211" i="2" s="1"/>
  <c r="X211" i="2" s="1"/>
  <c r="P280" i="1"/>
  <c r="P122" i="1"/>
  <c r="P82" i="1"/>
  <c r="P98" i="1" s="1"/>
  <c r="P279" i="1"/>
  <c r="P456" i="1"/>
  <c r="P457" i="1"/>
  <c r="P88" i="1"/>
  <c r="P91" i="1" s="1"/>
  <c r="P99" i="1" s="1"/>
  <c r="AA188" i="2"/>
  <c r="F188" i="2"/>
  <c r="U188" i="2"/>
  <c r="H188" i="2"/>
  <c r="V188" i="2"/>
  <c r="N188" i="2"/>
  <c r="J188" i="2"/>
  <c r="Z188" i="2"/>
  <c r="R188" i="2"/>
  <c r="AD188" i="2"/>
  <c r="W188" i="2"/>
  <c r="T188" i="2"/>
  <c r="G188" i="2"/>
  <c r="X188" i="2"/>
  <c r="M188" i="2"/>
  <c r="K188" i="2"/>
  <c r="AE188" i="2"/>
  <c r="AB188" i="2"/>
  <c r="P188" i="2"/>
  <c r="O188" i="2"/>
  <c r="I188" i="2"/>
  <c r="Q188" i="2"/>
  <c r="L188" i="2"/>
  <c r="Y188" i="2"/>
  <c r="S188" i="2"/>
  <c r="AC188" i="2"/>
  <c r="K460" i="2"/>
  <c r="E466" i="2"/>
  <c r="X465" i="2"/>
  <c r="X466" i="2" s="1"/>
  <c r="H465" i="2"/>
  <c r="H466" i="2" s="1"/>
  <c r="AD465" i="2"/>
  <c r="AD466" i="2" s="1"/>
  <c r="AB465" i="2"/>
  <c r="AB466" i="2" s="1"/>
  <c r="R465" i="2"/>
  <c r="R466" i="2" s="1"/>
  <c r="J465" i="2"/>
  <c r="J466" i="2" s="1"/>
  <c r="AC465" i="2"/>
  <c r="AC466" i="2" s="1"/>
  <c r="O465" i="2"/>
  <c r="O466" i="2" s="1"/>
  <c r="G465" i="2"/>
  <c r="G466" i="2" s="1"/>
  <c r="K465" i="2"/>
  <c r="K466" i="2" s="1"/>
  <c r="AE465" i="2"/>
  <c r="AE466" i="2" s="1"/>
  <c r="V465" i="2"/>
  <c r="V466" i="2" s="1"/>
  <c r="P465" i="2"/>
  <c r="P466" i="2" s="1"/>
  <c r="AA465" i="2"/>
  <c r="AA466" i="2" s="1"/>
  <c r="U465" i="2"/>
  <c r="U466" i="2" s="1"/>
  <c r="F465" i="2"/>
  <c r="M465" i="2"/>
  <c r="M466" i="2" s="1"/>
  <c r="Z465" i="2"/>
  <c r="Z466" i="2" s="1"/>
  <c r="S465" i="2"/>
  <c r="S466" i="2" s="1"/>
  <c r="L465" i="2"/>
  <c r="L466" i="2" s="1"/>
  <c r="Y465" i="2"/>
  <c r="Y466" i="2" s="1"/>
  <c r="AF465" i="2"/>
  <c r="AF466" i="2" s="1"/>
  <c r="I465" i="2"/>
  <c r="I466" i="2" s="1"/>
  <c r="N465" i="2"/>
  <c r="N466" i="2" s="1"/>
  <c r="T465" i="2"/>
  <c r="T466" i="2" s="1"/>
  <c r="W465" i="2"/>
  <c r="W466" i="2" s="1"/>
  <c r="Q465" i="2"/>
  <c r="Q466" i="2" s="1"/>
  <c r="AB12" i="1"/>
  <c r="AC12" i="1" s="1"/>
  <c r="O82" i="1"/>
  <c r="O235" i="1"/>
  <c r="AB235" i="1" s="1"/>
  <c r="AC235" i="1" s="1"/>
  <c r="AB231" i="1"/>
  <c r="AC231" i="1" s="1"/>
  <c r="O237" i="1"/>
  <c r="O233" i="1"/>
  <c r="F459" i="2"/>
  <c r="AG458" i="2"/>
  <c r="AH458" i="2" s="1"/>
  <c r="O460" i="2"/>
  <c r="AF460" i="2"/>
  <c r="AA460" i="2"/>
  <c r="T460" i="2"/>
  <c r="V460" i="2"/>
  <c r="Q460" i="2"/>
  <c r="M460" i="2"/>
  <c r="AE460" i="2"/>
  <c r="L460" i="2"/>
  <c r="S460" i="2"/>
  <c r="X460" i="2"/>
  <c r="Z460" i="2"/>
  <c r="R460" i="2"/>
  <c r="G460" i="2"/>
  <c r="P460" i="2"/>
  <c r="AD460" i="2"/>
  <c r="J460" i="2"/>
  <c r="AB460" i="2"/>
  <c r="AC460" i="2"/>
  <c r="U460" i="2"/>
  <c r="Y460" i="2"/>
  <c r="N460" i="2"/>
  <c r="I460" i="2"/>
  <c r="W460" i="2"/>
  <c r="H460" i="2"/>
  <c r="O412" i="1"/>
  <c r="AB410" i="1"/>
  <c r="AC410" i="1" s="1"/>
  <c r="O121" i="1"/>
  <c r="O280" i="1"/>
  <c r="O456" i="1"/>
  <c r="AB75" i="1"/>
  <c r="AC75" i="1" s="1"/>
  <c r="O279" i="1"/>
  <c r="O307" i="1"/>
  <c r="O122" i="1"/>
  <c r="O88" i="1"/>
  <c r="O457" i="1"/>
  <c r="O308" i="1"/>
  <c r="O120" i="1"/>
  <c r="M293" i="2"/>
  <c r="AD293" i="2"/>
  <c r="R293" i="2"/>
  <c r="H293" i="2"/>
  <c r="S293" i="2"/>
  <c r="AH434" i="2"/>
  <c r="AB293" i="2"/>
  <c r="I293" i="2"/>
  <c r="U293" i="2"/>
  <c r="AA293" i="2"/>
  <c r="V293" i="2"/>
  <c r="F293" i="2"/>
  <c r="J293" i="2"/>
  <c r="Z293" i="2"/>
  <c r="X293" i="2"/>
  <c r="K328" i="1"/>
  <c r="G65" i="2"/>
  <c r="W65" i="2"/>
  <c r="Z65" i="2"/>
  <c r="K287" i="1"/>
  <c r="E128" i="2"/>
  <c r="E506" i="2" s="1"/>
  <c r="E515" i="2" s="1"/>
  <c r="AH515" i="2" s="1"/>
  <c r="E139" i="2"/>
  <c r="S139" i="2" s="1"/>
  <c r="AD65" i="2"/>
  <c r="AB65" i="2"/>
  <c r="AF65" i="2"/>
  <c r="AF293" i="2"/>
  <c r="L169" i="2"/>
  <c r="V169" i="2"/>
  <c r="AH90" i="2"/>
  <c r="N169" i="2"/>
  <c r="Y182" i="2"/>
  <c r="AA182" i="2"/>
  <c r="P169" i="2"/>
  <c r="Y293" i="2"/>
  <c r="K293" i="2"/>
  <c r="N293" i="2"/>
  <c r="I65" i="2"/>
  <c r="M65" i="2"/>
  <c r="O293" i="2"/>
  <c r="AC177" i="2"/>
  <c r="P293" i="2"/>
  <c r="W293" i="2"/>
  <c r="G293" i="2"/>
  <c r="U65" i="2"/>
  <c r="AE65" i="2"/>
  <c r="V65" i="2"/>
  <c r="T65" i="2"/>
  <c r="P65" i="2"/>
  <c r="AG217" i="2"/>
  <c r="AH217" i="2" s="1"/>
  <c r="Q293" i="2"/>
  <c r="AA65" i="2"/>
  <c r="AB182" i="2"/>
  <c r="K182" i="2"/>
  <c r="AB177" i="2"/>
  <c r="AG26" i="2"/>
  <c r="AH26" i="2" s="1"/>
  <c r="AG291" i="2"/>
  <c r="AH291" i="2" s="1"/>
  <c r="AE293" i="2"/>
  <c r="AC293" i="2"/>
  <c r="T293" i="2"/>
  <c r="J65" i="2"/>
  <c r="X65" i="2"/>
  <c r="Y65" i="2"/>
  <c r="AC65" i="2"/>
  <c r="O65" i="2"/>
  <c r="AG63" i="2"/>
  <c r="AH63" i="2" s="1"/>
  <c r="N65" i="2"/>
  <c r="AD177" i="2"/>
  <c r="U177" i="2"/>
  <c r="S65" i="2"/>
  <c r="H65" i="2"/>
  <c r="J177" i="2"/>
  <c r="Q65" i="2"/>
  <c r="L65" i="2"/>
  <c r="AB169" i="2"/>
  <c r="X169" i="2"/>
  <c r="U169" i="2"/>
  <c r="F177" i="2"/>
  <c r="Z177" i="2"/>
  <c r="L177" i="2"/>
  <c r="AG253" i="2"/>
  <c r="AH253" i="2" s="1"/>
  <c r="R65" i="2"/>
  <c r="Q169" i="2"/>
  <c r="S177" i="2"/>
  <c r="O177" i="2"/>
  <c r="R328" i="1"/>
  <c r="AF177" i="2"/>
  <c r="H177" i="2"/>
  <c r="I177" i="2"/>
  <c r="X177" i="2"/>
  <c r="K177" i="2"/>
  <c r="Y177" i="2"/>
  <c r="M177" i="2"/>
  <c r="G177" i="2"/>
  <c r="Q177" i="2"/>
  <c r="R177" i="2"/>
  <c r="P177" i="2"/>
  <c r="V177" i="2"/>
  <c r="AA177" i="2"/>
  <c r="N177" i="2"/>
  <c r="T177" i="2"/>
  <c r="R287" i="1"/>
  <c r="AD182" i="2"/>
  <c r="AC182" i="2"/>
  <c r="S182" i="2"/>
  <c r="P182" i="2"/>
  <c r="Q182" i="2"/>
  <c r="V182" i="2"/>
  <c r="H182" i="2"/>
  <c r="G182" i="2"/>
  <c r="U182" i="2"/>
  <c r="R182" i="2"/>
  <c r="M182" i="2"/>
  <c r="AE182" i="2"/>
  <c r="X182" i="2"/>
  <c r="I182" i="2"/>
  <c r="N182" i="2"/>
  <c r="Z182" i="2"/>
  <c r="AF182" i="2"/>
  <c r="J182" i="2"/>
  <c r="O182" i="2"/>
  <c r="L182" i="2"/>
  <c r="F182" i="2"/>
  <c r="T182" i="2"/>
  <c r="K191" i="2"/>
  <c r="H191" i="2"/>
  <c r="AB191" i="2"/>
  <c r="O191" i="2"/>
  <c r="F191" i="2"/>
  <c r="J191" i="2"/>
  <c r="AC191" i="2"/>
  <c r="AG296" i="2"/>
  <c r="AH296" i="2" s="1"/>
  <c r="AG68" i="2"/>
  <c r="AH68" i="2" s="1"/>
  <c r="H328" i="1"/>
  <c r="M191" i="2"/>
  <c r="T191" i="2"/>
  <c r="AE191" i="2"/>
  <c r="Z191" i="2"/>
  <c r="U287" i="1"/>
  <c r="K169" i="2"/>
  <c r="W459" i="1"/>
  <c r="W461" i="1" s="1"/>
  <c r="W463" i="1" s="1"/>
  <c r="E185" i="2" s="1"/>
  <c r="K185" i="2" s="1"/>
  <c r="Z169" i="2"/>
  <c r="R169" i="2"/>
  <c r="O169" i="2"/>
  <c r="M169" i="2"/>
  <c r="T169" i="2"/>
  <c r="AD169" i="2"/>
  <c r="AD191" i="2"/>
  <c r="G191" i="2"/>
  <c r="S191" i="2"/>
  <c r="H287" i="1"/>
  <c r="AC169" i="2"/>
  <c r="AE169" i="2"/>
  <c r="AA169" i="2"/>
  <c r="W169" i="2"/>
  <c r="AF169" i="2"/>
  <c r="S169" i="2"/>
  <c r="Y169" i="2"/>
  <c r="W191" i="2"/>
  <c r="AF191" i="2"/>
  <c r="X191" i="2"/>
  <c r="U191" i="2"/>
  <c r="I191" i="2"/>
  <c r="L191" i="2"/>
  <c r="P191" i="2"/>
  <c r="R191" i="2"/>
  <c r="Q191" i="2"/>
  <c r="N191" i="2"/>
  <c r="Y191" i="2"/>
  <c r="V191" i="2"/>
  <c r="U328" i="1"/>
  <c r="H129" i="1"/>
  <c r="H133" i="1" s="1"/>
  <c r="H144" i="1" s="1"/>
  <c r="E85" i="2" s="1"/>
  <c r="E522" i="2" s="1"/>
  <c r="AA287" i="1"/>
  <c r="E153" i="2"/>
  <c r="AA129" i="1"/>
  <c r="AA133" i="1" s="1"/>
  <c r="AA144" i="1" s="1"/>
  <c r="E115" i="2" s="1"/>
  <c r="U129" i="1"/>
  <c r="U133" i="1" s="1"/>
  <c r="U144" i="1" s="1"/>
  <c r="E106" i="2" s="1"/>
  <c r="AA106" i="2" s="1"/>
  <c r="AG305" i="2"/>
  <c r="AH305" i="2" s="1"/>
  <c r="I267" i="2"/>
  <c r="Q267" i="2"/>
  <c r="U267" i="2"/>
  <c r="T267" i="2"/>
  <c r="V267" i="2"/>
  <c r="G267" i="2"/>
  <c r="M267" i="2"/>
  <c r="AC267" i="2"/>
  <c r="F267" i="2"/>
  <c r="W267" i="2"/>
  <c r="H267" i="2"/>
  <c r="R267" i="2"/>
  <c r="Z267" i="2"/>
  <c r="AB267" i="2"/>
  <c r="P267" i="2"/>
  <c r="N267" i="2"/>
  <c r="AF267" i="2"/>
  <c r="AD267" i="2"/>
  <c r="AE267" i="2"/>
  <c r="K267" i="2"/>
  <c r="J267" i="2"/>
  <c r="O267" i="2"/>
  <c r="Y267" i="2"/>
  <c r="L267" i="2"/>
  <c r="X267" i="2"/>
  <c r="S267" i="2"/>
  <c r="AA267" i="2"/>
  <c r="AG77" i="2"/>
  <c r="AH77" i="2" s="1"/>
  <c r="AA328" i="1"/>
  <c r="E150" i="2"/>
  <c r="AF150" i="2" s="1"/>
  <c r="Y328" i="1"/>
  <c r="Y129" i="1"/>
  <c r="Y133" i="1" s="1"/>
  <c r="Y144" i="1" s="1"/>
  <c r="E112" i="2" s="1"/>
  <c r="N112" i="2" s="1"/>
  <c r="S245" i="2"/>
  <c r="U245" i="2"/>
  <c r="W245" i="2"/>
  <c r="N245" i="2"/>
  <c r="O245" i="2"/>
  <c r="M245" i="2"/>
  <c r="Q245" i="2"/>
  <c r="L245" i="2"/>
  <c r="AF245" i="2"/>
  <c r="T245" i="2"/>
  <c r="X245" i="2"/>
  <c r="V245" i="2"/>
  <c r="Z245" i="2"/>
  <c r="AC245" i="2"/>
  <c r="R245" i="2"/>
  <c r="P245" i="2"/>
  <c r="AA245" i="2"/>
  <c r="AD245" i="2"/>
  <c r="Y245" i="2"/>
  <c r="AB245" i="2"/>
  <c r="G245" i="2"/>
  <c r="AE245" i="2"/>
  <c r="E489" i="2"/>
  <c r="E491" i="2" s="1"/>
  <c r="E131" i="2"/>
  <c r="I131" i="2" s="1"/>
  <c r="M129" i="1"/>
  <c r="M133" i="1" s="1"/>
  <c r="M144" i="1" s="1"/>
  <c r="E93" i="2" s="1"/>
  <c r="M287" i="1"/>
  <c r="M328" i="1"/>
  <c r="I55" i="2"/>
  <c r="I16" i="2"/>
  <c r="I207" i="2"/>
  <c r="AG258" i="2"/>
  <c r="AH258" i="2" s="1"/>
  <c r="F473" i="2"/>
  <c r="AG292" i="2"/>
  <c r="AH292" i="2" s="1"/>
  <c r="T144" i="2"/>
  <c r="W144" i="2"/>
  <c r="Y144" i="2"/>
  <c r="O144" i="2"/>
  <c r="AA144" i="2"/>
  <c r="P144" i="2"/>
  <c r="F144" i="2"/>
  <c r="Z144" i="2"/>
  <c r="AC144" i="2"/>
  <c r="X144" i="2"/>
  <c r="AE144" i="2"/>
  <c r="L144" i="2"/>
  <c r="Q144" i="2"/>
  <c r="I144" i="2"/>
  <c r="H144" i="2"/>
  <c r="R144" i="2"/>
  <c r="S144" i="2"/>
  <c r="V144" i="2"/>
  <c r="J144" i="2"/>
  <c r="AD144" i="2"/>
  <c r="AF144" i="2"/>
  <c r="N144" i="2"/>
  <c r="G144" i="2"/>
  <c r="K144" i="2"/>
  <c r="U144" i="2"/>
  <c r="M144" i="2"/>
  <c r="AB144" i="2"/>
  <c r="H169" i="2"/>
  <c r="H245" i="2"/>
  <c r="H283" i="2"/>
  <c r="AD254" i="2"/>
  <c r="AD255" i="2" s="1"/>
  <c r="AF254" i="2"/>
  <c r="AF255" i="2" s="1"/>
  <c r="AC254" i="2"/>
  <c r="AC255" i="2" s="1"/>
  <c r="Z254" i="2"/>
  <c r="Z255" i="2" s="1"/>
  <c r="Q254" i="2"/>
  <c r="Q255" i="2" s="1"/>
  <c r="K254" i="2"/>
  <c r="K255" i="2" s="1"/>
  <c r="AE254" i="2"/>
  <c r="AE255" i="2" s="1"/>
  <c r="T254" i="2"/>
  <c r="T255" i="2" s="1"/>
  <c r="R254" i="2"/>
  <c r="R255" i="2" s="1"/>
  <c r="H254" i="2"/>
  <c r="H255" i="2" s="1"/>
  <c r="U254" i="2"/>
  <c r="U255" i="2" s="1"/>
  <c r="P254" i="2"/>
  <c r="P255" i="2" s="1"/>
  <c r="L254" i="2"/>
  <c r="L255" i="2" s="1"/>
  <c r="F254" i="2"/>
  <c r="X254" i="2"/>
  <c r="X255" i="2" s="1"/>
  <c r="G254" i="2"/>
  <c r="G255" i="2" s="1"/>
  <c r="V254" i="2"/>
  <c r="V255" i="2" s="1"/>
  <c r="AA254" i="2"/>
  <c r="AA255" i="2" s="1"/>
  <c r="Y254" i="2"/>
  <c r="Y255" i="2" s="1"/>
  <c r="AB254" i="2"/>
  <c r="AB255" i="2" s="1"/>
  <c r="I254" i="2"/>
  <c r="I255" i="2" s="1"/>
  <c r="J254" i="2"/>
  <c r="J255" i="2" s="1"/>
  <c r="N254" i="2"/>
  <c r="N255" i="2" s="1"/>
  <c r="M254" i="2"/>
  <c r="M255" i="2" s="1"/>
  <c r="O254" i="2"/>
  <c r="O255" i="2" s="1"/>
  <c r="S254" i="2"/>
  <c r="S255" i="2" s="1"/>
  <c r="W254" i="2"/>
  <c r="W255" i="2" s="1"/>
  <c r="E255" i="2"/>
  <c r="I124" i="1"/>
  <c r="W283" i="1"/>
  <c r="W285" i="1" s="1"/>
  <c r="E261" i="2"/>
  <c r="W326" i="1"/>
  <c r="AG64" i="2"/>
  <c r="AH64" i="2" s="1"/>
  <c r="AG338" i="2"/>
  <c r="O299" i="2"/>
  <c r="K299" i="2"/>
  <c r="AE299" i="2"/>
  <c r="N299" i="2"/>
  <c r="T299" i="2"/>
  <c r="AC299" i="2"/>
  <c r="AD299" i="2"/>
  <c r="I299" i="2"/>
  <c r="G299" i="2"/>
  <c r="L299" i="2"/>
  <c r="U299" i="2"/>
  <c r="M299" i="2"/>
  <c r="H299" i="2"/>
  <c r="Q299" i="2"/>
  <c r="J299" i="2"/>
  <c r="X299" i="2"/>
  <c r="W299" i="2"/>
  <c r="AB299" i="2"/>
  <c r="R299" i="2"/>
  <c r="Z299" i="2"/>
  <c r="Y299" i="2"/>
  <c r="AA299" i="2"/>
  <c r="S299" i="2"/>
  <c r="V299" i="2"/>
  <c r="P299" i="2"/>
  <c r="F299" i="2"/>
  <c r="AF299" i="2"/>
  <c r="S129" i="1"/>
  <c r="S133" i="1" s="1"/>
  <c r="S144" i="1" s="1"/>
  <c r="E102" i="2" s="1"/>
  <c r="E103" i="2" s="1"/>
  <c r="E140" i="2"/>
  <c r="S287" i="1"/>
  <c r="S328" i="1"/>
  <c r="F592" i="2"/>
  <c r="F618" i="2"/>
  <c r="F479" i="2"/>
  <c r="AG74" i="2"/>
  <c r="AH74" i="2" s="1"/>
  <c r="AG302" i="2"/>
  <c r="AH302" i="2" s="1"/>
  <c r="I283" i="2"/>
  <c r="I245" i="2"/>
  <c r="I169" i="2"/>
  <c r="AB264" i="2"/>
  <c r="U264" i="2"/>
  <c r="AF264" i="2"/>
  <c r="X264" i="2"/>
  <c r="V264" i="2"/>
  <c r="AD264" i="2"/>
  <c r="Z264" i="2"/>
  <c r="W264" i="2"/>
  <c r="K264" i="2"/>
  <c r="AC264" i="2"/>
  <c r="N264" i="2"/>
  <c r="P264" i="2"/>
  <c r="L264" i="2"/>
  <c r="AE264" i="2"/>
  <c r="AA264" i="2"/>
  <c r="O264" i="2"/>
  <c r="G264" i="2"/>
  <c r="S264" i="2"/>
  <c r="Y264" i="2"/>
  <c r="F264" i="2"/>
  <c r="Q264" i="2"/>
  <c r="R264" i="2"/>
  <c r="T264" i="2"/>
  <c r="M264" i="2"/>
  <c r="H264" i="2"/>
  <c r="J264" i="2"/>
  <c r="I264" i="2"/>
  <c r="M203" i="15"/>
  <c r="Y101" i="2"/>
  <c r="AE101" i="2"/>
  <c r="L101" i="2"/>
  <c r="AB101" i="2"/>
  <c r="AF101" i="2"/>
  <c r="T101" i="2"/>
  <c r="X101" i="2"/>
  <c r="H101" i="2"/>
  <c r="V101" i="2"/>
  <c r="O101" i="2"/>
  <c r="AC101" i="2"/>
  <c r="P101" i="2"/>
  <c r="W101" i="2"/>
  <c r="AA101" i="2"/>
  <c r="G101" i="2"/>
  <c r="S101" i="2"/>
  <c r="U101" i="2"/>
  <c r="F101" i="2"/>
  <c r="AD101" i="2"/>
  <c r="J101" i="2"/>
  <c r="Z101" i="2"/>
  <c r="N101" i="2"/>
  <c r="M101" i="2"/>
  <c r="R101" i="2"/>
  <c r="Q101" i="2"/>
  <c r="I101" i="2"/>
  <c r="K101" i="2"/>
  <c r="Z178" i="2"/>
  <c r="AE178" i="2"/>
  <c r="AF178" i="2"/>
  <c r="V178" i="2"/>
  <c r="G178" i="2"/>
  <c r="Q178" i="2"/>
  <c r="F178" i="2"/>
  <c r="W178" i="2"/>
  <c r="W179" i="2" s="1"/>
  <c r="U178" i="2"/>
  <c r="R178" i="2"/>
  <c r="M178" i="2"/>
  <c r="Y178" i="2"/>
  <c r="N178" i="2"/>
  <c r="AC178" i="2"/>
  <c r="O178" i="2"/>
  <c r="J178" i="2"/>
  <c r="K178" i="2"/>
  <c r="AA178" i="2"/>
  <c r="AD178" i="2"/>
  <c r="X178" i="2"/>
  <c r="P178" i="2"/>
  <c r="T178" i="2"/>
  <c r="AB178" i="2"/>
  <c r="L178" i="2"/>
  <c r="S178" i="2"/>
  <c r="H178" i="2"/>
  <c r="I178" i="2"/>
  <c r="E179" i="2"/>
  <c r="F65" i="2"/>
  <c r="H16" i="2"/>
  <c r="H207" i="2"/>
  <c r="H55" i="2"/>
  <c r="X71" i="2"/>
  <c r="F71" i="2"/>
  <c r="V71" i="2"/>
  <c r="AE71" i="2"/>
  <c r="G71" i="2"/>
  <c r="L71" i="2"/>
  <c r="S71" i="2"/>
  <c r="AF71" i="2"/>
  <c r="N71" i="2"/>
  <c r="U71" i="2"/>
  <c r="K71" i="2"/>
  <c r="P71" i="2"/>
  <c r="AD71" i="2"/>
  <c r="T71" i="2"/>
  <c r="AC71" i="2"/>
  <c r="W71" i="2"/>
  <c r="H71" i="2"/>
  <c r="Z71" i="2"/>
  <c r="AB71" i="2"/>
  <c r="I71" i="2"/>
  <c r="J71" i="2"/>
  <c r="O71" i="2"/>
  <c r="Y71" i="2"/>
  <c r="AA71" i="2"/>
  <c r="Q71" i="2"/>
  <c r="M71" i="2"/>
  <c r="R71" i="2"/>
  <c r="AI515" i="2" l="1"/>
  <c r="AE179" i="2"/>
  <c r="P269" i="1"/>
  <c r="P276" i="1"/>
  <c r="P277" i="1"/>
  <c r="AJ144" i="2"/>
  <c r="AB237" i="1"/>
  <c r="AC237" i="1" s="1"/>
  <c r="P452" i="1"/>
  <c r="P271" i="1"/>
  <c r="P446" i="1"/>
  <c r="P448" i="1"/>
  <c r="P454" i="1"/>
  <c r="P453" i="1"/>
  <c r="AB139" i="2"/>
  <c r="AD150" i="2"/>
  <c r="AB120" i="1"/>
  <c r="AC120" i="1" s="1"/>
  <c r="P142" i="1"/>
  <c r="P274" i="1"/>
  <c r="AB121" i="1"/>
  <c r="AC121" i="1" s="1"/>
  <c r="P270" i="1"/>
  <c r="P451" i="1"/>
  <c r="P447" i="1"/>
  <c r="P450" i="1"/>
  <c r="AB308" i="1"/>
  <c r="AC308" i="1" s="1"/>
  <c r="AB279" i="1"/>
  <c r="AC279" i="1" s="1"/>
  <c r="AB456" i="1"/>
  <c r="AC456" i="1" s="1"/>
  <c r="P101" i="1"/>
  <c r="P104" i="1" s="1"/>
  <c r="P124" i="1" s="1"/>
  <c r="P126" i="1" s="1"/>
  <c r="AB280" i="1"/>
  <c r="AC280" i="1" s="1"/>
  <c r="P131" i="1"/>
  <c r="P130" i="1"/>
  <c r="AB122" i="1"/>
  <c r="AC122" i="1" s="1"/>
  <c r="P93" i="1"/>
  <c r="E20" i="2"/>
  <c r="K20" i="2" s="1"/>
  <c r="AB457" i="1"/>
  <c r="AC457" i="1" s="1"/>
  <c r="AG188" i="2"/>
  <c r="AH188" i="2" s="1"/>
  <c r="S211" i="2"/>
  <c r="AF211" i="2"/>
  <c r="AB211" i="2"/>
  <c r="J211" i="2"/>
  <c r="Y211" i="2"/>
  <c r="P211" i="2"/>
  <c r="AD211" i="2"/>
  <c r="U211" i="2"/>
  <c r="Z211" i="2"/>
  <c r="M211" i="2"/>
  <c r="AC211" i="2"/>
  <c r="AA211" i="2"/>
  <c r="Q211" i="2"/>
  <c r="I211" i="2"/>
  <c r="H211" i="2"/>
  <c r="K211" i="2"/>
  <c r="V211" i="2"/>
  <c r="AE211" i="2"/>
  <c r="T211" i="2"/>
  <c r="R211" i="2"/>
  <c r="N211" i="2"/>
  <c r="L211" i="2"/>
  <c r="W211" i="2"/>
  <c r="O211" i="2"/>
  <c r="F211" i="2"/>
  <c r="G211" i="2"/>
  <c r="AH506" i="2"/>
  <c r="F466" i="2"/>
  <c r="AG466" i="2" s="1"/>
  <c r="AH466" i="2" s="1"/>
  <c r="AG465" i="2"/>
  <c r="AH465" i="2" s="1"/>
  <c r="O91" i="1"/>
  <c r="AB88" i="1"/>
  <c r="AC88" i="1" s="1"/>
  <c r="O414" i="1"/>
  <c r="AB414" i="1" s="1"/>
  <c r="AC414" i="1" s="1"/>
  <c r="O440" i="1"/>
  <c r="AB412" i="1"/>
  <c r="AC412" i="1" s="1"/>
  <c r="AB307" i="1"/>
  <c r="AC307" i="1" s="1"/>
  <c r="O312" i="1"/>
  <c r="O264" i="1"/>
  <c r="AB233" i="1"/>
  <c r="AC233" i="1" s="1"/>
  <c r="O130" i="1"/>
  <c r="O131" i="1"/>
  <c r="O142" i="1"/>
  <c r="E19" i="2"/>
  <c r="O19" i="2" s="1"/>
  <c r="O98" i="1"/>
  <c r="AB82" i="1"/>
  <c r="AC82" i="1" s="1"/>
  <c r="M467" i="2"/>
  <c r="J467" i="2"/>
  <c r="AB467" i="2"/>
  <c r="R467" i="2"/>
  <c r="P467" i="2"/>
  <c r="X467" i="2"/>
  <c r="G467" i="2"/>
  <c r="Y467" i="2"/>
  <c r="Z467" i="2"/>
  <c r="AC467" i="2"/>
  <c r="O467" i="2"/>
  <c r="W467" i="2"/>
  <c r="Q467" i="2"/>
  <c r="K467" i="2"/>
  <c r="H467" i="2"/>
  <c r="U467" i="2"/>
  <c r="V467" i="2"/>
  <c r="AA467" i="2"/>
  <c r="AF467" i="2"/>
  <c r="AE467" i="2"/>
  <c r="S467" i="2"/>
  <c r="N467" i="2"/>
  <c r="T467" i="2"/>
  <c r="I467" i="2"/>
  <c r="AD467" i="2"/>
  <c r="L467" i="2"/>
  <c r="F460" i="2"/>
  <c r="AG459" i="2"/>
  <c r="AH459" i="2" s="1"/>
  <c r="P139" i="2"/>
  <c r="X139" i="2"/>
  <c r="L139" i="2"/>
  <c r="I139" i="2"/>
  <c r="Q139" i="2"/>
  <c r="H131" i="2"/>
  <c r="AJ131" i="2" s="1"/>
  <c r="U139" i="2"/>
  <c r="H106" i="2"/>
  <c r="H179" i="2"/>
  <c r="R179" i="2"/>
  <c r="O139" i="2"/>
  <c r="AF139" i="2"/>
  <c r="H139" i="2"/>
  <c r="E141" i="2"/>
  <c r="W139" i="2"/>
  <c r="G139" i="2"/>
  <c r="AA139" i="2"/>
  <c r="M139" i="2"/>
  <c r="O179" i="2"/>
  <c r="Z139" i="2"/>
  <c r="J139" i="2"/>
  <c r="R139" i="2"/>
  <c r="N139" i="2"/>
  <c r="AE139" i="2"/>
  <c r="AD139" i="2"/>
  <c r="AH128" i="2"/>
  <c r="F139" i="2"/>
  <c r="T139" i="2"/>
  <c r="AC139" i="2"/>
  <c r="K139" i="2"/>
  <c r="Y139" i="2"/>
  <c r="V139" i="2"/>
  <c r="AF106" i="2"/>
  <c r="I179" i="2"/>
  <c r="AB179" i="2"/>
  <c r="M179" i="2"/>
  <c r="P179" i="2"/>
  <c r="AC179" i="2"/>
  <c r="G179" i="2"/>
  <c r="AG293" i="2"/>
  <c r="AH293" i="2" s="1"/>
  <c r="L185" i="2"/>
  <c r="Z179" i="2"/>
  <c r="S179" i="2"/>
  <c r="K179" i="2"/>
  <c r="N179" i="2"/>
  <c r="U179" i="2"/>
  <c r="Y179" i="2"/>
  <c r="X179" i="2"/>
  <c r="J179" i="2"/>
  <c r="V179" i="2"/>
  <c r="AD179" i="2"/>
  <c r="AF179" i="2"/>
  <c r="AE106" i="2"/>
  <c r="L179" i="2"/>
  <c r="S112" i="2"/>
  <c r="AG177" i="2"/>
  <c r="AH177" i="2" s="1"/>
  <c r="Z106" i="2"/>
  <c r="AG65" i="2"/>
  <c r="AH65" i="2" s="1"/>
  <c r="W106" i="2"/>
  <c r="T179" i="2"/>
  <c r="AA179" i="2"/>
  <c r="Q179" i="2"/>
  <c r="AB112" i="2"/>
  <c r="F106" i="2"/>
  <c r="P106" i="2"/>
  <c r="R112" i="2"/>
  <c r="AC150" i="2"/>
  <c r="U185" i="2"/>
  <c r="AG182" i="2"/>
  <c r="AH182" i="2" s="1"/>
  <c r="Z185" i="2"/>
  <c r="S185" i="2"/>
  <c r="H185" i="2"/>
  <c r="V185" i="2"/>
  <c r="AE185" i="2"/>
  <c r="M150" i="2"/>
  <c r="P150" i="2"/>
  <c r="Z150" i="2"/>
  <c r="R150" i="2"/>
  <c r="N150" i="2"/>
  <c r="O185" i="2"/>
  <c r="W185" i="2"/>
  <c r="AF185" i="2"/>
  <c r="AG191" i="2"/>
  <c r="AH191" i="2" s="1"/>
  <c r="Q185" i="2"/>
  <c r="T185" i="2"/>
  <c r="X185" i="2"/>
  <c r="AA185" i="2"/>
  <c r="J185" i="2"/>
  <c r="R185" i="2"/>
  <c r="AC185" i="2"/>
  <c r="Y185" i="2"/>
  <c r="AD185" i="2"/>
  <c r="N185" i="2"/>
  <c r="F112" i="2"/>
  <c r="V112" i="2"/>
  <c r="AB185" i="2"/>
  <c r="G185" i="2"/>
  <c r="I185" i="2"/>
  <c r="M185" i="2"/>
  <c r="P185" i="2"/>
  <c r="F185" i="2"/>
  <c r="Z112" i="2"/>
  <c r="I112" i="2"/>
  <c r="L112" i="2"/>
  <c r="O112" i="2"/>
  <c r="AF112" i="2"/>
  <c r="T112" i="2"/>
  <c r="X112" i="2"/>
  <c r="AE112" i="2"/>
  <c r="AD106" i="2"/>
  <c r="S106" i="2"/>
  <c r="G106" i="2"/>
  <c r="H150" i="2"/>
  <c r="L150" i="2"/>
  <c r="S150" i="2"/>
  <c r="AG267" i="2"/>
  <c r="AH267" i="2" s="1"/>
  <c r="I115" i="2"/>
  <c r="AA115" i="2"/>
  <c r="AC115" i="2"/>
  <c r="K115" i="2"/>
  <c r="AB115" i="2"/>
  <c r="G115" i="2"/>
  <c r="M115" i="2"/>
  <c r="Q115" i="2"/>
  <c r="T115" i="2"/>
  <c r="S115" i="2"/>
  <c r="J115" i="2"/>
  <c r="L115" i="2"/>
  <c r="O115" i="2"/>
  <c r="V115" i="2"/>
  <c r="AE115" i="2"/>
  <c r="AF115" i="2"/>
  <c r="P115" i="2"/>
  <c r="X115" i="2"/>
  <c r="F115" i="2"/>
  <c r="U115" i="2"/>
  <c r="H115" i="2"/>
  <c r="Y115" i="2"/>
  <c r="W115" i="2"/>
  <c r="Z115" i="2"/>
  <c r="AD115" i="2"/>
  <c r="R115" i="2"/>
  <c r="N115" i="2"/>
  <c r="Q106" i="2"/>
  <c r="J106" i="2"/>
  <c r="U106" i="2"/>
  <c r="AB106" i="2"/>
  <c r="K106" i="2"/>
  <c r="M106" i="2"/>
  <c r="J150" i="2"/>
  <c r="T150" i="2"/>
  <c r="G150" i="2"/>
  <c r="AA150" i="2"/>
  <c r="K150" i="2"/>
  <c r="W150" i="2"/>
  <c r="V150" i="2"/>
  <c r="I153" i="2"/>
  <c r="S153" i="2"/>
  <c r="U153" i="2"/>
  <c r="F153" i="2"/>
  <c r="L153" i="2"/>
  <c r="G153" i="2"/>
  <c r="AB153" i="2"/>
  <c r="J153" i="2"/>
  <c r="Z153" i="2"/>
  <c r="P153" i="2"/>
  <c r="M153" i="2"/>
  <c r="R153" i="2"/>
  <c r="AD153" i="2"/>
  <c r="K153" i="2"/>
  <c r="N153" i="2"/>
  <c r="Y153" i="2"/>
  <c r="T153" i="2"/>
  <c r="AC153" i="2"/>
  <c r="AF153" i="2"/>
  <c r="AE153" i="2"/>
  <c r="W153" i="2"/>
  <c r="O153" i="2"/>
  <c r="AA153" i="2"/>
  <c r="X153" i="2"/>
  <c r="V153" i="2"/>
  <c r="Q153" i="2"/>
  <c r="H153" i="2"/>
  <c r="X106" i="2"/>
  <c r="AC106" i="2"/>
  <c r="O106" i="2"/>
  <c r="R106" i="2"/>
  <c r="AB150" i="2"/>
  <c r="U150" i="2"/>
  <c r="O150" i="2"/>
  <c r="L106" i="2"/>
  <c r="T106" i="2"/>
  <c r="Y106" i="2"/>
  <c r="N106" i="2"/>
  <c r="V106" i="2"/>
  <c r="I106" i="2"/>
  <c r="I150" i="2"/>
  <c r="Q150" i="2"/>
  <c r="F150" i="2"/>
  <c r="X150" i="2"/>
  <c r="AE150" i="2"/>
  <c r="Y150" i="2"/>
  <c r="J112" i="2"/>
  <c r="H112" i="2"/>
  <c r="W112" i="2"/>
  <c r="Y112" i="2"/>
  <c r="K112" i="2"/>
  <c r="P112" i="2"/>
  <c r="U112" i="2"/>
  <c r="M112" i="2"/>
  <c r="Q112" i="2"/>
  <c r="G112" i="2"/>
  <c r="AC112" i="2"/>
  <c r="AA112" i="2"/>
  <c r="AD112" i="2"/>
  <c r="O93" i="2"/>
  <c r="Q93" i="2"/>
  <c r="AE93" i="2"/>
  <c r="AA93" i="2"/>
  <c r="X93" i="2"/>
  <c r="R93" i="2"/>
  <c r="S93" i="2"/>
  <c r="AD93" i="2"/>
  <c r="W93" i="2"/>
  <c r="T93" i="2"/>
  <c r="U93" i="2"/>
  <c r="N93" i="2"/>
  <c r="V93" i="2"/>
  <c r="P93" i="2"/>
  <c r="AB93" i="2"/>
  <c r="AC93" i="2"/>
  <c r="Z93" i="2"/>
  <c r="M93" i="2"/>
  <c r="L93" i="2"/>
  <c r="G93" i="2"/>
  <c r="AF93" i="2"/>
  <c r="Y93" i="2"/>
  <c r="K93" i="2"/>
  <c r="I93" i="2"/>
  <c r="E492" i="2"/>
  <c r="AG489" i="2"/>
  <c r="AH489" i="2" s="1"/>
  <c r="H93" i="2"/>
  <c r="Q131" i="2"/>
  <c r="S131" i="2"/>
  <c r="O131" i="2"/>
  <c r="W131" i="2"/>
  <c r="AE131" i="2"/>
  <c r="AD131" i="2"/>
  <c r="Y131" i="2"/>
  <c r="AA131" i="2"/>
  <c r="G131" i="2"/>
  <c r="P131" i="2"/>
  <c r="M131" i="2"/>
  <c r="U131" i="2"/>
  <c r="X131" i="2"/>
  <c r="N131" i="2"/>
  <c r="L131" i="2"/>
  <c r="AF131" i="2"/>
  <c r="V131" i="2"/>
  <c r="R131" i="2"/>
  <c r="T131" i="2"/>
  <c r="AB131" i="2"/>
  <c r="Z131" i="2"/>
  <c r="AC131" i="2"/>
  <c r="K131" i="2"/>
  <c r="M205" i="15"/>
  <c r="M35" i="15" s="1"/>
  <c r="AG264" i="2"/>
  <c r="AH264" i="2" s="1"/>
  <c r="R102" i="2"/>
  <c r="R103" i="2" s="1"/>
  <c r="F102" i="2"/>
  <c r="F103" i="2" s="1"/>
  <c r="AA102" i="2"/>
  <c r="AA103" i="2" s="1"/>
  <c r="Q102" i="2"/>
  <c r="Q103" i="2" s="1"/>
  <c r="AE102" i="2"/>
  <c r="AE103" i="2" s="1"/>
  <c r="S102" i="2"/>
  <c r="G102" i="2"/>
  <c r="G103" i="2" s="1"/>
  <c r="AC102" i="2"/>
  <c r="AC103" i="2" s="1"/>
  <c r="H102" i="2"/>
  <c r="H103" i="2" s="1"/>
  <c r="K102" i="2"/>
  <c r="Y102" i="2"/>
  <c r="Y103" i="2" s="1"/>
  <c r="O102" i="2"/>
  <c r="O103" i="2" s="1"/>
  <c r="L102" i="2"/>
  <c r="V102" i="2"/>
  <c r="AB102" i="2"/>
  <c r="AB103" i="2" s="1"/>
  <c r="M102" i="2"/>
  <c r="M103" i="2" s="1"/>
  <c r="AF102" i="2"/>
  <c r="AF103" i="2" s="1"/>
  <c r="AD102" i="2"/>
  <c r="X102" i="2"/>
  <c r="J102" i="2"/>
  <c r="J103" i="2" s="1"/>
  <c r="N102" i="2"/>
  <c r="Z102" i="2"/>
  <c r="I102" i="2"/>
  <c r="U102" i="2"/>
  <c r="U103" i="2" s="1"/>
  <c r="T102" i="2"/>
  <c r="T103" i="2" s="1"/>
  <c r="P102" i="2"/>
  <c r="W102" i="2"/>
  <c r="W103" i="2" s="1"/>
  <c r="I126" i="1"/>
  <c r="F474" i="2"/>
  <c r="AG101" i="2"/>
  <c r="AH101" i="2" s="1"/>
  <c r="N203" i="15"/>
  <c r="N205" i="15" s="1"/>
  <c r="N35" i="15" s="1"/>
  <c r="O84" i="15"/>
  <c r="R84" i="15" s="1"/>
  <c r="F480" i="2"/>
  <c r="AH338" i="2"/>
  <c r="AG71" i="2"/>
  <c r="AH71" i="2" s="1"/>
  <c r="AG299" i="2"/>
  <c r="AH299" i="2" s="1"/>
  <c r="Z261" i="2"/>
  <c r="U261" i="2"/>
  <c r="X261" i="2"/>
  <c r="K261" i="2"/>
  <c r="AD261" i="2"/>
  <c r="AF261" i="2"/>
  <c r="P261" i="2"/>
  <c r="L261" i="2"/>
  <c r="N261" i="2"/>
  <c r="AC261" i="2"/>
  <c r="M261" i="2"/>
  <c r="S261" i="2"/>
  <c r="I261" i="2"/>
  <c r="Y261" i="2"/>
  <c r="AA261" i="2"/>
  <c r="G261" i="2"/>
  <c r="T261" i="2"/>
  <c r="R261" i="2"/>
  <c r="Q261" i="2"/>
  <c r="F261" i="2"/>
  <c r="AE261" i="2"/>
  <c r="V261" i="2"/>
  <c r="J261" i="2"/>
  <c r="H261" i="2"/>
  <c r="AB261" i="2"/>
  <c r="O261" i="2"/>
  <c r="W261" i="2"/>
  <c r="AG144" i="2"/>
  <c r="AH144" i="2" s="1"/>
  <c r="AG178" i="2"/>
  <c r="AH178" i="2" s="1"/>
  <c r="F179" i="2"/>
  <c r="I140" i="2"/>
  <c r="Z140" i="2"/>
  <c r="AA140" i="2"/>
  <c r="AD140" i="2"/>
  <c r="H140" i="2"/>
  <c r="R140" i="2"/>
  <c r="N140" i="2"/>
  <c r="V140" i="2"/>
  <c r="T140" i="2"/>
  <c r="L140" i="2"/>
  <c r="O140" i="2"/>
  <c r="K140" i="2"/>
  <c r="J140" i="2"/>
  <c r="M140" i="2"/>
  <c r="F140" i="2"/>
  <c r="G140" i="2"/>
  <c r="AC140" i="2"/>
  <c r="W140" i="2"/>
  <c r="AE140" i="2"/>
  <c r="AF140" i="2"/>
  <c r="P140" i="2"/>
  <c r="U140" i="2"/>
  <c r="S140" i="2"/>
  <c r="S141" i="2" s="1"/>
  <c r="Y140" i="2"/>
  <c r="X140" i="2"/>
  <c r="Q140" i="2"/>
  <c r="AB140" i="2"/>
  <c r="W287" i="1"/>
  <c r="W129" i="1"/>
  <c r="W133" i="1" s="1"/>
  <c r="W144" i="1" s="1"/>
  <c r="E109" i="2" s="1"/>
  <c r="W328" i="1"/>
  <c r="E147" i="2"/>
  <c r="AG254" i="2"/>
  <c r="AH254" i="2" s="1"/>
  <c r="F255" i="2"/>
  <c r="AG255" i="2" s="1"/>
  <c r="AH255" i="2" s="1"/>
  <c r="AB130" i="1" l="1"/>
  <c r="AC130" i="1" s="1"/>
  <c r="AJ140" i="2"/>
  <c r="AJ139" i="2"/>
  <c r="AJ150" i="2"/>
  <c r="AJ153" i="2"/>
  <c r="N34" i="15"/>
  <c r="M34" i="15"/>
  <c r="AB142" i="1"/>
  <c r="AC142" i="1" s="1"/>
  <c r="P316" i="1"/>
  <c r="E287" i="2" s="1"/>
  <c r="S287" i="2" s="1"/>
  <c r="P449" i="1"/>
  <c r="P318" i="1"/>
  <c r="P281" i="1"/>
  <c r="E59" i="2"/>
  <c r="R59" i="2" s="1"/>
  <c r="P314" i="1"/>
  <c r="E249" i="2" s="1"/>
  <c r="P455" i="1"/>
  <c r="P320" i="1"/>
  <c r="P272" i="1"/>
  <c r="P322" i="1"/>
  <c r="P278" i="1"/>
  <c r="P324" i="1"/>
  <c r="AE20" i="2"/>
  <c r="Z20" i="2"/>
  <c r="P20" i="2"/>
  <c r="V20" i="2"/>
  <c r="S20" i="2"/>
  <c r="AD20" i="2"/>
  <c r="AB131" i="1"/>
  <c r="AC131" i="1" s="1"/>
  <c r="AB20" i="2"/>
  <c r="J20" i="2"/>
  <c r="F20" i="2"/>
  <c r="R20" i="2"/>
  <c r="I20" i="2"/>
  <c r="H20" i="2"/>
  <c r="U20" i="2"/>
  <c r="W20" i="2"/>
  <c r="L20" i="2"/>
  <c r="Y20" i="2"/>
  <c r="N20" i="2"/>
  <c r="X20" i="2"/>
  <c r="T20" i="2"/>
  <c r="AF20" i="2"/>
  <c r="Q20" i="2"/>
  <c r="AA20" i="2"/>
  <c r="G20" i="2"/>
  <c r="M20" i="2"/>
  <c r="O20" i="2"/>
  <c r="O21" i="2" s="1"/>
  <c r="AC20" i="2"/>
  <c r="AG211" i="2"/>
  <c r="AH211" i="2" s="1"/>
  <c r="F467" i="2"/>
  <c r="AG467" i="2" s="1"/>
  <c r="AH467" i="2" s="1"/>
  <c r="AD19" i="2"/>
  <c r="Y19" i="2"/>
  <c r="AA19" i="2"/>
  <c r="Q19" i="2"/>
  <c r="AC19" i="2"/>
  <c r="Z19" i="2"/>
  <c r="O99" i="1"/>
  <c r="AB99" i="1" s="1"/>
  <c r="AC99" i="1" s="1"/>
  <c r="AB91" i="1"/>
  <c r="AC91" i="1" s="1"/>
  <c r="P19" i="2"/>
  <c r="I19" i="2"/>
  <c r="O453" i="1"/>
  <c r="AB453" i="1" s="1"/>
  <c r="AC453" i="1" s="1"/>
  <c r="O448" i="1"/>
  <c r="AB448" i="1" s="1"/>
  <c r="AC448" i="1" s="1"/>
  <c r="O454" i="1"/>
  <c r="AB454" i="1" s="1"/>
  <c r="AC454" i="1" s="1"/>
  <c r="O277" i="1"/>
  <c r="AB277" i="1" s="1"/>
  <c r="AC277" i="1" s="1"/>
  <c r="O276" i="1"/>
  <c r="AB276" i="1" s="1"/>
  <c r="AC276" i="1" s="1"/>
  <c r="O269" i="1"/>
  <c r="O271" i="1"/>
  <c r="AB271" i="1" s="1"/>
  <c r="AC271" i="1" s="1"/>
  <c r="O275" i="1"/>
  <c r="AB275" i="1" s="1"/>
  <c r="AC275" i="1" s="1"/>
  <c r="O446" i="1"/>
  <c r="O452" i="1"/>
  <c r="AB452" i="1" s="1"/>
  <c r="AC452" i="1" s="1"/>
  <c r="AB264" i="1"/>
  <c r="AC264" i="1" s="1"/>
  <c r="G19" i="2"/>
  <c r="N19" i="2"/>
  <c r="O273" i="1"/>
  <c r="AB273" i="1" s="1"/>
  <c r="AC273" i="1" s="1"/>
  <c r="O447" i="1"/>
  <c r="AB447" i="1" s="1"/>
  <c r="AC447" i="1" s="1"/>
  <c r="O451" i="1"/>
  <c r="AB451" i="1" s="1"/>
  <c r="AC451" i="1" s="1"/>
  <c r="O274" i="1"/>
  <c r="AB274" i="1" s="1"/>
  <c r="AC274" i="1" s="1"/>
  <c r="O450" i="1"/>
  <c r="AB450" i="1" s="1"/>
  <c r="AC450" i="1" s="1"/>
  <c r="O270" i="1"/>
  <c r="AB270" i="1" s="1"/>
  <c r="AC270" i="1" s="1"/>
  <c r="AB440" i="1"/>
  <c r="AC440" i="1" s="1"/>
  <c r="H19" i="2"/>
  <c r="E21" i="2"/>
  <c r="E40" i="2" s="1"/>
  <c r="K19" i="2"/>
  <c r="K21" i="2" s="1"/>
  <c r="J19" i="2"/>
  <c r="M19" i="2"/>
  <c r="Q59" i="2"/>
  <c r="AE19" i="2"/>
  <c r="W19" i="2"/>
  <c r="R19" i="2"/>
  <c r="O93" i="1"/>
  <c r="AB93" i="1" s="1"/>
  <c r="AC93" i="1" s="1"/>
  <c r="S19" i="2"/>
  <c r="E210" i="2"/>
  <c r="F210" i="2" s="1"/>
  <c r="AB312" i="1"/>
  <c r="AC312" i="1" s="1"/>
  <c r="T19" i="2"/>
  <c r="U19" i="2"/>
  <c r="AG460" i="2"/>
  <c r="AH460" i="2" s="1"/>
  <c r="F19" i="2"/>
  <c r="X19" i="2"/>
  <c r="V19" i="2"/>
  <c r="AB98" i="1"/>
  <c r="AC98" i="1" s="1"/>
  <c r="AF19" i="2"/>
  <c r="AB19" i="2"/>
  <c r="L19" i="2"/>
  <c r="U141" i="2"/>
  <c r="G141" i="2"/>
  <c r="Q141" i="2"/>
  <c r="M141" i="2"/>
  <c r="R141" i="2"/>
  <c r="AG139" i="2"/>
  <c r="AH139" i="2" s="1"/>
  <c r="AE141" i="2"/>
  <c r="W141" i="2"/>
  <c r="F141" i="2"/>
  <c r="O141" i="2"/>
  <c r="N141" i="2"/>
  <c r="J141" i="2"/>
  <c r="H141" i="2"/>
  <c r="V141" i="2"/>
  <c r="Z141" i="2"/>
  <c r="AG179" i="2"/>
  <c r="AH179" i="2" s="1"/>
  <c r="AG185" i="2"/>
  <c r="AH185" i="2" s="1"/>
  <c r="AG150" i="2"/>
  <c r="AH150" i="2" s="1"/>
  <c r="AG106" i="2"/>
  <c r="AH106" i="2" s="1"/>
  <c r="AG112" i="2"/>
  <c r="AH112" i="2" s="1"/>
  <c r="AG153" i="2"/>
  <c r="AH153" i="2" s="1"/>
  <c r="AG115" i="2"/>
  <c r="AH115" i="2" s="1"/>
  <c r="I12" i="15"/>
  <c r="T84" i="15"/>
  <c r="K12" i="15" s="1"/>
  <c r="AD103" i="2"/>
  <c r="P141" i="2"/>
  <c r="X141" i="2"/>
  <c r="AC141" i="2"/>
  <c r="F481" i="2"/>
  <c r="F93" i="2"/>
  <c r="F16" i="2"/>
  <c r="F55" i="2"/>
  <c r="F207" i="2"/>
  <c r="O203" i="15"/>
  <c r="AG102" i="2"/>
  <c r="AH102" i="2" s="1"/>
  <c r="AG140" i="2"/>
  <c r="AH140" i="2" s="1"/>
  <c r="P103" i="2"/>
  <c r="K103" i="2"/>
  <c r="AG261" i="2"/>
  <c r="AH261" i="2" s="1"/>
  <c r="I141" i="2"/>
  <c r="I278" i="1"/>
  <c r="I449" i="1"/>
  <c r="I314" i="1"/>
  <c r="I272" i="1"/>
  <c r="I316" i="1"/>
  <c r="I324" i="1"/>
  <c r="I281" i="1"/>
  <c r="I320" i="1"/>
  <c r="I455" i="1"/>
  <c r="E48" i="2"/>
  <c r="I318" i="1"/>
  <c r="I322" i="1"/>
  <c r="AA141" i="2"/>
  <c r="L103" i="2"/>
  <c r="N103" i="2"/>
  <c r="K141" i="2"/>
  <c r="S109" i="2"/>
  <c r="N109" i="2"/>
  <c r="K109" i="2"/>
  <c r="T109" i="2"/>
  <c r="X109" i="2"/>
  <c r="L109" i="2"/>
  <c r="AF109" i="2"/>
  <c r="AD109" i="2"/>
  <c r="AE109" i="2"/>
  <c r="R109" i="2"/>
  <c r="AB109" i="2"/>
  <c r="O109" i="2"/>
  <c r="I109" i="2"/>
  <c r="M109" i="2"/>
  <c r="H109" i="2"/>
  <c r="AA109" i="2"/>
  <c r="U109" i="2"/>
  <c r="P109" i="2"/>
  <c r="AC109" i="2"/>
  <c r="J109" i="2"/>
  <c r="Y109" i="2"/>
  <c r="F109" i="2"/>
  <c r="G109" i="2"/>
  <c r="Z109" i="2"/>
  <c r="V109" i="2"/>
  <c r="W109" i="2"/>
  <c r="Q109" i="2"/>
  <c r="AB147" i="2"/>
  <c r="K147" i="2"/>
  <c r="U147" i="2"/>
  <c r="X147" i="2"/>
  <c r="I147" i="2"/>
  <c r="AD147" i="2"/>
  <c r="F147" i="2"/>
  <c r="N147" i="2"/>
  <c r="AF147" i="2"/>
  <c r="AC147" i="2"/>
  <c r="L147" i="2"/>
  <c r="AE147" i="2"/>
  <c r="J147" i="2"/>
  <c r="Q147" i="2"/>
  <c r="G147" i="2"/>
  <c r="W147" i="2"/>
  <c r="O147" i="2"/>
  <c r="AA147" i="2"/>
  <c r="Y147" i="2"/>
  <c r="T147" i="2"/>
  <c r="M147" i="2"/>
  <c r="V147" i="2"/>
  <c r="Z147" i="2"/>
  <c r="S147" i="2"/>
  <c r="R147" i="2"/>
  <c r="H147" i="2"/>
  <c r="P147" i="2"/>
  <c r="AD141" i="2"/>
  <c r="S103" i="2"/>
  <c r="T141" i="2"/>
  <c r="Z103" i="2"/>
  <c r="AB141" i="2"/>
  <c r="L141" i="2"/>
  <c r="V103" i="2"/>
  <c r="Y141" i="2"/>
  <c r="AF141" i="2"/>
  <c r="X103" i="2"/>
  <c r="I103" i="2"/>
  <c r="AD21" i="2" l="1"/>
  <c r="AJ141" i="2"/>
  <c r="AJ147" i="2"/>
  <c r="G287" i="2"/>
  <c r="O287" i="2"/>
  <c r="W287" i="2"/>
  <c r="Z287" i="2"/>
  <c r="X59" i="2"/>
  <c r="N287" i="2"/>
  <c r="AD287" i="2"/>
  <c r="L287" i="2"/>
  <c r="Y59" i="2"/>
  <c r="AB287" i="2"/>
  <c r="AF287" i="2"/>
  <c r="Y287" i="2"/>
  <c r="F59" i="2"/>
  <c r="AE59" i="2"/>
  <c r="AA287" i="2"/>
  <c r="J287" i="2"/>
  <c r="T287" i="2"/>
  <c r="AE287" i="2"/>
  <c r="U59" i="2"/>
  <c r="K59" i="2"/>
  <c r="U287" i="2"/>
  <c r="X287" i="2"/>
  <c r="M287" i="2"/>
  <c r="P287" i="2"/>
  <c r="K287" i="2"/>
  <c r="Q287" i="2"/>
  <c r="I287" i="2"/>
  <c r="M59" i="2"/>
  <c r="G59" i="2"/>
  <c r="Z59" i="2"/>
  <c r="M21" i="2"/>
  <c r="H21" i="2"/>
  <c r="AC287" i="2"/>
  <c r="H287" i="2"/>
  <c r="R287" i="2"/>
  <c r="F287" i="2"/>
  <c r="V287" i="2"/>
  <c r="V59" i="2"/>
  <c r="P59" i="2"/>
  <c r="AA59" i="2"/>
  <c r="I21" i="2"/>
  <c r="G21" i="2"/>
  <c r="P283" i="1"/>
  <c r="P285" i="1" s="1"/>
  <c r="P129" i="1" s="1"/>
  <c r="P133" i="1" s="1"/>
  <c r="P144" i="1" s="1"/>
  <c r="E97" i="2" s="1"/>
  <c r="P21" i="2"/>
  <c r="P459" i="1"/>
  <c r="P461" i="1" s="1"/>
  <c r="P463" i="1" s="1"/>
  <c r="E173" i="2" s="1"/>
  <c r="H173" i="2" s="1"/>
  <c r="P326" i="1"/>
  <c r="AF21" i="2"/>
  <c r="AF59" i="2"/>
  <c r="T59" i="2"/>
  <c r="W59" i="2"/>
  <c r="S59" i="2"/>
  <c r="I59" i="2"/>
  <c r="H59" i="2"/>
  <c r="L59" i="2"/>
  <c r="AB59" i="2"/>
  <c r="N59" i="2"/>
  <c r="J59" i="2"/>
  <c r="AC59" i="2"/>
  <c r="O59" i="2"/>
  <c r="AD59" i="2"/>
  <c r="J21" i="2"/>
  <c r="Z21" i="2"/>
  <c r="S21" i="2"/>
  <c r="AE21" i="2"/>
  <c r="Y21" i="2"/>
  <c r="L21" i="2"/>
  <c r="V21" i="2"/>
  <c r="AB21" i="2"/>
  <c r="T21" i="2"/>
  <c r="AG20" i="2"/>
  <c r="AH20" i="2" s="1"/>
  <c r="X21" i="2"/>
  <c r="N21" i="2"/>
  <c r="AC21" i="2"/>
  <c r="W21" i="2"/>
  <c r="Q21" i="2"/>
  <c r="R21" i="2"/>
  <c r="U21" i="2"/>
  <c r="AA21" i="2"/>
  <c r="O101" i="1"/>
  <c r="AB101" i="1" s="1"/>
  <c r="AC101" i="1" s="1"/>
  <c r="AB446" i="1"/>
  <c r="AC446" i="1" s="1"/>
  <c r="F212" i="2"/>
  <c r="AA210" i="2"/>
  <c r="AA212" i="2" s="1"/>
  <c r="E212" i="2"/>
  <c r="E231" i="2" s="1"/>
  <c r="E320" i="2" s="1"/>
  <c r="K210" i="2"/>
  <c r="K212" i="2" s="1"/>
  <c r="U210" i="2"/>
  <c r="U212" i="2" s="1"/>
  <c r="T210" i="2"/>
  <c r="T212" i="2" s="1"/>
  <c r="S210" i="2"/>
  <c r="S212" i="2" s="1"/>
  <c r="Y210" i="2"/>
  <c r="Y212" i="2" s="1"/>
  <c r="AD210" i="2"/>
  <c r="AD212" i="2" s="1"/>
  <c r="AC210" i="2"/>
  <c r="AC212" i="2" s="1"/>
  <c r="O210" i="2"/>
  <c r="O212" i="2" s="1"/>
  <c r="V210" i="2"/>
  <c r="V212" i="2" s="1"/>
  <c r="X210" i="2"/>
  <c r="X212" i="2" s="1"/>
  <c r="H210" i="2"/>
  <c r="H212" i="2" s="1"/>
  <c r="L210" i="2"/>
  <c r="L212" i="2" s="1"/>
  <c r="AB210" i="2"/>
  <c r="AB212" i="2" s="1"/>
  <c r="AF210" i="2"/>
  <c r="AF212" i="2" s="1"/>
  <c r="I210" i="2"/>
  <c r="I212" i="2" s="1"/>
  <c r="P210" i="2"/>
  <c r="P212" i="2" s="1"/>
  <c r="N210" i="2"/>
  <c r="N212" i="2" s="1"/>
  <c r="J210" i="2"/>
  <c r="J212" i="2" s="1"/>
  <c r="Z210" i="2"/>
  <c r="Z212" i="2" s="1"/>
  <c r="Q210" i="2"/>
  <c r="Q212" i="2" s="1"/>
  <c r="R210" i="2"/>
  <c r="R212" i="2" s="1"/>
  <c r="W210" i="2"/>
  <c r="W212" i="2" s="1"/>
  <c r="AE210" i="2"/>
  <c r="AE212" i="2" s="1"/>
  <c r="M210" i="2"/>
  <c r="M212" i="2" s="1"/>
  <c r="G210" i="2"/>
  <c r="G212" i="2" s="1"/>
  <c r="F21" i="2"/>
  <c r="AG19" i="2"/>
  <c r="AH19" i="2" s="1"/>
  <c r="I249" i="2"/>
  <c r="R249" i="2"/>
  <c r="X249" i="2"/>
  <c r="H249" i="2"/>
  <c r="M249" i="2"/>
  <c r="Z249" i="2"/>
  <c r="AD249" i="2"/>
  <c r="AE249" i="2"/>
  <c r="G249" i="2"/>
  <c r="K249" i="2"/>
  <c r="P249" i="2"/>
  <c r="N249" i="2"/>
  <c r="Q249" i="2"/>
  <c r="S249" i="2"/>
  <c r="F249" i="2"/>
  <c r="L249" i="2"/>
  <c r="W249" i="2"/>
  <c r="Y249" i="2"/>
  <c r="U249" i="2"/>
  <c r="AA249" i="2"/>
  <c r="J249" i="2"/>
  <c r="AC249" i="2"/>
  <c r="O249" i="2"/>
  <c r="T249" i="2"/>
  <c r="AB249" i="2"/>
  <c r="AF249" i="2"/>
  <c r="V249" i="2"/>
  <c r="AB269" i="1"/>
  <c r="AC269" i="1" s="1"/>
  <c r="AG103" i="2"/>
  <c r="AH103" i="2" s="1"/>
  <c r="AG141" i="2"/>
  <c r="AH141" i="2" s="1"/>
  <c r="E49" i="2"/>
  <c r="E238" i="2"/>
  <c r="I326" i="1"/>
  <c r="F131" i="2"/>
  <c r="F169" i="2"/>
  <c r="F283" i="2"/>
  <c r="F245" i="2"/>
  <c r="AG147" i="2"/>
  <c r="AH147" i="2" s="1"/>
  <c r="AG109" i="2"/>
  <c r="AH109" i="2" s="1"/>
  <c r="E276" i="2"/>
  <c r="P203" i="15"/>
  <c r="O205" i="15"/>
  <c r="J433" i="2"/>
  <c r="AG433" i="2" s="1"/>
  <c r="K25" i="15"/>
  <c r="E433" i="2" s="1"/>
  <c r="I459" i="1"/>
  <c r="I283" i="1"/>
  <c r="J435" i="2"/>
  <c r="J488" i="2" s="1"/>
  <c r="I25" i="15"/>
  <c r="E435" i="2" s="1"/>
  <c r="AG287" i="2" l="1"/>
  <c r="AH287" i="2" s="1"/>
  <c r="AG59" i="2"/>
  <c r="AH59" i="2" s="1"/>
  <c r="AF173" i="2"/>
  <c r="S173" i="2"/>
  <c r="L173" i="2"/>
  <c r="U173" i="2"/>
  <c r="N173" i="2"/>
  <c r="AD173" i="2"/>
  <c r="R173" i="2"/>
  <c r="O173" i="2"/>
  <c r="T173" i="2"/>
  <c r="V173" i="2"/>
  <c r="AC173" i="2"/>
  <c r="G173" i="2"/>
  <c r="Z173" i="2"/>
  <c r="P328" i="1"/>
  <c r="W173" i="2"/>
  <c r="X173" i="2"/>
  <c r="Y173" i="2"/>
  <c r="F173" i="2"/>
  <c r="AB173" i="2"/>
  <c r="P173" i="2"/>
  <c r="AE173" i="2"/>
  <c r="M173" i="2"/>
  <c r="Q173" i="2"/>
  <c r="I173" i="2"/>
  <c r="AA173" i="2"/>
  <c r="J173" i="2"/>
  <c r="K173" i="2"/>
  <c r="P287" i="1"/>
  <c r="E135" i="2"/>
  <c r="N135" i="2" s="1"/>
  <c r="N508" i="2" s="1"/>
  <c r="AG21" i="2"/>
  <c r="AH21" i="2" s="1"/>
  <c r="O104" i="1"/>
  <c r="AB104" i="1" s="1"/>
  <c r="AC104" i="1" s="1"/>
  <c r="J97" i="2"/>
  <c r="J526" i="2" s="1"/>
  <c r="K97" i="2"/>
  <c r="K526" i="2" s="1"/>
  <c r="AA97" i="2"/>
  <c r="AA526" i="2" s="1"/>
  <c r="O97" i="2"/>
  <c r="O526" i="2" s="1"/>
  <c r="R97" i="2"/>
  <c r="R526" i="2" s="1"/>
  <c r="R555" i="2" s="1"/>
  <c r="N97" i="2"/>
  <c r="N526" i="2" s="1"/>
  <c r="F97" i="2"/>
  <c r="AF97" i="2"/>
  <c r="AF526" i="2" s="1"/>
  <c r="AF629" i="2" s="1"/>
  <c r="AF630" i="2" s="1"/>
  <c r="M97" i="2"/>
  <c r="M526" i="2" s="1"/>
  <c r="S97" i="2"/>
  <c r="S526" i="2" s="1"/>
  <c r="S555" i="2" s="1"/>
  <c r="Q97" i="2"/>
  <c r="Q526" i="2" s="1"/>
  <c r="Q555" i="2" s="1"/>
  <c r="Y97" i="2"/>
  <c r="Y526" i="2" s="1"/>
  <c r="T97" i="2"/>
  <c r="T526" i="2" s="1"/>
  <c r="AE97" i="2"/>
  <c r="H97" i="2"/>
  <c r="H526" i="2" s="1"/>
  <c r="W97" i="2"/>
  <c r="W526" i="2" s="1"/>
  <c r="X97" i="2"/>
  <c r="X526" i="2" s="1"/>
  <c r="Z97" i="2"/>
  <c r="Z526" i="2" s="1"/>
  <c r="AC97" i="2"/>
  <c r="AC526" i="2" s="1"/>
  <c r="I97" i="2"/>
  <c r="I526" i="2" s="1"/>
  <c r="L97" i="2"/>
  <c r="L526" i="2" s="1"/>
  <c r="L555" i="2" s="1"/>
  <c r="P97" i="2"/>
  <c r="P526" i="2" s="1"/>
  <c r="P555" i="2" s="1"/>
  <c r="G97" i="2"/>
  <c r="G526" i="2" s="1"/>
  <c r="AB97" i="2"/>
  <c r="AB526" i="2" s="1"/>
  <c r="AD97" i="2"/>
  <c r="AD526" i="2" s="1"/>
  <c r="U97" i="2"/>
  <c r="U526" i="2" s="1"/>
  <c r="V97" i="2"/>
  <c r="V526" i="2" s="1"/>
  <c r="E526" i="2"/>
  <c r="AG210" i="2"/>
  <c r="AH210" i="2" s="1"/>
  <c r="AG249" i="2"/>
  <c r="AH249" i="2" s="1"/>
  <c r="AG212" i="2"/>
  <c r="AH212" i="2" s="1"/>
  <c r="N349" i="2"/>
  <c r="N351" i="2" s="1"/>
  <c r="D18" i="4" s="1"/>
  <c r="R349" i="2"/>
  <c r="R351" i="2" s="1"/>
  <c r="D22" i="4" s="1"/>
  <c r="V349" i="2"/>
  <c r="V351" i="2" s="1"/>
  <c r="Z349" i="2"/>
  <c r="Z351" i="2" s="1"/>
  <c r="AD349" i="2"/>
  <c r="AD351" i="2" s="1"/>
  <c r="L349" i="2"/>
  <c r="L351" i="2" s="1"/>
  <c r="D16" i="4" s="1"/>
  <c r="T349" i="2"/>
  <c r="T351" i="2" s="1"/>
  <c r="AB349" i="2"/>
  <c r="AB351" i="2" s="1"/>
  <c r="I349" i="2"/>
  <c r="I351" i="2" s="1"/>
  <c r="D13" i="4" s="1"/>
  <c r="Q349" i="2"/>
  <c r="Q351" i="2" s="1"/>
  <c r="D21" i="4" s="1"/>
  <c r="Y349" i="2"/>
  <c r="Y351" i="2" s="1"/>
  <c r="G349" i="2"/>
  <c r="G351" i="2" s="1"/>
  <c r="D11" i="4" s="1"/>
  <c r="K349" i="2"/>
  <c r="K351" i="2" s="1"/>
  <c r="D15" i="4" s="1"/>
  <c r="O349" i="2"/>
  <c r="O351" i="2" s="1"/>
  <c r="D19" i="4" s="1"/>
  <c r="S349" i="2"/>
  <c r="S351" i="2" s="1"/>
  <c r="W349" i="2"/>
  <c r="W351" i="2" s="1"/>
  <c r="AA349" i="2"/>
  <c r="AA351" i="2" s="1"/>
  <c r="AE349" i="2"/>
  <c r="AE351" i="2" s="1"/>
  <c r="H349" i="2"/>
  <c r="H351" i="2" s="1"/>
  <c r="D12" i="4" s="1"/>
  <c r="P349" i="2"/>
  <c r="P351" i="2" s="1"/>
  <c r="D20" i="4" s="1"/>
  <c r="X349" i="2"/>
  <c r="X351" i="2" s="1"/>
  <c r="AF349" i="2"/>
  <c r="AF351" i="2" s="1"/>
  <c r="M349" i="2"/>
  <c r="M351" i="2" s="1"/>
  <c r="D17" i="4" s="1"/>
  <c r="U349" i="2"/>
  <c r="U351" i="2" s="1"/>
  <c r="AC349" i="2"/>
  <c r="AC351" i="2" s="1"/>
  <c r="G359" i="2"/>
  <c r="K359" i="2"/>
  <c r="J359" i="2"/>
  <c r="H359" i="2"/>
  <c r="F359" i="2"/>
  <c r="I359" i="2"/>
  <c r="M359" i="2"/>
  <c r="L359" i="2"/>
  <c r="AH433" i="2"/>
  <c r="J441" i="2"/>
  <c r="AG488" i="2"/>
  <c r="AG435" i="2"/>
  <c r="AH435" i="2" s="1"/>
  <c r="I285" i="1"/>
  <c r="E277" i="2"/>
  <c r="I461" i="1"/>
  <c r="AD405" i="2"/>
  <c r="U405" i="2"/>
  <c r="P405" i="2"/>
  <c r="V405" i="2"/>
  <c r="AC405" i="2"/>
  <c r="H405" i="2"/>
  <c r="T405" i="2"/>
  <c r="X405" i="2"/>
  <c r="J405" i="2"/>
  <c r="I405" i="2"/>
  <c r="L405" i="2"/>
  <c r="G405" i="2"/>
  <c r="Q405" i="2"/>
  <c r="M405" i="2"/>
  <c r="Y405" i="2"/>
  <c r="F405" i="2"/>
  <c r="K405" i="2"/>
  <c r="W405" i="2"/>
  <c r="AE405" i="2"/>
  <c r="R405" i="2"/>
  <c r="AB405" i="2"/>
  <c r="Z405" i="2"/>
  <c r="N405" i="2"/>
  <c r="AA405" i="2"/>
  <c r="AF405" i="2"/>
  <c r="O405" i="2"/>
  <c r="S405" i="2"/>
  <c r="E239" i="2"/>
  <c r="N555" i="2" l="1"/>
  <c r="N629" i="2"/>
  <c r="O555" i="2"/>
  <c r="O629" i="2"/>
  <c r="K555" i="2"/>
  <c r="J555" i="2"/>
  <c r="G555" i="2"/>
  <c r="H555" i="2"/>
  <c r="I555" i="2"/>
  <c r="AG173" i="2"/>
  <c r="AH173" i="2" s="1"/>
  <c r="AA135" i="2"/>
  <c r="AA508" i="2" s="1"/>
  <c r="AA546" i="2" s="1"/>
  <c r="AB135" i="2"/>
  <c r="AB508" i="2" s="1"/>
  <c r="AB546" i="2" s="1"/>
  <c r="Q135" i="2"/>
  <c r="Q508" i="2" s="1"/>
  <c r="AD135" i="2"/>
  <c r="AD508" i="2" s="1"/>
  <c r="AD546" i="2" s="1"/>
  <c r="Y135" i="2"/>
  <c r="Y508" i="2" s="1"/>
  <c r="Y546" i="2" s="1"/>
  <c r="X135" i="2"/>
  <c r="X508" i="2" s="1"/>
  <c r="X546" i="2" s="1"/>
  <c r="V135" i="2"/>
  <c r="V508" i="2" s="1"/>
  <c r="V546" i="2" s="1"/>
  <c r="AE135" i="2"/>
  <c r="O135" i="2"/>
  <c r="O508" i="2" s="1"/>
  <c r="S135" i="2"/>
  <c r="S508" i="2" s="1"/>
  <c r="P135" i="2"/>
  <c r="P508" i="2" s="1"/>
  <c r="AC135" i="2"/>
  <c r="AC508" i="2" s="1"/>
  <c r="AC546" i="2" s="1"/>
  <c r="U135" i="2"/>
  <c r="U508" i="2" s="1"/>
  <c r="U546" i="2" s="1"/>
  <c r="F135" i="2"/>
  <c r="F508" i="2" s="1"/>
  <c r="E508" i="2"/>
  <c r="J135" i="2"/>
  <c r="J508" i="2" s="1"/>
  <c r="R135" i="2"/>
  <c r="R508" i="2" s="1"/>
  <c r="Z135" i="2"/>
  <c r="Z508" i="2" s="1"/>
  <c r="Z546" i="2" s="1"/>
  <c r="W135" i="2"/>
  <c r="W508" i="2" s="1"/>
  <c r="W546" i="2" s="1"/>
  <c r="I135" i="2"/>
  <c r="I508" i="2" s="1"/>
  <c r="M135" i="2"/>
  <c r="M508" i="2" s="1"/>
  <c r="K135" i="2"/>
  <c r="K508" i="2" s="1"/>
  <c r="G135" i="2"/>
  <c r="G508" i="2" s="1"/>
  <c r="AF135" i="2"/>
  <c r="AF508" i="2" s="1"/>
  <c r="T135" i="2"/>
  <c r="T508" i="2" s="1"/>
  <c r="T546" i="2" s="1"/>
  <c r="H135" i="2"/>
  <c r="L135" i="2"/>
  <c r="L508" i="2" s="1"/>
  <c r="O124" i="1"/>
  <c r="O126" i="1" s="1"/>
  <c r="Z629" i="2"/>
  <c r="Z630" i="2" s="1"/>
  <c r="Z555" i="2"/>
  <c r="T629" i="2"/>
  <c r="T630" i="2" s="1"/>
  <c r="T555" i="2"/>
  <c r="V555" i="2"/>
  <c r="V629" i="2"/>
  <c r="V630" i="2" s="1"/>
  <c r="AC629" i="2"/>
  <c r="AC630" i="2" s="1"/>
  <c r="AC555" i="2"/>
  <c r="AG97" i="2"/>
  <c r="AH97" i="2" s="1"/>
  <c r="F526" i="2"/>
  <c r="AA629" i="2"/>
  <c r="AA630" i="2" s="1"/>
  <c r="AA555" i="2"/>
  <c r="X555" i="2"/>
  <c r="X629" i="2"/>
  <c r="X630" i="2" s="1"/>
  <c r="U629" i="2"/>
  <c r="U630" i="2" s="1"/>
  <c r="U555" i="2"/>
  <c r="AD629" i="2"/>
  <c r="AD630" i="2" s="1"/>
  <c r="AD555" i="2"/>
  <c r="AB629" i="2"/>
  <c r="AB630" i="2" s="1"/>
  <c r="AB555" i="2"/>
  <c r="W555" i="2"/>
  <c r="W629" i="2"/>
  <c r="W630" i="2" s="1"/>
  <c r="Y629" i="2"/>
  <c r="Y630" i="2" s="1"/>
  <c r="Y555" i="2"/>
  <c r="AG359" i="2"/>
  <c r="AH359" i="2" s="1"/>
  <c r="D10" i="4"/>
  <c r="AG405" i="2"/>
  <c r="AH405" i="2" s="1"/>
  <c r="AE491" i="2"/>
  <c r="AE492" i="2" s="1"/>
  <c r="AE493" i="2" s="1"/>
  <c r="M491" i="2"/>
  <c r="M492" i="2" s="1"/>
  <c r="M493" i="2" s="1"/>
  <c r="O491" i="2"/>
  <c r="O492" i="2" s="1"/>
  <c r="O493" i="2" s="1"/>
  <c r="Z491" i="2"/>
  <c r="Z492" i="2" s="1"/>
  <c r="Z493" i="2" s="1"/>
  <c r="AD491" i="2"/>
  <c r="AD492" i="2" s="1"/>
  <c r="AD493" i="2" s="1"/>
  <c r="V491" i="2"/>
  <c r="V492" i="2" s="1"/>
  <c r="V493" i="2" s="1"/>
  <c r="P491" i="2"/>
  <c r="P492" i="2" s="1"/>
  <c r="P493" i="2" s="1"/>
  <c r="W491" i="2"/>
  <c r="W492" i="2" s="1"/>
  <c r="W493" i="2" s="1"/>
  <c r="AC491" i="2"/>
  <c r="AC492" i="2" s="1"/>
  <c r="AC493" i="2" s="1"/>
  <c r="L491" i="2"/>
  <c r="L492" i="2" s="1"/>
  <c r="L493" i="2" s="1"/>
  <c r="N491" i="2"/>
  <c r="N492" i="2" s="1"/>
  <c r="N493" i="2" s="1"/>
  <c r="R491" i="2"/>
  <c r="R492" i="2" s="1"/>
  <c r="R493" i="2" s="1"/>
  <c r="Q491" i="2"/>
  <c r="Q492" i="2" s="1"/>
  <c r="Q493" i="2" s="1"/>
  <c r="T491" i="2"/>
  <c r="T492" i="2" s="1"/>
  <c r="T493" i="2" s="1"/>
  <c r="AF491" i="2"/>
  <c r="AF492" i="2" s="1"/>
  <c r="AF493" i="2" s="1"/>
  <c r="AB491" i="2"/>
  <c r="AB492" i="2" s="1"/>
  <c r="AB493" i="2" s="1"/>
  <c r="K491" i="2"/>
  <c r="K492" i="2" s="1"/>
  <c r="K493" i="2" s="1"/>
  <c r="J491" i="2"/>
  <c r="J492" i="2" s="1"/>
  <c r="J493" i="2" s="1"/>
  <c r="F491" i="2"/>
  <c r="H491" i="2"/>
  <c r="H492" i="2" s="1"/>
  <c r="H493" i="2" s="1"/>
  <c r="Y491" i="2"/>
  <c r="Y492" i="2" s="1"/>
  <c r="Y493" i="2" s="1"/>
  <c r="AH488" i="2"/>
  <c r="U491" i="2"/>
  <c r="U492" i="2" s="1"/>
  <c r="U493" i="2" s="1"/>
  <c r="AA491" i="2"/>
  <c r="AA492" i="2" s="1"/>
  <c r="AA493" i="2" s="1"/>
  <c r="S491" i="2"/>
  <c r="S492" i="2" s="1"/>
  <c r="S493" i="2" s="1"/>
  <c r="X491" i="2"/>
  <c r="X492" i="2" s="1"/>
  <c r="X493" i="2" s="1"/>
  <c r="I491" i="2"/>
  <c r="I492" i="2" s="1"/>
  <c r="I493" i="2" s="1"/>
  <c r="G491" i="2"/>
  <c r="G492" i="2" s="1"/>
  <c r="G493" i="2" s="1"/>
  <c r="I463" i="1"/>
  <c r="I328" i="1"/>
  <c r="I129" i="1"/>
  <c r="E124" i="2"/>
  <c r="E505" i="2" s="1"/>
  <c r="E514" i="2" s="1"/>
  <c r="I287" i="1"/>
  <c r="J444" i="2"/>
  <c r="J448" i="2"/>
  <c r="AG441" i="2"/>
  <c r="AH441" i="2" s="1"/>
  <c r="AJ135" i="2" l="1"/>
  <c r="H508" i="2"/>
  <c r="AG135" i="2"/>
  <c r="AH135" i="2" s="1"/>
  <c r="AG343" i="2"/>
  <c r="AH343" i="2" s="1"/>
  <c r="J349" i="2"/>
  <c r="J351" i="2" s="1"/>
  <c r="D14" i="4" s="1"/>
  <c r="D26" i="4" s="1"/>
  <c r="AB124" i="1"/>
  <c r="AC124" i="1" s="1"/>
  <c r="O272" i="1"/>
  <c r="O322" i="1"/>
  <c r="AB322" i="1" s="1"/>
  <c r="AC322" i="1" s="1"/>
  <c r="O449" i="1"/>
  <c r="O324" i="1"/>
  <c r="AB324" i="1" s="1"/>
  <c r="AC324" i="1" s="1"/>
  <c r="O320" i="1"/>
  <c r="AB320" i="1" s="1"/>
  <c r="AC320" i="1" s="1"/>
  <c r="O316" i="1"/>
  <c r="O281" i="1"/>
  <c r="AB281" i="1" s="1"/>
  <c r="AC281" i="1" s="1"/>
  <c r="O455" i="1"/>
  <c r="AB455" i="1" s="1"/>
  <c r="AC455" i="1" s="1"/>
  <c r="E58" i="2"/>
  <c r="O318" i="1"/>
  <c r="AB318" i="1" s="1"/>
  <c r="AC318" i="1" s="1"/>
  <c r="O278" i="1"/>
  <c r="AB278" i="1" s="1"/>
  <c r="AC278" i="1" s="1"/>
  <c r="O314" i="1"/>
  <c r="AB126" i="1"/>
  <c r="AC126" i="1" s="1"/>
  <c r="F555" i="2"/>
  <c r="AG526" i="2"/>
  <c r="AH526" i="2" s="1"/>
  <c r="AH342" i="2"/>
  <c r="S85" i="2"/>
  <c r="S8" i="2"/>
  <c r="S275" i="2"/>
  <c r="S161" i="2"/>
  <c r="S47" i="2"/>
  <c r="S123" i="2"/>
  <c r="S237" i="2"/>
  <c r="S199" i="2"/>
  <c r="Y123" i="2"/>
  <c r="Y8" i="2"/>
  <c r="Y275" i="2"/>
  <c r="Y237" i="2"/>
  <c r="Y85" i="2"/>
  <c r="Y47" i="2"/>
  <c r="Y161" i="2"/>
  <c r="Y199" i="2"/>
  <c r="K199" i="2"/>
  <c r="K237" i="2"/>
  <c r="K123" i="2"/>
  <c r="K47" i="2"/>
  <c r="K275" i="2"/>
  <c r="K85" i="2"/>
  <c r="K8" i="2"/>
  <c r="K161" i="2"/>
  <c r="Q199" i="2"/>
  <c r="Q123" i="2"/>
  <c r="Q237" i="2"/>
  <c r="Q8" i="2"/>
  <c r="Q275" i="2"/>
  <c r="Q85" i="2"/>
  <c r="Q161" i="2"/>
  <c r="Q47" i="2"/>
  <c r="AC237" i="2"/>
  <c r="AC123" i="2"/>
  <c r="AC47" i="2"/>
  <c r="AC8" i="2"/>
  <c r="AC161" i="2"/>
  <c r="AC275" i="2"/>
  <c r="AC85" i="2"/>
  <c r="AC199" i="2"/>
  <c r="AD275" i="2"/>
  <c r="AD161" i="2"/>
  <c r="AD47" i="2"/>
  <c r="AD8" i="2"/>
  <c r="AD199" i="2"/>
  <c r="AD123" i="2"/>
  <c r="AD85" i="2"/>
  <c r="AD237" i="2"/>
  <c r="AE275" i="2"/>
  <c r="AE199" i="2"/>
  <c r="AE123" i="2"/>
  <c r="AE237" i="2"/>
  <c r="AE85" i="2"/>
  <c r="AE47" i="2"/>
  <c r="AE161" i="2"/>
  <c r="AE8" i="2"/>
  <c r="G8" i="2"/>
  <c r="G85" i="2"/>
  <c r="G275" i="2"/>
  <c r="G47" i="2"/>
  <c r="G199" i="2"/>
  <c r="G237" i="2"/>
  <c r="G161" i="2"/>
  <c r="G123" i="2"/>
  <c r="AA199" i="2"/>
  <c r="AA275" i="2"/>
  <c r="AA161" i="2"/>
  <c r="AA237" i="2"/>
  <c r="AA85" i="2"/>
  <c r="AA47" i="2"/>
  <c r="AA123" i="2"/>
  <c r="AA8" i="2"/>
  <c r="H85" i="2"/>
  <c r="H237" i="2"/>
  <c r="H199" i="2"/>
  <c r="H47" i="2"/>
  <c r="H123" i="2"/>
  <c r="H8" i="2"/>
  <c r="H161" i="2"/>
  <c r="H275" i="2"/>
  <c r="AB161" i="2"/>
  <c r="AB85" i="2"/>
  <c r="AB47" i="2"/>
  <c r="AB123" i="2"/>
  <c r="AB237" i="2"/>
  <c r="AB275" i="2"/>
  <c r="AB8" i="2"/>
  <c r="AB199" i="2"/>
  <c r="R123" i="2"/>
  <c r="R85" i="2"/>
  <c r="R161" i="2"/>
  <c r="R8" i="2"/>
  <c r="R47" i="2"/>
  <c r="R199" i="2"/>
  <c r="R275" i="2"/>
  <c r="R237" i="2"/>
  <c r="W123" i="2"/>
  <c r="W47" i="2"/>
  <c r="W8" i="2"/>
  <c r="W237" i="2"/>
  <c r="W161" i="2"/>
  <c r="W275" i="2"/>
  <c r="W199" i="2"/>
  <c r="W85" i="2"/>
  <c r="Z85" i="2"/>
  <c r="Z8" i="2"/>
  <c r="Z161" i="2"/>
  <c r="Z199" i="2"/>
  <c r="Z237" i="2"/>
  <c r="Z275" i="2"/>
  <c r="Z123" i="2"/>
  <c r="Z47" i="2"/>
  <c r="I123" i="2"/>
  <c r="I275" i="2"/>
  <c r="I85" i="2"/>
  <c r="I161" i="2"/>
  <c r="I199" i="2"/>
  <c r="I237" i="2"/>
  <c r="I47" i="2"/>
  <c r="I8" i="2"/>
  <c r="U123" i="2"/>
  <c r="U8" i="2"/>
  <c r="U237" i="2"/>
  <c r="U85" i="2"/>
  <c r="U47" i="2"/>
  <c r="U275" i="2"/>
  <c r="U161" i="2"/>
  <c r="U199" i="2"/>
  <c r="F492" i="2"/>
  <c r="AG491" i="2"/>
  <c r="AH491" i="2" s="1"/>
  <c r="AF85" i="2"/>
  <c r="AF161" i="2"/>
  <c r="AF237" i="2"/>
  <c r="AF199" i="2"/>
  <c r="AF8" i="2"/>
  <c r="AF275" i="2"/>
  <c r="AF47" i="2"/>
  <c r="AF123" i="2"/>
  <c r="N237" i="2"/>
  <c r="N275" i="2"/>
  <c r="N123" i="2"/>
  <c r="N161" i="2"/>
  <c r="N199" i="2"/>
  <c r="N47" i="2"/>
  <c r="N8" i="2"/>
  <c r="N85" i="2"/>
  <c r="P275" i="2"/>
  <c r="P85" i="2"/>
  <c r="P47" i="2"/>
  <c r="P123" i="2"/>
  <c r="P199" i="2"/>
  <c r="P8" i="2"/>
  <c r="P161" i="2"/>
  <c r="P237" i="2"/>
  <c r="O47" i="2"/>
  <c r="O85" i="2"/>
  <c r="O199" i="2"/>
  <c r="O123" i="2"/>
  <c r="O161" i="2"/>
  <c r="O275" i="2"/>
  <c r="O8" i="2"/>
  <c r="O237" i="2"/>
  <c r="J445" i="2"/>
  <c r="AG445" i="2" s="1"/>
  <c r="AH445" i="2" s="1"/>
  <c r="AG444" i="2"/>
  <c r="AH444" i="2" s="1"/>
  <c r="E162" i="2"/>
  <c r="E496" i="2"/>
  <c r="E125" i="2"/>
  <c r="I133" i="1"/>
  <c r="J469" i="2"/>
  <c r="J451" i="2"/>
  <c r="AG448" i="2"/>
  <c r="AH448" i="2" s="1"/>
  <c r="X123" i="2"/>
  <c r="X161" i="2"/>
  <c r="X275" i="2"/>
  <c r="X199" i="2"/>
  <c r="X8" i="2"/>
  <c r="X237" i="2"/>
  <c r="X47" i="2"/>
  <c r="X85" i="2"/>
  <c r="J237" i="2"/>
  <c r="J123" i="2"/>
  <c r="J85" i="2"/>
  <c r="J8" i="2"/>
  <c r="J161" i="2"/>
  <c r="J275" i="2"/>
  <c r="J199" i="2"/>
  <c r="J47" i="2"/>
  <c r="T123" i="2"/>
  <c r="T237" i="2"/>
  <c r="T199" i="2"/>
  <c r="T47" i="2"/>
  <c r="T8" i="2"/>
  <c r="T275" i="2"/>
  <c r="T161" i="2"/>
  <c r="T85" i="2"/>
  <c r="L47" i="2"/>
  <c r="L123" i="2"/>
  <c r="L199" i="2"/>
  <c r="L275" i="2"/>
  <c r="L161" i="2"/>
  <c r="L237" i="2"/>
  <c r="L85" i="2"/>
  <c r="L8" i="2"/>
  <c r="V275" i="2"/>
  <c r="V199" i="2"/>
  <c r="V237" i="2"/>
  <c r="V8" i="2"/>
  <c r="V161" i="2"/>
  <c r="V85" i="2"/>
  <c r="V47" i="2"/>
  <c r="V123" i="2"/>
  <c r="M8" i="2"/>
  <c r="M275" i="2"/>
  <c r="M199" i="2"/>
  <c r="M161" i="2"/>
  <c r="M123" i="2"/>
  <c r="M237" i="2"/>
  <c r="M85" i="2"/>
  <c r="M47" i="2"/>
  <c r="AG508" i="2" l="1"/>
  <c r="AH508" i="2" s="1"/>
  <c r="AJ123" i="2"/>
  <c r="AG349" i="2"/>
  <c r="AH349" i="2" s="1"/>
  <c r="D33" i="4"/>
  <c r="D46" i="4"/>
  <c r="D48" i="4"/>
  <c r="D47" i="4"/>
  <c r="D49" i="4"/>
  <c r="D42" i="4"/>
  <c r="D44" i="4"/>
  <c r="D43" i="4"/>
  <c r="D45" i="4"/>
  <c r="D35" i="4"/>
  <c r="D34" i="4"/>
  <c r="D38" i="4"/>
  <c r="D37" i="4"/>
  <c r="D36" i="4"/>
  <c r="D40" i="4"/>
  <c r="D39" i="4"/>
  <c r="D41" i="4"/>
  <c r="E248" i="2"/>
  <c r="O326" i="1"/>
  <c r="AB326" i="1" s="1"/>
  <c r="AC326" i="1" s="1"/>
  <c r="AB314" i="1"/>
  <c r="AC314" i="1" s="1"/>
  <c r="O283" i="1"/>
  <c r="AB272" i="1"/>
  <c r="AC272" i="1" s="1"/>
  <c r="O459" i="1"/>
  <c r="AB449" i="1"/>
  <c r="AC449" i="1" s="1"/>
  <c r="E60" i="2"/>
  <c r="E79" i="2" s="1"/>
  <c r="AA58" i="2"/>
  <c r="AA60" i="2" s="1"/>
  <c r="T58" i="2"/>
  <c r="T60" i="2" s="1"/>
  <c r="G58" i="2"/>
  <c r="G60" i="2" s="1"/>
  <c r="U58" i="2"/>
  <c r="U60" i="2" s="1"/>
  <c r="H58" i="2"/>
  <c r="H60" i="2" s="1"/>
  <c r="R58" i="2"/>
  <c r="R60" i="2" s="1"/>
  <c r="Q58" i="2"/>
  <c r="Q60" i="2" s="1"/>
  <c r="K58" i="2"/>
  <c r="K60" i="2" s="1"/>
  <c r="I58" i="2"/>
  <c r="I60" i="2" s="1"/>
  <c r="M58" i="2"/>
  <c r="M60" i="2" s="1"/>
  <c r="N58" i="2"/>
  <c r="N60" i="2" s="1"/>
  <c r="AF58" i="2"/>
  <c r="AF60" i="2" s="1"/>
  <c r="X58" i="2"/>
  <c r="X60" i="2" s="1"/>
  <c r="S58" i="2"/>
  <c r="S60" i="2" s="1"/>
  <c r="AD58" i="2"/>
  <c r="AD60" i="2" s="1"/>
  <c r="AB58" i="2"/>
  <c r="AB60" i="2" s="1"/>
  <c r="AC58" i="2"/>
  <c r="AC60" i="2" s="1"/>
  <c r="P58" i="2"/>
  <c r="P60" i="2" s="1"/>
  <c r="W58" i="2"/>
  <c r="W60" i="2" s="1"/>
  <c r="AE58" i="2"/>
  <c r="AE60" i="2" s="1"/>
  <c r="V58" i="2"/>
  <c r="V60" i="2" s="1"/>
  <c r="Y58" i="2"/>
  <c r="Y60" i="2" s="1"/>
  <c r="Z58" i="2"/>
  <c r="Z60" i="2" s="1"/>
  <c r="O58" i="2"/>
  <c r="O60" i="2" s="1"/>
  <c r="L58" i="2"/>
  <c r="L60" i="2" s="1"/>
  <c r="J58" i="2"/>
  <c r="J60" i="2" s="1"/>
  <c r="F58" i="2"/>
  <c r="E286" i="2"/>
  <c r="AB316" i="1"/>
  <c r="AC316" i="1" s="1"/>
  <c r="L504" i="2"/>
  <c r="L513" i="2" s="1"/>
  <c r="J504" i="2"/>
  <c r="J513" i="2" s="1"/>
  <c r="J452" i="2"/>
  <c r="AG452" i="2" s="1"/>
  <c r="AH452" i="2" s="1"/>
  <c r="AG451" i="2"/>
  <c r="AH451" i="2" s="1"/>
  <c r="I144" i="1"/>
  <c r="O504" i="2"/>
  <c r="O513" i="2" s="1"/>
  <c r="O542" i="2" s="1"/>
  <c r="O561" i="2" s="1"/>
  <c r="P504" i="2"/>
  <c r="N522" i="2"/>
  <c r="AF504" i="2"/>
  <c r="AB504" i="2"/>
  <c r="G504" i="2"/>
  <c r="G513" i="2" s="1"/>
  <c r="T504" i="2"/>
  <c r="X504" i="2"/>
  <c r="J476" i="2"/>
  <c r="J472" i="2"/>
  <c r="AG469" i="2"/>
  <c r="AH469" i="2" s="1"/>
  <c r="N504" i="2"/>
  <c r="N513" i="2" s="1"/>
  <c r="N542" i="2" s="1"/>
  <c r="N561" i="2" s="1"/>
  <c r="AG492" i="2"/>
  <c r="AH492" i="2" s="1"/>
  <c r="F493" i="2"/>
  <c r="U504" i="2"/>
  <c r="I504" i="2"/>
  <c r="I513" i="2" s="1"/>
  <c r="Z504" i="2"/>
  <c r="AA504" i="2"/>
  <c r="AE504" i="2"/>
  <c r="K504" i="2"/>
  <c r="K513" i="2" s="1"/>
  <c r="M504" i="2"/>
  <c r="M513" i="2" s="1"/>
  <c r="V504" i="2"/>
  <c r="E163" i="2"/>
  <c r="O522" i="2"/>
  <c r="P522" i="2"/>
  <c r="R522" i="2"/>
  <c r="G522" i="2"/>
  <c r="AD504" i="2"/>
  <c r="AC504" i="2"/>
  <c r="Q522" i="2"/>
  <c r="Q504" i="2"/>
  <c r="K522" i="2"/>
  <c r="S504" i="2"/>
  <c r="M522" i="2"/>
  <c r="L522" i="2"/>
  <c r="J522" i="2"/>
  <c r="E498" i="2"/>
  <c r="AG496" i="2"/>
  <c r="AH496" i="2" s="1"/>
  <c r="I522" i="2"/>
  <c r="W504" i="2"/>
  <c r="R504" i="2"/>
  <c r="H504" i="2"/>
  <c r="H513" i="2" s="1"/>
  <c r="H522" i="2"/>
  <c r="Y504" i="2"/>
  <c r="N612" i="2" l="1"/>
  <c r="N586" i="2"/>
  <c r="N551" i="2"/>
  <c r="N613" i="2"/>
  <c r="O612" i="2"/>
  <c r="O586" i="2"/>
  <c r="O613" i="2"/>
  <c r="O551" i="2"/>
  <c r="H542" i="2"/>
  <c r="H561" i="2" s="1"/>
  <c r="G542" i="2"/>
  <c r="G561" i="2" s="1"/>
  <c r="J542" i="2"/>
  <c r="J561" i="2" s="1"/>
  <c r="K542" i="2"/>
  <c r="K561" i="2" s="1"/>
  <c r="I542" i="2"/>
  <c r="I561" i="2" s="1"/>
  <c r="L542" i="2"/>
  <c r="L561" i="2" s="1"/>
  <c r="J551" i="2"/>
  <c r="K551" i="2"/>
  <c r="H551" i="2"/>
  <c r="I551" i="2"/>
  <c r="G551" i="2"/>
  <c r="AG351" i="2"/>
  <c r="AH351" i="2" s="1"/>
  <c r="E288" i="2"/>
  <c r="E307" i="2" s="1"/>
  <c r="E322" i="2" s="1"/>
  <c r="AB286" i="2"/>
  <c r="AB288" i="2" s="1"/>
  <c r="L286" i="2"/>
  <c r="L288" i="2" s="1"/>
  <c r="AC286" i="2"/>
  <c r="AC288" i="2" s="1"/>
  <c r="G286" i="2"/>
  <c r="G288" i="2" s="1"/>
  <c r="S286" i="2"/>
  <c r="S288" i="2" s="1"/>
  <c r="P286" i="2"/>
  <c r="P288" i="2" s="1"/>
  <c r="O286" i="2"/>
  <c r="O288" i="2" s="1"/>
  <c r="I286" i="2"/>
  <c r="I288" i="2" s="1"/>
  <c r="Y286" i="2"/>
  <c r="Y288" i="2" s="1"/>
  <c r="K286" i="2"/>
  <c r="K288" i="2" s="1"/>
  <c r="Z286" i="2"/>
  <c r="Z288" i="2" s="1"/>
  <c r="AF286" i="2"/>
  <c r="AF288" i="2" s="1"/>
  <c r="W286" i="2"/>
  <c r="W288" i="2" s="1"/>
  <c r="N286" i="2"/>
  <c r="N288" i="2" s="1"/>
  <c r="X286" i="2"/>
  <c r="X288" i="2" s="1"/>
  <c r="V286" i="2"/>
  <c r="V288" i="2" s="1"/>
  <c r="M286" i="2"/>
  <c r="M288" i="2" s="1"/>
  <c r="AE286" i="2"/>
  <c r="AE288" i="2" s="1"/>
  <c r="R286" i="2"/>
  <c r="R288" i="2" s="1"/>
  <c r="AA286" i="2"/>
  <c r="AA288" i="2" s="1"/>
  <c r="J286" i="2"/>
  <c r="J288" i="2" s="1"/>
  <c r="Q286" i="2"/>
  <c r="Q288" i="2" s="1"/>
  <c r="F286" i="2"/>
  <c r="U286" i="2"/>
  <c r="U288" i="2" s="1"/>
  <c r="H286" i="2"/>
  <c r="H288" i="2" s="1"/>
  <c r="T286" i="2"/>
  <c r="T288" i="2" s="1"/>
  <c r="AD286" i="2"/>
  <c r="AD288" i="2" s="1"/>
  <c r="F60" i="2"/>
  <c r="AG60" i="2" s="1"/>
  <c r="AH60" i="2" s="1"/>
  <c r="AG58" i="2"/>
  <c r="AH58" i="2" s="1"/>
  <c r="O461" i="1"/>
  <c r="AB459" i="1"/>
  <c r="AC459" i="1" s="1"/>
  <c r="O285" i="1"/>
  <c r="AB283" i="1"/>
  <c r="AC283" i="1" s="1"/>
  <c r="E250" i="2"/>
  <c r="E269" i="2" s="1"/>
  <c r="E321" i="2" s="1"/>
  <c r="S248" i="2"/>
  <c r="S250" i="2" s="1"/>
  <c r="M248" i="2"/>
  <c r="M250" i="2" s="1"/>
  <c r="K248" i="2"/>
  <c r="K250" i="2" s="1"/>
  <c r="L248" i="2"/>
  <c r="L250" i="2" s="1"/>
  <c r="V248" i="2"/>
  <c r="V250" i="2" s="1"/>
  <c r="N248" i="2"/>
  <c r="N250" i="2" s="1"/>
  <c r="W248" i="2"/>
  <c r="W250" i="2" s="1"/>
  <c r="AA248" i="2"/>
  <c r="AA250" i="2" s="1"/>
  <c r="Z248" i="2"/>
  <c r="Z250" i="2" s="1"/>
  <c r="Y248" i="2"/>
  <c r="Y250" i="2" s="1"/>
  <c r="O248" i="2"/>
  <c r="O250" i="2" s="1"/>
  <c r="H248" i="2"/>
  <c r="H250" i="2" s="1"/>
  <c r="J248" i="2"/>
  <c r="J250" i="2" s="1"/>
  <c r="AD248" i="2"/>
  <c r="AD250" i="2" s="1"/>
  <c r="Q248" i="2"/>
  <c r="Q250" i="2" s="1"/>
  <c r="U248" i="2"/>
  <c r="U250" i="2" s="1"/>
  <c r="P248" i="2"/>
  <c r="P250" i="2" s="1"/>
  <c r="R248" i="2"/>
  <c r="R250" i="2" s="1"/>
  <c r="AC248" i="2"/>
  <c r="AC250" i="2" s="1"/>
  <c r="I248" i="2"/>
  <c r="I250" i="2" s="1"/>
  <c r="X248" i="2"/>
  <c r="X250" i="2" s="1"/>
  <c r="AE248" i="2"/>
  <c r="AE250" i="2" s="1"/>
  <c r="AF248" i="2"/>
  <c r="AF250" i="2" s="1"/>
  <c r="F248" i="2"/>
  <c r="T248" i="2"/>
  <c r="T250" i="2" s="1"/>
  <c r="G248" i="2"/>
  <c r="G250" i="2" s="1"/>
  <c r="AB248" i="2"/>
  <c r="AB250" i="2" s="1"/>
  <c r="L551" i="2"/>
  <c r="F161" i="2"/>
  <c r="F8" i="2"/>
  <c r="AG493" i="2"/>
  <c r="AH493" i="2" s="1"/>
  <c r="F199" i="2"/>
  <c r="F237" i="2"/>
  <c r="F123" i="2"/>
  <c r="F275" i="2"/>
  <c r="F85" i="2"/>
  <c r="F47" i="2"/>
  <c r="X513" i="2"/>
  <c r="X542" i="2"/>
  <c r="X586" i="2" s="1"/>
  <c r="X612" i="2" s="1"/>
  <c r="T542" i="2"/>
  <c r="T586" i="2" s="1"/>
  <c r="T612" i="2" s="1"/>
  <c r="T513" i="2"/>
  <c r="AF513" i="2"/>
  <c r="J473" i="2"/>
  <c r="AG472" i="2"/>
  <c r="AH472" i="2" s="1"/>
  <c r="AC513" i="2"/>
  <c r="AC542" i="2"/>
  <c r="AC586" i="2" s="1"/>
  <c r="AC612" i="2" s="1"/>
  <c r="R551" i="2"/>
  <c r="W513" i="2"/>
  <c r="W542" i="2"/>
  <c r="W586" i="2" s="1"/>
  <c r="W612" i="2" s="1"/>
  <c r="S513" i="2"/>
  <c r="Q551" i="2"/>
  <c r="Z542" i="2"/>
  <c r="Z586" i="2" s="1"/>
  <c r="Z612" i="2" s="1"/>
  <c r="Z513" i="2"/>
  <c r="AA513" i="2"/>
  <c r="AA542" i="2"/>
  <c r="AA586" i="2" s="1"/>
  <c r="AA612" i="2" s="1"/>
  <c r="U542" i="2"/>
  <c r="U586" i="2" s="1"/>
  <c r="U612" i="2" s="1"/>
  <c r="U513" i="2"/>
  <c r="J479" i="2"/>
  <c r="AG476" i="2"/>
  <c r="AH476" i="2" s="1"/>
  <c r="E86" i="2"/>
  <c r="AD513" i="2"/>
  <c r="AD542" i="2"/>
  <c r="AD586" i="2" s="1"/>
  <c r="AD612" i="2" s="1"/>
  <c r="V542" i="2"/>
  <c r="V586" i="2" s="1"/>
  <c r="V612" i="2" s="1"/>
  <c r="V513" i="2"/>
  <c r="Y542" i="2"/>
  <c r="Y586" i="2" s="1"/>
  <c r="Y612" i="2" s="1"/>
  <c r="Y513" i="2"/>
  <c r="E499" i="2"/>
  <c r="G498" i="2"/>
  <c r="G499" i="2" s="1"/>
  <c r="F498" i="2"/>
  <c r="AD498" i="2"/>
  <c r="AD499" i="2" s="1"/>
  <c r="AB498" i="2"/>
  <c r="AB499" i="2" s="1"/>
  <c r="H498" i="2"/>
  <c r="H499" i="2" s="1"/>
  <c r="U498" i="2"/>
  <c r="U499" i="2" s="1"/>
  <c r="W498" i="2"/>
  <c r="W499" i="2" s="1"/>
  <c r="L498" i="2"/>
  <c r="L499" i="2" s="1"/>
  <c r="V498" i="2"/>
  <c r="V499" i="2" s="1"/>
  <c r="M498" i="2"/>
  <c r="M499" i="2" s="1"/>
  <c r="X498" i="2"/>
  <c r="X499" i="2" s="1"/>
  <c r="O498" i="2"/>
  <c r="O499" i="2" s="1"/>
  <c r="AA498" i="2"/>
  <c r="AA499" i="2" s="1"/>
  <c r="AC498" i="2"/>
  <c r="AC499" i="2" s="1"/>
  <c r="J498" i="2"/>
  <c r="J499" i="2" s="1"/>
  <c r="S498" i="2"/>
  <c r="S499" i="2" s="1"/>
  <c r="AE498" i="2"/>
  <c r="AE499" i="2" s="1"/>
  <c r="T498" i="2"/>
  <c r="T499" i="2" s="1"/>
  <c r="Q498" i="2"/>
  <c r="Q499" i="2" s="1"/>
  <c r="AF498" i="2"/>
  <c r="AF499" i="2" s="1"/>
  <c r="Z498" i="2"/>
  <c r="Z499" i="2" s="1"/>
  <c r="Y498" i="2"/>
  <c r="Y499" i="2" s="1"/>
  <c r="R498" i="2"/>
  <c r="R499" i="2" s="1"/>
  <c r="I498" i="2"/>
  <c r="I499" i="2" s="1"/>
  <c r="P498" i="2"/>
  <c r="P499" i="2" s="1"/>
  <c r="N498" i="2"/>
  <c r="N499" i="2" s="1"/>
  <c r="K498" i="2"/>
  <c r="K499" i="2" s="1"/>
  <c r="P551" i="2"/>
  <c r="AE513" i="2"/>
  <c r="AB542" i="2"/>
  <c r="AB586" i="2" s="1"/>
  <c r="AB612" i="2" s="1"/>
  <c r="AB513" i="2"/>
  <c r="K612" i="2" l="1"/>
  <c r="K586" i="2"/>
  <c r="H586" i="2"/>
  <c r="H612" i="2"/>
  <c r="G586" i="2"/>
  <c r="G612" i="2"/>
  <c r="J586" i="2"/>
  <c r="J612" i="2"/>
  <c r="I586" i="2"/>
  <c r="I612" i="2"/>
  <c r="L586" i="2"/>
  <c r="L612" i="2"/>
  <c r="F288" i="2"/>
  <c r="AG288" i="2" s="1"/>
  <c r="AH288" i="2" s="1"/>
  <c r="AG286" i="2"/>
  <c r="AH286" i="2" s="1"/>
  <c r="AG248" i="2"/>
  <c r="AH248" i="2" s="1"/>
  <c r="F250" i="2"/>
  <c r="AG250" i="2" s="1"/>
  <c r="AH250" i="2" s="1"/>
  <c r="O463" i="1"/>
  <c r="AB461" i="1"/>
  <c r="AC461" i="1" s="1"/>
  <c r="O129" i="1"/>
  <c r="E134" i="2"/>
  <c r="O328" i="1"/>
  <c r="AB328" i="1" s="1"/>
  <c r="AC328" i="1" s="1"/>
  <c r="O287" i="1"/>
  <c r="AB287" i="1" s="1"/>
  <c r="AC287" i="1" s="1"/>
  <c r="AB285" i="1"/>
  <c r="AC285" i="1" s="1"/>
  <c r="F522" i="2"/>
  <c r="AG85" i="2"/>
  <c r="AH85" i="2" s="1"/>
  <c r="AG199" i="2"/>
  <c r="AH199" i="2" s="1"/>
  <c r="AA500" i="2"/>
  <c r="AC500" i="2"/>
  <c r="J500" i="2"/>
  <c r="S500" i="2"/>
  <c r="AE500" i="2"/>
  <c r="T500" i="2"/>
  <c r="P500" i="2"/>
  <c r="Q500" i="2"/>
  <c r="AF500" i="2"/>
  <c r="Z500" i="2"/>
  <c r="Y500" i="2"/>
  <c r="R500" i="2"/>
  <c r="G500" i="2"/>
  <c r="I500" i="2"/>
  <c r="K500" i="2"/>
  <c r="AD500" i="2"/>
  <c r="AB500" i="2"/>
  <c r="N500" i="2"/>
  <c r="H500" i="2"/>
  <c r="U500" i="2"/>
  <c r="W500" i="2"/>
  <c r="L500" i="2"/>
  <c r="V500" i="2"/>
  <c r="M500" i="2"/>
  <c r="X500" i="2"/>
  <c r="O500" i="2"/>
  <c r="E523" i="2"/>
  <c r="E87" i="2"/>
  <c r="AG275" i="2"/>
  <c r="AH275" i="2" s="1"/>
  <c r="S542" i="2"/>
  <c r="S531" i="2"/>
  <c r="AG123" i="2"/>
  <c r="AH123" i="2" s="1"/>
  <c r="F504" i="2"/>
  <c r="F513" i="2" s="1"/>
  <c r="AG8" i="2"/>
  <c r="AH8" i="2" s="1"/>
  <c r="F499" i="2"/>
  <c r="AG499" i="2" s="1"/>
  <c r="AH499" i="2" s="1"/>
  <c r="AG498" i="2"/>
  <c r="AH498" i="2" s="1"/>
  <c r="J480" i="2"/>
  <c r="AG479" i="2"/>
  <c r="AH479" i="2" s="1"/>
  <c r="J474" i="2"/>
  <c r="AG473" i="2"/>
  <c r="AH473" i="2" s="1"/>
  <c r="AG47" i="2"/>
  <c r="AH47" i="2" s="1"/>
  <c r="AG237" i="2"/>
  <c r="AH237" i="2" s="1"/>
  <c r="AG161" i="2"/>
  <c r="AH161" i="2" s="1"/>
  <c r="E136" i="2" l="1"/>
  <c r="E155" i="2" s="1"/>
  <c r="E319" i="2" s="1"/>
  <c r="E324" i="2" s="1"/>
  <c r="E355" i="2" s="1"/>
  <c r="T134" i="2"/>
  <c r="K134" i="2"/>
  <c r="U134" i="2"/>
  <c r="L134" i="2"/>
  <c r="Q134" i="2"/>
  <c r="I134" i="2"/>
  <c r="S134" i="2"/>
  <c r="AC134" i="2"/>
  <c r="O134" i="2"/>
  <c r="AD134" i="2"/>
  <c r="E507" i="2"/>
  <c r="AE134" i="2"/>
  <c r="G134" i="2"/>
  <c r="H134" i="2"/>
  <c r="Z134" i="2"/>
  <c r="AA134" i="2"/>
  <c r="X134" i="2"/>
  <c r="N134" i="2"/>
  <c r="J134" i="2"/>
  <c r="J136" i="2" s="1"/>
  <c r="AF134" i="2"/>
  <c r="V134" i="2"/>
  <c r="M134" i="2"/>
  <c r="W134" i="2"/>
  <c r="Y134" i="2"/>
  <c r="F134" i="2"/>
  <c r="R134" i="2"/>
  <c r="P134" i="2"/>
  <c r="AB134" i="2"/>
  <c r="O133" i="1"/>
  <c r="AB129" i="1"/>
  <c r="AC129" i="1" s="1"/>
  <c r="E172" i="2"/>
  <c r="AB463" i="1"/>
  <c r="AC463" i="1" s="1"/>
  <c r="AG504" i="2"/>
  <c r="F500" i="2"/>
  <c r="V162" i="2"/>
  <c r="V163" i="2" s="1"/>
  <c r="V200" i="2"/>
  <c r="V201" i="2" s="1"/>
  <c r="V231" i="2" s="1"/>
  <c r="V362" i="2" s="1"/>
  <c r="V48" i="2"/>
  <c r="V49" i="2" s="1"/>
  <c r="V79" i="2" s="1"/>
  <c r="V86" i="2"/>
  <c r="V87" i="2" s="1"/>
  <c r="V9" i="2"/>
  <c r="V10" i="2" s="1"/>
  <c r="V40" i="2" s="1"/>
  <c r="V276" i="2"/>
  <c r="V277" i="2" s="1"/>
  <c r="V307" i="2" s="1"/>
  <c r="V322" i="2" s="1"/>
  <c r="V124" i="2"/>
  <c r="V238" i="2"/>
  <c r="V239" i="2" s="1"/>
  <c r="V269" i="2" s="1"/>
  <c r="V321" i="2" s="1"/>
  <c r="H124" i="2"/>
  <c r="H162" i="2"/>
  <c r="H163" i="2" s="1"/>
  <c r="H9" i="2"/>
  <c r="H10" i="2" s="1"/>
  <c r="H40" i="2" s="1"/>
  <c r="H276" i="2"/>
  <c r="H277" i="2" s="1"/>
  <c r="H307" i="2" s="1"/>
  <c r="H322" i="2" s="1"/>
  <c r="H200" i="2"/>
  <c r="H201" i="2" s="1"/>
  <c r="H231" i="2" s="1"/>
  <c r="H362" i="2" s="1"/>
  <c r="H86" i="2"/>
  <c r="H48" i="2"/>
  <c r="H49" i="2" s="1"/>
  <c r="H79" i="2" s="1"/>
  <c r="H238" i="2"/>
  <c r="H239" i="2" s="1"/>
  <c r="H269" i="2" s="1"/>
  <c r="H321" i="2" s="1"/>
  <c r="K276" i="2"/>
  <c r="K277" i="2" s="1"/>
  <c r="K307" i="2" s="1"/>
  <c r="K322" i="2" s="1"/>
  <c r="K238" i="2"/>
  <c r="K239" i="2" s="1"/>
  <c r="K269" i="2" s="1"/>
  <c r="K321" i="2" s="1"/>
  <c r="K124" i="2"/>
  <c r="K48" i="2"/>
  <c r="K49" i="2" s="1"/>
  <c r="K79" i="2" s="1"/>
  <c r="K200" i="2"/>
  <c r="K201" i="2" s="1"/>
  <c r="K231" i="2" s="1"/>
  <c r="K362" i="2" s="1"/>
  <c r="K9" i="2"/>
  <c r="K10" i="2" s="1"/>
  <c r="K40" i="2" s="1"/>
  <c r="K86" i="2"/>
  <c r="K162" i="2"/>
  <c r="K163" i="2" s="1"/>
  <c r="Y48" i="2"/>
  <c r="Y49" i="2" s="1"/>
  <c r="Y79" i="2" s="1"/>
  <c r="Y238" i="2"/>
  <c r="Y239" i="2" s="1"/>
  <c r="Y269" i="2" s="1"/>
  <c r="Y321" i="2" s="1"/>
  <c r="Y200" i="2"/>
  <c r="Y201" i="2" s="1"/>
  <c r="Y231" i="2" s="1"/>
  <c r="Y362" i="2" s="1"/>
  <c r="Y9" i="2"/>
  <c r="Y10" i="2" s="1"/>
  <c r="Y40" i="2" s="1"/>
  <c r="Y86" i="2"/>
  <c r="Y87" i="2" s="1"/>
  <c r="Y124" i="2"/>
  <c r="Y276" i="2"/>
  <c r="Y277" i="2" s="1"/>
  <c r="Y307" i="2" s="1"/>
  <c r="Y322" i="2" s="1"/>
  <c r="Y162" i="2"/>
  <c r="Y163" i="2" s="1"/>
  <c r="P200" i="2"/>
  <c r="P201" i="2" s="1"/>
  <c r="P231" i="2" s="1"/>
  <c r="P362" i="2" s="1"/>
  <c r="P48" i="2"/>
  <c r="P49" i="2" s="1"/>
  <c r="P79" i="2" s="1"/>
  <c r="P162" i="2"/>
  <c r="P163" i="2" s="1"/>
  <c r="P276" i="2"/>
  <c r="P277" i="2" s="1"/>
  <c r="P307" i="2" s="1"/>
  <c r="P322" i="2" s="1"/>
  <c r="P238" i="2"/>
  <c r="P239" i="2" s="1"/>
  <c r="P269" i="2" s="1"/>
  <c r="P321" i="2" s="1"/>
  <c r="P86" i="2"/>
  <c r="P124" i="2"/>
  <c r="P9" i="2"/>
  <c r="P10" i="2" s="1"/>
  <c r="P40" i="2" s="1"/>
  <c r="J124" i="2"/>
  <c r="J200" i="2"/>
  <c r="J201" i="2" s="1"/>
  <c r="J162" i="2"/>
  <c r="J163" i="2" s="1"/>
  <c r="J276" i="2"/>
  <c r="J277" i="2" s="1"/>
  <c r="J9" i="2"/>
  <c r="J10" i="2" s="1"/>
  <c r="J48" i="2"/>
  <c r="J49" i="2" s="1"/>
  <c r="J86" i="2"/>
  <c r="J238" i="2"/>
  <c r="J239" i="2" s="1"/>
  <c r="J481" i="2"/>
  <c r="AG480" i="2"/>
  <c r="AH480" i="2" s="1"/>
  <c r="S586" i="2"/>
  <c r="S561" i="2"/>
  <c r="O86" i="2"/>
  <c r="O238" i="2"/>
  <c r="O239" i="2" s="1"/>
  <c r="O269" i="2" s="1"/>
  <c r="O321" i="2" s="1"/>
  <c r="O9" i="2"/>
  <c r="O10" i="2" s="1"/>
  <c r="O40" i="2" s="1"/>
  <c r="O162" i="2"/>
  <c r="O163" i="2" s="1"/>
  <c r="O124" i="2"/>
  <c r="O276" i="2"/>
  <c r="O277" i="2" s="1"/>
  <c r="O307" i="2" s="1"/>
  <c r="O322" i="2" s="1"/>
  <c r="O200" i="2"/>
  <c r="O201" i="2" s="1"/>
  <c r="O231" i="2" s="1"/>
  <c r="O362" i="2" s="1"/>
  <c r="O48" i="2"/>
  <c r="O49" i="2" s="1"/>
  <c r="O79" i="2" s="1"/>
  <c r="L9" i="2"/>
  <c r="L10" i="2" s="1"/>
  <c r="L40" i="2" s="1"/>
  <c r="L124" i="2"/>
  <c r="L200" i="2"/>
  <c r="L201" i="2" s="1"/>
  <c r="L231" i="2" s="1"/>
  <c r="L362" i="2" s="1"/>
  <c r="L48" i="2"/>
  <c r="L49" i="2" s="1"/>
  <c r="L79" i="2" s="1"/>
  <c r="L276" i="2"/>
  <c r="L277" i="2" s="1"/>
  <c r="L307" i="2" s="1"/>
  <c r="L322" i="2" s="1"/>
  <c r="L162" i="2"/>
  <c r="L163" i="2" s="1"/>
  <c r="L86" i="2"/>
  <c r="L238" i="2"/>
  <c r="L239" i="2" s="1"/>
  <c r="L269" i="2" s="1"/>
  <c r="L321" i="2" s="1"/>
  <c r="N200" i="2"/>
  <c r="N201" i="2" s="1"/>
  <c r="N231" i="2" s="1"/>
  <c r="N362" i="2" s="1"/>
  <c r="N86" i="2"/>
  <c r="N276" i="2"/>
  <c r="N277" i="2" s="1"/>
  <c r="N307" i="2" s="1"/>
  <c r="N322" i="2" s="1"/>
  <c r="N124" i="2"/>
  <c r="N48" i="2"/>
  <c r="N49" i="2" s="1"/>
  <c r="N79" i="2" s="1"/>
  <c r="N162" i="2"/>
  <c r="N163" i="2" s="1"/>
  <c r="N9" i="2"/>
  <c r="N10" i="2" s="1"/>
  <c r="N40" i="2" s="1"/>
  <c r="N238" i="2"/>
  <c r="N239" i="2" s="1"/>
  <c r="N269" i="2" s="1"/>
  <c r="N321" i="2" s="1"/>
  <c r="I86" i="2"/>
  <c r="I9" i="2"/>
  <c r="I10" i="2" s="1"/>
  <c r="I40" i="2" s="1"/>
  <c r="I238" i="2"/>
  <c r="I239" i="2" s="1"/>
  <c r="I269" i="2" s="1"/>
  <c r="I321" i="2" s="1"/>
  <c r="I162" i="2"/>
  <c r="I163" i="2" s="1"/>
  <c r="I124" i="2"/>
  <c r="I200" i="2"/>
  <c r="I201" i="2" s="1"/>
  <c r="I231" i="2" s="1"/>
  <c r="I362" i="2" s="1"/>
  <c r="I48" i="2"/>
  <c r="I49" i="2" s="1"/>
  <c r="I79" i="2" s="1"/>
  <c r="I276" i="2"/>
  <c r="I277" i="2" s="1"/>
  <c r="I307" i="2" s="1"/>
  <c r="I322" i="2" s="1"/>
  <c r="Z48" i="2"/>
  <c r="Z49" i="2" s="1"/>
  <c r="Z79" i="2" s="1"/>
  <c r="Z200" i="2"/>
  <c r="Z201" i="2" s="1"/>
  <c r="Z231" i="2" s="1"/>
  <c r="Z362" i="2" s="1"/>
  <c r="Z276" i="2"/>
  <c r="Z277" i="2" s="1"/>
  <c r="Z307" i="2" s="1"/>
  <c r="Z322" i="2" s="1"/>
  <c r="Z9" i="2"/>
  <c r="Z10" i="2" s="1"/>
  <c r="Z40" i="2" s="1"/>
  <c r="Z86" i="2"/>
  <c r="Z87" i="2" s="1"/>
  <c r="Z238" i="2"/>
  <c r="Z239" i="2" s="1"/>
  <c r="Z269" i="2" s="1"/>
  <c r="Z321" i="2" s="1"/>
  <c r="Z124" i="2"/>
  <c r="Z162" i="2"/>
  <c r="Z163" i="2" s="1"/>
  <c r="T200" i="2"/>
  <c r="T201" i="2" s="1"/>
  <c r="T231" i="2" s="1"/>
  <c r="T362" i="2" s="1"/>
  <c r="T238" i="2"/>
  <c r="T239" i="2" s="1"/>
  <c r="T269" i="2" s="1"/>
  <c r="T321" i="2" s="1"/>
  <c r="T48" i="2"/>
  <c r="T49" i="2" s="1"/>
  <c r="T79" i="2" s="1"/>
  <c r="T124" i="2"/>
  <c r="T9" i="2"/>
  <c r="T10" i="2" s="1"/>
  <c r="T40" i="2" s="1"/>
  <c r="T162" i="2"/>
  <c r="T163" i="2" s="1"/>
  <c r="T86" i="2"/>
  <c r="T87" i="2" s="1"/>
  <c r="T276" i="2"/>
  <c r="T277" i="2" s="1"/>
  <c r="T307" i="2" s="1"/>
  <c r="T322" i="2" s="1"/>
  <c r="AC48" i="2"/>
  <c r="AC49" i="2" s="1"/>
  <c r="AC79" i="2" s="1"/>
  <c r="AC200" i="2"/>
  <c r="AC201" i="2" s="1"/>
  <c r="AC231" i="2" s="1"/>
  <c r="AC362" i="2" s="1"/>
  <c r="AC9" i="2"/>
  <c r="AC10" i="2" s="1"/>
  <c r="AC40" i="2" s="1"/>
  <c r="AC276" i="2"/>
  <c r="AC277" i="2" s="1"/>
  <c r="AC307" i="2" s="1"/>
  <c r="AC322" i="2" s="1"/>
  <c r="AC86" i="2"/>
  <c r="AC87" i="2" s="1"/>
  <c r="AC238" i="2"/>
  <c r="AC239" i="2" s="1"/>
  <c r="AC269" i="2" s="1"/>
  <c r="AC321" i="2" s="1"/>
  <c r="AC124" i="2"/>
  <c r="AC162" i="2"/>
  <c r="AC163" i="2" s="1"/>
  <c r="J93" i="2"/>
  <c r="J16" i="2"/>
  <c r="AG16" i="2" s="1"/>
  <c r="AH16" i="2" s="1"/>
  <c r="J207" i="2"/>
  <c r="AG207" i="2" s="1"/>
  <c r="AH207" i="2" s="1"/>
  <c r="J55" i="2"/>
  <c r="AG55" i="2" s="1"/>
  <c r="AH55" i="2" s="1"/>
  <c r="AG474" i="2"/>
  <c r="AH474" i="2" s="1"/>
  <c r="X238" i="2"/>
  <c r="X239" i="2" s="1"/>
  <c r="X269" i="2" s="1"/>
  <c r="X321" i="2" s="1"/>
  <c r="X86" i="2"/>
  <c r="X87" i="2" s="1"/>
  <c r="X276" i="2"/>
  <c r="X277" i="2" s="1"/>
  <c r="X307" i="2" s="1"/>
  <c r="X322" i="2" s="1"/>
  <c r="X48" i="2"/>
  <c r="X49" i="2" s="1"/>
  <c r="X79" i="2" s="1"/>
  <c r="X9" i="2"/>
  <c r="X10" i="2" s="1"/>
  <c r="X40" i="2" s="1"/>
  <c r="X200" i="2"/>
  <c r="X201" i="2" s="1"/>
  <c r="X231" i="2" s="1"/>
  <c r="X362" i="2" s="1"/>
  <c r="X124" i="2"/>
  <c r="X162" i="2"/>
  <c r="X163" i="2" s="1"/>
  <c r="W200" i="2"/>
  <c r="W201" i="2" s="1"/>
  <c r="W231" i="2" s="1"/>
  <c r="W362" i="2" s="1"/>
  <c r="W9" i="2"/>
  <c r="W10" i="2" s="1"/>
  <c r="W40" i="2" s="1"/>
  <c r="W86" i="2"/>
  <c r="W87" i="2" s="1"/>
  <c r="W162" i="2"/>
  <c r="W163" i="2" s="1"/>
  <c r="W48" i="2"/>
  <c r="W49" i="2" s="1"/>
  <c r="W79" i="2" s="1"/>
  <c r="W276" i="2"/>
  <c r="W277" i="2" s="1"/>
  <c r="W307" i="2" s="1"/>
  <c r="W322" i="2" s="1"/>
  <c r="W238" i="2"/>
  <c r="W239" i="2" s="1"/>
  <c r="W269" i="2" s="1"/>
  <c r="W321" i="2" s="1"/>
  <c r="W124" i="2"/>
  <c r="AB124" i="2"/>
  <c r="AB200" i="2"/>
  <c r="AB201" i="2" s="1"/>
  <c r="AB231" i="2" s="1"/>
  <c r="AB362" i="2" s="1"/>
  <c r="AB48" i="2"/>
  <c r="AB49" i="2" s="1"/>
  <c r="AB79" i="2" s="1"/>
  <c r="AB162" i="2"/>
  <c r="AB163" i="2" s="1"/>
  <c r="AB86" i="2"/>
  <c r="AB87" i="2" s="1"/>
  <c r="AB9" i="2"/>
  <c r="AB10" i="2" s="1"/>
  <c r="AB40" i="2" s="1"/>
  <c r="AB238" i="2"/>
  <c r="AB239" i="2" s="1"/>
  <c r="AB269" i="2" s="1"/>
  <c r="AB321" i="2" s="1"/>
  <c r="AB276" i="2"/>
  <c r="AB277" i="2" s="1"/>
  <c r="AB307" i="2" s="1"/>
  <c r="AB322" i="2" s="1"/>
  <c r="G48" i="2"/>
  <c r="G49" i="2" s="1"/>
  <c r="G79" i="2" s="1"/>
  <c r="G124" i="2"/>
  <c r="G200" i="2"/>
  <c r="G201" i="2" s="1"/>
  <c r="G231" i="2" s="1"/>
  <c r="G362" i="2" s="1"/>
  <c r="G86" i="2"/>
  <c r="G238" i="2"/>
  <c r="G239" i="2" s="1"/>
  <c r="G269" i="2" s="1"/>
  <c r="G321" i="2" s="1"/>
  <c r="G276" i="2"/>
  <c r="G277" i="2" s="1"/>
  <c r="G307" i="2" s="1"/>
  <c r="G322" i="2" s="1"/>
  <c r="G162" i="2"/>
  <c r="G163" i="2" s="1"/>
  <c r="G9" i="2"/>
  <c r="G10" i="2" s="1"/>
  <c r="G40" i="2" s="1"/>
  <c r="AF124" i="2"/>
  <c r="AF9" i="2"/>
  <c r="AF10" i="2" s="1"/>
  <c r="AF40" i="2" s="1"/>
  <c r="AF276" i="2"/>
  <c r="AF277" i="2" s="1"/>
  <c r="AF307" i="2" s="1"/>
  <c r="AF322" i="2" s="1"/>
  <c r="AF238" i="2"/>
  <c r="AF239" i="2" s="1"/>
  <c r="AF269" i="2" s="1"/>
  <c r="AF321" i="2" s="1"/>
  <c r="AF162" i="2"/>
  <c r="AF163" i="2" s="1"/>
  <c r="AF86" i="2"/>
  <c r="AF87" i="2" s="1"/>
  <c r="AF48" i="2"/>
  <c r="AF49" i="2" s="1"/>
  <c r="AF79" i="2" s="1"/>
  <c r="AF200" i="2"/>
  <c r="AF201" i="2" s="1"/>
  <c r="AF231" i="2" s="1"/>
  <c r="AF362" i="2" s="1"/>
  <c r="AE124" i="2"/>
  <c r="AE162" i="2"/>
  <c r="AE163" i="2" s="1"/>
  <c r="AE200" i="2"/>
  <c r="AE201" i="2" s="1"/>
  <c r="AE231" i="2" s="1"/>
  <c r="AE362" i="2" s="1"/>
  <c r="AE9" i="2"/>
  <c r="AE10" i="2" s="1"/>
  <c r="AE40" i="2" s="1"/>
  <c r="AE238" i="2"/>
  <c r="AE239" i="2" s="1"/>
  <c r="AE269" i="2" s="1"/>
  <c r="AE321" i="2" s="1"/>
  <c r="AE86" i="2"/>
  <c r="AE87" i="2" s="1"/>
  <c r="AE276" i="2"/>
  <c r="AE277" i="2" s="1"/>
  <c r="AE307" i="2" s="1"/>
  <c r="AE322" i="2" s="1"/>
  <c r="AE48" i="2"/>
  <c r="AE49" i="2" s="1"/>
  <c r="AE79" i="2" s="1"/>
  <c r="AA238" i="2"/>
  <c r="AA239" i="2" s="1"/>
  <c r="AA269" i="2" s="1"/>
  <c r="AA321" i="2" s="1"/>
  <c r="AA86" i="2"/>
  <c r="AA87" i="2" s="1"/>
  <c r="AA162" i="2"/>
  <c r="AA163" i="2" s="1"/>
  <c r="AA9" i="2"/>
  <c r="AA10" i="2" s="1"/>
  <c r="AA40" i="2" s="1"/>
  <c r="AA276" i="2"/>
  <c r="AA277" i="2" s="1"/>
  <c r="AA307" i="2" s="1"/>
  <c r="AA322" i="2" s="1"/>
  <c r="AA48" i="2"/>
  <c r="AA49" i="2" s="1"/>
  <c r="AA79" i="2" s="1"/>
  <c r="AA200" i="2"/>
  <c r="AA201" i="2" s="1"/>
  <c r="AA231" i="2" s="1"/>
  <c r="AA362" i="2" s="1"/>
  <c r="AA124" i="2"/>
  <c r="AG522" i="2"/>
  <c r="AH522" i="2" s="1"/>
  <c r="F551" i="2"/>
  <c r="M48" i="2"/>
  <c r="M49" i="2" s="1"/>
  <c r="M79" i="2" s="1"/>
  <c r="M162" i="2"/>
  <c r="M163" i="2" s="1"/>
  <c r="M276" i="2"/>
  <c r="M277" i="2" s="1"/>
  <c r="M307" i="2" s="1"/>
  <c r="M322" i="2" s="1"/>
  <c r="M124" i="2"/>
  <c r="M200" i="2"/>
  <c r="M201" i="2" s="1"/>
  <c r="M231" i="2" s="1"/>
  <c r="M362" i="2" s="1"/>
  <c r="M86" i="2"/>
  <c r="M9" i="2"/>
  <c r="M10" i="2" s="1"/>
  <c r="M40" i="2" s="1"/>
  <c r="M238" i="2"/>
  <c r="M239" i="2" s="1"/>
  <c r="M269" i="2" s="1"/>
  <c r="M321" i="2" s="1"/>
  <c r="U9" i="2"/>
  <c r="U10" i="2" s="1"/>
  <c r="U40" i="2" s="1"/>
  <c r="U238" i="2"/>
  <c r="U239" i="2" s="1"/>
  <c r="U269" i="2" s="1"/>
  <c r="U321" i="2" s="1"/>
  <c r="U276" i="2"/>
  <c r="U277" i="2" s="1"/>
  <c r="U307" i="2" s="1"/>
  <c r="U322" i="2" s="1"/>
  <c r="U124" i="2"/>
  <c r="U162" i="2"/>
  <c r="U163" i="2" s="1"/>
  <c r="U48" i="2"/>
  <c r="U49" i="2" s="1"/>
  <c r="U79" i="2" s="1"/>
  <c r="U86" i="2"/>
  <c r="U87" i="2" s="1"/>
  <c r="U200" i="2"/>
  <c r="U201" i="2" s="1"/>
  <c r="U231" i="2" s="1"/>
  <c r="U362" i="2" s="1"/>
  <c r="AD124" i="2"/>
  <c r="AD276" i="2"/>
  <c r="AD277" i="2" s="1"/>
  <c r="AD307" i="2" s="1"/>
  <c r="AD322" i="2" s="1"/>
  <c r="AD162" i="2"/>
  <c r="AD163" i="2" s="1"/>
  <c r="AD9" i="2"/>
  <c r="AD10" i="2" s="1"/>
  <c r="AD40" i="2" s="1"/>
  <c r="AD200" i="2"/>
  <c r="AD201" i="2" s="1"/>
  <c r="AD231" i="2" s="1"/>
  <c r="AD362" i="2" s="1"/>
  <c r="AD48" i="2"/>
  <c r="AD49" i="2" s="1"/>
  <c r="AD79" i="2" s="1"/>
  <c r="AD238" i="2"/>
  <c r="AD239" i="2" s="1"/>
  <c r="AD269" i="2" s="1"/>
  <c r="AD321" i="2" s="1"/>
  <c r="AD86" i="2"/>
  <c r="AD87" i="2" s="1"/>
  <c r="R124" i="2"/>
  <c r="R48" i="2"/>
  <c r="R49" i="2" s="1"/>
  <c r="R79" i="2" s="1"/>
  <c r="R276" i="2"/>
  <c r="R277" i="2" s="1"/>
  <c r="R307" i="2" s="1"/>
  <c r="R322" i="2" s="1"/>
  <c r="R238" i="2"/>
  <c r="R239" i="2" s="1"/>
  <c r="R269" i="2" s="1"/>
  <c r="R321" i="2" s="1"/>
  <c r="R162" i="2"/>
  <c r="R163" i="2" s="1"/>
  <c r="R86" i="2"/>
  <c r="R200" i="2"/>
  <c r="R201" i="2" s="1"/>
  <c r="R231" i="2" s="1"/>
  <c r="R362" i="2" s="1"/>
  <c r="R9" i="2"/>
  <c r="R10" i="2" s="1"/>
  <c r="R40" i="2" s="1"/>
  <c r="Q48" i="2"/>
  <c r="Q49" i="2" s="1"/>
  <c r="Q79" i="2" s="1"/>
  <c r="Q162" i="2"/>
  <c r="Q163" i="2" s="1"/>
  <c r="Q238" i="2"/>
  <c r="Q239" i="2" s="1"/>
  <c r="Q269" i="2" s="1"/>
  <c r="Q321" i="2" s="1"/>
  <c r="Q86" i="2"/>
  <c r="Q9" i="2"/>
  <c r="Q10" i="2" s="1"/>
  <c r="Q40" i="2" s="1"/>
  <c r="Q276" i="2"/>
  <c r="Q277" i="2" s="1"/>
  <c r="Q307" i="2" s="1"/>
  <c r="Q322" i="2" s="1"/>
  <c r="Q124" i="2"/>
  <c r="Q200" i="2"/>
  <c r="Q201" i="2" s="1"/>
  <c r="Q231" i="2" s="1"/>
  <c r="Q362" i="2" s="1"/>
  <c r="S48" i="2"/>
  <c r="S49" i="2" s="1"/>
  <c r="S79" i="2" s="1"/>
  <c r="S162" i="2"/>
  <c r="S163" i="2" s="1"/>
  <c r="S124" i="2"/>
  <c r="S238" i="2"/>
  <c r="S239" i="2" s="1"/>
  <c r="S269" i="2" s="1"/>
  <c r="S321" i="2" s="1"/>
  <c r="S276" i="2"/>
  <c r="S277" i="2" s="1"/>
  <c r="S307" i="2" s="1"/>
  <c r="S322" i="2" s="1"/>
  <c r="S86" i="2"/>
  <c r="S87" i="2" s="1"/>
  <c r="S200" i="2"/>
  <c r="S201" i="2" s="1"/>
  <c r="S231" i="2" s="1"/>
  <c r="S362" i="2" s="1"/>
  <c r="S9" i="2"/>
  <c r="S10" i="2" s="1"/>
  <c r="S40" i="2" s="1"/>
  <c r="E516" i="2" l="1"/>
  <c r="E517" i="2"/>
  <c r="AJ134" i="2"/>
  <c r="AJ124" i="2"/>
  <c r="E326" i="2"/>
  <c r="W136" i="2"/>
  <c r="W507" i="2"/>
  <c r="S136" i="2"/>
  <c r="S507" i="2"/>
  <c r="S516" i="2" s="1"/>
  <c r="S545" i="2" s="1"/>
  <c r="R507" i="2"/>
  <c r="R516" i="2" s="1"/>
  <c r="R545" i="2" s="1"/>
  <c r="R136" i="2"/>
  <c r="M507" i="2"/>
  <c r="M136" i="2"/>
  <c r="N136" i="2"/>
  <c r="N507" i="2"/>
  <c r="H136" i="2"/>
  <c r="H507" i="2"/>
  <c r="AD136" i="2"/>
  <c r="AD507" i="2"/>
  <c r="I136" i="2"/>
  <c r="I507" i="2"/>
  <c r="K136" i="2"/>
  <c r="K507" i="2"/>
  <c r="U136" i="2"/>
  <c r="U507" i="2"/>
  <c r="O144" i="1"/>
  <c r="AB133" i="1"/>
  <c r="AC133" i="1" s="1"/>
  <c r="F136" i="2"/>
  <c r="AG134" i="2"/>
  <c r="AH134" i="2" s="1"/>
  <c r="F507" i="2"/>
  <c r="V136" i="2"/>
  <c r="V507" i="2"/>
  <c r="X136" i="2"/>
  <c r="X507" i="2"/>
  <c r="G507" i="2"/>
  <c r="G136" i="2"/>
  <c r="O136" i="2"/>
  <c r="O507" i="2"/>
  <c r="Q136" i="2"/>
  <c r="Q507" i="2"/>
  <c r="Q516" i="2" s="1"/>
  <c r="Q545" i="2" s="1"/>
  <c r="T136" i="2"/>
  <c r="T507" i="2"/>
  <c r="W172" i="2"/>
  <c r="W174" i="2" s="1"/>
  <c r="W193" i="2" s="1"/>
  <c r="K172" i="2"/>
  <c r="K174" i="2" s="1"/>
  <c r="K193" i="2" s="1"/>
  <c r="AC172" i="2"/>
  <c r="AC174" i="2" s="1"/>
  <c r="AC193" i="2" s="1"/>
  <c r="V172" i="2"/>
  <c r="V174" i="2" s="1"/>
  <c r="V193" i="2" s="1"/>
  <c r="P172" i="2"/>
  <c r="P174" i="2" s="1"/>
  <c r="P193" i="2" s="1"/>
  <c r="E174" i="2"/>
  <c r="E193" i="2" s="1"/>
  <c r="L172" i="2"/>
  <c r="L174" i="2" s="1"/>
  <c r="L193" i="2" s="1"/>
  <c r="S172" i="2"/>
  <c r="S174" i="2" s="1"/>
  <c r="S193" i="2" s="1"/>
  <c r="X172" i="2"/>
  <c r="X174" i="2" s="1"/>
  <c r="X193" i="2" s="1"/>
  <c r="J172" i="2"/>
  <c r="J174" i="2" s="1"/>
  <c r="U172" i="2"/>
  <c r="U174" i="2" s="1"/>
  <c r="U193" i="2" s="1"/>
  <c r="N172" i="2"/>
  <c r="N174" i="2" s="1"/>
  <c r="N193" i="2" s="1"/>
  <c r="Z172" i="2"/>
  <c r="Z174" i="2" s="1"/>
  <c r="Z193" i="2" s="1"/>
  <c r="AD172" i="2"/>
  <c r="AD174" i="2" s="1"/>
  <c r="AD193" i="2" s="1"/>
  <c r="R172" i="2"/>
  <c r="R174" i="2" s="1"/>
  <c r="R193" i="2" s="1"/>
  <c r="G172" i="2"/>
  <c r="G174" i="2" s="1"/>
  <c r="G193" i="2" s="1"/>
  <c r="Y172" i="2"/>
  <c r="Y174" i="2" s="1"/>
  <c r="Y193" i="2" s="1"/>
  <c r="I172" i="2"/>
  <c r="I174" i="2" s="1"/>
  <c r="I193" i="2" s="1"/>
  <c r="AA172" i="2"/>
  <c r="AA174" i="2" s="1"/>
  <c r="AA193" i="2" s="1"/>
  <c r="AE172" i="2"/>
  <c r="AE174" i="2" s="1"/>
  <c r="AE193" i="2" s="1"/>
  <c r="M172" i="2"/>
  <c r="M174" i="2" s="1"/>
  <c r="M193" i="2" s="1"/>
  <c r="Q172" i="2"/>
  <c r="Q174" i="2" s="1"/>
  <c r="Q193" i="2" s="1"/>
  <c r="F172" i="2"/>
  <c r="H172" i="2"/>
  <c r="H174" i="2" s="1"/>
  <c r="H193" i="2" s="1"/>
  <c r="O172" i="2"/>
  <c r="O174" i="2" s="1"/>
  <c r="O193" i="2" s="1"/>
  <c r="AF172" i="2"/>
  <c r="AF174" i="2" s="1"/>
  <c r="AF193" i="2" s="1"/>
  <c r="T172" i="2"/>
  <c r="T174" i="2" s="1"/>
  <c r="T193" i="2" s="1"/>
  <c r="AB172" i="2"/>
  <c r="AB174" i="2" s="1"/>
  <c r="AB193" i="2" s="1"/>
  <c r="P136" i="2"/>
  <c r="P507" i="2"/>
  <c r="P516" i="2" s="1"/>
  <c r="P545" i="2" s="1"/>
  <c r="Z136" i="2"/>
  <c r="Z507" i="2"/>
  <c r="AE517" i="2"/>
  <c r="AB517" i="2"/>
  <c r="V517" i="2"/>
  <c r="R517" i="2"/>
  <c r="R546" i="2" s="1"/>
  <c r="S517" i="2"/>
  <c r="S546" i="2" s="1"/>
  <c r="Y517" i="2"/>
  <c r="AD517" i="2"/>
  <c r="AF517" i="2"/>
  <c r="X517" i="2"/>
  <c r="W517" i="2"/>
  <c r="T517" i="2"/>
  <c r="AC517" i="2"/>
  <c r="AA517" i="2"/>
  <c r="Q517" i="2"/>
  <c r="Q546" i="2" s="1"/>
  <c r="P517" i="2"/>
  <c r="P546" i="2" s="1"/>
  <c r="U517" i="2"/>
  <c r="Z517" i="2"/>
  <c r="E509" i="2"/>
  <c r="AB507" i="2"/>
  <c r="AB136" i="2"/>
  <c r="Y507" i="2"/>
  <c r="Y136" i="2"/>
  <c r="AF507" i="2"/>
  <c r="AF516" i="2" s="1"/>
  <c r="AF136" i="2"/>
  <c r="AA136" i="2"/>
  <c r="AA507" i="2"/>
  <c r="AE136" i="2"/>
  <c r="AE507" i="2"/>
  <c r="AE516" i="2" s="1"/>
  <c r="AC136" i="2"/>
  <c r="AC507" i="2"/>
  <c r="L136" i="2"/>
  <c r="L507" i="2"/>
  <c r="AH504" i="2"/>
  <c r="S320" i="2"/>
  <c r="S505" i="2"/>
  <c r="S125" i="2"/>
  <c r="Q505" i="2"/>
  <c r="Q125" i="2"/>
  <c r="R320" i="2"/>
  <c r="AE505" i="2"/>
  <c r="AE125" i="2"/>
  <c r="AF505" i="2"/>
  <c r="AF125" i="2"/>
  <c r="AB505" i="2"/>
  <c r="AB125" i="2"/>
  <c r="W320" i="2"/>
  <c r="AG93" i="2"/>
  <c r="AH93" i="2" s="1"/>
  <c r="T320" i="2"/>
  <c r="I505" i="2"/>
  <c r="I125" i="2"/>
  <c r="I523" i="2"/>
  <c r="I87" i="2"/>
  <c r="N320" i="2"/>
  <c r="O505" i="2"/>
  <c r="O125" i="2"/>
  <c r="O523" i="2"/>
  <c r="O87" i="2"/>
  <c r="S612" i="2"/>
  <c r="J79" i="2"/>
  <c r="J231" i="2"/>
  <c r="J362" i="2" s="1"/>
  <c r="P523" i="2"/>
  <c r="P87" i="2"/>
  <c r="Y505" i="2"/>
  <c r="Y125" i="2"/>
  <c r="H523" i="2"/>
  <c r="H87" i="2"/>
  <c r="V320" i="2"/>
  <c r="M523" i="2"/>
  <c r="M87" i="2"/>
  <c r="AA505" i="2"/>
  <c r="AA125" i="2"/>
  <c r="AF320" i="2"/>
  <c r="G523" i="2"/>
  <c r="G87" i="2"/>
  <c r="W505" i="2"/>
  <c r="W125" i="2"/>
  <c r="T505" i="2"/>
  <c r="T125" i="2"/>
  <c r="N505" i="2"/>
  <c r="N125" i="2"/>
  <c r="J40" i="2"/>
  <c r="J505" i="2"/>
  <c r="J125" i="2"/>
  <c r="P320" i="2"/>
  <c r="K320" i="2"/>
  <c r="H320" i="2"/>
  <c r="H505" i="2"/>
  <c r="H125" i="2"/>
  <c r="E385" i="2"/>
  <c r="F542" i="2"/>
  <c r="F561" i="2" s="1"/>
  <c r="R523" i="2"/>
  <c r="R87" i="2"/>
  <c r="R505" i="2"/>
  <c r="R125" i="2"/>
  <c r="AD320" i="2"/>
  <c r="AD505" i="2"/>
  <c r="AD125" i="2"/>
  <c r="M320" i="2"/>
  <c r="AA320" i="2"/>
  <c r="AE320" i="2"/>
  <c r="G320" i="2"/>
  <c r="X505" i="2"/>
  <c r="X125" i="2"/>
  <c r="AC505" i="2"/>
  <c r="AC125" i="2"/>
  <c r="Z505" i="2"/>
  <c r="Z125" i="2"/>
  <c r="L523" i="2"/>
  <c r="L552" i="2" s="1"/>
  <c r="L87" i="2"/>
  <c r="L320" i="2"/>
  <c r="O320" i="2"/>
  <c r="F48" i="2"/>
  <c r="F200" i="2"/>
  <c r="AG500" i="2"/>
  <c r="AH500" i="2" s="1"/>
  <c r="F276" i="2"/>
  <c r="F86" i="2"/>
  <c r="F238" i="2"/>
  <c r="F162" i="2"/>
  <c r="F9" i="2"/>
  <c r="F124" i="2"/>
  <c r="Q320" i="2"/>
  <c r="Q523" i="2"/>
  <c r="Q87" i="2"/>
  <c r="U320" i="2"/>
  <c r="U505" i="2"/>
  <c r="U125" i="2"/>
  <c r="M505" i="2"/>
  <c r="M125" i="2"/>
  <c r="G505" i="2"/>
  <c r="G125" i="2"/>
  <c r="AB320" i="2"/>
  <c r="X320" i="2"/>
  <c r="AC320" i="2"/>
  <c r="Z320" i="2"/>
  <c r="I320" i="2"/>
  <c r="N523" i="2"/>
  <c r="N87" i="2"/>
  <c r="L505" i="2"/>
  <c r="L125" i="2"/>
  <c r="J245" i="2"/>
  <c r="AG245" i="2" s="1"/>
  <c r="AH245" i="2" s="1"/>
  <c r="J283" i="2"/>
  <c r="AG283" i="2" s="1"/>
  <c r="AH283" i="2" s="1"/>
  <c r="J131" i="2"/>
  <c r="J169" i="2"/>
  <c r="AG169" i="2" s="1"/>
  <c r="AH169" i="2" s="1"/>
  <c r="AG481" i="2"/>
  <c r="AH481" i="2" s="1"/>
  <c r="J523" i="2"/>
  <c r="J87" i="2"/>
  <c r="P505" i="2"/>
  <c r="P125" i="2"/>
  <c r="Y320" i="2"/>
  <c r="K523" i="2"/>
  <c r="K87" i="2"/>
  <c r="K505" i="2"/>
  <c r="K125" i="2"/>
  <c r="V505" i="2"/>
  <c r="V125" i="2"/>
  <c r="O615" i="2" l="1"/>
  <c r="O552" i="2"/>
  <c r="N615" i="2"/>
  <c r="N552" i="2"/>
  <c r="E518" i="2"/>
  <c r="AJ125" i="2"/>
  <c r="AJ136" i="2"/>
  <c r="G552" i="2"/>
  <c r="H552" i="2"/>
  <c r="I552" i="2"/>
  <c r="J552" i="2"/>
  <c r="K552" i="2"/>
  <c r="AA155" i="2"/>
  <c r="AA319" i="2" s="1"/>
  <c r="AA324" i="2" s="1"/>
  <c r="N155" i="2"/>
  <c r="N319" i="2" s="1"/>
  <c r="N324" i="2" s="1"/>
  <c r="N355" i="2" s="1"/>
  <c r="W155" i="2"/>
  <c r="W319" i="2" s="1"/>
  <c r="W324" i="2" s="1"/>
  <c r="W326" i="2" s="1"/>
  <c r="G155" i="2"/>
  <c r="G319" i="2" s="1"/>
  <c r="G324" i="2" s="1"/>
  <c r="G326" i="2" s="1"/>
  <c r="U155" i="2"/>
  <c r="U319" i="2" s="1"/>
  <c r="U324" i="2" s="1"/>
  <c r="S155" i="2"/>
  <c r="S319" i="2" s="1"/>
  <c r="S324" i="2" s="1"/>
  <c r="S355" i="2" s="1"/>
  <c r="H155" i="2"/>
  <c r="I155" i="2"/>
  <c r="I319" i="2" s="1"/>
  <c r="I324" i="2" s="1"/>
  <c r="AC155" i="2"/>
  <c r="AC319" i="2" s="1"/>
  <c r="AC324" i="2" s="1"/>
  <c r="AD155" i="2"/>
  <c r="AD319" i="2" s="1"/>
  <c r="AD324" i="2" s="1"/>
  <c r="P155" i="2"/>
  <c r="P319" i="2" s="1"/>
  <c r="P324" i="2" s="1"/>
  <c r="P355" i="2" s="1"/>
  <c r="R155" i="2"/>
  <c r="R319" i="2" s="1"/>
  <c r="R324" i="2" s="1"/>
  <c r="R355" i="2" s="1"/>
  <c r="Z155" i="2"/>
  <c r="Z319" i="2" s="1"/>
  <c r="Z324" i="2" s="1"/>
  <c r="X155" i="2"/>
  <c r="X319" i="2" s="1"/>
  <c r="X324" i="2" s="1"/>
  <c r="T155" i="2"/>
  <c r="T319" i="2" s="1"/>
  <c r="T324" i="2" s="1"/>
  <c r="T355" i="2" s="1"/>
  <c r="Y155" i="2"/>
  <c r="Y319" i="2" s="1"/>
  <c r="Y324" i="2" s="1"/>
  <c r="AB155" i="2"/>
  <c r="AB319" i="2" s="1"/>
  <c r="AB324" i="2" s="1"/>
  <c r="O155" i="2"/>
  <c r="O319" i="2" s="1"/>
  <c r="O324" i="2" s="1"/>
  <c r="AF155" i="2"/>
  <c r="AF319" i="2" s="1"/>
  <c r="AF324" i="2" s="1"/>
  <c r="Q155" i="2"/>
  <c r="Q319" i="2" s="1"/>
  <c r="Q324" i="2" s="1"/>
  <c r="U516" i="2"/>
  <c r="U545" i="2"/>
  <c r="AD545" i="2"/>
  <c r="AD516" i="2"/>
  <c r="W516" i="2"/>
  <c r="W545" i="2"/>
  <c r="AC516" i="2"/>
  <c r="AC545" i="2"/>
  <c r="AA545" i="2"/>
  <c r="AA516" i="2"/>
  <c r="R602" i="2"/>
  <c r="R628" i="2" s="1"/>
  <c r="R577" i="2"/>
  <c r="T545" i="2"/>
  <c r="T516" i="2"/>
  <c r="X545" i="2"/>
  <c r="X516" i="2"/>
  <c r="E96" i="2"/>
  <c r="AB144" i="1"/>
  <c r="AC144" i="1" s="1"/>
  <c r="AC1" i="1" s="1"/>
  <c r="R572" i="2"/>
  <c r="R597" i="2"/>
  <c r="R623" i="2" s="1"/>
  <c r="AB545" i="2"/>
  <c r="AB516" i="2"/>
  <c r="V155" i="2"/>
  <c r="V319" i="2" s="1"/>
  <c r="V324" i="2" s="1"/>
  <c r="V355" i="2" s="1"/>
  <c r="Y516" i="2"/>
  <c r="Y545" i="2"/>
  <c r="P602" i="2"/>
  <c r="P628" i="2" s="1"/>
  <c r="P577" i="2"/>
  <c r="Z516" i="2"/>
  <c r="Z545" i="2"/>
  <c r="S572" i="2"/>
  <c r="S597" i="2"/>
  <c r="S623" i="2" s="1"/>
  <c r="S577" i="2"/>
  <c r="S602" i="2"/>
  <c r="S628" i="2" s="1"/>
  <c r="P597" i="2"/>
  <c r="P623" i="2" s="1"/>
  <c r="P572" i="2"/>
  <c r="AE155" i="2"/>
  <c r="AE319" i="2" s="1"/>
  <c r="AE324" i="2" s="1"/>
  <c r="Q577" i="2"/>
  <c r="Q602" i="2"/>
  <c r="Q628" i="2" s="1"/>
  <c r="AG172" i="2"/>
  <c r="AH172" i="2" s="1"/>
  <c r="F174" i="2"/>
  <c r="AG174" i="2" s="1"/>
  <c r="AH174" i="2" s="1"/>
  <c r="Q597" i="2"/>
  <c r="Q623" i="2" s="1"/>
  <c r="Q572" i="2"/>
  <c r="V545" i="2"/>
  <c r="V516" i="2"/>
  <c r="AG136" i="2"/>
  <c r="AH136" i="2" s="1"/>
  <c r="K155" i="2"/>
  <c r="K319" i="2" s="1"/>
  <c r="K324" i="2" s="1"/>
  <c r="K355" i="2" s="1"/>
  <c r="M155" i="2"/>
  <c r="M319" i="2" s="1"/>
  <c r="M324" i="2" s="1"/>
  <c r="M326" i="2" s="1"/>
  <c r="L155" i="2"/>
  <c r="L319" i="2" s="1"/>
  <c r="L324" i="2" s="1"/>
  <c r="L355" i="2" s="1"/>
  <c r="U514" i="2"/>
  <c r="U543" i="2"/>
  <c r="U587" i="2" s="1"/>
  <c r="U613" i="2" s="1"/>
  <c r="U509" i="2"/>
  <c r="AG238" i="2"/>
  <c r="AH238" i="2" s="1"/>
  <c r="F239" i="2"/>
  <c r="AG200" i="2"/>
  <c r="AH200" i="2" s="1"/>
  <c r="F201" i="2"/>
  <c r="X514" i="2"/>
  <c r="X543" i="2"/>
  <c r="X587" i="2" s="1"/>
  <c r="X613" i="2" s="1"/>
  <c r="X509" i="2"/>
  <c r="AD543" i="2"/>
  <c r="AD587" i="2" s="1"/>
  <c r="AD613" i="2" s="1"/>
  <c r="AD514" i="2"/>
  <c r="AD509" i="2"/>
  <c r="E387" i="2"/>
  <c r="W543" i="2"/>
  <c r="W587" i="2" s="1"/>
  <c r="W613" i="2" s="1"/>
  <c r="W514" i="2"/>
  <c r="W509" i="2"/>
  <c r="AA514" i="2"/>
  <c r="AA543" i="2"/>
  <c r="AA587" i="2" s="1"/>
  <c r="AA613" i="2" s="1"/>
  <c r="AA509" i="2"/>
  <c r="F505" i="2"/>
  <c r="AG124" i="2"/>
  <c r="AH124" i="2" s="1"/>
  <c r="F125" i="2"/>
  <c r="AG86" i="2"/>
  <c r="AH86" i="2" s="1"/>
  <c r="F523" i="2"/>
  <c r="AG523" i="2" s="1"/>
  <c r="AH523" i="2" s="1"/>
  <c r="F87" i="2"/>
  <c r="AG48" i="2"/>
  <c r="AH48" i="2" s="1"/>
  <c r="F49" i="2"/>
  <c r="J307" i="2"/>
  <c r="J322" i="2" s="1"/>
  <c r="N509" i="2"/>
  <c r="P552" i="2"/>
  <c r="O509" i="2"/>
  <c r="I509" i="2"/>
  <c r="AB514" i="2"/>
  <c r="AB543" i="2"/>
  <c r="AB587" i="2" s="1"/>
  <c r="AB613" i="2" s="1"/>
  <c r="AB509" i="2"/>
  <c r="AE514" i="2"/>
  <c r="AE518" i="2" s="1"/>
  <c r="AE509" i="2"/>
  <c r="Q509" i="2"/>
  <c r="V543" i="2"/>
  <c r="V587" i="2" s="1"/>
  <c r="V613" i="2" s="1"/>
  <c r="V514" i="2"/>
  <c r="V509" i="2"/>
  <c r="P509" i="2"/>
  <c r="J193" i="2"/>
  <c r="M509" i="2"/>
  <c r="Q552" i="2"/>
  <c r="AG9" i="2"/>
  <c r="AH9" i="2" s="1"/>
  <c r="F10" i="2"/>
  <c r="AG276" i="2"/>
  <c r="AH276" i="2" s="1"/>
  <c r="F277" i="2"/>
  <c r="J269" i="2"/>
  <c r="J321" i="2" s="1"/>
  <c r="AC514" i="2"/>
  <c r="AC543" i="2"/>
  <c r="AC587" i="2" s="1"/>
  <c r="AC613" i="2" s="1"/>
  <c r="AC509" i="2"/>
  <c r="R509" i="2"/>
  <c r="R552" i="2"/>
  <c r="H509" i="2"/>
  <c r="T514" i="2"/>
  <c r="T543" i="2"/>
  <c r="T587" i="2" s="1"/>
  <c r="T613" i="2" s="1"/>
  <c r="T509" i="2"/>
  <c r="J320" i="2"/>
  <c r="K509" i="2"/>
  <c r="J507" i="2"/>
  <c r="AG131" i="2"/>
  <c r="L509" i="2"/>
  <c r="G509" i="2"/>
  <c r="AG162" i="2"/>
  <c r="AH162" i="2" s="1"/>
  <c r="F163" i="2"/>
  <c r="Z514" i="2"/>
  <c r="Z543" i="2"/>
  <c r="Z587" i="2" s="1"/>
  <c r="Z613" i="2" s="1"/>
  <c r="Z509" i="2"/>
  <c r="F586" i="2"/>
  <c r="F612" i="2"/>
  <c r="J155" i="2"/>
  <c r="J319" i="2" s="1"/>
  <c r="Y514" i="2"/>
  <c r="Y543" i="2"/>
  <c r="Y587" i="2" s="1"/>
  <c r="Y613" i="2" s="1"/>
  <c r="Y509" i="2"/>
  <c r="AF514" i="2"/>
  <c r="AF518" i="2" s="1"/>
  <c r="AF509" i="2"/>
  <c r="S514" i="2"/>
  <c r="S509" i="2"/>
  <c r="H319" i="2" l="1"/>
  <c r="H324" i="2" s="1"/>
  <c r="H326" i="2" s="1"/>
  <c r="AJ155" i="2"/>
  <c r="T518" i="2"/>
  <c r="AC518" i="2"/>
  <c r="Y518" i="2"/>
  <c r="AD518" i="2"/>
  <c r="AB518" i="2"/>
  <c r="AA518" i="2"/>
  <c r="V518" i="2"/>
  <c r="U518" i="2"/>
  <c r="W518" i="2"/>
  <c r="X518" i="2"/>
  <c r="Z518" i="2"/>
  <c r="H96" i="2"/>
  <c r="I96" i="2"/>
  <c r="AD96" i="2"/>
  <c r="Y96" i="2"/>
  <c r="W96" i="2"/>
  <c r="K96" i="2"/>
  <c r="R96" i="2"/>
  <c r="N96" i="2"/>
  <c r="AE96" i="2"/>
  <c r="S96" i="2"/>
  <c r="AB96" i="2"/>
  <c r="AC96" i="2"/>
  <c r="F96" i="2"/>
  <c r="U96" i="2"/>
  <c r="G96" i="2"/>
  <c r="AA96" i="2"/>
  <c r="X96" i="2"/>
  <c r="P96" i="2"/>
  <c r="E525" i="2"/>
  <c r="E527" i="2" s="1"/>
  <c r="J96" i="2"/>
  <c r="M96" i="2"/>
  <c r="V96" i="2"/>
  <c r="Q96" i="2"/>
  <c r="Z96" i="2"/>
  <c r="E98" i="2"/>
  <c r="E117" i="2" s="1"/>
  <c r="E118" i="2" s="1"/>
  <c r="L96" i="2"/>
  <c r="AF96" i="2"/>
  <c r="T96" i="2"/>
  <c r="O96" i="2"/>
  <c r="L326" i="2"/>
  <c r="T326" i="2"/>
  <c r="M355" i="2"/>
  <c r="J509" i="2"/>
  <c r="W355" i="2"/>
  <c r="V326" i="2"/>
  <c r="S326" i="2"/>
  <c r="N326" i="2"/>
  <c r="P326" i="2"/>
  <c r="G355" i="2"/>
  <c r="K326" i="2"/>
  <c r="R326" i="2"/>
  <c r="J324" i="2"/>
  <c r="J326" i="2" s="1"/>
  <c r="U355" i="2"/>
  <c r="U326" i="2"/>
  <c r="AF355" i="2"/>
  <c r="AF326" i="2"/>
  <c r="Z326" i="2"/>
  <c r="Z355" i="2"/>
  <c r="AG10" i="2"/>
  <c r="AH10" i="2" s="1"/>
  <c r="F40" i="2"/>
  <c r="AG40" i="2" s="1"/>
  <c r="AH40" i="2" s="1"/>
  <c r="AG87" i="2"/>
  <c r="AH87" i="2" s="1"/>
  <c r="I355" i="2"/>
  <c r="I326" i="2"/>
  <c r="S543" i="2"/>
  <c r="S532" i="2"/>
  <c r="S518" i="2"/>
  <c r="AD326" i="2"/>
  <c r="AD355" i="2"/>
  <c r="F552" i="2"/>
  <c r="AG505" i="2"/>
  <c r="F509" i="2"/>
  <c r="Q355" i="2"/>
  <c r="Q326" i="2"/>
  <c r="O355" i="2"/>
  <c r="O326" i="2"/>
  <c r="AG201" i="2"/>
  <c r="AH201" i="2" s="1"/>
  <c r="F231" i="2"/>
  <c r="F362" i="2" s="1"/>
  <c r="AG362" i="2" s="1"/>
  <c r="AA355" i="2"/>
  <c r="AA326" i="2"/>
  <c r="X355" i="2"/>
  <c r="X326" i="2"/>
  <c r="AG163" i="2"/>
  <c r="AH163" i="2" s="1"/>
  <c r="F193" i="2"/>
  <c r="AG507" i="2"/>
  <c r="AH507" i="2" s="1"/>
  <c r="AH131" i="2"/>
  <c r="F307" i="2"/>
  <c r="AG277" i="2"/>
  <c r="AH277" i="2" s="1"/>
  <c r="F79" i="2"/>
  <c r="AG49" i="2"/>
  <c r="AH49" i="2" s="1"/>
  <c r="AE326" i="2"/>
  <c r="AE355" i="2"/>
  <c r="Y355" i="2"/>
  <c r="Y326" i="2"/>
  <c r="AC355" i="2"/>
  <c r="AC326" i="2"/>
  <c r="AG125" i="2"/>
  <c r="AH125" i="2" s="1"/>
  <c r="F155" i="2"/>
  <c r="AB355" i="2"/>
  <c r="AB326" i="2"/>
  <c r="AG239" i="2"/>
  <c r="AH239" i="2" s="1"/>
  <c r="F269" i="2"/>
  <c r="H355" i="2" l="1"/>
  <c r="M525" i="2"/>
  <c r="M98" i="2"/>
  <c r="M117" i="2" s="1"/>
  <c r="W98" i="2"/>
  <c r="W117" i="2" s="1"/>
  <c r="W525" i="2"/>
  <c r="Z98" i="2"/>
  <c r="Z117" i="2" s="1"/>
  <c r="Z525" i="2"/>
  <c r="J98" i="2"/>
  <c r="J117" i="2" s="1"/>
  <c r="J525" i="2"/>
  <c r="AA98" i="2"/>
  <c r="AA117" i="2" s="1"/>
  <c r="AA525" i="2"/>
  <c r="AC525" i="2"/>
  <c r="AC98" i="2"/>
  <c r="AC117" i="2" s="1"/>
  <c r="N98" i="2"/>
  <c r="N117" i="2" s="1"/>
  <c r="N328" i="2" s="1"/>
  <c r="N389" i="2" s="1"/>
  <c r="N525" i="2"/>
  <c r="Y98" i="2"/>
  <c r="Y117" i="2" s="1"/>
  <c r="Y525" i="2"/>
  <c r="X98" i="2"/>
  <c r="X117" i="2" s="1"/>
  <c r="X525" i="2"/>
  <c r="H98" i="2"/>
  <c r="H117" i="2" s="1"/>
  <c r="H525" i="2"/>
  <c r="AF98" i="2"/>
  <c r="AF117" i="2" s="1"/>
  <c r="AF525" i="2"/>
  <c r="AF624" i="2" s="1"/>
  <c r="AF625" i="2" s="1"/>
  <c r="Q98" i="2"/>
  <c r="Q117" i="2" s="1"/>
  <c r="Q525" i="2"/>
  <c r="G98" i="2"/>
  <c r="G117" i="2" s="1"/>
  <c r="G525" i="2"/>
  <c r="AB98" i="2"/>
  <c r="AB117" i="2" s="1"/>
  <c r="AB525" i="2"/>
  <c r="R98" i="2"/>
  <c r="R117" i="2" s="1"/>
  <c r="R525" i="2"/>
  <c r="AD98" i="2"/>
  <c r="AD117" i="2" s="1"/>
  <c r="AD525" i="2"/>
  <c r="O98" i="2"/>
  <c r="O117" i="2" s="1"/>
  <c r="O525" i="2"/>
  <c r="E328" i="2"/>
  <c r="F525" i="2"/>
  <c r="AG96" i="2"/>
  <c r="AH96" i="2" s="1"/>
  <c r="F98" i="2"/>
  <c r="AE525" i="2"/>
  <c r="AE624" i="2" s="1"/>
  <c r="AE625" i="2" s="1"/>
  <c r="AE98" i="2"/>
  <c r="AE117" i="2" s="1"/>
  <c r="T98" i="2"/>
  <c r="T117" i="2" s="1"/>
  <c r="T525" i="2"/>
  <c r="L525" i="2"/>
  <c r="L98" i="2"/>
  <c r="L117" i="2" s="1"/>
  <c r="V525" i="2"/>
  <c r="V98" i="2"/>
  <c r="V117" i="2" s="1"/>
  <c r="P98" i="2"/>
  <c r="P117" i="2" s="1"/>
  <c r="P525" i="2"/>
  <c r="U98" i="2"/>
  <c r="U117" i="2" s="1"/>
  <c r="U525" i="2"/>
  <c r="S98" i="2"/>
  <c r="S117" i="2" s="1"/>
  <c r="S525" i="2"/>
  <c r="K98" i="2"/>
  <c r="K117" i="2" s="1"/>
  <c r="K525" i="2"/>
  <c r="I98" i="2"/>
  <c r="I117" i="2" s="1"/>
  <c r="I525" i="2"/>
  <c r="J355" i="2"/>
  <c r="F321" i="2"/>
  <c r="AG321" i="2" s="1"/>
  <c r="AH321" i="2" s="1"/>
  <c r="AG269" i="2"/>
  <c r="AH269" i="2" s="1"/>
  <c r="F80" i="2"/>
  <c r="AG79" i="2"/>
  <c r="AH79" i="2" s="1"/>
  <c r="AG307" i="2"/>
  <c r="AH307" i="2" s="1"/>
  <c r="F322" i="2"/>
  <c r="AG322" i="2" s="1"/>
  <c r="AH322" i="2" s="1"/>
  <c r="AH505" i="2"/>
  <c r="AG509" i="2"/>
  <c r="AH509" i="2" s="1"/>
  <c r="AG231" i="2"/>
  <c r="AH231" i="2" s="1"/>
  <c r="F320" i="2"/>
  <c r="AG320" i="2" s="1"/>
  <c r="AH320" i="2" s="1"/>
  <c r="AG155" i="2"/>
  <c r="AH155" i="2" s="1"/>
  <c r="F319" i="2"/>
  <c r="AG193" i="2"/>
  <c r="AH193" i="2" s="1"/>
  <c r="S587" i="2"/>
  <c r="S563" i="2"/>
  <c r="N554" i="2" l="1"/>
  <c r="N624" i="2"/>
  <c r="O554" i="2"/>
  <c r="O624" i="2"/>
  <c r="AE371" i="2"/>
  <c r="AE360" i="2"/>
  <c r="P371" i="2"/>
  <c r="P360" i="2"/>
  <c r="L371" i="2"/>
  <c r="L360" i="2"/>
  <c r="L514" i="2" s="1"/>
  <c r="AC371" i="2"/>
  <c r="AC360" i="2"/>
  <c r="I371" i="2"/>
  <c r="I360" i="2"/>
  <c r="I514" i="2" s="1"/>
  <c r="S371" i="2"/>
  <c r="S360" i="2"/>
  <c r="AD371" i="2"/>
  <c r="AD360" i="2"/>
  <c r="AB371" i="2"/>
  <c r="AB360" i="2"/>
  <c r="Q371" i="2"/>
  <c r="Q360" i="2"/>
  <c r="H371" i="2"/>
  <c r="H360" i="2"/>
  <c r="H514" i="2" s="1"/>
  <c r="Y371" i="2"/>
  <c r="Y360" i="2"/>
  <c r="J371" i="2"/>
  <c r="J360" i="2"/>
  <c r="J514" i="2" s="1"/>
  <c r="W371" i="2"/>
  <c r="W360" i="2"/>
  <c r="V371" i="2"/>
  <c r="V360" i="2"/>
  <c r="M371" i="2"/>
  <c r="M360" i="2"/>
  <c r="M514" i="2" s="1"/>
  <c r="K371" i="2"/>
  <c r="K360" i="2"/>
  <c r="K514" i="2" s="1"/>
  <c r="U371" i="2"/>
  <c r="U360" i="2"/>
  <c r="T371" i="2"/>
  <c r="T360" i="2"/>
  <c r="O371" i="2"/>
  <c r="O360" i="2"/>
  <c r="O514" i="2" s="1"/>
  <c r="O543" i="2" s="1"/>
  <c r="O563" i="2" s="1"/>
  <c r="R371" i="2"/>
  <c r="R360" i="2"/>
  <c r="G371" i="2"/>
  <c r="G360" i="2"/>
  <c r="G514" i="2" s="1"/>
  <c r="AF371" i="2"/>
  <c r="AF360" i="2"/>
  <c r="X371" i="2"/>
  <c r="X360" i="2"/>
  <c r="N371" i="2"/>
  <c r="N360" i="2"/>
  <c r="AA371" i="2"/>
  <c r="AA360" i="2"/>
  <c r="Z371" i="2"/>
  <c r="Z360" i="2"/>
  <c r="I554" i="2"/>
  <c r="H554" i="2"/>
  <c r="J554" i="2"/>
  <c r="K554" i="2"/>
  <c r="G554" i="2"/>
  <c r="L364" i="2"/>
  <c r="L370" i="2"/>
  <c r="AE364" i="2"/>
  <c r="AE370" i="2"/>
  <c r="AC364" i="2"/>
  <c r="AC370" i="2"/>
  <c r="V364" i="2"/>
  <c r="V370" i="2"/>
  <c r="M364" i="2"/>
  <c r="M370" i="2"/>
  <c r="I364" i="2"/>
  <c r="I370" i="2"/>
  <c r="S364" i="2"/>
  <c r="S370" i="2"/>
  <c r="P364" i="2"/>
  <c r="P370" i="2"/>
  <c r="AD364" i="2"/>
  <c r="AD370" i="2"/>
  <c r="AB364" i="2"/>
  <c r="AB370" i="2"/>
  <c r="Q364" i="2"/>
  <c r="Q370" i="2"/>
  <c r="H364" i="2"/>
  <c r="H370" i="2"/>
  <c r="Y364" i="2"/>
  <c r="Y370" i="2"/>
  <c r="J364" i="2"/>
  <c r="J370" i="2"/>
  <c r="W364" i="2"/>
  <c r="W370" i="2"/>
  <c r="K364" i="2"/>
  <c r="K370" i="2"/>
  <c r="U364" i="2"/>
  <c r="U370" i="2"/>
  <c r="T364" i="2"/>
  <c r="T370" i="2"/>
  <c r="O364" i="2"/>
  <c r="O370" i="2"/>
  <c r="R364" i="2"/>
  <c r="R370" i="2"/>
  <c r="G364" i="2"/>
  <c r="G370" i="2"/>
  <c r="AF364" i="2"/>
  <c r="AF370" i="2"/>
  <c r="X364" i="2"/>
  <c r="X370" i="2"/>
  <c r="N364" i="2"/>
  <c r="N370" i="2"/>
  <c r="AA364" i="2"/>
  <c r="AA370" i="2"/>
  <c r="Z364" i="2"/>
  <c r="Z370" i="2"/>
  <c r="L118" i="2"/>
  <c r="L373" i="2"/>
  <c r="AE328" i="2"/>
  <c r="AE389" i="2" s="1"/>
  <c r="AE373" i="2"/>
  <c r="AC328" i="2"/>
  <c r="AC389" i="2" s="1"/>
  <c r="AC373" i="2"/>
  <c r="V328" i="2"/>
  <c r="V389" i="2" s="1"/>
  <c r="V373" i="2"/>
  <c r="M118" i="2"/>
  <c r="M373" i="2"/>
  <c r="I118" i="2"/>
  <c r="I373" i="2"/>
  <c r="S378" i="2"/>
  <c r="S373" i="2"/>
  <c r="P365" i="2"/>
  <c r="P373" i="2"/>
  <c r="AD372" i="2"/>
  <c r="AD373" i="2"/>
  <c r="AB367" i="2"/>
  <c r="AB373" i="2"/>
  <c r="Q379" i="2"/>
  <c r="Q373" i="2"/>
  <c r="H118" i="2"/>
  <c r="H373" i="2"/>
  <c r="Y328" i="2"/>
  <c r="Y389" i="2" s="1"/>
  <c r="Y373" i="2"/>
  <c r="J118" i="2"/>
  <c r="J373" i="2"/>
  <c r="W328" i="2"/>
  <c r="W389" i="2" s="1"/>
  <c r="W373" i="2"/>
  <c r="K118" i="2"/>
  <c r="K373" i="2"/>
  <c r="U328" i="2"/>
  <c r="U389" i="2" s="1"/>
  <c r="U373" i="2"/>
  <c r="T328" i="2"/>
  <c r="T389" i="2" s="1"/>
  <c r="T373" i="2"/>
  <c r="O118" i="2"/>
  <c r="O373" i="2"/>
  <c r="R328" i="2"/>
  <c r="R389" i="2" s="1"/>
  <c r="R373" i="2"/>
  <c r="G118" i="2"/>
  <c r="G373" i="2"/>
  <c r="AF328" i="2"/>
  <c r="AF389" i="2" s="1"/>
  <c r="AF373" i="2"/>
  <c r="X328" i="2"/>
  <c r="X389" i="2" s="1"/>
  <c r="X373" i="2"/>
  <c r="N118" i="2"/>
  <c r="N373" i="2"/>
  <c r="AA377" i="2"/>
  <c r="AA373" i="2"/>
  <c r="Z376" i="2"/>
  <c r="Z373" i="2"/>
  <c r="L328" i="2"/>
  <c r="L389" i="2" s="1"/>
  <c r="J328" i="2"/>
  <c r="J389" i="2" s="1"/>
  <c r="M328" i="2"/>
  <c r="M330" i="2" s="1"/>
  <c r="K328" i="2"/>
  <c r="K389" i="2" s="1"/>
  <c r="O328" i="2"/>
  <c r="O389" i="2" s="1"/>
  <c r="N372" i="2"/>
  <c r="I363" i="2"/>
  <c r="H328" i="2"/>
  <c r="H389" i="2" s="1"/>
  <c r="G328" i="2"/>
  <c r="G389" i="2" s="1"/>
  <c r="Y372" i="2"/>
  <c r="AF381" i="2"/>
  <c r="M377" i="2"/>
  <c r="X378" i="2"/>
  <c r="X382" i="2"/>
  <c r="X367" i="2"/>
  <c r="X391" i="2"/>
  <c r="X369" i="2"/>
  <c r="X380" i="2"/>
  <c r="N368" i="2"/>
  <c r="X377" i="2"/>
  <c r="X374" i="2"/>
  <c r="X379" i="2"/>
  <c r="X365" i="2"/>
  <c r="Z377" i="2"/>
  <c r="N367" i="2"/>
  <c r="X372" i="2"/>
  <c r="N363" i="2"/>
  <c r="AA372" i="2"/>
  <c r="AA378" i="2"/>
  <c r="X366" i="2"/>
  <c r="X381" i="2"/>
  <c r="X363" i="2"/>
  <c r="X376" i="2"/>
  <c r="J375" i="2"/>
  <c r="J367" i="2"/>
  <c r="W366" i="2"/>
  <c r="H375" i="2"/>
  <c r="J380" i="2"/>
  <c r="J369" i="2"/>
  <c r="J382" i="2"/>
  <c r="Y374" i="2"/>
  <c r="Y380" i="2"/>
  <c r="Y367" i="2"/>
  <c r="Y366" i="2"/>
  <c r="J381" i="2"/>
  <c r="H365" i="2"/>
  <c r="Y368" i="2"/>
  <c r="Y382" i="2"/>
  <c r="W372" i="2"/>
  <c r="M374" i="2"/>
  <c r="M376" i="2"/>
  <c r="G382" i="2"/>
  <c r="O369" i="2"/>
  <c r="R379" i="2"/>
  <c r="R366" i="2"/>
  <c r="M382" i="2"/>
  <c r="M365" i="2"/>
  <c r="J366" i="2"/>
  <c r="J376" i="2"/>
  <c r="W391" i="2"/>
  <c r="W369" i="2"/>
  <c r="W378" i="2"/>
  <c r="Y365" i="2"/>
  <c r="H381" i="2"/>
  <c r="J372" i="2"/>
  <c r="J368" i="2"/>
  <c r="Y381" i="2"/>
  <c r="Y376" i="2"/>
  <c r="M379" i="2"/>
  <c r="M375" i="2"/>
  <c r="M368" i="2"/>
  <c r="M372" i="2"/>
  <c r="G375" i="2"/>
  <c r="M369" i="2"/>
  <c r="AF378" i="2"/>
  <c r="J363" i="2"/>
  <c r="J374" i="2"/>
  <c r="J378" i="2"/>
  <c r="J365" i="2"/>
  <c r="J377" i="2"/>
  <c r="J391" i="2"/>
  <c r="W363" i="2"/>
  <c r="W379" i="2"/>
  <c r="W377" i="2"/>
  <c r="Y363" i="2"/>
  <c r="W367" i="2"/>
  <c r="J379" i="2"/>
  <c r="H379" i="2"/>
  <c r="Y377" i="2"/>
  <c r="W380" i="2"/>
  <c r="Y391" i="2"/>
  <c r="W365" i="2"/>
  <c r="W368" i="2"/>
  <c r="W381" i="2"/>
  <c r="Y375" i="2"/>
  <c r="Y369" i="2"/>
  <c r="Y379" i="2"/>
  <c r="Y378" i="2"/>
  <c r="M381" i="2"/>
  <c r="O380" i="2"/>
  <c r="R369" i="2"/>
  <c r="R365" i="2"/>
  <c r="M366" i="2"/>
  <c r="AF367" i="2"/>
  <c r="AF363" i="2"/>
  <c r="AB381" i="2"/>
  <c r="O391" i="2"/>
  <c r="M391" i="2"/>
  <c r="M378" i="2"/>
  <c r="M367" i="2"/>
  <c r="O366" i="2"/>
  <c r="M363" i="2"/>
  <c r="M380" i="2"/>
  <c r="AF369" i="2"/>
  <c r="AF376" i="2"/>
  <c r="AD363" i="2"/>
  <c r="AD382" i="2"/>
  <c r="Q377" i="2"/>
  <c r="AB379" i="2"/>
  <c r="AC391" i="2"/>
  <c r="AB374" i="2"/>
  <c r="AB366" i="2"/>
  <c r="AD379" i="2"/>
  <c r="AC376" i="2"/>
  <c r="Q365" i="2"/>
  <c r="K366" i="2"/>
  <c r="Q378" i="2"/>
  <c r="K379" i="2"/>
  <c r="AC368" i="2"/>
  <c r="AD377" i="2"/>
  <c r="AD381" i="2"/>
  <c r="L380" i="2"/>
  <c r="H391" i="2"/>
  <c r="H376" i="2"/>
  <c r="G379" i="2"/>
  <c r="L363" i="2"/>
  <c r="G366" i="2"/>
  <c r="G391" i="2"/>
  <c r="L381" i="2"/>
  <c r="O375" i="2"/>
  <c r="L376" i="2"/>
  <c r="O382" i="2"/>
  <c r="O368" i="2"/>
  <c r="R372" i="2"/>
  <c r="O365" i="2"/>
  <c r="L368" i="2"/>
  <c r="L369" i="2"/>
  <c r="H363" i="2"/>
  <c r="G377" i="2"/>
  <c r="AF372" i="2"/>
  <c r="AF365" i="2"/>
  <c r="AC367" i="2"/>
  <c r="AE380" i="2"/>
  <c r="AF375" i="2"/>
  <c r="AC382" i="2"/>
  <c r="AC365" i="2"/>
  <c r="AC363" i="2"/>
  <c r="AC381" i="2"/>
  <c r="AF380" i="2"/>
  <c r="T375" i="2"/>
  <c r="U375" i="2"/>
  <c r="AE369" i="2"/>
  <c r="AF391" i="2"/>
  <c r="AF374" i="2"/>
  <c r="AF377" i="2"/>
  <c r="AC378" i="2"/>
  <c r="L365" i="2"/>
  <c r="O372" i="2"/>
  <c r="R378" i="2"/>
  <c r="O363" i="2"/>
  <c r="H378" i="2"/>
  <c r="H367" i="2"/>
  <c r="H366" i="2"/>
  <c r="G380" i="2"/>
  <c r="O378" i="2"/>
  <c r="G378" i="2"/>
  <c r="O381" i="2"/>
  <c r="G369" i="2"/>
  <c r="G368" i="2"/>
  <c r="G374" i="2"/>
  <c r="L367" i="2"/>
  <c r="G367" i="2"/>
  <c r="L372" i="2"/>
  <c r="H369" i="2"/>
  <c r="G363" i="2"/>
  <c r="L377" i="2"/>
  <c r="T365" i="2"/>
  <c r="AF382" i="2"/>
  <c r="T368" i="2"/>
  <c r="AE366" i="2"/>
  <c r="AE376" i="2"/>
  <c r="T366" i="2"/>
  <c r="AE367" i="2"/>
  <c r="AE379" i="2"/>
  <c r="V391" i="2"/>
  <c r="AF379" i="2"/>
  <c r="U377" i="2"/>
  <c r="V378" i="2"/>
  <c r="H377" i="2"/>
  <c r="R391" i="2"/>
  <c r="O376" i="2"/>
  <c r="L379" i="2"/>
  <c r="R380" i="2"/>
  <c r="R367" i="2"/>
  <c r="O379" i="2"/>
  <c r="H382" i="2"/>
  <c r="H368" i="2"/>
  <c r="R375" i="2"/>
  <c r="O367" i="2"/>
  <c r="R368" i="2"/>
  <c r="H372" i="2"/>
  <c r="R376" i="2"/>
  <c r="R381" i="2"/>
  <c r="K374" i="2"/>
  <c r="O374" i="2"/>
  <c r="R382" i="2"/>
  <c r="H380" i="2"/>
  <c r="K376" i="2"/>
  <c r="L382" i="2"/>
  <c r="R377" i="2"/>
  <c r="R374" i="2"/>
  <c r="G372" i="2"/>
  <c r="H374" i="2"/>
  <c r="R363" i="2"/>
  <c r="R513" i="2" s="1"/>
  <c r="G365" i="2"/>
  <c r="G381" i="2"/>
  <c r="G376" i="2"/>
  <c r="O377" i="2"/>
  <c r="T377" i="2"/>
  <c r="AC366" i="2"/>
  <c r="AC369" i="2"/>
  <c r="AF368" i="2"/>
  <c r="T369" i="2"/>
  <c r="AC374" i="2"/>
  <c r="T372" i="2"/>
  <c r="U376" i="2"/>
  <c r="AC377" i="2"/>
  <c r="AC375" i="2"/>
  <c r="AF366" i="2"/>
  <c r="AC379" i="2"/>
  <c r="S366" i="2"/>
  <c r="P374" i="2"/>
  <c r="I382" i="2"/>
  <c r="S365" i="2"/>
  <c r="AD328" i="2"/>
  <c r="AD380" i="2"/>
  <c r="AD365" i="2"/>
  <c r="AD376" i="2"/>
  <c r="AD369" i="2"/>
  <c r="AD368" i="2"/>
  <c r="AD366" i="2"/>
  <c r="AD375" i="2"/>
  <c r="AD367" i="2"/>
  <c r="AD378" i="2"/>
  <c r="AD374" i="2"/>
  <c r="AD391" i="2"/>
  <c r="AB328" i="2"/>
  <c r="AB363" i="2"/>
  <c r="AB375" i="2"/>
  <c r="AB377" i="2"/>
  <c r="AB369" i="2"/>
  <c r="AB376" i="2"/>
  <c r="AB378" i="2"/>
  <c r="AB391" i="2"/>
  <c r="AB382" i="2"/>
  <c r="AB380" i="2"/>
  <c r="AB368" i="2"/>
  <c r="AB372" i="2"/>
  <c r="AB365" i="2"/>
  <c r="Q328" i="2"/>
  <c r="Q369" i="2"/>
  <c r="Q363" i="2"/>
  <c r="Q374" i="2"/>
  <c r="Q380" i="2"/>
  <c r="Q375" i="2"/>
  <c r="Q368" i="2"/>
  <c r="Q376" i="2"/>
  <c r="Q391" i="2"/>
  <c r="Q382" i="2"/>
  <c r="Q372" i="2"/>
  <c r="Q367" i="2"/>
  <c r="Q366" i="2"/>
  <c r="Q381" i="2"/>
  <c r="P381" i="2"/>
  <c r="E330" i="2"/>
  <c r="E389" i="2"/>
  <c r="E393" i="2" s="1"/>
  <c r="N381" i="2"/>
  <c r="N365" i="2"/>
  <c r="N376" i="2"/>
  <c r="N374" i="2"/>
  <c r="N375" i="2"/>
  <c r="N378" i="2"/>
  <c r="N380" i="2"/>
  <c r="N391" i="2"/>
  <c r="N366" i="2"/>
  <c r="N379" i="2"/>
  <c r="N369" i="2"/>
  <c r="N377" i="2"/>
  <c r="N382" i="2"/>
  <c r="AA328" i="2"/>
  <c r="AA369" i="2"/>
  <c r="AA381" i="2"/>
  <c r="AA368" i="2"/>
  <c r="AA382" i="2"/>
  <c r="AA365" i="2"/>
  <c r="AA376" i="2"/>
  <c r="AA379" i="2"/>
  <c r="AA374" i="2"/>
  <c r="AA366" i="2"/>
  <c r="AA375" i="2"/>
  <c r="AA367" i="2"/>
  <c r="AA380" i="2"/>
  <c r="AA363" i="2"/>
  <c r="AA391" i="2"/>
  <c r="Z328" i="2"/>
  <c r="Z375" i="2"/>
  <c r="Z363" i="2"/>
  <c r="Z391" i="2"/>
  <c r="Z378" i="2"/>
  <c r="Z372" i="2"/>
  <c r="Z374" i="2"/>
  <c r="Z368" i="2"/>
  <c r="Z379" i="2"/>
  <c r="Z369" i="2"/>
  <c r="Z365" i="2"/>
  <c r="Z366" i="2"/>
  <c r="Z367" i="2"/>
  <c r="Z382" i="2"/>
  <c r="Z380" i="2"/>
  <c r="Z381" i="2"/>
  <c r="I328" i="2"/>
  <c r="I378" i="2"/>
  <c r="I375" i="2"/>
  <c r="I391" i="2"/>
  <c r="I379" i="2"/>
  <c r="I365" i="2"/>
  <c r="I377" i="2"/>
  <c r="I368" i="2"/>
  <c r="I372" i="2"/>
  <c r="I369" i="2"/>
  <c r="I374" i="2"/>
  <c r="I376" i="2"/>
  <c r="I380" i="2"/>
  <c r="I367" i="2"/>
  <c r="S328" i="2"/>
  <c r="S377" i="2"/>
  <c r="S374" i="2"/>
  <c r="S363" i="2"/>
  <c r="S369" i="2"/>
  <c r="S368" i="2"/>
  <c r="S375" i="2"/>
  <c r="S372" i="2"/>
  <c r="S380" i="2"/>
  <c r="S379" i="2"/>
  <c r="S376" i="2"/>
  <c r="S391" i="2"/>
  <c r="S381" i="2"/>
  <c r="P328" i="2"/>
  <c r="P375" i="2"/>
  <c r="P376" i="2"/>
  <c r="P379" i="2"/>
  <c r="P363" i="2"/>
  <c r="P372" i="2"/>
  <c r="P391" i="2"/>
  <c r="P369" i="2"/>
  <c r="P377" i="2"/>
  <c r="P382" i="2"/>
  <c r="P380" i="2"/>
  <c r="L554" i="2"/>
  <c r="L527" i="2"/>
  <c r="P368" i="2"/>
  <c r="X624" i="2"/>
  <c r="X625" i="2" s="1"/>
  <c r="X554" i="2"/>
  <c r="W554" i="2"/>
  <c r="W624" i="2"/>
  <c r="W625" i="2" s="1"/>
  <c r="P366" i="2"/>
  <c r="I381" i="2"/>
  <c r="I366" i="2"/>
  <c r="P367" i="2"/>
  <c r="P378" i="2"/>
  <c r="S367" i="2"/>
  <c r="S382" i="2"/>
  <c r="K527" i="2"/>
  <c r="U554" i="2"/>
  <c r="U624" i="2"/>
  <c r="U625" i="2" s="1"/>
  <c r="T624" i="2"/>
  <c r="T625" i="2" s="1"/>
  <c r="T554" i="2"/>
  <c r="AG98" i="2"/>
  <c r="AH98" i="2" s="1"/>
  <c r="F117" i="2"/>
  <c r="K367" i="2"/>
  <c r="K368" i="2"/>
  <c r="K381" i="2"/>
  <c r="K380" i="2"/>
  <c r="K378" i="2"/>
  <c r="V369" i="2"/>
  <c r="AE363" i="2"/>
  <c r="U365" i="2"/>
  <c r="U378" i="2"/>
  <c r="V374" i="2"/>
  <c r="U382" i="2"/>
  <c r="T382" i="2"/>
  <c r="V375" i="2"/>
  <c r="V365" i="2"/>
  <c r="U391" i="2"/>
  <c r="V366" i="2"/>
  <c r="T367" i="2"/>
  <c r="AE391" i="2"/>
  <c r="AE381" i="2"/>
  <c r="O527" i="2"/>
  <c r="R554" i="2"/>
  <c r="R527" i="2"/>
  <c r="G527" i="2"/>
  <c r="Y624" i="2"/>
  <c r="Y625" i="2" s="1"/>
  <c r="Y554" i="2"/>
  <c r="J527" i="2"/>
  <c r="K382" i="2"/>
  <c r="AE365" i="2"/>
  <c r="AE368" i="2"/>
  <c r="V379" i="2"/>
  <c r="V372" i="2"/>
  <c r="AE382" i="2"/>
  <c r="V368" i="2"/>
  <c r="T374" i="2"/>
  <c r="T379" i="2"/>
  <c r="U379" i="2"/>
  <c r="V377" i="2"/>
  <c r="AE377" i="2"/>
  <c r="U374" i="2"/>
  <c r="X368" i="2"/>
  <c r="AC372" i="2"/>
  <c r="U369" i="2"/>
  <c r="W374" i="2"/>
  <c r="U380" i="2"/>
  <c r="V380" i="2"/>
  <c r="AE378" i="2"/>
  <c r="X375" i="2"/>
  <c r="T376" i="2"/>
  <c r="H527" i="2"/>
  <c r="AC554" i="2"/>
  <c r="AC624" i="2"/>
  <c r="AC625" i="2" s="1"/>
  <c r="V554" i="2"/>
  <c r="V624" i="2"/>
  <c r="V625" i="2" s="1"/>
  <c r="K377" i="2"/>
  <c r="K363" i="2"/>
  <c r="K369" i="2"/>
  <c r="I527" i="2"/>
  <c r="S554" i="2"/>
  <c r="P554" i="2"/>
  <c r="P527" i="2"/>
  <c r="F554" i="2"/>
  <c r="AG525" i="2"/>
  <c r="AH525" i="2" s="1"/>
  <c r="F527" i="2"/>
  <c r="K372" i="2"/>
  <c r="K391" i="2"/>
  <c r="L378" i="2"/>
  <c r="L375" i="2"/>
  <c r="K365" i="2"/>
  <c r="L366" i="2"/>
  <c r="L391" i="2"/>
  <c r="L374" i="2"/>
  <c r="K375" i="2"/>
  <c r="T380" i="2"/>
  <c r="V376" i="2"/>
  <c r="T381" i="2"/>
  <c r="U372" i="2"/>
  <c r="U367" i="2"/>
  <c r="U366" i="2"/>
  <c r="U381" i="2"/>
  <c r="V382" i="2"/>
  <c r="U363" i="2"/>
  <c r="V363" i="2"/>
  <c r="AC380" i="2"/>
  <c r="W375" i="2"/>
  <c r="U368" i="2"/>
  <c r="V367" i="2"/>
  <c r="T363" i="2"/>
  <c r="AE374" i="2"/>
  <c r="T378" i="2"/>
  <c r="W382" i="2"/>
  <c r="AE372" i="2"/>
  <c r="T391" i="2"/>
  <c r="V381" i="2"/>
  <c r="AE375" i="2"/>
  <c r="W376" i="2"/>
  <c r="AD554" i="2"/>
  <c r="AD624" i="2"/>
  <c r="AD625" i="2" s="1"/>
  <c r="AB624" i="2"/>
  <c r="AB625" i="2" s="1"/>
  <c r="AB554" i="2"/>
  <c r="Q554" i="2"/>
  <c r="Q527" i="2"/>
  <c r="N527" i="2"/>
  <c r="AA624" i="2"/>
  <c r="AA625" i="2" s="1"/>
  <c r="AA554" i="2"/>
  <c r="Z554" i="2"/>
  <c r="Z624" i="2"/>
  <c r="Z625" i="2" s="1"/>
  <c r="M527" i="2"/>
  <c r="S613" i="2"/>
  <c r="AG319" i="2"/>
  <c r="AH319" i="2" s="1"/>
  <c r="F324" i="2"/>
  <c r="N546" i="2" l="1"/>
  <c r="N545" i="2"/>
  <c r="L517" i="2"/>
  <c r="L516" i="2"/>
  <c r="M517" i="2"/>
  <c r="M516" i="2"/>
  <c r="O546" i="2"/>
  <c r="O545" i="2"/>
  <c r="K517" i="2"/>
  <c r="K516" i="2"/>
  <c r="J517" i="2"/>
  <c r="J516" i="2"/>
  <c r="O614" i="2"/>
  <c r="O651" i="2" s="1"/>
  <c r="F18" i="17" s="1"/>
  <c r="O588" i="2"/>
  <c r="I517" i="2"/>
  <c r="H516" i="2"/>
  <c r="G517" i="2"/>
  <c r="G516" i="2"/>
  <c r="H517" i="2"/>
  <c r="I516" i="2"/>
  <c r="K543" i="2"/>
  <c r="K563" i="2" s="1"/>
  <c r="J543" i="2"/>
  <c r="J563" i="2" s="1"/>
  <c r="H543" i="2"/>
  <c r="H563" i="2" s="1"/>
  <c r="G543" i="2"/>
  <c r="G563" i="2" s="1"/>
  <c r="I543" i="2"/>
  <c r="I563" i="2" s="1"/>
  <c r="L543" i="2"/>
  <c r="L563" i="2" s="1"/>
  <c r="AH362" i="2"/>
  <c r="N514" i="2"/>
  <c r="N543" i="2" s="1"/>
  <c r="N563" i="2" s="1"/>
  <c r="F371" i="2"/>
  <c r="AG371" i="2" s="1"/>
  <c r="AH371" i="2" s="1"/>
  <c r="F360" i="2"/>
  <c r="F514" i="2" s="1"/>
  <c r="Q514" i="2"/>
  <c r="Q543" i="2" s="1"/>
  <c r="Q563" i="2" s="1"/>
  <c r="Q614" i="2" s="1"/>
  <c r="L393" i="2"/>
  <c r="G16" i="4" s="1"/>
  <c r="U330" i="2"/>
  <c r="U573" i="2" s="1"/>
  <c r="U574" i="2" s="1"/>
  <c r="U393" i="2"/>
  <c r="P514" i="2"/>
  <c r="P543" i="2" s="1"/>
  <c r="P563" i="2" s="1"/>
  <c r="AC330" i="2"/>
  <c r="AC573" i="2" s="1"/>
  <c r="AC574" i="2" s="1"/>
  <c r="W330" i="2"/>
  <c r="W331" i="2" s="1"/>
  <c r="Y330" i="2"/>
  <c r="Y578" i="2" s="1"/>
  <c r="Y579" i="2" s="1"/>
  <c r="T393" i="2"/>
  <c r="V330" i="2"/>
  <c r="V573" i="2" s="1"/>
  <c r="V574" i="2" s="1"/>
  <c r="X330" i="2"/>
  <c r="X578" i="2" s="1"/>
  <c r="X579" i="2" s="1"/>
  <c r="R514" i="2"/>
  <c r="R543" i="2" s="1"/>
  <c r="R563" i="2" s="1"/>
  <c r="R614" i="2" s="1"/>
  <c r="F364" i="2"/>
  <c r="AG364" i="2" s="1"/>
  <c r="AH364" i="2" s="1"/>
  <c r="F370" i="2"/>
  <c r="AG370" i="2" s="1"/>
  <c r="AH370" i="2" s="1"/>
  <c r="R393" i="2"/>
  <c r="G22" i="4" s="1"/>
  <c r="T330" i="2"/>
  <c r="T578" i="2" s="1"/>
  <c r="T579" i="2" s="1"/>
  <c r="F118" i="2"/>
  <c r="AG118" i="2" s="1"/>
  <c r="AH118" i="2" s="1"/>
  <c r="F373" i="2"/>
  <c r="AG373" i="2" s="1"/>
  <c r="AH373" i="2" s="1"/>
  <c r="AE330" i="2"/>
  <c r="AE573" i="2" s="1"/>
  <c r="AE574" i="2" s="1"/>
  <c r="AF330" i="2"/>
  <c r="AF331" i="2" s="1"/>
  <c r="R330" i="2"/>
  <c r="I22" i="4" s="1"/>
  <c r="K330" i="2"/>
  <c r="K636" i="2" s="1"/>
  <c r="L330" i="2"/>
  <c r="L331" i="2" s="1"/>
  <c r="O393" i="2"/>
  <c r="G19" i="4" s="1"/>
  <c r="O330" i="2"/>
  <c r="O636" i="2" s="1"/>
  <c r="M389" i="2"/>
  <c r="M393" i="2" s="1"/>
  <c r="G17" i="4" s="1"/>
  <c r="H330" i="2"/>
  <c r="H636" i="2" s="1"/>
  <c r="G330" i="2"/>
  <c r="G636" i="2" s="1"/>
  <c r="J330" i="2"/>
  <c r="J331" i="2" s="1"/>
  <c r="J393" i="2"/>
  <c r="G14" i="4" s="1"/>
  <c r="K393" i="2"/>
  <c r="G15" i="4" s="1"/>
  <c r="Y385" i="2"/>
  <c r="Y387" i="2" s="1"/>
  <c r="Y395" i="2" s="1"/>
  <c r="J383" i="2"/>
  <c r="J385" i="2" s="1"/>
  <c r="J387" i="2" s="1"/>
  <c r="M383" i="2"/>
  <c r="M385" i="2" s="1"/>
  <c r="M387" i="2" s="1"/>
  <c r="X385" i="2"/>
  <c r="X387" i="2" s="1"/>
  <c r="X395" i="2" s="1"/>
  <c r="G393" i="2"/>
  <c r="G11" i="4" s="1"/>
  <c r="H393" i="2"/>
  <c r="G12" i="4" s="1"/>
  <c r="AF385" i="2"/>
  <c r="AF387" i="2" s="1"/>
  <c r="AF395" i="2" s="1"/>
  <c r="G383" i="2"/>
  <c r="G385" i="2" s="1"/>
  <c r="E11" i="4" s="1"/>
  <c r="F11" i="4" s="1"/>
  <c r="R383" i="2"/>
  <c r="R385" i="2" s="1"/>
  <c r="E22" i="4" s="1"/>
  <c r="F22" i="4" s="1"/>
  <c r="O383" i="2"/>
  <c r="O385" i="2" s="1"/>
  <c r="E19" i="4" s="1"/>
  <c r="F19" i="4" s="1"/>
  <c r="AD385" i="2"/>
  <c r="AD387" i="2" s="1"/>
  <c r="L383" i="2"/>
  <c r="L385" i="2" s="1"/>
  <c r="E16" i="4" s="1"/>
  <c r="F16" i="4" s="1"/>
  <c r="N383" i="2"/>
  <c r="N385" i="2" s="1"/>
  <c r="N387" i="2" s="1"/>
  <c r="H383" i="2"/>
  <c r="H385" i="2" s="1"/>
  <c r="I383" i="2"/>
  <c r="I385" i="2" s="1"/>
  <c r="E13" i="4" s="1"/>
  <c r="F13" i="4" s="1"/>
  <c r="I389" i="2"/>
  <c r="I393" i="2" s="1"/>
  <c r="G13" i="4" s="1"/>
  <c r="I330" i="2"/>
  <c r="T598" i="2"/>
  <c r="T599" i="2" s="1"/>
  <c r="V598" i="2"/>
  <c r="V599" i="2" s="1"/>
  <c r="X598" i="2"/>
  <c r="X599" i="2" s="1"/>
  <c r="AF598" i="2"/>
  <c r="AF599" i="2" s="1"/>
  <c r="E636" i="2"/>
  <c r="AB598" i="2"/>
  <c r="AB599" i="2" s="1"/>
  <c r="Y598" i="2"/>
  <c r="Y599" i="2" s="1"/>
  <c r="Z598" i="2"/>
  <c r="Z599" i="2" s="1"/>
  <c r="AD598" i="2"/>
  <c r="AD599" i="2" s="1"/>
  <c r="AC598" i="2"/>
  <c r="AC599" i="2" s="1"/>
  <c r="U598" i="2"/>
  <c r="U599" i="2" s="1"/>
  <c r="W598" i="2"/>
  <c r="W599" i="2" s="1"/>
  <c r="AE598" i="2"/>
  <c r="AE599" i="2" s="1"/>
  <c r="E331" i="2"/>
  <c r="AA598" i="2"/>
  <c r="AA599" i="2" s="1"/>
  <c r="R542" i="2"/>
  <c r="R561" i="2" s="1"/>
  <c r="M331" i="2"/>
  <c r="AC385" i="2"/>
  <c r="AC387" i="2" s="1"/>
  <c r="AC395" i="2" s="1"/>
  <c r="Z389" i="2"/>
  <c r="Z330" i="2"/>
  <c r="AA389" i="2"/>
  <c r="AA330" i="2"/>
  <c r="Q389" i="2"/>
  <c r="Q393" i="2" s="1"/>
  <c r="G21" i="4" s="1"/>
  <c r="Q330" i="2"/>
  <c r="AB385" i="2"/>
  <c r="AB387" i="2" s="1"/>
  <c r="T385" i="2"/>
  <c r="T387" i="2" s="1"/>
  <c r="T395" i="2" s="1"/>
  <c r="AE385" i="2"/>
  <c r="AE387" i="2" s="1"/>
  <c r="AE395" i="2" s="1"/>
  <c r="S389" i="2"/>
  <c r="S393" i="2" s="1"/>
  <c r="S330" i="2"/>
  <c r="S331" i="2" s="1"/>
  <c r="Z385" i="2"/>
  <c r="Z387" i="2" s="1"/>
  <c r="AB389" i="2"/>
  <c r="AB330" i="2"/>
  <c r="K383" i="2"/>
  <c r="K385" i="2" s="1"/>
  <c r="W385" i="2"/>
  <c r="W387" i="2" s="1"/>
  <c r="W395" i="2" s="1"/>
  <c r="P389" i="2"/>
  <c r="P393" i="2" s="1"/>
  <c r="G20" i="4" s="1"/>
  <c r="P330" i="2"/>
  <c r="P331" i="2" s="1"/>
  <c r="N393" i="2"/>
  <c r="G18" i="4" s="1"/>
  <c r="N330" i="2"/>
  <c r="N636" i="2" s="1"/>
  <c r="V385" i="2"/>
  <c r="V387" i="2" s="1"/>
  <c r="V395" i="2" s="1"/>
  <c r="U385" i="2"/>
  <c r="U387" i="2" s="1"/>
  <c r="U395" i="2" s="1"/>
  <c r="AG527" i="2"/>
  <c r="AH527" i="2" s="1"/>
  <c r="F375" i="2"/>
  <c r="AG375" i="2" s="1"/>
  <c r="AH375" i="2" s="1"/>
  <c r="F365" i="2"/>
  <c r="AG365" i="2" s="1"/>
  <c r="AH365" i="2" s="1"/>
  <c r="F367" i="2"/>
  <c r="AG367" i="2" s="1"/>
  <c r="AH367" i="2" s="1"/>
  <c r="F368" i="2"/>
  <c r="AG368" i="2" s="1"/>
  <c r="AH368" i="2" s="1"/>
  <c r="F378" i="2"/>
  <c r="AG378" i="2" s="1"/>
  <c r="AH378" i="2" s="1"/>
  <c r="F328" i="2"/>
  <c r="F369" i="2"/>
  <c r="AG369" i="2" s="1"/>
  <c r="AH369" i="2" s="1"/>
  <c r="F363" i="2"/>
  <c r="F379" i="2"/>
  <c r="AG379" i="2" s="1"/>
  <c r="AH379" i="2" s="1"/>
  <c r="F381" i="2"/>
  <c r="AG381" i="2" s="1"/>
  <c r="AH381" i="2" s="1"/>
  <c r="F391" i="2"/>
  <c r="AG391" i="2" s="1"/>
  <c r="AH391" i="2" s="1"/>
  <c r="F377" i="2"/>
  <c r="AG377" i="2" s="1"/>
  <c r="AH377" i="2" s="1"/>
  <c r="AG117" i="2"/>
  <c r="AH117" i="2" s="1"/>
  <c r="F374" i="2"/>
  <c r="AG374" i="2" s="1"/>
  <c r="AH374" i="2" s="1"/>
  <c r="F372" i="2"/>
  <c r="F376" i="2"/>
  <c r="AG376" i="2" s="1"/>
  <c r="AH376" i="2" s="1"/>
  <c r="F380" i="2"/>
  <c r="AG380" i="2" s="1"/>
  <c r="AH380" i="2" s="1"/>
  <c r="F366" i="2"/>
  <c r="AG366" i="2" s="1"/>
  <c r="AH366" i="2" s="1"/>
  <c r="F382" i="2"/>
  <c r="AG382" i="2" s="1"/>
  <c r="AH382" i="2" s="1"/>
  <c r="P383" i="2"/>
  <c r="P385" i="2" s="1"/>
  <c r="P513" i="2"/>
  <c r="S385" i="2"/>
  <c r="S387" i="2" s="1"/>
  <c r="AA385" i="2"/>
  <c r="AA387" i="2" s="1"/>
  <c r="S642" i="2"/>
  <c r="E395" i="2"/>
  <c r="Q513" i="2"/>
  <c r="Q383" i="2"/>
  <c r="Q385" i="2" s="1"/>
  <c r="AD389" i="2"/>
  <c r="AD330" i="2"/>
  <c r="F355" i="2"/>
  <c r="AG324" i="2"/>
  <c r="AH324" i="2" s="1"/>
  <c r="F326" i="2"/>
  <c r="J545" i="2" l="1"/>
  <c r="J597" i="2" s="1"/>
  <c r="I546" i="2"/>
  <c r="I577" i="2" s="1"/>
  <c r="I545" i="2"/>
  <c r="I572" i="2" s="1"/>
  <c r="H546" i="2"/>
  <c r="H577" i="2" s="1"/>
  <c r="J546" i="2"/>
  <c r="J577" i="2" s="1"/>
  <c r="L546" i="2"/>
  <c r="L602" i="2" s="1"/>
  <c r="L628" i="2" s="1"/>
  <c r="G546" i="2"/>
  <c r="G602" i="2" s="1"/>
  <c r="G628" i="2" s="1"/>
  <c r="K545" i="2"/>
  <c r="K572" i="2" s="1"/>
  <c r="H545" i="2"/>
  <c r="H597" i="2" s="1"/>
  <c r="K546" i="2"/>
  <c r="K577" i="2" s="1"/>
  <c r="O602" i="2"/>
  <c r="O628" i="2" s="1"/>
  <c r="O630" i="2" s="1"/>
  <c r="O650" i="2" s="1"/>
  <c r="E18" i="17" s="1"/>
  <c r="O577" i="2"/>
  <c r="N602" i="2"/>
  <c r="N628" i="2" s="1"/>
  <c r="N630" i="2" s="1"/>
  <c r="N650" i="2" s="1"/>
  <c r="E17" i="17" s="1"/>
  <c r="N577" i="2"/>
  <c r="M11" i="4"/>
  <c r="M16" i="4"/>
  <c r="O593" i="2"/>
  <c r="O594" i="2" s="1"/>
  <c r="N593" i="2"/>
  <c r="N594" i="2" s="1"/>
  <c r="N603" i="2"/>
  <c r="O603" i="2"/>
  <c r="N587" i="2"/>
  <c r="O587" i="2"/>
  <c r="N589" i="2"/>
  <c r="O589" i="2"/>
  <c r="O645" i="2" s="1"/>
  <c r="N598" i="2"/>
  <c r="O598" i="2"/>
  <c r="N572" i="2"/>
  <c r="N597" i="2"/>
  <c r="O572" i="2"/>
  <c r="O597" i="2"/>
  <c r="N588" i="2"/>
  <c r="N614" i="2"/>
  <c r="N651" i="2" s="1"/>
  <c r="F17" i="17" s="1"/>
  <c r="F517" i="2"/>
  <c r="F516" i="2"/>
  <c r="R518" i="2"/>
  <c r="J614" i="2"/>
  <c r="J588" i="2"/>
  <c r="L614" i="2"/>
  <c r="L588" i="2"/>
  <c r="H588" i="2"/>
  <c r="H614" i="2"/>
  <c r="K614" i="2"/>
  <c r="K588" i="2"/>
  <c r="G614" i="2"/>
  <c r="G588" i="2"/>
  <c r="I614" i="2"/>
  <c r="I588" i="2"/>
  <c r="AG361" i="2"/>
  <c r="AH361" i="2" s="1"/>
  <c r="AG514" i="2"/>
  <c r="AG360" i="2"/>
  <c r="AH360" i="2" s="1"/>
  <c r="K593" i="2"/>
  <c r="K594" i="2" s="1"/>
  <c r="I593" i="2"/>
  <c r="I594" i="2" s="1"/>
  <c r="H593" i="2"/>
  <c r="H594" i="2" s="1"/>
  <c r="G593" i="2"/>
  <c r="G594" i="2" s="1"/>
  <c r="J593" i="2"/>
  <c r="J594" i="2" s="1"/>
  <c r="K603" i="2"/>
  <c r="J603" i="2"/>
  <c r="G603" i="2"/>
  <c r="H603" i="2"/>
  <c r="I603" i="2"/>
  <c r="H587" i="2"/>
  <c r="I587" i="2"/>
  <c r="K587" i="2"/>
  <c r="J587" i="2"/>
  <c r="G587" i="2"/>
  <c r="K589" i="2"/>
  <c r="G589" i="2"/>
  <c r="H589" i="2"/>
  <c r="I589" i="2"/>
  <c r="J589" i="2"/>
  <c r="I598" i="2"/>
  <c r="J598" i="2"/>
  <c r="G598" i="2"/>
  <c r="H598" i="2"/>
  <c r="K598" i="2"/>
  <c r="L545" i="2"/>
  <c r="L597" i="2" s="1"/>
  <c r="L623" i="2" s="1"/>
  <c r="G518" i="2"/>
  <c r="G545" i="2"/>
  <c r="T573" i="2"/>
  <c r="T574" i="2" s="1"/>
  <c r="W578" i="2"/>
  <c r="W579" i="2" s="1"/>
  <c r="L587" i="2"/>
  <c r="L589" i="2"/>
  <c r="L598" i="2"/>
  <c r="Q588" i="2"/>
  <c r="R588" i="2"/>
  <c r="H16" i="4"/>
  <c r="U578" i="2"/>
  <c r="U579" i="2" s="1"/>
  <c r="V578" i="2"/>
  <c r="V579" i="2" s="1"/>
  <c r="U331" i="2"/>
  <c r="W573" i="2"/>
  <c r="W574" i="2" s="1"/>
  <c r="AC331" i="2"/>
  <c r="AC578" i="2"/>
  <c r="AC579" i="2" s="1"/>
  <c r="V331" i="2"/>
  <c r="Y573" i="2"/>
  <c r="Y574" i="2" s="1"/>
  <c r="T331" i="2"/>
  <c r="Y331" i="2"/>
  <c r="X331" i="2"/>
  <c r="X573" i="2"/>
  <c r="X574" i="2" s="1"/>
  <c r="O331" i="2"/>
  <c r="R331" i="2"/>
  <c r="AE331" i="2"/>
  <c r="AE578" i="2"/>
  <c r="AE579" i="2" s="1"/>
  <c r="L636" i="2"/>
  <c r="K331" i="2"/>
  <c r="H331" i="2"/>
  <c r="G331" i="2"/>
  <c r="J636" i="2"/>
  <c r="J395" i="2"/>
  <c r="L518" i="2"/>
  <c r="J518" i="2"/>
  <c r="E17" i="4"/>
  <c r="F17" i="4" s="1"/>
  <c r="H17" i="4" s="1"/>
  <c r="L17" i="4" s="1"/>
  <c r="H22" i="4"/>
  <c r="M395" i="2"/>
  <c r="M396" i="2" s="1"/>
  <c r="E14" i="4"/>
  <c r="F14" i="4" s="1"/>
  <c r="H14" i="4" s="1"/>
  <c r="M518" i="2"/>
  <c r="L387" i="2"/>
  <c r="L395" i="2" s="1"/>
  <c r="L562" i="2" s="1"/>
  <c r="N518" i="2"/>
  <c r="G387" i="2"/>
  <c r="G395" i="2" s="1"/>
  <c r="AA395" i="2"/>
  <c r="AA396" i="2" s="1"/>
  <c r="H518" i="2"/>
  <c r="S395" i="2"/>
  <c r="S573" i="2" s="1"/>
  <c r="E18" i="4"/>
  <c r="F18" i="4" s="1"/>
  <c r="O518" i="2"/>
  <c r="H11" i="4"/>
  <c r="O387" i="2"/>
  <c r="O395" i="2" s="1"/>
  <c r="H13" i="4"/>
  <c r="L13" i="4" s="1"/>
  <c r="I387" i="2"/>
  <c r="I395" i="2" s="1"/>
  <c r="AD395" i="2"/>
  <c r="AD396" i="2" s="1"/>
  <c r="R387" i="2"/>
  <c r="R395" i="2" s="1"/>
  <c r="R578" i="2" s="1"/>
  <c r="R579" i="2" s="1"/>
  <c r="R638" i="2" s="1"/>
  <c r="N395" i="2"/>
  <c r="AB395" i="2"/>
  <c r="AB396" i="2" s="1"/>
  <c r="H387" i="2"/>
  <c r="H395" i="2" s="1"/>
  <c r="E12" i="4"/>
  <c r="W396" i="2"/>
  <c r="AG372" i="2"/>
  <c r="AH372" i="2" s="1"/>
  <c r="AG363" i="2"/>
  <c r="AH363" i="2" s="1"/>
  <c r="F383" i="2"/>
  <c r="AG383" i="2" s="1"/>
  <c r="AH383" i="2" s="1"/>
  <c r="AB573" i="2"/>
  <c r="AB574" i="2" s="1"/>
  <c r="AB331" i="2"/>
  <c r="AB578" i="2"/>
  <c r="AB579" i="2" s="1"/>
  <c r="T396" i="2"/>
  <c r="I518" i="2"/>
  <c r="I21" i="4"/>
  <c r="Q331" i="2"/>
  <c r="AA331" i="2"/>
  <c r="AA573" i="2"/>
  <c r="AA574" i="2" s="1"/>
  <c r="AA578" i="2"/>
  <c r="AA579" i="2" s="1"/>
  <c r="I636" i="2"/>
  <c r="I331" i="2"/>
  <c r="AD331" i="2"/>
  <c r="AD578" i="2"/>
  <c r="AD579" i="2" s="1"/>
  <c r="AD573" i="2"/>
  <c r="AD574" i="2" s="1"/>
  <c r="Y396" i="2"/>
  <c r="C583" i="2"/>
  <c r="R593" i="2"/>
  <c r="R594" i="2" s="1"/>
  <c r="F593" i="2"/>
  <c r="F594" i="2" s="1"/>
  <c r="Z603" i="2"/>
  <c r="Z604" i="2" s="1"/>
  <c r="AF603" i="2"/>
  <c r="AF604" i="2" s="1"/>
  <c r="AD603" i="2"/>
  <c r="AD604" i="2" s="1"/>
  <c r="W603" i="2"/>
  <c r="W604" i="2" s="1"/>
  <c r="R598" i="2"/>
  <c r="R599" i="2" s="1"/>
  <c r="Q587" i="2"/>
  <c r="F587" i="2"/>
  <c r="L593" i="2"/>
  <c r="L594" i="2" s="1"/>
  <c r="E642" i="2"/>
  <c r="P593" i="2"/>
  <c r="P594" i="2" s="1"/>
  <c r="F603" i="2"/>
  <c r="Y603" i="2"/>
  <c r="Y604" i="2" s="1"/>
  <c r="S603" i="2"/>
  <c r="S604" i="2" s="1"/>
  <c r="S644" i="2" s="1"/>
  <c r="R603" i="2"/>
  <c r="R604" i="2" s="1"/>
  <c r="R644" i="2" s="1"/>
  <c r="Q603" i="2"/>
  <c r="Q604" i="2" s="1"/>
  <c r="Q644" i="2" s="1"/>
  <c r="S598" i="2"/>
  <c r="Q589" i="2"/>
  <c r="F589" i="2"/>
  <c r="E396" i="2"/>
  <c r="Q593" i="2"/>
  <c r="Q594" i="2" s="1"/>
  <c r="V603" i="2"/>
  <c r="V604" i="2" s="1"/>
  <c r="U603" i="2"/>
  <c r="U604" i="2" s="1"/>
  <c r="X603" i="2"/>
  <c r="X604" i="2" s="1"/>
  <c r="Q598" i="2"/>
  <c r="Q599" i="2" s="1"/>
  <c r="R587" i="2"/>
  <c r="AE603" i="2"/>
  <c r="AE604" i="2" s="1"/>
  <c r="AB603" i="2"/>
  <c r="AB604" i="2" s="1"/>
  <c r="T603" i="2"/>
  <c r="T604" i="2" s="1"/>
  <c r="AA603" i="2"/>
  <c r="AA604" i="2" s="1"/>
  <c r="F598" i="2"/>
  <c r="P587" i="2"/>
  <c r="R589" i="2"/>
  <c r="L603" i="2"/>
  <c r="P603" i="2"/>
  <c r="P604" i="2" s="1"/>
  <c r="P644" i="2" s="1"/>
  <c r="AC603" i="2"/>
  <c r="AC604" i="2" s="1"/>
  <c r="P589" i="2"/>
  <c r="P598" i="2"/>
  <c r="P599" i="2" s="1"/>
  <c r="P588" i="2"/>
  <c r="P614" i="2"/>
  <c r="X396" i="2"/>
  <c r="U396" i="2"/>
  <c r="N331" i="2"/>
  <c r="E15" i="4"/>
  <c r="F15" i="4" s="1"/>
  <c r="H15" i="4" s="1"/>
  <c r="L15" i="4" s="1"/>
  <c r="K387" i="2"/>
  <c r="K395" i="2" s="1"/>
  <c r="AE396" i="2"/>
  <c r="K518" i="2"/>
  <c r="AF396" i="2"/>
  <c r="E21" i="4"/>
  <c r="F21" i="4" s="1"/>
  <c r="Q387" i="2"/>
  <c r="Q395" i="2" s="1"/>
  <c r="P542" i="2"/>
  <c r="P561" i="2" s="1"/>
  <c r="P518" i="2"/>
  <c r="AG513" i="2"/>
  <c r="Q518" i="2"/>
  <c r="Q542" i="2"/>
  <c r="Q561" i="2" s="1"/>
  <c r="P387" i="2"/>
  <c r="P395" i="2" s="1"/>
  <c r="E20" i="4"/>
  <c r="F20" i="4" s="1"/>
  <c r="AG328" i="2"/>
  <c r="AH328" i="2" s="1"/>
  <c r="F389" i="2"/>
  <c r="V396" i="2"/>
  <c r="Z395" i="2"/>
  <c r="Z396" i="2" s="1"/>
  <c r="Z331" i="2"/>
  <c r="Z573" i="2"/>
  <c r="Z574" i="2" s="1"/>
  <c r="Z578" i="2"/>
  <c r="Z579" i="2" s="1"/>
  <c r="AC396" i="2"/>
  <c r="R586" i="2"/>
  <c r="R612" i="2"/>
  <c r="AG355" i="2"/>
  <c r="AH355" i="2" s="1"/>
  <c r="F330" i="2"/>
  <c r="AG326" i="2"/>
  <c r="I602" i="2" l="1"/>
  <c r="I628" i="2" s="1"/>
  <c r="K597" i="2"/>
  <c r="K599" i="2" s="1"/>
  <c r="J602" i="2"/>
  <c r="J628" i="2" s="1"/>
  <c r="H602" i="2"/>
  <c r="H628" i="2" s="1"/>
  <c r="K602" i="2"/>
  <c r="K628" i="2" s="1"/>
  <c r="L604" i="2"/>
  <c r="L644" i="2" s="1"/>
  <c r="J572" i="2"/>
  <c r="J623" i="2" s="1"/>
  <c r="H572" i="2"/>
  <c r="H623" i="2" s="1"/>
  <c r="G577" i="2"/>
  <c r="I597" i="2"/>
  <c r="I623" i="2" s="1"/>
  <c r="L577" i="2"/>
  <c r="AG516" i="2"/>
  <c r="AI516" i="2" s="1"/>
  <c r="AG517" i="2"/>
  <c r="AI517" i="2" s="1"/>
  <c r="AH514" i="2"/>
  <c r="AI514" i="2"/>
  <c r="AH513" i="2"/>
  <c r="AI513" i="2"/>
  <c r="N604" i="2"/>
  <c r="N644" i="2" s="1"/>
  <c r="O604" i="2"/>
  <c r="O644" i="2" s="1"/>
  <c r="M14" i="4"/>
  <c r="O583" i="2"/>
  <c r="N583" i="2"/>
  <c r="N645" i="2"/>
  <c r="O642" i="2"/>
  <c r="N642" i="2"/>
  <c r="O558" i="2"/>
  <c r="O568" i="2"/>
  <c r="O569" i="2" s="1"/>
  <c r="O578" i="2"/>
  <c r="O579" i="2" s="1"/>
  <c r="O638" i="2" s="1"/>
  <c r="O562" i="2"/>
  <c r="O564" i="2"/>
  <c r="O639" i="2" s="1"/>
  <c r="O573" i="2"/>
  <c r="O574" i="2" s="1"/>
  <c r="O623" i="2"/>
  <c r="O625" i="2" s="1"/>
  <c r="O652" i="2" s="1"/>
  <c r="G18" i="17" s="1"/>
  <c r="O599" i="2"/>
  <c r="O646" i="2" s="1"/>
  <c r="N623" i="2"/>
  <c r="N625" i="2" s="1"/>
  <c r="N652" i="2" s="1"/>
  <c r="G17" i="17" s="1"/>
  <c r="N599" i="2"/>
  <c r="N646" i="2" s="1"/>
  <c r="N558" i="2"/>
  <c r="N568" i="2"/>
  <c r="N569" i="2" s="1"/>
  <c r="N578" i="2"/>
  <c r="N579" i="2" s="1"/>
  <c r="N638" i="2" s="1"/>
  <c r="N562" i="2"/>
  <c r="N564" i="2"/>
  <c r="N639" i="2" s="1"/>
  <c r="N573" i="2"/>
  <c r="N574" i="2" s="1"/>
  <c r="F543" i="2"/>
  <c r="F563" i="2" s="1"/>
  <c r="F614" i="2" s="1"/>
  <c r="I645" i="2"/>
  <c r="K645" i="2"/>
  <c r="L645" i="2"/>
  <c r="J645" i="2"/>
  <c r="G604" i="2"/>
  <c r="G644" i="2" s="1"/>
  <c r="F546" i="2"/>
  <c r="L572" i="2"/>
  <c r="J619" i="2"/>
  <c r="J620" i="2" s="1"/>
  <c r="I619" i="2"/>
  <c r="I620" i="2" s="1"/>
  <c r="G619" i="2"/>
  <c r="G620" i="2" s="1"/>
  <c r="K619" i="2"/>
  <c r="K620" i="2" s="1"/>
  <c r="H619" i="2"/>
  <c r="H620" i="2" s="1"/>
  <c r="H613" i="2"/>
  <c r="G613" i="2"/>
  <c r="J613" i="2"/>
  <c r="K613" i="2"/>
  <c r="I613" i="2"/>
  <c r="G615" i="2"/>
  <c r="H615" i="2"/>
  <c r="I615" i="2"/>
  <c r="I651" i="2" s="1"/>
  <c r="J615" i="2"/>
  <c r="K615" i="2"/>
  <c r="J599" i="2"/>
  <c r="J646" i="2" s="1"/>
  <c r="H599" i="2"/>
  <c r="H645" i="2" s="1"/>
  <c r="I558" i="2"/>
  <c r="I568" i="2"/>
  <c r="I569" i="2" s="1"/>
  <c r="I578" i="2"/>
  <c r="I579" i="2" s="1"/>
  <c r="I638" i="2" s="1"/>
  <c r="I562" i="2"/>
  <c r="I564" i="2"/>
  <c r="I639" i="2" s="1"/>
  <c r="I573" i="2"/>
  <c r="I574" i="2" s="1"/>
  <c r="L599" i="2"/>
  <c r="L646" i="2" s="1"/>
  <c r="J568" i="2"/>
  <c r="J569" i="2" s="1"/>
  <c r="J578" i="2"/>
  <c r="J579" i="2" s="1"/>
  <c r="J638" i="2" s="1"/>
  <c r="J562" i="2"/>
  <c r="J564" i="2"/>
  <c r="J639" i="2" s="1"/>
  <c r="J573" i="2"/>
  <c r="G572" i="2"/>
  <c r="G623" i="2" s="1"/>
  <c r="G597" i="2"/>
  <c r="G599" i="2" s="1"/>
  <c r="G645" i="2" s="1"/>
  <c r="K623" i="2"/>
  <c r="K568" i="2"/>
  <c r="K569" i="2" s="1"/>
  <c r="K578" i="2"/>
  <c r="K579" i="2" s="1"/>
  <c r="K638" i="2" s="1"/>
  <c r="K562" i="2"/>
  <c r="K564" i="2"/>
  <c r="K639" i="2" s="1"/>
  <c r="K573" i="2"/>
  <c r="K574" i="2" s="1"/>
  <c r="H568" i="2"/>
  <c r="H569" i="2" s="1"/>
  <c r="H578" i="2"/>
  <c r="H579" i="2" s="1"/>
  <c r="H638" i="2" s="1"/>
  <c r="H562" i="2"/>
  <c r="H564" i="2"/>
  <c r="H573" i="2"/>
  <c r="G568" i="2"/>
  <c r="G569" i="2" s="1"/>
  <c r="G578" i="2"/>
  <c r="G562" i="2"/>
  <c r="G564" i="2"/>
  <c r="G573" i="2"/>
  <c r="F12" i="4"/>
  <c r="M12" i="4" s="1"/>
  <c r="R645" i="2"/>
  <c r="L613" i="2"/>
  <c r="L615" i="2"/>
  <c r="L651" i="2" s="1"/>
  <c r="J558" i="2"/>
  <c r="J396" i="2"/>
  <c r="H20" i="4"/>
  <c r="H21" i="4"/>
  <c r="L573" i="2"/>
  <c r="R396" i="2"/>
  <c r="L564" i="2"/>
  <c r="L639" i="2" s="1"/>
  <c r="L558" i="2"/>
  <c r="R636" i="2"/>
  <c r="S396" i="2"/>
  <c r="L396" i="2"/>
  <c r="L568" i="2"/>
  <c r="L569" i="2" s="1"/>
  <c r="R558" i="2"/>
  <c r="L578" i="2"/>
  <c r="R562" i="2"/>
  <c r="G558" i="2"/>
  <c r="H558" i="2"/>
  <c r="S578" i="2"/>
  <c r="S579" i="2" s="1"/>
  <c r="R568" i="2"/>
  <c r="R569" i="2" s="1"/>
  <c r="R573" i="2"/>
  <c r="R574" i="2" s="1"/>
  <c r="R564" i="2"/>
  <c r="R639" i="2" s="1"/>
  <c r="G396" i="2"/>
  <c r="H396" i="2"/>
  <c r="O396" i="2"/>
  <c r="N396" i="2"/>
  <c r="F385" i="2"/>
  <c r="E10" i="4" s="1"/>
  <c r="R646" i="2"/>
  <c r="S599" i="2"/>
  <c r="S645" i="2"/>
  <c r="K583" i="2"/>
  <c r="R583" i="2"/>
  <c r="L583" i="2"/>
  <c r="P583" i="2"/>
  <c r="I583" i="2"/>
  <c r="J583" i="2"/>
  <c r="G583" i="2"/>
  <c r="Q583" i="2"/>
  <c r="H583" i="2"/>
  <c r="F583" i="2"/>
  <c r="L609" i="2"/>
  <c r="L624" i="2" s="1"/>
  <c r="L625" i="2" s="1"/>
  <c r="C609" i="2"/>
  <c r="J609" i="2"/>
  <c r="G609" i="2"/>
  <c r="L533" i="2"/>
  <c r="P533" i="2"/>
  <c r="F533" i="2"/>
  <c r="G533" i="2"/>
  <c r="E535" i="2"/>
  <c r="Q535" i="2"/>
  <c r="S534" i="2"/>
  <c r="R613" i="2"/>
  <c r="G531" i="2"/>
  <c r="F531" i="2"/>
  <c r="K532" i="2"/>
  <c r="R532" i="2"/>
  <c r="H532" i="2"/>
  <c r="Q532" i="2"/>
  <c r="H534" i="2"/>
  <c r="O531" i="2"/>
  <c r="L534" i="2"/>
  <c r="O535" i="2"/>
  <c r="I535" i="2"/>
  <c r="P609" i="2"/>
  <c r="I609" i="2"/>
  <c r="Q619" i="2"/>
  <c r="Q620" i="2" s="1"/>
  <c r="J533" i="2"/>
  <c r="N533" i="2"/>
  <c r="E533" i="2"/>
  <c r="S535" i="2"/>
  <c r="H531" i="2"/>
  <c r="I532" i="2"/>
  <c r="G532" i="2"/>
  <c r="F615" i="2"/>
  <c r="I534" i="2"/>
  <c r="J534" i="2"/>
  <c r="P531" i="2"/>
  <c r="G534" i="2"/>
  <c r="K535" i="2"/>
  <c r="H533" i="2"/>
  <c r="P534" i="2"/>
  <c r="J531" i="2"/>
  <c r="M534" i="2"/>
  <c r="M535" i="2"/>
  <c r="N535" i="2"/>
  <c r="F609" i="2"/>
  <c r="R609" i="2"/>
  <c r="F619" i="2"/>
  <c r="F620" i="2" s="1"/>
  <c r="R533" i="2"/>
  <c r="E531" i="2"/>
  <c r="R534" i="2"/>
  <c r="I531" i="2"/>
  <c r="P615" i="2"/>
  <c r="J532" i="2"/>
  <c r="N534" i="2"/>
  <c r="Q531" i="2"/>
  <c r="J535" i="2"/>
  <c r="K534" i="2"/>
  <c r="H609" i="2"/>
  <c r="Q609" i="2"/>
  <c r="P619" i="2"/>
  <c r="P620" i="2" s="1"/>
  <c r="Q533" i="2"/>
  <c r="M533" i="2"/>
  <c r="P535" i="2"/>
  <c r="F613" i="2"/>
  <c r="R615" i="2"/>
  <c r="R651" i="2" s="1"/>
  <c r="L532" i="2"/>
  <c r="O532" i="2"/>
  <c r="G535" i="2"/>
  <c r="R531" i="2"/>
  <c r="L531" i="2"/>
  <c r="F535" i="2"/>
  <c r="S609" i="2"/>
  <c r="K533" i="2"/>
  <c r="O533" i="2"/>
  <c r="Q534" i="2"/>
  <c r="Q613" i="2"/>
  <c r="P613" i="2"/>
  <c r="E532" i="2"/>
  <c r="Q615" i="2"/>
  <c r="M532" i="2"/>
  <c r="O534" i="2"/>
  <c r="L535" i="2"/>
  <c r="H535" i="2"/>
  <c r="F532" i="2"/>
  <c r="K609" i="2"/>
  <c r="E648" i="2"/>
  <c r="F648" i="2" s="1"/>
  <c r="G648" i="2" s="1"/>
  <c r="H648" i="2" s="1"/>
  <c r="I648" i="2" s="1"/>
  <c r="J648" i="2" s="1"/>
  <c r="K648" i="2" s="1"/>
  <c r="L648" i="2" s="1"/>
  <c r="P648" i="2" s="1"/>
  <c r="Q648" i="2" s="1"/>
  <c r="R648" i="2" s="1"/>
  <c r="R619" i="2"/>
  <c r="R620" i="2" s="1"/>
  <c r="L619" i="2"/>
  <c r="L620" i="2" s="1"/>
  <c r="I533" i="2"/>
  <c r="E534" i="2"/>
  <c r="R535" i="2"/>
  <c r="K531" i="2"/>
  <c r="N532" i="2"/>
  <c r="P532" i="2"/>
  <c r="N531" i="2"/>
  <c r="M531" i="2"/>
  <c r="Q636" i="2"/>
  <c r="Q562" i="2"/>
  <c r="Q568" i="2"/>
  <c r="Q569" i="2" s="1"/>
  <c r="Q564" i="2"/>
  <c r="Q573" i="2"/>
  <c r="Q574" i="2" s="1"/>
  <c r="Q396" i="2"/>
  <c r="Q558" i="2"/>
  <c r="Q578" i="2"/>
  <c r="Q579" i="2" s="1"/>
  <c r="Q638" i="2" s="1"/>
  <c r="F518" i="2"/>
  <c r="F534" i="2"/>
  <c r="F545" i="2"/>
  <c r="S574" i="2"/>
  <c r="S639" i="2" s="1"/>
  <c r="P586" i="2"/>
  <c r="P645" i="2" s="1"/>
  <c r="P612" i="2"/>
  <c r="P636" i="2"/>
  <c r="P573" i="2"/>
  <c r="P574" i="2" s="1"/>
  <c r="P564" i="2"/>
  <c r="P562" i="2"/>
  <c r="P396" i="2"/>
  <c r="P558" i="2"/>
  <c r="P578" i="2"/>
  <c r="P579" i="2" s="1"/>
  <c r="P638" i="2" s="1"/>
  <c r="P568" i="2"/>
  <c r="P569" i="2" s="1"/>
  <c r="K558" i="2"/>
  <c r="K396" i="2"/>
  <c r="Q612" i="2"/>
  <c r="Q586" i="2"/>
  <c r="Q645" i="2" s="1"/>
  <c r="I396" i="2"/>
  <c r="AG389" i="2"/>
  <c r="AH389" i="2" s="1"/>
  <c r="F393" i="2"/>
  <c r="J642" i="2"/>
  <c r="F642" i="2"/>
  <c r="H642" i="2"/>
  <c r="L642" i="2"/>
  <c r="I642" i="2"/>
  <c r="K642" i="2"/>
  <c r="G642" i="2"/>
  <c r="F331" i="2"/>
  <c r="F636" i="2"/>
  <c r="AG330" i="2"/>
  <c r="AH330" i="2" s="1"/>
  <c r="AH326" i="2"/>
  <c r="I604" i="2" l="1"/>
  <c r="I644" i="2" s="1"/>
  <c r="J574" i="2"/>
  <c r="J640" i="2" s="1"/>
  <c r="H574" i="2"/>
  <c r="H639" i="2" s="1"/>
  <c r="G579" i="2"/>
  <c r="G638" i="2" s="1"/>
  <c r="I599" i="2"/>
  <c r="L579" i="2"/>
  <c r="L638" i="2" s="1"/>
  <c r="J604" i="2"/>
  <c r="J644" i="2" s="1"/>
  <c r="H604" i="2"/>
  <c r="H644" i="2" s="1"/>
  <c r="K604" i="2"/>
  <c r="K644" i="2" s="1"/>
  <c r="AH517" i="2"/>
  <c r="AH516" i="2"/>
  <c r="N640" i="2"/>
  <c r="O640" i="2"/>
  <c r="F15" i="17"/>
  <c r="F588" i="2"/>
  <c r="AG518" i="2"/>
  <c r="F577" i="2"/>
  <c r="F602" i="2"/>
  <c r="L574" i="2"/>
  <c r="L640" i="2" s="1"/>
  <c r="J629" i="2"/>
  <c r="J630" i="2" s="1"/>
  <c r="J650" i="2" s="1"/>
  <c r="E13" i="17" s="1"/>
  <c r="J624" i="2"/>
  <c r="J625" i="2" s="1"/>
  <c r="J651" i="2" s="1"/>
  <c r="F13" i="17" s="1"/>
  <c r="K629" i="2"/>
  <c r="K630" i="2" s="1"/>
  <c r="K650" i="2" s="1"/>
  <c r="E14" i="17" s="1"/>
  <c r="K624" i="2"/>
  <c r="K625" i="2" s="1"/>
  <c r="K651" i="2" s="1"/>
  <c r="F14" i="17" s="1"/>
  <c r="H629" i="2"/>
  <c r="H630" i="2" s="1"/>
  <c r="H650" i="2" s="1"/>
  <c r="E11" i="17" s="1"/>
  <c r="H624" i="2"/>
  <c r="H625" i="2" s="1"/>
  <c r="H651" i="2" s="1"/>
  <c r="F11" i="17" s="1"/>
  <c r="G629" i="2"/>
  <c r="G630" i="2" s="1"/>
  <c r="G650" i="2" s="1"/>
  <c r="E10" i="17" s="1"/>
  <c r="G624" i="2"/>
  <c r="G625" i="2" s="1"/>
  <c r="G651" i="2" s="1"/>
  <c r="F10" i="17" s="1"/>
  <c r="I629" i="2"/>
  <c r="I630" i="2" s="1"/>
  <c r="I650" i="2" s="1"/>
  <c r="E12" i="17" s="1"/>
  <c r="I624" i="2"/>
  <c r="I625" i="2" s="1"/>
  <c r="I652" i="2" s="1"/>
  <c r="G12" i="17" s="1"/>
  <c r="G574" i="2"/>
  <c r="G639" i="2" s="1"/>
  <c r="H12" i="4"/>
  <c r="L652" i="2"/>
  <c r="R640" i="2"/>
  <c r="AG385" i="2"/>
  <c r="AH385" i="2" s="1"/>
  <c r="K536" i="2"/>
  <c r="F387" i="2"/>
  <c r="F395" i="2" s="1"/>
  <c r="P642" i="2" s="1"/>
  <c r="Q642" i="2" s="1"/>
  <c r="R642" i="2" s="1"/>
  <c r="J536" i="2"/>
  <c r="M536" i="2"/>
  <c r="P639" i="2"/>
  <c r="O536" i="2"/>
  <c r="K646" i="2"/>
  <c r="F597" i="2"/>
  <c r="F599" i="2" s="1"/>
  <c r="F572" i="2"/>
  <c r="F623" i="2" s="1"/>
  <c r="L536" i="2"/>
  <c r="F536" i="2"/>
  <c r="F629" i="2"/>
  <c r="F624" i="2"/>
  <c r="Q639" i="2"/>
  <c r="S624" i="2"/>
  <c r="S629" i="2"/>
  <c r="S630" i="2" s="1"/>
  <c r="S650" i="2" s="1"/>
  <c r="R536" i="2"/>
  <c r="P536" i="2"/>
  <c r="G536" i="2"/>
  <c r="S536" i="2"/>
  <c r="K640" i="2"/>
  <c r="I536" i="2"/>
  <c r="P629" i="2"/>
  <c r="P630" i="2" s="1"/>
  <c r="P650" i="2" s="1"/>
  <c r="P624" i="2"/>
  <c r="P625" i="2" s="1"/>
  <c r="P651" i="2" s="1"/>
  <c r="G10" i="4"/>
  <c r="AG393" i="2"/>
  <c r="AH393" i="2" s="1"/>
  <c r="N536" i="2"/>
  <c r="Q624" i="2"/>
  <c r="Q625" i="2" s="1"/>
  <c r="Q651" i="2" s="1"/>
  <c r="Q629" i="2"/>
  <c r="Q630" i="2" s="1"/>
  <c r="Q650" i="2" s="1"/>
  <c r="Q536" i="2"/>
  <c r="E536" i="2"/>
  <c r="E538" i="2" s="1"/>
  <c r="R629" i="2"/>
  <c r="R630" i="2" s="1"/>
  <c r="R650" i="2" s="1"/>
  <c r="R624" i="2"/>
  <c r="R625" i="2" s="1"/>
  <c r="R652" i="2" s="1"/>
  <c r="H536" i="2"/>
  <c r="F12" i="17"/>
  <c r="L629" i="2"/>
  <c r="L630" i="2" s="1"/>
  <c r="E26" i="4"/>
  <c r="F26" i="4" s="1"/>
  <c r="F10" i="4"/>
  <c r="AH518" i="2" l="1"/>
  <c r="AI518" i="2"/>
  <c r="G26" i="4"/>
  <c r="H26" i="4" s="1"/>
  <c r="M10" i="4"/>
  <c r="G15" i="17"/>
  <c r="F645" i="2"/>
  <c r="F604" i="2"/>
  <c r="F644" i="2" s="1"/>
  <c r="F628" i="2"/>
  <c r="F630" i="2" s="1"/>
  <c r="F650" i="2" s="1"/>
  <c r="E9" i="17" s="1"/>
  <c r="L650" i="2"/>
  <c r="E15" i="17" s="1"/>
  <c r="AG387" i="2"/>
  <c r="AH387" i="2" s="1"/>
  <c r="AH1" i="2" s="1"/>
  <c r="S651" i="2"/>
  <c r="S625" i="2"/>
  <c r="F625" i="2"/>
  <c r="F651" i="2" s="1"/>
  <c r="F9" i="17" s="1"/>
  <c r="H10" i="4"/>
  <c r="F558" i="2"/>
  <c r="F396" i="2"/>
  <c r="F568" i="2"/>
  <c r="F569" i="2" s="1"/>
  <c r="F578" i="2"/>
  <c r="F579" i="2" s="1"/>
  <c r="F638" i="2" s="1"/>
  <c r="F573" i="2"/>
  <c r="F574" i="2" s="1"/>
  <c r="F562" i="2"/>
  <c r="F564" i="2"/>
  <c r="M9" i="4" l="1"/>
  <c r="M26" i="4"/>
  <c r="M27" i="4" s="1"/>
  <c r="I13" i="4"/>
  <c r="I17" i="4"/>
  <c r="I20" i="4"/>
  <c r="I14" i="4"/>
  <c r="I11" i="4"/>
  <c r="I10" i="4"/>
  <c r="I15" i="4"/>
  <c r="I26" i="4"/>
  <c r="I16" i="4"/>
  <c r="I12" i="4"/>
  <c r="F639" i="2"/>
</calcChain>
</file>

<file path=xl/sharedStrings.xml><?xml version="1.0" encoding="utf-8"?>
<sst xmlns="http://schemas.openxmlformats.org/spreadsheetml/2006/main" count="2377" uniqueCount="1177">
  <si>
    <t>Total</t>
  </si>
  <si>
    <t>Station Equipment</t>
  </si>
  <si>
    <t>Primary Distribution Plant</t>
  </si>
  <si>
    <t>Customer Services</t>
  </si>
  <si>
    <t>Meters</t>
  </si>
  <si>
    <t>Lighting Systems</t>
  </si>
  <si>
    <t>Description</t>
  </si>
  <si>
    <t>Name</t>
  </si>
  <si>
    <t>Vector</t>
  </si>
  <si>
    <t>System</t>
  </si>
  <si>
    <t>Demand</t>
  </si>
  <si>
    <t>Energy</t>
  </si>
  <si>
    <t>Customer</t>
  </si>
  <si>
    <t>Total Check</t>
  </si>
  <si>
    <t>Status</t>
  </si>
  <si>
    <t>Plant in Service</t>
  </si>
  <si>
    <t>PDIST</t>
  </si>
  <si>
    <t>LAND AND LAND RIGHTS</t>
  </si>
  <si>
    <t>P360</t>
  </si>
  <si>
    <t>Total Intangible Plant</t>
  </si>
  <si>
    <t>PINT</t>
  </si>
  <si>
    <t>Distribution</t>
  </si>
  <si>
    <t>STATION EQUIPMENT</t>
  </si>
  <si>
    <t>P362</t>
  </si>
  <si>
    <t>F001</t>
  </si>
  <si>
    <t>POLES, TOWERS AND FIXTURES</t>
  </si>
  <si>
    <t>P364</t>
  </si>
  <si>
    <t>F002</t>
  </si>
  <si>
    <t>OVERHEAD CONDUCTORS AND DEVICE</t>
  </si>
  <si>
    <t>P365</t>
  </si>
  <si>
    <t>F003</t>
  </si>
  <si>
    <t>UNDERGROUND CONDUIT</t>
  </si>
  <si>
    <t>P366</t>
  </si>
  <si>
    <t>F004</t>
  </si>
  <si>
    <t>UNDERGROUND CONDUCTORS AND DEV</t>
  </si>
  <si>
    <t>P367</t>
  </si>
  <si>
    <t>LINE TRANSFORMERS</t>
  </si>
  <si>
    <t>P368</t>
  </si>
  <si>
    <t>F005</t>
  </si>
  <si>
    <t>SERVICES</t>
  </si>
  <si>
    <t>P369</t>
  </si>
  <si>
    <t>F006</t>
  </si>
  <si>
    <t>METERS</t>
  </si>
  <si>
    <t>P370</t>
  </si>
  <si>
    <t>F007</t>
  </si>
  <si>
    <t>INSTALLATIONS ON CONSUMERS PRE</t>
  </si>
  <si>
    <t>P371</t>
  </si>
  <si>
    <t>STREET LIGHTING AND SIGNAL SYS</t>
  </si>
  <si>
    <t>P373</t>
  </si>
  <si>
    <t>F008</t>
  </si>
  <si>
    <t>Total Distribution Plant</t>
  </si>
  <si>
    <t>General Plant</t>
  </si>
  <si>
    <t>P389</t>
  </si>
  <si>
    <t>STRUCTURES AND IMPROVEMENTS</t>
  </si>
  <si>
    <t>P390</t>
  </si>
  <si>
    <t>OFFICE FURNITURE AND EQUIPMENT</t>
  </si>
  <si>
    <t>P391</t>
  </si>
  <si>
    <t>TRANSPORTATION EQUIPMENT</t>
  </si>
  <si>
    <t>P392</t>
  </si>
  <si>
    <t>STORES EQUIPMENT</t>
  </si>
  <si>
    <t>P393</t>
  </si>
  <si>
    <t>TOOLS, SHOP &amp; GARAGE EQUIPMENT</t>
  </si>
  <si>
    <t>P394</t>
  </si>
  <si>
    <t>LABORATORY EQUIPMENT</t>
  </si>
  <si>
    <t>P395</t>
  </si>
  <si>
    <t>POWER OPERATED EQUIPMENT</t>
  </si>
  <si>
    <t>P396</t>
  </si>
  <si>
    <t>COMMUNICATION EQUIPMENT</t>
  </si>
  <si>
    <t>P397</t>
  </si>
  <si>
    <t>Total General Plant</t>
  </si>
  <si>
    <t>PGP</t>
  </si>
  <si>
    <t>Total Plant in Service</t>
  </si>
  <si>
    <t>TPIS</t>
  </si>
  <si>
    <t>Construction Work in Progress (CWIP)</t>
  </si>
  <si>
    <t xml:space="preserve">  Total Construction Work in Progress</t>
  </si>
  <si>
    <t>TCWIP</t>
  </si>
  <si>
    <t>Rate Base</t>
  </si>
  <si>
    <t>Utility Plant</t>
  </si>
  <si>
    <t xml:space="preserve">    Total Utility Plant</t>
  </si>
  <si>
    <t>TUP</t>
  </si>
  <si>
    <t>Less: Acummulated Provision for Depreciation</t>
  </si>
  <si>
    <t xml:space="preserve">  General Plant</t>
  </si>
  <si>
    <t>TADEPR</t>
  </si>
  <si>
    <t>Net Utility Plant</t>
  </si>
  <si>
    <t>NTPLANT</t>
  </si>
  <si>
    <t>Working Capital</t>
  </si>
  <si>
    <t>Operation and Maintenance Expenses</t>
  </si>
  <si>
    <t>CWC</t>
  </si>
  <si>
    <t>OMLPP</t>
  </si>
  <si>
    <t>PREPAY</t>
  </si>
  <si>
    <t xml:space="preserve">  Total Working Capital</t>
  </si>
  <si>
    <t>TWC</t>
  </si>
  <si>
    <t>Less: Customer Deposits</t>
  </si>
  <si>
    <t>CSTDEP</t>
  </si>
  <si>
    <t>Net Rate Base</t>
  </si>
  <si>
    <t>RB</t>
  </si>
  <si>
    <t>Purchased Power</t>
  </si>
  <si>
    <t>OMPP</t>
  </si>
  <si>
    <t>Distribution Operation Expense</t>
  </si>
  <si>
    <t>OPERATION SUPERVISION AND ENGI</t>
  </si>
  <si>
    <t>OM580</t>
  </si>
  <si>
    <t>LOAD DISPATCHING</t>
  </si>
  <si>
    <t>OM581</t>
  </si>
  <si>
    <t>OVERHEAD LINE EXPENSES</t>
  </si>
  <si>
    <t>OM583</t>
  </si>
  <si>
    <t>UNDERGROUND LINE EXPENSES</t>
  </si>
  <si>
    <t>OM584</t>
  </si>
  <si>
    <t>STREET LIGHTING EXPENSE</t>
  </si>
  <si>
    <t>OM585</t>
  </si>
  <si>
    <t>METER EXPENSES</t>
  </si>
  <si>
    <t>OM586</t>
  </si>
  <si>
    <t>CUSTOMER INSTALLATIONS EXPENSE</t>
  </si>
  <si>
    <t>OM587</t>
  </si>
  <si>
    <t>MISCELLANEOUS DISTRIBUTION EXP</t>
  </si>
  <si>
    <t>OM588</t>
  </si>
  <si>
    <t>RENTS</t>
  </si>
  <si>
    <t>OM589</t>
  </si>
  <si>
    <t>Total Distribution Operation Expense</t>
  </si>
  <si>
    <t>OMDO</t>
  </si>
  <si>
    <t>Distribution Maintenance Expense</t>
  </si>
  <si>
    <t>MAINTENANCE SUPERVISION AND EN</t>
  </si>
  <si>
    <t>OM590</t>
  </si>
  <si>
    <t>MAINTENANCE OF STATION EQUIPME</t>
  </si>
  <si>
    <t>OM592</t>
  </si>
  <si>
    <t>MAINTENANCE OF OVERHEAD LINES</t>
  </si>
  <si>
    <t>OM593</t>
  </si>
  <si>
    <t>MAINTENANCE OF UNDERGROUND LIN</t>
  </si>
  <si>
    <t>OM594</t>
  </si>
  <si>
    <t>MAINTENANCE OF LINE TRANSFORME</t>
  </si>
  <si>
    <t>OM595</t>
  </si>
  <si>
    <t>MAINTENANCE OF METERS</t>
  </si>
  <si>
    <t>OM597</t>
  </si>
  <si>
    <t>OM598</t>
  </si>
  <si>
    <t>Total Distribution Maintenance Expense</t>
  </si>
  <si>
    <t>OMDM</t>
  </si>
  <si>
    <t>OMSUB</t>
  </si>
  <si>
    <t>Operation and Maintenance Expenses (Continued)</t>
  </si>
  <si>
    <t>Customer Accounts Expense</t>
  </si>
  <si>
    <t>SUPERVISION/CUSTOMER ACCTS</t>
  </si>
  <si>
    <t>OM901</t>
  </si>
  <si>
    <t>F009</t>
  </si>
  <si>
    <t>METER READING EXPENSES</t>
  </si>
  <si>
    <t>OM902</t>
  </si>
  <si>
    <t>OM903</t>
  </si>
  <si>
    <t>UNCOLLECTIBLE ACCOUNTS</t>
  </si>
  <si>
    <t>OM904</t>
  </si>
  <si>
    <t>Total Customer Accounts Expense</t>
  </si>
  <si>
    <t>OMCA</t>
  </si>
  <si>
    <t>Customer Service Expense</t>
  </si>
  <si>
    <t>OM907</t>
  </si>
  <si>
    <t>F010</t>
  </si>
  <si>
    <t>CUSTOMER ASSISTANCE EXPENSES</t>
  </si>
  <si>
    <t>OM908</t>
  </si>
  <si>
    <t>INFORMATIONAL AND INSTRUCTIONA</t>
  </si>
  <si>
    <t>OM909</t>
  </si>
  <si>
    <t>MISCELLANEOUS CUSTOMER SERVICE</t>
  </si>
  <si>
    <t>OM910</t>
  </si>
  <si>
    <t>Total Customer Service Expense</t>
  </si>
  <si>
    <t>OMCS</t>
  </si>
  <si>
    <t>Administrative and General Expense</t>
  </si>
  <si>
    <t>ADMIN. &amp; GEN. SALARIES-</t>
  </si>
  <si>
    <t>OM920</t>
  </si>
  <si>
    <t>OFFICE SUPPLIES AND EXPENSES</t>
  </si>
  <si>
    <t>OM921</t>
  </si>
  <si>
    <t>OUTSIDE SERVICES EMPLOYED</t>
  </si>
  <si>
    <t>OM923</t>
  </si>
  <si>
    <t>PROPERTY INSURANCE</t>
  </si>
  <si>
    <t>OM924</t>
  </si>
  <si>
    <t>INJURIES AND DAMAGES - INSURAN</t>
  </si>
  <si>
    <t>OM925</t>
  </si>
  <si>
    <t>EMPLOYEE BENEFITS</t>
  </si>
  <si>
    <t>OM926</t>
  </si>
  <si>
    <t>REGULATORY COMMISSION EXPENSES</t>
  </si>
  <si>
    <t>OM928</t>
  </si>
  <si>
    <t>MISCELLANEOUS GENERAL EXPENSES</t>
  </si>
  <si>
    <t>OM930</t>
  </si>
  <si>
    <t>RENTS AND LEASES</t>
  </si>
  <si>
    <t>OM931</t>
  </si>
  <si>
    <t>MAINTENANCE OF GENERAL PLANT</t>
  </si>
  <si>
    <t>Total Administrative and General Expense</t>
  </si>
  <si>
    <t>OMAG</t>
  </si>
  <si>
    <t>Total Operation and Maintenance Expenses</t>
  </si>
  <si>
    <t>TOM</t>
  </si>
  <si>
    <t>Labor Expenses</t>
  </si>
  <si>
    <t>Other Expenses</t>
  </si>
  <si>
    <t>Depreciation Expenses</t>
  </si>
  <si>
    <t>Total Depreciation Expense</t>
  </si>
  <si>
    <t>TDEPR</t>
  </si>
  <si>
    <t>Property Taxes</t>
  </si>
  <si>
    <t>PTAX</t>
  </si>
  <si>
    <t>OT</t>
  </si>
  <si>
    <t>Interest -- LTD</t>
  </si>
  <si>
    <t>INTLTD</t>
  </si>
  <si>
    <t>Interest -- Other</t>
  </si>
  <si>
    <t>INTOTH</t>
  </si>
  <si>
    <t>Other Deductions</t>
  </si>
  <si>
    <t>DEDUCT</t>
  </si>
  <si>
    <t>Total Other Expenses</t>
  </si>
  <si>
    <t>TOE</t>
  </si>
  <si>
    <t>Functional Vectors</t>
  </si>
  <si>
    <t>Poles, Towers and Fixtures</t>
  </si>
  <si>
    <t>Overhead Conductors and Devices</t>
  </si>
  <si>
    <t>Underground Conductors and Devices</t>
  </si>
  <si>
    <t>Line Transformers</t>
  </si>
  <si>
    <t>Services</t>
  </si>
  <si>
    <t>Street Lighting</t>
  </si>
  <si>
    <t>Meter Reading</t>
  </si>
  <si>
    <t>Billing</t>
  </si>
  <si>
    <t>Allocation</t>
  </si>
  <si>
    <t xml:space="preserve">  Demand</t>
  </si>
  <si>
    <t>PLPPD</t>
  </si>
  <si>
    <t>D01</t>
  </si>
  <si>
    <t xml:space="preserve">  Energy</t>
  </si>
  <si>
    <t>PLPPE</t>
  </si>
  <si>
    <t>E01</t>
  </si>
  <si>
    <t>Total Purchase Power</t>
  </si>
  <si>
    <t>PLPPT</t>
  </si>
  <si>
    <t>PLSED</t>
  </si>
  <si>
    <t>D02</t>
  </si>
  <si>
    <t>PLDPD</t>
  </si>
  <si>
    <t>D03</t>
  </si>
  <si>
    <t xml:space="preserve">  Customer</t>
  </si>
  <si>
    <t>PLDPC</t>
  </si>
  <si>
    <t>C01</t>
  </si>
  <si>
    <t>Total Primary Distribution Plant</t>
  </si>
  <si>
    <t>PLCSD</t>
  </si>
  <si>
    <t>PLCSC</t>
  </si>
  <si>
    <t>C02</t>
  </si>
  <si>
    <t>Total Customer Services</t>
  </si>
  <si>
    <t>PLMC</t>
  </si>
  <si>
    <t>C03</t>
  </si>
  <si>
    <t>PLLSC</t>
  </si>
  <si>
    <t>C04</t>
  </si>
  <si>
    <t>PLMRBC</t>
  </si>
  <si>
    <t>C05</t>
  </si>
  <si>
    <t>C06</t>
  </si>
  <si>
    <t>PLT</t>
  </si>
  <si>
    <t>NPPPD</t>
  </si>
  <si>
    <t>NPPPE</t>
  </si>
  <si>
    <t>NPPPT</t>
  </si>
  <si>
    <t>NPSED</t>
  </si>
  <si>
    <t>NPDPD</t>
  </si>
  <si>
    <t>NPDPC</t>
  </si>
  <si>
    <t>NPCSD</t>
  </si>
  <si>
    <t>NPCSC</t>
  </si>
  <si>
    <t>NPMC</t>
  </si>
  <si>
    <t>NPLSC</t>
  </si>
  <si>
    <t>NPMRBC</t>
  </si>
  <si>
    <t>NPT</t>
  </si>
  <si>
    <t>Net Cost Rate Base</t>
  </si>
  <si>
    <t>RBPPD</t>
  </si>
  <si>
    <t>RBPPE</t>
  </si>
  <si>
    <t>RBPPT</t>
  </si>
  <si>
    <t>RBSED</t>
  </si>
  <si>
    <t>RBDPD</t>
  </si>
  <si>
    <t>RBDPC</t>
  </si>
  <si>
    <t>RBCSD</t>
  </si>
  <si>
    <t>RBCSC</t>
  </si>
  <si>
    <t>RBMC</t>
  </si>
  <si>
    <t>RBLSC</t>
  </si>
  <si>
    <t>RBMRBC</t>
  </si>
  <si>
    <t>RBT</t>
  </si>
  <si>
    <t>OMPPD</t>
  </si>
  <si>
    <t>OMPPE</t>
  </si>
  <si>
    <t>OMPPT</t>
  </si>
  <si>
    <t>OMSED</t>
  </si>
  <si>
    <t>OMDPD</t>
  </si>
  <si>
    <t>OMDPC</t>
  </si>
  <si>
    <t>OMCSD</t>
  </si>
  <si>
    <t>OMCSC</t>
  </si>
  <si>
    <t>OMMC</t>
  </si>
  <si>
    <t>OMLSC</t>
  </si>
  <si>
    <t>OMMRBC</t>
  </si>
  <si>
    <t>OMT</t>
  </si>
  <si>
    <t>LBPPD</t>
  </si>
  <si>
    <t>LBPPE</t>
  </si>
  <si>
    <t>LBPPT</t>
  </si>
  <si>
    <t>LBSED</t>
  </si>
  <si>
    <t>LBDPD</t>
  </si>
  <si>
    <t>LBDPC</t>
  </si>
  <si>
    <t>LBCSD</t>
  </si>
  <si>
    <t>LBCSC</t>
  </si>
  <si>
    <t>LBMC</t>
  </si>
  <si>
    <t>LBLSC</t>
  </si>
  <si>
    <t>LBMRBC</t>
  </si>
  <si>
    <t>LBT</t>
  </si>
  <si>
    <t>DPPPD</t>
  </si>
  <si>
    <t>DPPPE</t>
  </si>
  <si>
    <t>DPPPT</t>
  </si>
  <si>
    <t>DPSED</t>
  </si>
  <si>
    <t>DPDPD</t>
  </si>
  <si>
    <t>DPDPC</t>
  </si>
  <si>
    <t>DPCSD</t>
  </si>
  <si>
    <t>DPCSC</t>
  </si>
  <si>
    <t>DPMC</t>
  </si>
  <si>
    <t>DPLSC</t>
  </si>
  <si>
    <t>DPMRBC</t>
  </si>
  <si>
    <t>DPT</t>
  </si>
  <si>
    <t>PTPPD</t>
  </si>
  <si>
    <t>PTPPE</t>
  </si>
  <si>
    <t>PTPPT</t>
  </si>
  <si>
    <t>PTSED</t>
  </si>
  <si>
    <t>PTDPD</t>
  </si>
  <si>
    <t>PTDPC</t>
  </si>
  <si>
    <t>PTCSD</t>
  </si>
  <si>
    <t>PTCSC</t>
  </si>
  <si>
    <t>PTMC</t>
  </si>
  <si>
    <t>PTLSC</t>
  </si>
  <si>
    <t>PTMRBC</t>
  </si>
  <si>
    <t>PTT</t>
  </si>
  <si>
    <t>Other Taxes</t>
  </si>
  <si>
    <t>OTPPD</t>
  </si>
  <si>
    <t>OTPPE</t>
  </si>
  <si>
    <t>OTPPT</t>
  </si>
  <si>
    <t>OTSED</t>
  </si>
  <si>
    <t>OTDPD</t>
  </si>
  <si>
    <t>OTDPC</t>
  </si>
  <si>
    <t>OTCSD</t>
  </si>
  <si>
    <t>OTCSC</t>
  </si>
  <si>
    <t>OTMC</t>
  </si>
  <si>
    <t>OTLSC</t>
  </si>
  <si>
    <t>OTMRBC</t>
  </si>
  <si>
    <t>OTT</t>
  </si>
  <si>
    <t>Operating Revenues</t>
  </si>
  <si>
    <t>REVUC</t>
  </si>
  <si>
    <t>Total Operating Revenues</t>
  </si>
  <si>
    <t>TOR</t>
  </si>
  <si>
    <t>Operating Expenses</t>
  </si>
  <si>
    <t xml:space="preserve">   Operation and Maintenance Expenses</t>
  </si>
  <si>
    <t xml:space="preserve">   Depreciation and Amortization Expenses</t>
  </si>
  <si>
    <t xml:space="preserve">   Property Taxes</t>
  </si>
  <si>
    <t xml:space="preserve">   Other Taxes</t>
  </si>
  <si>
    <t>Total Operating Expenses</t>
  </si>
  <si>
    <t>Utility Operating Margin</t>
  </si>
  <si>
    <t>Rate of Return</t>
  </si>
  <si>
    <t>Energy Allocation Factors</t>
  </si>
  <si>
    <t>Energy Usage by Class</t>
  </si>
  <si>
    <t>Demand Allocation Factors</t>
  </si>
  <si>
    <t>Purchase Power -- Average 12 CP</t>
  </si>
  <si>
    <t>Station Equipment -- Maximum Class Demand</t>
  </si>
  <si>
    <t>Primary Distribution Plant -- Maximum Class Demand</t>
  </si>
  <si>
    <t>Customer Allocation Factors</t>
  </si>
  <si>
    <t>Primary Distribution Plant -- Average Number of Customers</t>
  </si>
  <si>
    <t>Customer Services -- Average Number of Customers</t>
  </si>
  <si>
    <t>Meter Costs -- Weighted Cost of Meters</t>
  </si>
  <si>
    <t>Lighting Systems -- Lighting Customers</t>
  </si>
  <si>
    <t>Meter Reading and Billing -- Weighted Cost</t>
  </si>
  <si>
    <t>Margin</t>
  </si>
  <si>
    <t>Revenue</t>
  </si>
  <si>
    <t>Rev</t>
  </si>
  <si>
    <t>Transmission</t>
  </si>
  <si>
    <t>CONDUCTORS AND DEVICES</t>
  </si>
  <si>
    <t>P350</t>
  </si>
  <si>
    <t>P353</t>
  </si>
  <si>
    <t>P355</t>
  </si>
  <si>
    <t>P356</t>
  </si>
  <si>
    <t>Pri &amp; Sec. Distr Plant</t>
  </si>
  <si>
    <t>Primary &amp; Secondary Distribution Plant</t>
  </si>
  <si>
    <t>Intangible Plant</t>
  </si>
  <si>
    <t>Total Transmission Plant</t>
  </si>
  <si>
    <t>ORGANIZATION</t>
  </si>
  <si>
    <t>P301</t>
  </si>
  <si>
    <t>MISCELLANEOUS EQUIPMENT</t>
  </si>
  <si>
    <t>P398</t>
  </si>
  <si>
    <t>COMPLETED CONSTR NOT CLASSIFIED</t>
  </si>
  <si>
    <t>P106</t>
  </si>
  <si>
    <t>Plant in Service (Continued)</t>
  </si>
  <si>
    <t xml:space="preserve">  Total Utility Plant</t>
  </si>
  <si>
    <t xml:space="preserve">  Transmission</t>
  </si>
  <si>
    <t xml:space="preserve">  Electric Plant Amortization</t>
  </si>
  <si>
    <t xml:space="preserve">  Retirement Work in Progress</t>
  </si>
  <si>
    <t>Transmission Expenses</t>
  </si>
  <si>
    <t>STATION EXPENSES</t>
  </si>
  <si>
    <t>MAINTENACE SUPERVISION AND ENG</t>
  </si>
  <si>
    <t>OPERATION SUPERVISION AND ENG</t>
  </si>
  <si>
    <t>MAINT OF STATION EQUIPMENT</t>
  </si>
  <si>
    <t>MAINT OF OVERHEAD LINES</t>
  </si>
  <si>
    <t>Total Transmission Expenses</t>
  </si>
  <si>
    <t>OM582</t>
  </si>
  <si>
    <t>PURCHASED POWER</t>
  </si>
  <si>
    <t>MAINTENANCE OF ST LIGHTS &amp; SIG SYSTEMS</t>
  </si>
  <si>
    <t>OM596</t>
  </si>
  <si>
    <t>Total Distribution Operation and Maintenance Expenses</t>
  </si>
  <si>
    <t>Transmission and Distribution Expenses</t>
  </si>
  <si>
    <t>MAINTENANCE OF MISC DISTR PLANT</t>
  </si>
  <si>
    <t>SUPERVISION</t>
  </si>
  <si>
    <t>DUPLICATE CHARGES-CR</t>
  </si>
  <si>
    <t>OM929</t>
  </si>
  <si>
    <t>AMORT ELECT PLANT ACQUISIT ADJ</t>
  </si>
  <si>
    <t>Total Cost of Service (O&amp;M + Other Expenses)</t>
  </si>
  <si>
    <t>PTRAN</t>
  </si>
  <si>
    <t>F011</t>
  </si>
  <si>
    <t>PT&amp;D</t>
  </si>
  <si>
    <t>ADEPREPA</t>
  </si>
  <si>
    <t>RWIP</t>
  </si>
  <si>
    <t>ADEPRTP</t>
  </si>
  <si>
    <t>M&amp;S</t>
  </si>
  <si>
    <t>OM555</t>
  </si>
  <si>
    <t>OTHER EXPENSES</t>
  </si>
  <si>
    <t>Total Purchased Power</t>
  </si>
  <si>
    <t>OM557</t>
  </si>
  <si>
    <t>TPP</t>
  </si>
  <si>
    <t>Purchased Power Expenses</t>
  </si>
  <si>
    <t>OM560</t>
  </si>
  <si>
    <t>OM561</t>
  </si>
  <si>
    <t>OM562</t>
  </si>
  <si>
    <t>OM563</t>
  </si>
  <si>
    <t>OM568</t>
  </si>
  <si>
    <t>OM570</t>
  </si>
  <si>
    <t>OM571</t>
  </si>
  <si>
    <t>Sub-Total Transmission, Distribution, Cust Acct and Cust Service</t>
  </si>
  <si>
    <t>OMSUB2</t>
  </si>
  <si>
    <t>Operation and Maintenance Expenses Less Purchase Power</t>
  </si>
  <si>
    <t>Cash Working Capital - Operation and Maintenance Expenses</t>
  </si>
  <si>
    <t>DEPRTP</t>
  </si>
  <si>
    <t>DEPRGP</t>
  </si>
  <si>
    <t>DEPRLTEP</t>
  </si>
  <si>
    <t>DEPRAADJ</t>
  </si>
  <si>
    <t>P352</t>
  </si>
  <si>
    <t>TOWERS AND FIXTURES</t>
  </si>
  <si>
    <t>POLES AND FIXTURES</t>
  </si>
  <si>
    <t>P354</t>
  </si>
  <si>
    <t>ROADS AND TRAILS</t>
  </si>
  <si>
    <t>P359</t>
  </si>
  <si>
    <t>P361</t>
  </si>
  <si>
    <t xml:space="preserve">  CWIP Transmission</t>
  </si>
  <si>
    <t xml:space="preserve">  Dist-Structures</t>
  </si>
  <si>
    <t xml:space="preserve">  Dist-Station</t>
  </si>
  <si>
    <t xml:space="preserve">  Dist-Poles and Fixtures</t>
  </si>
  <si>
    <t xml:space="preserve">  Dist-OH Conductor</t>
  </si>
  <si>
    <t xml:space="preserve">  Dist-UG Conductor</t>
  </si>
  <si>
    <t xml:space="preserve">  Dist-Line Transformers</t>
  </si>
  <si>
    <t xml:space="preserve">  Dist-Services</t>
  </si>
  <si>
    <t xml:space="preserve">  Dist-Meters</t>
  </si>
  <si>
    <t xml:space="preserve">  Dist-Installations on Customer Premises</t>
  </si>
  <si>
    <t xml:space="preserve">  Dist-Lighting &amp; Signal Systems</t>
  </si>
  <si>
    <t>ADEPRD1</t>
  </si>
  <si>
    <t>ADEPRD2</t>
  </si>
  <si>
    <t>ADEPRD3</t>
  </si>
  <si>
    <t>ADEPRD4</t>
  </si>
  <si>
    <t>ADEPRD5</t>
  </si>
  <si>
    <t>ADEPRD6</t>
  </si>
  <si>
    <t>ADEPRD7</t>
  </si>
  <si>
    <t>ADEPRD8</t>
  </si>
  <si>
    <t>ADEPRD9</t>
  </si>
  <si>
    <t>ADEPRD10</t>
  </si>
  <si>
    <t>ADEPRD11</t>
  </si>
  <si>
    <t xml:space="preserve">  Dist-UG Conduit</t>
  </si>
  <si>
    <t>ADEPRD12</t>
  </si>
  <si>
    <t xml:space="preserve">  CWIP General Plant</t>
  </si>
  <si>
    <t>METER EXPENSES - LOAD MANAGEMENT</t>
  </si>
  <si>
    <t>OM586x</t>
  </si>
  <si>
    <t>RECORDS AND COLLECTION</t>
  </si>
  <si>
    <t>MISC CUST ACCOUNTS</t>
  </si>
  <si>
    <t>CUSTOMER ASSISTANCE EXP-LOAD MGMT</t>
  </si>
  <si>
    <t>OM908x</t>
  </si>
  <si>
    <t>INFORM AND INSTRUC -LOAD MGMT</t>
  </si>
  <si>
    <t>OM909x</t>
  </si>
  <si>
    <t>DEPRDP1</t>
  </si>
  <si>
    <t>DEPRDP2</t>
  </si>
  <si>
    <t>DEPRDP3</t>
  </si>
  <si>
    <t>DEPRDP4</t>
  </si>
  <si>
    <t>DEPRDP5</t>
  </si>
  <si>
    <t>DEPRDP6</t>
  </si>
  <si>
    <t>DEPRDP7</t>
  </si>
  <si>
    <t>DEPRDP8</t>
  </si>
  <si>
    <t>DEPRDP9</t>
  </si>
  <si>
    <t>DEPRDP10</t>
  </si>
  <si>
    <t>DEPRDP11</t>
  </si>
  <si>
    <t>DEPRDP12</t>
  </si>
  <si>
    <t>Load Management</t>
  </si>
  <si>
    <t>F012</t>
  </si>
  <si>
    <t>PLD</t>
  </si>
  <si>
    <t>Labor Expenses (Continued)</t>
  </si>
  <si>
    <t>LBPP</t>
  </si>
  <si>
    <t>LB557</t>
  </si>
  <si>
    <t>LB561</t>
  </si>
  <si>
    <t>LB562</t>
  </si>
  <si>
    <t>LB563</t>
  </si>
  <si>
    <t>LB568</t>
  </si>
  <si>
    <t>LB570</t>
  </si>
  <si>
    <t>LB571</t>
  </si>
  <si>
    <t>LB580</t>
  </si>
  <si>
    <t>LB581</t>
  </si>
  <si>
    <t>LB582</t>
  </si>
  <si>
    <t>LB583</t>
  </si>
  <si>
    <t>LB584</t>
  </si>
  <si>
    <t>LB585</t>
  </si>
  <si>
    <t>LB586</t>
  </si>
  <si>
    <t>LB586x</t>
  </si>
  <si>
    <t>LB587</t>
  </si>
  <si>
    <t>LB588</t>
  </si>
  <si>
    <t>LB589</t>
  </si>
  <si>
    <t>LBDO</t>
  </si>
  <si>
    <t>LB590</t>
  </si>
  <si>
    <t>LB592</t>
  </si>
  <si>
    <t>LB593</t>
  </si>
  <si>
    <t>LB594</t>
  </si>
  <si>
    <t>LB595</t>
  </si>
  <si>
    <t>LB596</t>
  </si>
  <si>
    <t>LB597</t>
  </si>
  <si>
    <t>LB598</t>
  </si>
  <si>
    <t>LBDM</t>
  </si>
  <si>
    <t>LBSUB</t>
  </si>
  <si>
    <t>LB901</t>
  </si>
  <si>
    <t>LB902</t>
  </si>
  <si>
    <t>LB903</t>
  </si>
  <si>
    <t>LB904</t>
  </si>
  <si>
    <t>LBCA</t>
  </si>
  <si>
    <t>LB907</t>
  </si>
  <si>
    <t>LB908</t>
  </si>
  <si>
    <t>LB908x</t>
  </si>
  <si>
    <t>LB909</t>
  </si>
  <si>
    <t>LB909x</t>
  </si>
  <si>
    <t>LB910</t>
  </si>
  <si>
    <t>LBCS</t>
  </si>
  <si>
    <t>LBSUB2</t>
  </si>
  <si>
    <t>LB920</t>
  </si>
  <si>
    <t>LB921</t>
  </si>
  <si>
    <t>LB923</t>
  </si>
  <si>
    <t>LB924</t>
  </si>
  <si>
    <t>LB925</t>
  </si>
  <si>
    <t>LB926</t>
  </si>
  <si>
    <t>LB928</t>
  </si>
  <si>
    <t>LB929</t>
  </si>
  <si>
    <t>LB930</t>
  </si>
  <si>
    <t>LB931</t>
  </si>
  <si>
    <t>LBAG</t>
  </si>
  <si>
    <t>TLB</t>
  </si>
  <si>
    <t>LBLPP</t>
  </si>
  <si>
    <t>LB555</t>
  </si>
  <si>
    <t>LB560</t>
  </si>
  <si>
    <t>Total Purchased Power Labor</t>
  </si>
  <si>
    <t>Total Transmission Labor Expenses</t>
  </si>
  <si>
    <t>Transmission Labor Expenses</t>
  </si>
  <si>
    <t>Distribution Operation Labor Expense</t>
  </si>
  <si>
    <t>Total Distribution Operation Labor Expense</t>
  </si>
  <si>
    <t>Distribution Maintenance Labor Expense</t>
  </si>
  <si>
    <t>Total Distribution Maintenance Labor Expense</t>
  </si>
  <si>
    <t>Total Distribution Operation and Maintenance Labor Expenses</t>
  </si>
  <si>
    <t>Transmission and Distribution Labor Expenses</t>
  </si>
  <si>
    <t>Purchased Power, Transmission and Distribution Labor Expenses</t>
  </si>
  <si>
    <t>Total Customer Accounts Labor Expense</t>
  </si>
  <si>
    <t>Total Customer Service Labor Expense</t>
  </si>
  <si>
    <t>Sub-Total Trans, Distr, Cust Acct and Cust Service Labor Exp</t>
  </si>
  <si>
    <t>Meter Reading, Billing and Customer Service</t>
  </si>
  <si>
    <t>F013</t>
  </si>
  <si>
    <t>F014</t>
  </si>
  <si>
    <t>Intallations on Customer Premises - Plant in Service</t>
  </si>
  <si>
    <t>Intallations on Customer Premises - Accum Depr</t>
  </si>
  <si>
    <t>OM588x</t>
  </si>
  <si>
    <t>F015</t>
  </si>
  <si>
    <t>F016</t>
  </si>
  <si>
    <t>CWIP1</t>
  </si>
  <si>
    <t>CWIP2</t>
  </si>
  <si>
    <t>CWIP3</t>
  </si>
  <si>
    <t>CWIP4</t>
  </si>
  <si>
    <t>CWIP5</t>
  </si>
  <si>
    <t>Customers (Monthly Bills)</t>
  </si>
  <si>
    <t>Average Customers (Bills/12)</t>
  </si>
  <si>
    <t>Average Customers (Lighting = Lights)</t>
  </si>
  <si>
    <t>R01</t>
  </si>
  <si>
    <t>Cust01</t>
  </si>
  <si>
    <t>Cust02</t>
  </si>
  <si>
    <t>Cust03</t>
  </si>
  <si>
    <t>Cust04</t>
  </si>
  <si>
    <t>NCP</t>
  </si>
  <si>
    <t>Allocation Factors</t>
  </si>
  <si>
    <t>Total Operating Revenue -- Actual</t>
  </si>
  <si>
    <t>Pro-Forma Adjustments:</t>
  </si>
  <si>
    <t>Total Pro-Forma Operating Revenue</t>
  </si>
  <si>
    <t>Total Operating Expenses -- Actual</t>
  </si>
  <si>
    <t>Total Pro-forma Operating Expenses</t>
  </si>
  <si>
    <t>Utility Operating Margin -- Pro-Forma</t>
  </si>
  <si>
    <t>LEASED PROP. ON CONSUMERS PREMISES</t>
  </si>
  <si>
    <t>P372</t>
  </si>
  <si>
    <t>WATER HEATER - HEAT PUMP PROGRAM</t>
  </si>
  <si>
    <t>OM913</t>
  </si>
  <si>
    <t>ASSOCIATED DUES</t>
  </si>
  <si>
    <t xml:space="preserve">  Distribution Plant</t>
  </si>
  <si>
    <t>Average</t>
  </si>
  <si>
    <t>Cost of Service Summary -- Unadjusted Results</t>
  </si>
  <si>
    <t>Customers</t>
  </si>
  <si>
    <t>OTHER TANGIBLE PROPERTY</t>
  </si>
  <si>
    <t>P399</t>
  </si>
  <si>
    <t>MISC. TRANSMISSION EXPENSES</t>
  </si>
  <si>
    <t>OM566</t>
  </si>
  <si>
    <t>DEMONSTRATION AND SELLING EXP</t>
  </si>
  <si>
    <t>OM912</t>
  </si>
  <si>
    <t>LB566</t>
  </si>
  <si>
    <t>LB912</t>
  </si>
  <si>
    <t>LB913</t>
  </si>
  <si>
    <t>PAYROLL GENERAL LEDGER DEFAULT</t>
  </si>
  <si>
    <t>LB950</t>
  </si>
  <si>
    <t>Customer Specific Assignment</t>
  </si>
  <si>
    <t>Transmission Residual</t>
  </si>
  <si>
    <t xml:space="preserve">Transmission Plant In Service </t>
  </si>
  <si>
    <t>Transmission Residual Demand Allocator</t>
  </si>
  <si>
    <t>TRDA</t>
  </si>
  <si>
    <t>TA1</t>
  </si>
  <si>
    <t>Transmission Total</t>
  </si>
  <si>
    <t>T01</t>
  </si>
  <si>
    <t>Distribution Residual Demand Allocator</t>
  </si>
  <si>
    <t xml:space="preserve">Distribution Plant In Service </t>
  </si>
  <si>
    <t>Distribution Residual</t>
  </si>
  <si>
    <t>Distribution Total</t>
  </si>
  <si>
    <t>DDA</t>
  </si>
  <si>
    <t>DA1</t>
  </si>
  <si>
    <t>DT1</t>
  </si>
  <si>
    <t>Substation Residual Demand Allocator</t>
  </si>
  <si>
    <t xml:space="preserve">Substation Plant In Service </t>
  </si>
  <si>
    <t>Substation Residual</t>
  </si>
  <si>
    <t>Substation Total</t>
  </si>
  <si>
    <t>SDA</t>
  </si>
  <si>
    <t>ST1</t>
  </si>
  <si>
    <t>SA1</t>
  </si>
  <si>
    <t xml:space="preserve">Average Customers </t>
  </si>
  <si>
    <t>Cust05</t>
  </si>
  <si>
    <t>Cust06</t>
  </si>
  <si>
    <t>CSA</t>
  </si>
  <si>
    <t>Customer Services Allocator</t>
  </si>
  <si>
    <t>Customer Services Demand</t>
  </si>
  <si>
    <t>CSD</t>
  </si>
  <si>
    <t>Transmission Plant Allocator</t>
  </si>
  <si>
    <t>TOMDA</t>
  </si>
  <si>
    <t>TOMA</t>
  </si>
  <si>
    <t>T02</t>
  </si>
  <si>
    <t>DOMDA</t>
  </si>
  <si>
    <t>DOMA</t>
  </si>
  <si>
    <t>DOM</t>
  </si>
  <si>
    <t>SOMDA</t>
  </si>
  <si>
    <t>STOM</t>
  </si>
  <si>
    <t>SOMA</t>
  </si>
  <si>
    <t>Transmission O&amp;M Allocator</t>
  </si>
  <si>
    <t>Distribution O&amp;M Allocator</t>
  </si>
  <si>
    <t>Distribution Plant Allocator</t>
  </si>
  <si>
    <t>Substation Plant Allocator</t>
  </si>
  <si>
    <t>Substation O&amp;M Allocator</t>
  </si>
  <si>
    <t>ADVERTISING EXPENSES</t>
  </si>
  <si>
    <t>MDSE-JOBBING-CONTRACT</t>
  </si>
  <si>
    <t>MISC SALES EXPENSE</t>
  </si>
  <si>
    <t>OM916</t>
  </si>
  <si>
    <t>LB915</t>
  </si>
  <si>
    <t>LB916</t>
  </si>
  <si>
    <t>Coincident</t>
  </si>
  <si>
    <t>Purchased Power Demand</t>
  </si>
  <si>
    <t>Purchased Power Energy</t>
  </si>
  <si>
    <t>Distribution Demand</t>
  </si>
  <si>
    <t>Distribution Customer</t>
  </si>
  <si>
    <t>Operating Expenses-Unit Costs</t>
  </si>
  <si>
    <t>Rate Base-Unit Costs</t>
  </si>
  <si>
    <t>Purchased Power Residual Demand Allocator</t>
  </si>
  <si>
    <t xml:space="preserve">Purchased Power Demand Costs </t>
  </si>
  <si>
    <t>Purchased Power Demand Residual</t>
  </si>
  <si>
    <t>Purchased Power Demand Total</t>
  </si>
  <si>
    <t>Purchased Power Demand Allocator</t>
  </si>
  <si>
    <t>PPDT</t>
  </si>
  <si>
    <t>PPDA</t>
  </si>
  <si>
    <t>PPDRA</t>
  </si>
  <si>
    <t>Purchased Power Residual Energy Allocator</t>
  </si>
  <si>
    <t xml:space="preserve">Purchased Power Energy Costs </t>
  </si>
  <si>
    <t>Purchased Power Energy Residual</t>
  </si>
  <si>
    <t>Purchased Power Energy Total</t>
  </si>
  <si>
    <t>Purchased Power Energy Allocator</t>
  </si>
  <si>
    <t>PPERA</t>
  </si>
  <si>
    <t>PPET</t>
  </si>
  <si>
    <t>PPEA</t>
  </si>
  <si>
    <t>Unit Revenue Requirement @ Current Class Revenues</t>
  </si>
  <si>
    <t xml:space="preserve">Distribution Demand </t>
  </si>
  <si>
    <t xml:space="preserve">Distribution Customer </t>
  </si>
  <si>
    <t>Distribution Customer (Per Customer Per Month)</t>
  </si>
  <si>
    <t>Distribution Customer Margin (Per Customer Per Month)</t>
  </si>
  <si>
    <t>Total Distribution Customer (Per Customer Per Month)</t>
  </si>
  <si>
    <t>Unit Revenue Requirement @ Total System Rate of Return</t>
  </si>
  <si>
    <t>Expenses</t>
  </si>
  <si>
    <t>Operating</t>
  </si>
  <si>
    <t>Summary of Rates of Return by Class</t>
  </si>
  <si>
    <t>Summary of Billing Determinants and Demand Analysis</t>
  </si>
  <si>
    <t>Meter Costs</t>
  </si>
  <si>
    <t>Kwh's</t>
  </si>
  <si>
    <t>Average Demand</t>
  </si>
  <si>
    <t>Coincidence Factor</t>
  </si>
  <si>
    <t>Coincident Demand</t>
  </si>
  <si>
    <t>Max Demand</t>
  </si>
  <si>
    <t>Individual</t>
  </si>
  <si>
    <t>Sum of</t>
  </si>
  <si>
    <t>Demands</t>
  </si>
  <si>
    <t>Summer</t>
  </si>
  <si>
    <t>Winter</t>
  </si>
  <si>
    <t>SIC</t>
  </si>
  <si>
    <t>Coin Demand</t>
  </si>
  <si>
    <t>Winter CP Demands</t>
  </si>
  <si>
    <t>Summer CP Demands</t>
  </si>
  <si>
    <t>Class Maximum Demands</t>
  </si>
  <si>
    <t>Class Demand</t>
  </si>
  <si>
    <t>During</t>
  </si>
  <si>
    <t>Peak Month</t>
  </si>
  <si>
    <t>Pro-Forma Operating Expenses</t>
  </si>
  <si>
    <t>Unit Revenue Requirement @ Specified Rate of Return</t>
  </si>
  <si>
    <t>Service Costs</t>
  </si>
  <si>
    <t xml:space="preserve">Services </t>
  </si>
  <si>
    <t>SERV</t>
  </si>
  <si>
    <t>Rate 31</t>
  </si>
  <si>
    <t>N/A</t>
  </si>
  <si>
    <t>MISC. INTANGIBLE</t>
  </si>
  <si>
    <t>P303</t>
  </si>
  <si>
    <t>ELECTRIC PLANT PURCHASED OR SOLD</t>
  </si>
  <si>
    <t>P102</t>
  </si>
  <si>
    <t>Mapping</t>
  </si>
  <si>
    <t>MISC DISTR EXP -- MAPPING</t>
  </si>
  <si>
    <t>OM911</t>
  </si>
  <si>
    <t>OM935</t>
  </si>
  <si>
    <t>LB911</t>
  </si>
  <si>
    <t>LB935</t>
  </si>
  <si>
    <t>Residential Service</t>
  </si>
  <si>
    <t>Rate 30</t>
  </si>
  <si>
    <t>Metered CP</t>
  </si>
  <si>
    <t>Calculated CP</t>
  </si>
  <si>
    <t>Difference</t>
  </si>
  <si>
    <t>Industrial Power - 12KV Distribution</t>
  </si>
  <si>
    <t>Industrial Power - 46 &amp; 115KV Transmission</t>
  </si>
  <si>
    <t>GeoExchange System Residential</t>
  </si>
  <si>
    <t>GeoExchange System Commercial</t>
  </si>
  <si>
    <t>Residential Time of Use Service</t>
  </si>
  <si>
    <t>12 - Month</t>
  </si>
  <si>
    <t xml:space="preserve">Customer </t>
  </si>
  <si>
    <t>Rate 10 &amp; 13</t>
  </si>
  <si>
    <t>Residential SD Time Of Use Service</t>
  </si>
  <si>
    <t>Small Commercial Service</t>
  </si>
  <si>
    <t>Small Commercial Time Of Use Service</t>
  </si>
  <si>
    <t>Large Commercial Service</t>
  </si>
  <si>
    <t>Optional Large Commercial Service</t>
  </si>
  <si>
    <t>Municipal Service</t>
  </si>
  <si>
    <t>Security/Street Lighting</t>
  </si>
  <si>
    <t>Rate 7 &amp; 8</t>
  </si>
  <si>
    <t>Rate 20 &amp; 23</t>
  </si>
  <si>
    <t>Rate 25 &amp; 26</t>
  </si>
  <si>
    <t>Rate 14</t>
  </si>
  <si>
    <t>Rate 11</t>
  </si>
  <si>
    <t>Rate 60 &amp; 63</t>
  </si>
  <si>
    <t>Rate 4</t>
  </si>
  <si>
    <t>Rate 5</t>
  </si>
  <si>
    <t>Rate 1C</t>
  </si>
  <si>
    <t>Rate 2C</t>
  </si>
  <si>
    <t>Sales</t>
  </si>
  <si>
    <t>Loss Factor</t>
  </si>
  <si>
    <t>Energy Including Losses</t>
  </si>
  <si>
    <t>Sum of the Individual Customer Demands</t>
  </si>
  <si>
    <t>Misc. Service Revenue</t>
  </si>
  <si>
    <t>MISCSERV</t>
  </si>
  <si>
    <t>Pro-forma Rate Base</t>
  </si>
  <si>
    <t>Pro-forma Rate Base Adjustments</t>
  </si>
  <si>
    <t xml:space="preserve">  </t>
  </si>
  <si>
    <t>Total Transmission and Distribution Plant</t>
  </si>
  <si>
    <t>Rate</t>
  </si>
  <si>
    <t>Allocation Factor</t>
  </si>
  <si>
    <t>Lighting</t>
  </si>
  <si>
    <t>Diversified Load Factor</t>
  </si>
  <si>
    <t>Non-Coincident Demand</t>
  </si>
  <si>
    <t>Individual Customer Load Factor</t>
  </si>
  <si>
    <t>Sum of Individual Customer Demands</t>
  </si>
  <si>
    <t>Rate     Code</t>
  </si>
  <si>
    <t>Revenue Requirement Calculated at a Rate of Return of</t>
  </si>
  <si>
    <t>Energy Charge ($/kWh)</t>
  </si>
  <si>
    <t>Production &amp; Purchased Power</t>
  </si>
  <si>
    <t xml:space="preserve">  Total Sales of Electric Energy</t>
  </si>
  <si>
    <t xml:space="preserve">  Other Electric Revenues</t>
  </si>
  <si>
    <t xml:space="preserve">  Asset Retirement Costs</t>
  </si>
  <si>
    <t xml:space="preserve">  Steam Prod Plant</t>
  </si>
  <si>
    <t>Steam Production</t>
  </si>
  <si>
    <t>BOILER PLANT EQUIPMENT</t>
  </si>
  <si>
    <t>ENGINES AND ENGINE DRIVEN GENERATORS</t>
  </si>
  <si>
    <t>TURBOGENERATOR UNITS</t>
  </si>
  <si>
    <t>ACCESSORY ELEC EQUIP</t>
  </si>
  <si>
    <t>ASSET RETIREMENT COST FOR STEAM PROD</t>
  </si>
  <si>
    <t>MISC POWER PLANT EQUIPMENT</t>
  </si>
  <si>
    <t>P310</t>
  </si>
  <si>
    <t>P312</t>
  </si>
  <si>
    <t>P313</t>
  </si>
  <si>
    <t>P314</t>
  </si>
  <si>
    <t>P315</t>
  </si>
  <si>
    <t>P316</t>
  </si>
  <si>
    <t>P317</t>
  </si>
  <si>
    <t>P311</t>
  </si>
  <si>
    <t>PPROD</t>
  </si>
  <si>
    <t>Total Steam Production Plant</t>
  </si>
  <si>
    <t>Total Production, Transmission &amp; Distribution Plant</t>
  </si>
  <si>
    <t>PPT&amp;D</t>
  </si>
  <si>
    <t>F017</t>
  </si>
  <si>
    <t xml:space="preserve">  CWIP Production</t>
  </si>
  <si>
    <t>Steam Power Production Operations Expense</t>
  </si>
  <si>
    <t>Steam Power Production Maintenance Expense</t>
  </si>
  <si>
    <t>Total Steam Production Maintenance Expense</t>
  </si>
  <si>
    <t>Total Steam Production Operation and Maintenance Expenses</t>
  </si>
  <si>
    <t>Total Steam Production Operation Expense</t>
  </si>
  <si>
    <t>OPERATION SUPV AND ENGINEERING</t>
  </si>
  <si>
    <t>FUEL</t>
  </si>
  <si>
    <t>STEAM EXPENSES</t>
  </si>
  <si>
    <t>STEAM FROM OTHER SOURCES</t>
  </si>
  <si>
    <t>STEAM TRANSFERRED - CREDIT</t>
  </si>
  <si>
    <t>ELECTRIC EXPENSES</t>
  </si>
  <si>
    <t>MISC STEAM POWER EXPENSES</t>
  </si>
  <si>
    <t>ALLOWANCES</t>
  </si>
  <si>
    <t>MAINENANCE SUPV AND ENGINEERING</t>
  </si>
  <si>
    <t>MAINTENANCE OF STRUCTURES</t>
  </si>
  <si>
    <t>MAINTENANCE OF BOILER PLANT</t>
  </si>
  <si>
    <t>MAINTENANCE OF ELECTRIC PLANT</t>
  </si>
  <si>
    <t>MAINTENANCE OF MISC STEAM PLANT</t>
  </si>
  <si>
    <t>OM500</t>
  </si>
  <si>
    <t>OM501</t>
  </si>
  <si>
    <t>OM502</t>
  </si>
  <si>
    <t>OM503</t>
  </si>
  <si>
    <t>OM504</t>
  </si>
  <si>
    <t>OM505</t>
  </si>
  <si>
    <t>OM506</t>
  </si>
  <si>
    <t>OM507</t>
  </si>
  <si>
    <t>OM509</t>
  </si>
  <si>
    <t>OMPO</t>
  </si>
  <si>
    <t>OMPM</t>
  </si>
  <si>
    <t>OM510</t>
  </si>
  <si>
    <t>OM511</t>
  </si>
  <si>
    <t>OM512</t>
  </si>
  <si>
    <t>OM513</t>
  </si>
  <si>
    <t>OM514</t>
  </si>
  <si>
    <t>Production - Demand</t>
  </si>
  <si>
    <t>Production - Energy</t>
  </si>
  <si>
    <t>OMP</t>
  </si>
  <si>
    <t>Production, Purchased Power, Trans and Distr Expenses</t>
  </si>
  <si>
    <t>Steam Production, Transmission and Distribution Expenses</t>
  </si>
  <si>
    <t>DEPRPP</t>
  </si>
  <si>
    <t>FRANCHISES</t>
  </si>
  <si>
    <t>P302</t>
  </si>
  <si>
    <t>Electric Plant Acquisition Adjustment</t>
  </si>
  <si>
    <t>RENEWABLE ENERGY CR EXP</t>
  </si>
  <si>
    <t>OM559</t>
  </si>
  <si>
    <t xml:space="preserve">  Steam Production</t>
  </si>
  <si>
    <t xml:space="preserve">   Total Accumulated Depreciation &amp; Amort</t>
  </si>
  <si>
    <t xml:space="preserve">  Accum Amtz - Electric Plant Acquisition</t>
  </si>
  <si>
    <t xml:space="preserve">  Accum Amtz - Electric Plant in Service </t>
  </si>
  <si>
    <t xml:space="preserve">  General Plant </t>
  </si>
  <si>
    <t>ADEPRPP</t>
  </si>
  <si>
    <t xml:space="preserve">  CWIP Distribution</t>
  </si>
  <si>
    <t>LB500</t>
  </si>
  <si>
    <t>LB501</t>
  </si>
  <si>
    <t>LB502</t>
  </si>
  <si>
    <t>LB503</t>
  </si>
  <si>
    <t>LB504</t>
  </si>
  <si>
    <t>LB505</t>
  </si>
  <si>
    <t>LB506</t>
  </si>
  <si>
    <t>LB507</t>
  </si>
  <si>
    <t>LB509</t>
  </si>
  <si>
    <t>LBPO</t>
  </si>
  <si>
    <t>LB510</t>
  </si>
  <si>
    <t>LB511</t>
  </si>
  <si>
    <t>LB512</t>
  </si>
  <si>
    <t>LB513</t>
  </si>
  <si>
    <t>LB514</t>
  </si>
  <si>
    <t>LBPM</t>
  </si>
  <si>
    <t>LBP</t>
  </si>
  <si>
    <t>Regulatory Liabilities</t>
  </si>
  <si>
    <t>REGLIAB</t>
  </si>
  <si>
    <t>TOTAL</t>
  </si>
  <si>
    <t>Rate Class</t>
  </si>
  <si>
    <t>Total                         Cost</t>
  </si>
  <si>
    <t>Total             Cost</t>
  </si>
  <si>
    <t>KWH</t>
  </si>
  <si>
    <t>Purchases</t>
  </si>
  <si>
    <t>Cost of Service Summary -- Adjusted Results</t>
  </si>
  <si>
    <t>Other Allocation Factors</t>
  </si>
  <si>
    <t>on Rate Base</t>
  </si>
  <si>
    <t>Rate Schedule</t>
  </si>
  <si>
    <t>Code</t>
  </si>
  <si>
    <t>Rate               Code</t>
  </si>
  <si>
    <t>Installed            Meters</t>
  </si>
  <si>
    <t>Avg Meter           Cost</t>
  </si>
  <si>
    <t>Allocation            Factor</t>
  </si>
  <si>
    <t>Average         Service           Cost</t>
  </si>
  <si>
    <t xml:space="preserve">Average             Number               of Services </t>
  </si>
  <si>
    <t>Summary of Cost-Based Charges</t>
  </si>
  <si>
    <t>At Current Class Rate of Return</t>
  </si>
  <si>
    <t>Customer Charge ($/month)</t>
  </si>
  <si>
    <t>Demand Charge ($/kW)</t>
  </si>
  <si>
    <t>At Current Total System Rate of Return</t>
  </si>
  <si>
    <t>At Specified Total System Rate of Return</t>
  </si>
  <si>
    <t>NPTD</t>
  </si>
  <si>
    <t>PLTD</t>
  </si>
  <si>
    <t>RBTD</t>
  </si>
  <si>
    <t>OMTD</t>
  </si>
  <si>
    <t>LBTD</t>
  </si>
  <si>
    <t>DPTD</t>
  </si>
  <si>
    <t>PTTD</t>
  </si>
  <si>
    <t>OTTD</t>
  </si>
  <si>
    <t>12 Month Sum of Coincident Demands</t>
  </si>
  <si>
    <t>SICD</t>
  </si>
  <si>
    <t>Transmission Demand</t>
  </si>
  <si>
    <t>Production &amp; Purchase Power</t>
  </si>
  <si>
    <t>Production &amp; Purchased Power Demand</t>
  </si>
  <si>
    <t>Production &amp; Purchased Power Energy</t>
  </si>
  <si>
    <t>Purchased Power Energy (per KWH)</t>
  </si>
  <si>
    <t>Distribution Customer (per Customer)</t>
  </si>
  <si>
    <t>Production &amp; Purchased Power Energy (Per KWH)</t>
  </si>
  <si>
    <t>Production &amp; Purchased Power Energy Margin (Per KWH)</t>
  </si>
  <si>
    <t>Total Pro Forma Adjustments</t>
  </si>
  <si>
    <t>Average Customers (Lighting =45 Lights per Cust)</t>
  </si>
  <si>
    <t>Allocation Factors (continued)</t>
  </si>
  <si>
    <t>Various</t>
  </si>
  <si>
    <t>%</t>
  </si>
  <si>
    <t xml:space="preserve"> Revenue</t>
  </si>
  <si>
    <t>Pro Forma</t>
  </si>
  <si>
    <t>Power Supply</t>
  </si>
  <si>
    <t>SYSTEM CONTROL &amp; LOAD DISPATCHING</t>
  </si>
  <si>
    <t>OM556</t>
  </si>
  <si>
    <t>TRANSMISION OF ELEC BY OTHERS</t>
  </si>
  <si>
    <t>OM564</t>
  </si>
  <si>
    <t>OM565</t>
  </si>
  <si>
    <t>OM567</t>
  </si>
  <si>
    <t>MAINTENANCE SUPERVISION AND ENG</t>
  </si>
  <si>
    <t>OM569</t>
  </si>
  <si>
    <t>MAINT MISC</t>
  </si>
  <si>
    <t xml:space="preserve">MAINT OF TRANS PLANT </t>
  </si>
  <si>
    <t>OM572</t>
  </si>
  <si>
    <t>OM573</t>
  </si>
  <si>
    <t>OM574</t>
  </si>
  <si>
    <t>MAINT OF UNDERGROUND LINES</t>
  </si>
  <si>
    <t>OM917</t>
  </si>
  <si>
    <t>TRANSPORTATION EXPENSES</t>
  </si>
  <si>
    <t>OM933</t>
  </si>
  <si>
    <t>OM932</t>
  </si>
  <si>
    <t>MAINT OF GENERAL PLANT</t>
  </si>
  <si>
    <t>Variance $</t>
  </si>
  <si>
    <t xml:space="preserve">SALES </t>
  </si>
  <si>
    <t>OM914</t>
  </si>
  <si>
    <t>DUPLICATE CHARGES - CREDIT</t>
  </si>
  <si>
    <t xml:space="preserve">  CWIP Other</t>
  </si>
  <si>
    <t>Deferred Debits &amp; Credits</t>
  </si>
  <si>
    <t>DDEB1</t>
  </si>
  <si>
    <t>DDEB2</t>
  </si>
  <si>
    <t>DDEB3</t>
  </si>
  <si>
    <t>DCRED1</t>
  </si>
  <si>
    <t xml:space="preserve">  Total Deferred Debits &amp; Credits</t>
  </si>
  <si>
    <t>Demand Charge</t>
  </si>
  <si>
    <t>Energy Charge</t>
  </si>
  <si>
    <t>Metering Point</t>
  </si>
  <si>
    <t>Sub/Wheeling Charge</t>
  </si>
  <si>
    <t>SUBTOTAL</t>
  </si>
  <si>
    <t>Direct Load Control</t>
  </si>
  <si>
    <t>Direct Load Surcharge</t>
  </si>
  <si>
    <t>Green Power KWH</t>
  </si>
  <si>
    <t>Green Power Charge</t>
  </si>
  <si>
    <t>Direct Load Total Charge</t>
  </si>
  <si>
    <t>Acct 555</t>
  </si>
  <si>
    <t>Environmental Surcharge</t>
  </si>
  <si>
    <t>Fuel Adjustment Clause</t>
  </si>
  <si>
    <t>kWh</t>
  </si>
  <si>
    <t>To Remove Fuel Adjustment Clause  Revenue</t>
  </si>
  <si>
    <t xml:space="preserve">To Remove Environmental Surcharge Revenue </t>
  </si>
  <si>
    <t>To Normalize Year-End Customers</t>
  </si>
  <si>
    <t>Rate Case Expenses</t>
  </si>
  <si>
    <t>Unitized Rate of Return</t>
  </si>
  <si>
    <t>beretta12</t>
  </si>
  <si>
    <t xml:space="preserve">Unitized </t>
  </si>
  <si>
    <t>Residential &amp; Commercial Rev</t>
  </si>
  <si>
    <t>RCRev</t>
  </si>
  <si>
    <t>12CP</t>
  </si>
  <si>
    <t>WCP</t>
  </si>
  <si>
    <t>SCP</t>
  </si>
  <si>
    <t>#</t>
  </si>
  <si>
    <t>Item</t>
  </si>
  <si>
    <t>Energy (kWh)</t>
  </si>
  <si>
    <t>Billing Demand (kW)</t>
  </si>
  <si>
    <t>Materials and Supplies (13-Month Avg)</t>
  </si>
  <si>
    <t>Prepayments (13-Month Average)</t>
  </si>
  <si>
    <t>$/Month</t>
  </si>
  <si>
    <t>$/KWH</t>
  </si>
  <si>
    <t>$/KW</t>
  </si>
  <si>
    <t>Summary of Cost-Based Rates</t>
  </si>
  <si>
    <t>Actual</t>
  </si>
  <si>
    <t>Linear Regression Inputs</t>
  </si>
  <si>
    <t>Unit Cost</t>
  </si>
  <si>
    <t>Size</t>
  </si>
  <si>
    <t>Cost</t>
  </si>
  <si>
    <t>Quantity</t>
  </si>
  <si>
    <t>($ per Unit)</t>
  </si>
  <si>
    <t>y*n^0.5</t>
  </si>
  <si>
    <t>n^0.5</t>
  </si>
  <si>
    <t>xn^0.5</t>
  </si>
  <si>
    <t>Zero Intercept Linear Regression Results</t>
  </si>
  <si>
    <t>LINEST Array</t>
  </si>
  <si>
    <t>Size Coefficient  ($ per MCM)</t>
  </si>
  <si>
    <t>Zero Intercept ($ per Unit)</t>
  </si>
  <si>
    <t>R-Square</t>
  </si>
  <si>
    <t>Plant Classification</t>
  </si>
  <si>
    <t>Total Number of Units</t>
  </si>
  <si>
    <t>Zero Intercept ($/Unit)</t>
  </si>
  <si>
    <t>Minimum System ($/Unit)</t>
  </si>
  <si>
    <t>Use Min System (M) or Zero Intercept (Z)?</t>
  </si>
  <si>
    <t>Zero Intercept or Min System Cost ($)</t>
  </si>
  <si>
    <t>Total Cost of Sample</t>
  </si>
  <si>
    <t>Percentage of Total</t>
  </si>
  <si>
    <t>Percentage Classified as Customer-Related</t>
  </si>
  <si>
    <t>Percentage Classified as Demand-Related</t>
  </si>
  <si>
    <t>Account 365 - Overhead Conductors and Devices</t>
  </si>
  <si>
    <t>Z</t>
  </si>
  <si>
    <t>Account 367 - Underground Conductors and Devices</t>
  </si>
  <si>
    <t>Account 368 - Line Transformers</t>
  </si>
  <si>
    <t>NARUC CAM</t>
  </si>
  <si>
    <t>Incl?</t>
  </si>
  <si>
    <t>Qty</t>
  </si>
  <si>
    <t>*</t>
  </si>
  <si>
    <t xml:space="preserve">* Only single-phase up to 50 KVA should be included </t>
  </si>
  <si>
    <t>in the Customer-related component per NARUC CAM</t>
  </si>
  <si>
    <t>Descripton</t>
  </si>
  <si>
    <t>Acct</t>
  </si>
  <si>
    <t>Zero Intercept &amp; Minimum System Analyses</t>
  </si>
  <si>
    <t>Meter Reading Billing and Cust Acct Service</t>
  </si>
  <si>
    <t>Production &amp; Purchased Power Demand (per KWH or KW)</t>
  </si>
  <si>
    <t>Transmission Demand (per KWH or KW)</t>
  </si>
  <si>
    <t>Distribution Demand (per KWH or KW)</t>
  </si>
  <si>
    <t>Production &amp; Purchased Power Demand (Per KWH or KW)</t>
  </si>
  <si>
    <t>Production &amp; Purchased Power Demand Margin (Per KWH or KW)</t>
  </si>
  <si>
    <t>Transmission Demand (Per KWH or KW)</t>
  </si>
  <si>
    <t>Transmission Demand Margin (Per KWH or KW)</t>
  </si>
  <si>
    <t>Total Transmission Demand (Per KWH or KW)</t>
  </si>
  <si>
    <t>Distribution Demand (Per KWH or KW)</t>
  </si>
  <si>
    <t>Distribution Demand Margin (Per KWH or KW)</t>
  </si>
  <si>
    <t>Total Distribution Demand (Per KWH or KW)</t>
  </si>
  <si>
    <t>Estimated ES Demand Share</t>
  </si>
  <si>
    <t>Estimated ES Energy Share</t>
  </si>
  <si>
    <t>SubTotal Demand $</t>
  </si>
  <si>
    <t>SubTotal Energy $</t>
  </si>
  <si>
    <t>SubTotal $</t>
  </si>
  <si>
    <t>SubTotal Demand %</t>
  </si>
  <si>
    <t>SubTotal Energy %</t>
  </si>
  <si>
    <t>AMORT Property Losses &amp; Unrecover</t>
  </si>
  <si>
    <t>4/0 ACSR</t>
  </si>
  <si>
    <t>3/0 ACSR</t>
  </si>
  <si>
    <t>1/0 ACSR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</si>
  <si>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</si>
  <si>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</si>
  <si>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</si>
  <si>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</si>
  <si>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</si>
  <si>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</si>
  <si>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</si>
  <si>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</si>
  <si>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</si>
  <si>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</si>
  <si>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</si>
  <si>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</si>
  <si>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.</t>
  </si>
  <si>
    <t>Share of</t>
  </si>
  <si>
    <t>&lt;reserved&gt;</t>
  </si>
  <si>
    <t>Wages &amp; Salaries</t>
  </si>
  <si>
    <t>CUMBERLAND VALLEY ELECTRIC</t>
  </si>
  <si>
    <t>Sch I - Residential, Schools &amp; Churches</t>
  </si>
  <si>
    <t>R</t>
  </si>
  <si>
    <t>Sch I - Res TOD</t>
  </si>
  <si>
    <t>TOD</t>
  </si>
  <si>
    <t>Sch II - Small Commercial  Small Power</t>
  </si>
  <si>
    <t>C1</t>
  </si>
  <si>
    <t>C2</t>
  </si>
  <si>
    <t>Sch VII - Inclining Block Rate</t>
  </si>
  <si>
    <t>IB</t>
  </si>
  <si>
    <t>Sch III - All 3Phase Schools &amp; Churches</t>
  </si>
  <si>
    <t>E1</t>
  </si>
  <si>
    <t>Sch IV-A - Large Power 50-2500 kW</t>
  </si>
  <si>
    <t>L1</t>
  </si>
  <si>
    <t>Sch VI - Outdoor Lighting - Security Lights</t>
  </si>
  <si>
    <t>S</t>
  </si>
  <si>
    <t>Panel Production Credit</t>
  </si>
  <si>
    <t>Variance</t>
  </si>
  <si>
    <t>Total (Excluding Panel Production Credit)</t>
  </si>
  <si>
    <t>Reconciliation</t>
  </si>
  <si>
    <t>2/0 ACSR</t>
  </si>
  <si>
    <t>266.8 MCU-CU</t>
  </si>
  <si>
    <t>336.4 AL</t>
  </si>
  <si>
    <t>397.5 MCM AL</t>
  </si>
  <si>
    <t>AERIAL CABLE</t>
  </si>
  <si>
    <t>4/0 AERIAL CABLE</t>
  </si>
  <si>
    <t>AERIAL CABLE 2</t>
  </si>
  <si>
    <t>2 SP CABLE</t>
  </si>
  <si>
    <t>1/0 SP CABLE</t>
  </si>
  <si>
    <t>4/0 SP CABLE</t>
  </si>
  <si>
    <t>2 URD TRIPLEX</t>
  </si>
  <si>
    <t>4 URD TRIPLEX</t>
  </si>
  <si>
    <t>350 URD TRIPLEX</t>
  </si>
  <si>
    <t>1/0 URD CONC</t>
  </si>
  <si>
    <t>4/0 URD CONC</t>
  </si>
  <si>
    <t>4/0 URD TRIPLEX</t>
  </si>
  <si>
    <t>2/0 URD TRIPLEX</t>
  </si>
  <si>
    <t>350 URD QUAD</t>
  </si>
  <si>
    <t>2 URD CONC</t>
  </si>
  <si>
    <t>2 URD SOL</t>
  </si>
  <si>
    <t>500 KVA 3PH PAD MT</t>
  </si>
  <si>
    <t>750KVA, 1000KVA 3PH PAD MT</t>
  </si>
  <si>
    <t>1500 KVA PAD MT</t>
  </si>
  <si>
    <t>500 KVA URD</t>
  </si>
  <si>
    <t>300 KVA URD</t>
  </si>
  <si>
    <t>1667 AUTO CONVERSION TRANSFORMER</t>
  </si>
  <si>
    <t>2000 KVA 3PH PADMOUNT</t>
  </si>
  <si>
    <t>10 KVA CONV.</t>
  </si>
  <si>
    <t>15 KVA CONV.</t>
  </si>
  <si>
    <t>25 KVA CONV.</t>
  </si>
  <si>
    <t>50 KVA CONV.</t>
  </si>
  <si>
    <t>75 KVA CONV.</t>
  </si>
  <si>
    <t>100 KVA CONV.</t>
  </si>
  <si>
    <t>167 KVA CONV.</t>
  </si>
  <si>
    <t>250 KVA CONV.</t>
  </si>
  <si>
    <t>333 KVA CONV.</t>
  </si>
  <si>
    <t>500 KVA CONV.</t>
  </si>
  <si>
    <t>1.5 KVA CSP</t>
  </si>
  <si>
    <t>10 KVA CSP</t>
  </si>
  <si>
    <t>15 KVA CSP</t>
  </si>
  <si>
    <t>25 KVA CSP</t>
  </si>
  <si>
    <t>50 KVA CSP</t>
  </si>
  <si>
    <t>75 KVA CSP</t>
  </si>
  <si>
    <t>3 KVA CSP</t>
  </si>
  <si>
    <t>5 KVA CSP</t>
  </si>
  <si>
    <t>7.5 KVA CSP</t>
  </si>
  <si>
    <t>37.5 KVA CONV.</t>
  </si>
  <si>
    <t>Method</t>
  </si>
  <si>
    <t xml:space="preserve">Distribution </t>
  </si>
  <si>
    <t>Labor Expenses - for Labor Allocator</t>
  </si>
  <si>
    <t>Energy Usage (kWh)</t>
  </si>
  <si>
    <t>6 ACWC</t>
  </si>
  <si>
    <t>8 ACWC</t>
  </si>
  <si>
    <t>4 HD CU</t>
  </si>
  <si>
    <t>6 HD CU</t>
  </si>
  <si>
    <t>2 ACSR</t>
  </si>
  <si>
    <t>4 ACSR</t>
  </si>
  <si>
    <t>Target</t>
  </si>
  <si>
    <t>Cost-Based Rates</t>
  </si>
  <si>
    <t>Depreciation Expense Normalization</t>
  </si>
  <si>
    <t>Donations, Advertising, Dues, &amp; Other</t>
  </si>
  <si>
    <t>Miscellaneous Expenses</t>
  </si>
  <si>
    <t>Directors Expense</t>
  </si>
  <si>
    <t>Professional Services</t>
  </si>
  <si>
    <t>Interest</t>
  </si>
  <si>
    <t>Life Insurance Premiums</t>
  </si>
  <si>
    <t>After Proposed Rate Revisions</t>
  </si>
  <si>
    <t>Proposed Rate Revisions</t>
  </si>
  <si>
    <t>Total excl Lighting</t>
  </si>
  <si>
    <t>FAC</t>
  </si>
  <si>
    <t>ES</t>
  </si>
  <si>
    <t>CD</t>
  </si>
  <si>
    <t>Demand Charge Contract</t>
  </si>
  <si>
    <t>Interruptible Credit</t>
  </si>
  <si>
    <t>Total Demand</t>
  </si>
  <si>
    <t>Total Energy</t>
  </si>
  <si>
    <t>Check</t>
  </si>
  <si>
    <t>GD</t>
  </si>
  <si>
    <t>Exponential Digital Inc. (Oven Fork)</t>
  </si>
  <si>
    <t>Exponential Digital Inc.</t>
  </si>
  <si>
    <t>RECs</t>
  </si>
  <si>
    <t>Buy Thru Charges</t>
  </si>
  <si>
    <t>Buy Thru Credits</t>
  </si>
  <si>
    <t>CP Demand (kW)</t>
  </si>
  <si>
    <t>NCP Demand (kW)</t>
  </si>
  <si>
    <t>VB</t>
  </si>
  <si>
    <t>VC</t>
  </si>
  <si>
    <t>Billing Demand kW</t>
  </si>
  <si>
    <t>CP Demand kW</t>
  </si>
  <si>
    <t>NCP Demand kW</t>
  </si>
  <si>
    <t>Actual kWh</t>
  </si>
  <si>
    <t>Billing kWh</t>
  </si>
  <si>
    <t>EKPC Bills Other Than E-2</t>
  </si>
  <si>
    <t>Contract Demand kW</t>
  </si>
  <si>
    <t>Minimum kWh</t>
  </si>
  <si>
    <t>NA</t>
  </si>
  <si>
    <t>CD (retail V-C)</t>
  </si>
  <si>
    <t>GD (retail V-B)</t>
  </si>
  <si>
    <t>Target Incr</t>
  </si>
  <si>
    <t>ROROB</t>
  </si>
  <si>
    <t>Target ROROB</t>
  </si>
  <si>
    <t>Year-End Customer Normalization</t>
  </si>
  <si>
    <t>G&amp;T Capital Credits</t>
  </si>
  <si>
    <t>Large Power Members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</si>
</sst>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_(&quot;$&quot;* #,##0_);_(&quot;$&quot;* \(#,##0\);_(&quot;$&quot;* &quot;-&quot;??_);_(@_)"/>
    <numFmt numFmtId="166" formatCode="_(* #,##0_);_(* \(#,##0\);_(* &quot;-&quot;??_);_(@_)"/>
    <numFmt numFmtId="167" formatCode="0.000"/>
    <numFmt numFmtId="168" formatCode="0.0000"/>
    <numFmt numFmtId="169" formatCode="0.000000"/>
    <numFmt numFmtId="170" formatCode="_(* #,##0.0000_);_(* \(#,##0.0000\);_(* &quot;-&quot;??_);_(@_)"/>
    <numFmt numFmtId="171" formatCode="_(* #,##0.00000_);_(* \(#,##0.00000\);_(* &quot;-&quot;??_);_(@_)"/>
    <numFmt numFmtId="172" formatCode="_(* #,##0.000000_);_(* \(#,##0.000000\);_(* &quot;-&quot;??_);_(@_)"/>
    <numFmt numFmtId="173" formatCode="0.0000000"/>
    <numFmt numFmtId="174" formatCode="0.00000000"/>
    <numFmt numFmtId="175" formatCode="0.000000000"/>
    <numFmt numFmtId="176" formatCode="_(* #,##0.000000_);_(* \(#,##0.000000\);_(* &quot;-&quot;??????_);_(@_)"/>
    <numFmt numFmtId="177" formatCode="_(* #,##0.000_);_(* \(#,##0.000\);_(* &quot;-&quot;??_);_(@_)"/>
    <numFmt numFmtId="178" formatCode="_(* #,##0.0000000_);_(* \(#,##0.0000000\);_(* &quot;-&quot;??_);_(@_)"/>
    <numFmt numFmtId="179" formatCode="[$-409]mmm\-yy;@"/>
    <numFmt numFmtId="180" formatCode="mmm\ yyyy"/>
    <numFmt numFmtId="181" formatCode="_(&quot;$&quot;* #,##0.000_);_(&quot;$&quot;* \(#,##0.000\);_(&quot;$&quot;* &quot;-&quot;??_);_(@_)"/>
    <numFmt numFmtId="182" formatCode="0.0%"/>
    <numFmt numFmtId="183" formatCode="_(* #,##0.0000_);_(* \(#,##0.0000\);_(* &quot;-&quot;????_);_(@_)"/>
    <numFmt numFmtId="184" formatCode="0.0000%"/>
    <numFmt numFmtId="185" formatCode="0.00000%"/>
  </numFmts>
  <fonts count="16" x14ac:knownFonts="1">
    <font>
      <sz val="11"/>
      <name val="Times New Roman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b/>
      <i/>
      <sz val="10"/>
      <name val="Arial"/>
      <family val="2"/>
    </font>
    <font>
      <sz val="10"/>
      <color rgb="FF7030A0"/>
      <name val="Arial"/>
      <family val="2"/>
    </font>
    <font>
      <sz val="8"/>
      <name val="Times New Roman"/>
      <family val="1"/>
    </font>
    <font>
      <sz val="10"/>
      <color rgb="FF0000FF"/>
      <name val="Arial"/>
      <family val="2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6">
    <xf numFmtId="0" fontId="0" fillId="0" borderId="0" xfId="0"/>
    <xf numFmtId="0" fontId="0" fillId="0" borderId="0" xfId="0" applyAlignment="1">
      <alignment horizontal="centerContinuous"/>
    </xf>
    <xf numFmtId="0" fontId="2" fillId="0" borderId="0" xfId="0" applyFont="1"/>
    <xf numFmtId="169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 wrapText="1"/>
    </xf>
    <xf numFmtId="0" fontId="1" fillId="0" borderId="0" xfId="0" applyFont="1"/>
    <xf numFmtId="167" fontId="0" fillId="0" borderId="0" xfId="0" applyNumberForma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77" fontId="3" fillId="0" borderId="0" xfId="1" applyNumberFormat="1" applyFont="1" applyAlignment="1">
      <alignment horizontal="right"/>
    </xf>
    <xf numFmtId="166" fontId="3" fillId="0" borderId="0" xfId="1" applyNumberFormat="1" applyFont="1" applyAlignment="1">
      <alignment horizontal="center"/>
    </xf>
    <xf numFmtId="177" fontId="3" fillId="0" borderId="2" xfId="1" applyNumberFormat="1" applyFont="1" applyBorder="1" applyAlignment="1">
      <alignment horizontal="left"/>
    </xf>
    <xf numFmtId="177" fontId="3" fillId="0" borderId="2" xfId="1" applyNumberFormat="1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166" fontId="3" fillId="0" borderId="2" xfId="1" applyNumberFormat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166" fontId="4" fillId="0" borderId="0" xfId="1" applyNumberFormat="1" applyFont="1"/>
    <xf numFmtId="43" fontId="4" fillId="0" borderId="0" xfId="1" applyFont="1"/>
    <xf numFmtId="0" fontId="4" fillId="0" borderId="3" xfId="0" applyFont="1" applyBorder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66" fontId="3" fillId="0" borderId="2" xfId="1" applyNumberFormat="1" applyFont="1" applyBorder="1" applyAlignment="1">
      <alignment horizontal="right"/>
    </xf>
    <xf numFmtId="177" fontId="4" fillId="0" borderId="0" xfId="1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166" fontId="4" fillId="0" borderId="0" xfId="0" applyNumberFormat="1" applyFont="1"/>
    <xf numFmtId="44" fontId="4" fillId="0" borderId="3" xfId="0" applyNumberFormat="1" applyFont="1" applyBorder="1"/>
    <xf numFmtId="166" fontId="4" fillId="0" borderId="3" xfId="1" applyNumberFormat="1" applyFont="1" applyBorder="1"/>
    <xf numFmtId="171" fontId="4" fillId="0" borderId="0" xfId="1" applyNumberFormat="1" applyFont="1"/>
    <xf numFmtId="170" fontId="4" fillId="0" borderId="0" xfId="1" applyNumberFormat="1" applyFont="1"/>
    <xf numFmtId="177" fontId="4" fillId="0" borderId="0" xfId="1" applyNumberFormat="1" applyFont="1"/>
    <xf numFmtId="44" fontId="4" fillId="0" borderId="0" xfId="2" applyFont="1"/>
    <xf numFmtId="165" fontId="4" fillId="0" borderId="0" xfId="2" applyNumberFormat="1" applyFont="1"/>
    <xf numFmtId="168" fontId="4" fillId="0" borderId="0" xfId="0" applyNumberFormat="1" applyFont="1"/>
    <xf numFmtId="10" fontId="4" fillId="0" borderId="4" xfId="3" applyNumberFormat="1" applyFont="1" applyBorder="1"/>
    <xf numFmtId="10" fontId="4" fillId="0" borderId="5" xfId="0" applyNumberFormat="1" applyFont="1" applyBorder="1"/>
    <xf numFmtId="10" fontId="4" fillId="0" borderId="0" xfId="0" applyNumberFormat="1" applyFont="1"/>
    <xf numFmtId="43" fontId="4" fillId="0" borderId="0" xfId="1" applyFont="1" applyFill="1"/>
    <xf numFmtId="172" fontId="4" fillId="0" borderId="0" xfId="1" applyNumberFormat="1" applyFont="1" applyFill="1"/>
    <xf numFmtId="166" fontId="4" fillId="0" borderId="0" xfId="1" applyNumberFormat="1" applyFont="1" applyFill="1"/>
    <xf numFmtId="43" fontId="3" fillId="0" borderId="0" xfId="1" applyFont="1" applyFill="1" applyBorder="1" applyAlignment="1">
      <alignment horizontal="center"/>
    </xf>
    <xf numFmtId="166" fontId="3" fillId="0" borderId="0" xfId="1" applyNumberFormat="1" applyFont="1" applyFill="1" applyBorder="1" applyAlignment="1"/>
    <xf numFmtId="43" fontId="3" fillId="0" borderId="0" xfId="1" applyFont="1" applyFill="1" applyBorder="1" applyAlignment="1">
      <alignment horizontal="right"/>
    </xf>
    <xf numFmtId="172" fontId="4" fillId="0" borderId="0" xfId="1" applyNumberFormat="1" applyFont="1" applyFill="1" applyBorder="1" applyAlignment="1">
      <alignment horizontal="center" wrapText="1"/>
    </xf>
    <xf numFmtId="166" fontId="3" fillId="0" borderId="0" xfId="1" applyNumberFormat="1" applyFont="1" applyFill="1" applyBorder="1" applyAlignment="1">
      <alignment horizontal="right"/>
    </xf>
    <xf numFmtId="43" fontId="3" fillId="0" borderId="0" xfId="1" applyFont="1" applyFill="1" applyBorder="1" applyAlignment="1">
      <alignment horizontal="right" wrapText="1"/>
    </xf>
    <xf numFmtId="172" fontId="4" fillId="0" borderId="0" xfId="1" applyNumberFormat="1" applyFont="1" applyFill="1" applyAlignment="1">
      <alignment horizontal="center"/>
    </xf>
    <xf numFmtId="43" fontId="3" fillId="0" borderId="0" xfId="1" applyFont="1" applyFill="1" applyAlignment="1">
      <alignment horizontal="right"/>
    </xf>
    <xf numFmtId="166" fontId="3" fillId="0" borderId="0" xfId="1" applyNumberFormat="1" applyFont="1" applyFill="1" applyAlignment="1">
      <alignment horizontal="center"/>
    </xf>
    <xf numFmtId="172" fontId="3" fillId="0" borderId="0" xfId="1" applyNumberFormat="1" applyFont="1" applyFill="1" applyAlignment="1">
      <alignment horizontal="center"/>
    </xf>
    <xf numFmtId="172" fontId="3" fillId="0" borderId="0" xfId="1" applyNumberFormat="1" applyFont="1" applyFill="1" applyAlignment="1">
      <alignment horizontal="right"/>
    </xf>
    <xf numFmtId="0" fontId="5" fillId="0" borderId="0" xfId="0" applyFont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right"/>
    </xf>
    <xf numFmtId="172" fontId="3" fillId="0" borderId="1" xfId="1" applyNumberFormat="1" applyFont="1" applyFill="1" applyBorder="1" applyAlignment="1">
      <alignment horizontal="right"/>
    </xf>
    <xf numFmtId="165" fontId="4" fillId="0" borderId="0" xfId="2" applyNumberFormat="1" applyFont="1" applyFill="1"/>
    <xf numFmtId="10" fontId="4" fillId="0" borderId="0" xfId="3" applyNumberFormat="1" applyFont="1" applyFill="1"/>
    <xf numFmtId="165" fontId="4" fillId="0" borderId="0" xfId="2" applyNumberFormat="1" applyFont="1" applyFill="1" applyBorder="1"/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65" fontId="4" fillId="0" borderId="6" xfId="2" applyNumberFormat="1" applyFont="1" applyFill="1" applyBorder="1" applyAlignment="1">
      <alignment vertical="center"/>
    </xf>
    <xf numFmtId="10" fontId="4" fillId="0" borderId="6" xfId="3" applyNumberFormat="1" applyFont="1" applyFill="1" applyBorder="1" applyAlignment="1">
      <alignment vertical="center"/>
    </xf>
    <xf numFmtId="43" fontId="4" fillId="0" borderId="6" xfId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44" fontId="4" fillId="0" borderId="0" xfId="2" applyFont="1" applyFill="1" applyBorder="1"/>
    <xf numFmtId="10" fontId="4" fillId="0" borderId="0" xfId="3" applyNumberFormat="1" applyFont="1" applyFill="1" applyBorder="1"/>
    <xf numFmtId="43" fontId="4" fillId="0" borderId="0" xfId="1" applyFont="1" applyFill="1" applyBorder="1" applyAlignment="1">
      <alignment horizontal="right"/>
    </xf>
    <xf numFmtId="43" fontId="4" fillId="0" borderId="0" xfId="1" applyFont="1" applyFill="1" applyAlignment="1">
      <alignment horizontal="right"/>
    </xf>
    <xf numFmtId="43" fontId="4" fillId="0" borderId="0" xfId="0" applyNumberFormat="1" applyFont="1"/>
    <xf numFmtId="166" fontId="4" fillId="0" borderId="0" xfId="1" applyNumberFormat="1" applyFont="1" applyFill="1" applyAlignment="1">
      <alignment vertical="center"/>
    </xf>
    <xf numFmtId="0" fontId="4" fillId="0" borderId="0" xfId="0" applyFont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3" fillId="0" borderId="1" xfId="0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Continuous"/>
    </xf>
    <xf numFmtId="2" fontId="4" fillId="0" borderId="0" xfId="0" applyNumberFormat="1" applyFont="1"/>
    <xf numFmtId="165" fontId="4" fillId="0" borderId="0" xfId="0" applyNumberFormat="1" applyFont="1"/>
    <xf numFmtId="2" fontId="4" fillId="0" borderId="0" xfId="0" applyNumberFormat="1" applyFont="1" applyAlignment="1">
      <alignment horizontal="center"/>
    </xf>
    <xf numFmtId="0" fontId="3" fillId="0" borderId="0" xfId="0" quotePrefix="1" applyFont="1"/>
    <xf numFmtId="0" fontId="4" fillId="0" borderId="0" xfId="0" quotePrefix="1" applyFont="1"/>
    <xf numFmtId="169" fontId="4" fillId="0" borderId="0" xfId="0" applyNumberFormat="1" applyFont="1"/>
    <xf numFmtId="169" fontId="4" fillId="0" borderId="0" xfId="1" applyNumberFormat="1" applyFont="1" applyFill="1"/>
    <xf numFmtId="169" fontId="4" fillId="0" borderId="0" xfId="0" applyNumberFormat="1" applyFont="1" applyAlignment="1">
      <alignment horizontal="centerContinuous"/>
    </xf>
    <xf numFmtId="166" fontId="4" fillId="0" borderId="0" xfId="1" applyNumberFormat="1" applyFont="1" applyFill="1" applyAlignment="1">
      <alignment horizontal="centerContinuous"/>
    </xf>
    <xf numFmtId="171" fontId="4" fillId="0" borderId="0" xfId="1" applyNumberFormat="1" applyFont="1" applyFill="1"/>
    <xf numFmtId="165" fontId="4" fillId="0" borderId="3" xfId="2" applyNumberFormat="1" applyFont="1" applyFill="1" applyBorder="1"/>
    <xf numFmtId="10" fontId="3" fillId="0" borderId="9" xfId="3" applyNumberFormat="1" applyFont="1" applyFill="1" applyBorder="1"/>
    <xf numFmtId="165" fontId="4" fillId="0" borderId="3" xfId="0" applyNumberFormat="1" applyFont="1" applyBorder="1"/>
    <xf numFmtId="172" fontId="4" fillId="0" borderId="0" xfId="0" applyNumberFormat="1" applyFont="1"/>
    <xf numFmtId="167" fontId="4" fillId="0" borderId="0" xfId="0" applyNumberFormat="1" applyFont="1"/>
    <xf numFmtId="164" fontId="4" fillId="0" borderId="0" xfId="2" applyNumberFormat="1" applyFont="1" applyFill="1"/>
    <xf numFmtId="164" fontId="4" fillId="0" borderId="0" xfId="0" applyNumberFormat="1" applyFont="1"/>
    <xf numFmtId="172" fontId="7" fillId="0" borderId="0" xfId="0" applyNumberFormat="1" applyFont="1" applyAlignment="1">
      <alignment vertical="center"/>
    </xf>
    <xf numFmtId="176" fontId="4" fillId="0" borderId="0" xfId="0" applyNumberFormat="1" applyFont="1"/>
    <xf numFmtId="172" fontId="7" fillId="0" borderId="0" xfId="0" applyNumberFormat="1" applyFont="1"/>
    <xf numFmtId="43" fontId="7" fillId="0" borderId="0" xfId="1" applyFont="1" applyFill="1"/>
    <xf numFmtId="172" fontId="4" fillId="0" borderId="0" xfId="0" applyNumberFormat="1" applyFont="1" applyAlignment="1">
      <alignment vertical="center"/>
    </xf>
    <xf numFmtId="178" fontId="4" fillId="0" borderId="0" xfId="0" applyNumberFormat="1" applyFont="1"/>
    <xf numFmtId="171" fontId="4" fillId="0" borderId="0" xfId="0" applyNumberFormat="1" applyFont="1"/>
    <xf numFmtId="10" fontId="4" fillId="0" borderId="0" xfId="0" applyNumberFormat="1" applyFont="1" applyAlignment="1">
      <alignment horizontal="right"/>
    </xf>
    <xf numFmtId="43" fontId="4" fillId="0" borderId="0" xfId="0" applyNumberFormat="1" applyFont="1" applyAlignment="1">
      <alignment horizontal="right"/>
    </xf>
    <xf numFmtId="172" fontId="4" fillId="0" borderId="0" xfId="0" applyNumberFormat="1" applyFont="1" applyAlignment="1">
      <alignment horizontal="right"/>
    </xf>
    <xf numFmtId="166" fontId="4" fillId="0" borderId="0" xfId="1" applyNumberFormat="1" applyFont="1" applyFill="1" applyAlignment="1">
      <alignment horizontal="right"/>
    </xf>
    <xf numFmtId="0" fontId="3" fillId="0" borderId="2" xfId="0" applyFont="1" applyBorder="1" applyAlignment="1">
      <alignment horizontal="left"/>
    </xf>
    <xf numFmtId="1" fontId="4" fillId="0" borderId="0" xfId="0" applyNumberFormat="1" applyFont="1"/>
    <xf numFmtId="1" fontId="4" fillId="0" borderId="0" xfId="0" applyNumberFormat="1" applyFont="1" applyAlignment="1">
      <alignment horizontal="center"/>
    </xf>
    <xf numFmtId="166" fontId="4" fillId="0" borderId="0" xfId="1" applyNumberFormat="1" applyFont="1" applyFill="1" applyAlignment="1"/>
    <xf numFmtId="166" fontId="4" fillId="0" borderId="0" xfId="3" applyNumberFormat="1" applyFont="1" applyFill="1" applyAlignment="1"/>
    <xf numFmtId="165" fontId="4" fillId="0" borderId="0" xfId="2" applyNumberFormat="1" applyFont="1" applyFill="1" applyAlignment="1"/>
    <xf numFmtId="9" fontId="4" fillId="0" borderId="0" xfId="3" applyFont="1" applyFill="1"/>
    <xf numFmtId="0" fontId="4" fillId="0" borderId="3" xfId="0" applyFont="1" applyBorder="1" applyAlignment="1">
      <alignment horizontal="center"/>
    </xf>
    <xf numFmtId="166" fontId="4" fillId="0" borderId="3" xfId="1" applyNumberFormat="1" applyFont="1" applyFill="1" applyBorder="1" applyAlignment="1"/>
    <xf numFmtId="165" fontId="4" fillId="0" borderId="3" xfId="2" applyNumberFormat="1" applyFont="1" applyFill="1" applyBorder="1" applyAlignment="1"/>
    <xf numFmtId="166" fontId="4" fillId="0" borderId="3" xfId="0" applyNumberFormat="1" applyFont="1" applyBorder="1"/>
    <xf numFmtId="10" fontId="4" fillId="0" borderId="3" xfId="3" applyNumberFormat="1" applyFont="1" applyFill="1" applyBorder="1"/>
    <xf numFmtId="44" fontId="4" fillId="0" borderId="0" xfId="2" applyFont="1" applyFill="1"/>
    <xf numFmtId="166" fontId="3" fillId="0" borderId="0" xfId="1" applyNumberFormat="1" applyFont="1" applyFill="1" applyAlignment="1">
      <alignment horizontal="right"/>
    </xf>
    <xf numFmtId="166" fontId="3" fillId="0" borderId="0" xfId="0" applyNumberFormat="1" applyFont="1" applyAlignment="1">
      <alignment horizontal="right"/>
    </xf>
    <xf numFmtId="166" fontId="8" fillId="0" borderId="0" xfId="1" applyNumberFormat="1" applyFont="1" applyFill="1" applyAlignment="1">
      <alignment horizontal="left"/>
    </xf>
    <xf numFmtId="166" fontId="8" fillId="0" borderId="0" xfId="1" applyNumberFormat="1" applyFont="1" applyFill="1" applyAlignment="1">
      <alignment horizontal="center"/>
    </xf>
    <xf numFmtId="180" fontId="8" fillId="0" borderId="0" xfId="1" applyNumberFormat="1" applyFont="1" applyFill="1" applyAlignment="1">
      <alignment horizontal="right"/>
    </xf>
    <xf numFmtId="166" fontId="8" fillId="0" borderId="0" xfId="1" applyNumberFormat="1" applyFont="1" applyFill="1" applyAlignment="1">
      <alignment horizontal="right"/>
    </xf>
    <xf numFmtId="0" fontId="7" fillId="0" borderId="0" xfId="0" applyFont="1"/>
    <xf numFmtId="4" fontId="4" fillId="0" borderId="0" xfId="0" applyNumberFormat="1" applyFont="1"/>
    <xf numFmtId="166" fontId="4" fillId="0" borderId="0" xfId="0" applyNumberFormat="1" applyFont="1" applyAlignment="1">
      <alignment horizontal="center"/>
    </xf>
    <xf numFmtId="179" fontId="5" fillId="0" borderId="0" xfId="0" applyNumberFormat="1" applyFont="1" applyAlignment="1">
      <alignment horizontal="center"/>
    </xf>
    <xf numFmtId="179" fontId="3" fillId="0" borderId="0" xfId="0" applyNumberFormat="1" applyFont="1" applyAlignment="1">
      <alignment horizontal="center"/>
    </xf>
    <xf numFmtId="166" fontId="4" fillId="0" borderId="0" xfId="1" applyNumberFormat="1" applyFont="1" applyAlignment="1">
      <alignment horizontal="center"/>
    </xf>
    <xf numFmtId="166" fontId="3" fillId="0" borderId="10" xfId="1" applyNumberFormat="1" applyFont="1" applyBorder="1" applyAlignment="1">
      <alignment horizontal="center"/>
    </xf>
    <xf numFmtId="165" fontId="4" fillId="0" borderId="0" xfId="3" applyNumberFormat="1" applyFont="1"/>
    <xf numFmtId="43" fontId="3" fillId="0" borderId="0" xfId="1" applyFont="1"/>
    <xf numFmtId="9" fontId="4" fillId="0" borderId="0" xfId="3" applyFont="1"/>
    <xf numFmtId="0" fontId="3" fillId="0" borderId="1" xfId="0" applyFont="1" applyBorder="1" applyAlignment="1">
      <alignment horizontal="center" wrapText="1"/>
    </xf>
    <xf numFmtId="0" fontId="4" fillId="0" borderId="0" xfId="1" applyNumberFormat="1" applyFont="1" applyFill="1" applyAlignment="1">
      <alignment horizontal="center"/>
    </xf>
    <xf numFmtId="165" fontId="4" fillId="0" borderId="0" xfId="2" applyNumberFormat="1" applyFont="1" applyFill="1" applyAlignment="1">
      <alignment horizontal="right"/>
    </xf>
    <xf numFmtId="10" fontId="4" fillId="0" borderId="0" xfId="3" applyNumberFormat="1" applyFont="1" applyFill="1" applyAlignment="1">
      <alignment horizontal="right"/>
    </xf>
    <xf numFmtId="0" fontId="4" fillId="0" borderId="6" xfId="0" applyFont="1" applyBorder="1"/>
    <xf numFmtId="166" fontId="4" fillId="0" borderId="6" xfId="1" applyNumberFormat="1" applyFont="1" applyFill="1" applyBorder="1" applyAlignment="1">
      <alignment horizontal="center"/>
    </xf>
    <xf numFmtId="166" fontId="4" fillId="0" borderId="6" xfId="1" applyNumberFormat="1" applyFont="1" applyFill="1" applyBorder="1"/>
    <xf numFmtId="44" fontId="4" fillId="0" borderId="6" xfId="2" applyFont="1" applyFill="1" applyBorder="1"/>
    <xf numFmtId="165" fontId="4" fillId="0" borderId="6" xfId="0" applyNumberFormat="1" applyFont="1" applyBorder="1"/>
    <xf numFmtId="10" fontId="4" fillId="0" borderId="6" xfId="0" applyNumberFormat="1" applyFont="1" applyBorder="1"/>
    <xf numFmtId="166" fontId="4" fillId="0" borderId="0" xfId="1" applyNumberFormat="1" applyFont="1" applyFill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166" fontId="4" fillId="0" borderId="0" xfId="1" applyNumberFormat="1" applyFont="1" applyFill="1" applyBorder="1"/>
    <xf numFmtId="165" fontId="4" fillId="0" borderId="0" xfId="2" applyNumberFormat="1" applyFont="1" applyFill="1" applyAlignment="1">
      <alignment horizontal="center"/>
    </xf>
    <xf numFmtId="166" fontId="4" fillId="0" borderId="6" xfId="1" applyNumberFormat="1" applyFont="1" applyFill="1" applyBorder="1" applyAlignment="1">
      <alignment horizontal="right"/>
    </xf>
    <xf numFmtId="44" fontId="4" fillId="0" borderId="6" xfId="2" applyFont="1" applyFill="1" applyBorder="1" applyAlignment="1">
      <alignment horizontal="right"/>
    </xf>
    <xf numFmtId="165" fontId="4" fillId="0" borderId="6" xfId="0" applyNumberFormat="1" applyFont="1" applyBorder="1" applyAlignment="1">
      <alignment horizontal="right"/>
    </xf>
    <xf numFmtId="10" fontId="4" fillId="0" borderId="6" xfId="0" applyNumberFormat="1" applyFont="1" applyBorder="1" applyAlignment="1">
      <alignment horizontal="right"/>
    </xf>
    <xf numFmtId="166" fontId="4" fillId="0" borderId="0" xfId="1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170" fontId="4" fillId="0" borderId="0" xfId="1" applyNumberFormat="1" applyFont="1" applyFill="1"/>
    <xf numFmtId="166" fontId="4" fillId="0" borderId="3" xfId="1" applyNumberFormat="1" applyFont="1" applyFill="1" applyBorder="1"/>
    <xf numFmtId="43" fontId="7" fillId="0" borderId="0" xfId="1" applyFont="1" applyFill="1" applyAlignment="1">
      <alignment vertical="center"/>
    </xf>
    <xf numFmtId="0" fontId="3" fillId="0" borderId="10" xfId="0" applyFont="1" applyBorder="1" applyAlignment="1">
      <alignment horizontal="right"/>
    </xf>
    <xf numFmtId="9" fontId="4" fillId="0" borderId="0" xfId="0" applyNumberFormat="1" applyFont="1"/>
    <xf numFmtId="44" fontId="4" fillId="0" borderId="0" xfId="0" applyNumberFormat="1" applyFont="1"/>
    <xf numFmtId="172" fontId="3" fillId="0" borderId="0" xfId="1" applyNumberFormat="1" applyFont="1" applyFill="1" applyBorder="1" applyAlignment="1">
      <alignment horizontal="center"/>
    </xf>
    <xf numFmtId="43" fontId="4" fillId="0" borderId="0" xfId="1" applyFont="1" applyFill="1" applyBorder="1"/>
    <xf numFmtId="166" fontId="4" fillId="0" borderId="0" xfId="1" applyNumberFormat="1" applyFont="1" applyBorder="1"/>
    <xf numFmtId="171" fontId="4" fillId="0" borderId="0" xfId="1" applyNumberFormat="1" applyFont="1" applyFill="1" applyBorder="1"/>
    <xf numFmtId="43" fontId="4" fillId="0" borderId="1" xfId="1" applyFont="1" applyFill="1" applyBorder="1" applyAlignment="1">
      <alignment horizontal="center"/>
    </xf>
    <xf numFmtId="43" fontId="4" fillId="0" borderId="1" xfId="1" applyFont="1" applyFill="1" applyBorder="1" applyAlignment="1">
      <alignment horizontal="right"/>
    </xf>
    <xf numFmtId="0" fontId="4" fillId="0" borderId="0" xfId="0" quotePrefix="1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166" fontId="4" fillId="0" borderId="0" xfId="1" applyNumberFormat="1" applyFont="1" applyFill="1" applyAlignment="1">
      <alignment wrapText="1"/>
    </xf>
    <xf numFmtId="166" fontId="6" fillId="0" borderId="0" xfId="1" applyNumberFormat="1" applyFont="1" applyFill="1" applyAlignment="1">
      <alignment horizontal="right"/>
    </xf>
    <xf numFmtId="0" fontId="3" fillId="0" borderId="7" xfId="0" applyFont="1" applyBorder="1"/>
    <xf numFmtId="0" fontId="3" fillId="0" borderId="8" xfId="0" applyFont="1" applyBorder="1"/>
    <xf numFmtId="166" fontId="3" fillId="0" borderId="0" xfId="1" applyNumberFormat="1" applyFont="1" applyFill="1"/>
    <xf numFmtId="43" fontId="3" fillId="0" borderId="0" xfId="1" applyFont="1" applyFill="1" applyBorder="1"/>
    <xf numFmtId="10" fontId="3" fillId="0" borderId="0" xfId="3" applyNumberFormat="1" applyFont="1" applyFill="1" applyBorder="1"/>
    <xf numFmtId="0" fontId="4" fillId="0" borderId="3" xfId="0" applyFont="1" applyBorder="1"/>
    <xf numFmtId="175" fontId="4" fillId="0" borderId="0" xfId="0" applyNumberFormat="1" applyFont="1"/>
    <xf numFmtId="174" fontId="4" fillId="0" borderId="0" xfId="0" applyNumberFormat="1" applyFont="1"/>
    <xf numFmtId="173" fontId="4" fillId="0" borderId="0" xfId="0" applyNumberFormat="1" applyFont="1"/>
    <xf numFmtId="0" fontId="6" fillId="0" borderId="0" xfId="0" applyFont="1"/>
    <xf numFmtId="10" fontId="4" fillId="0" borderId="0" xfId="0" applyNumberFormat="1" applyFont="1" applyAlignment="1">
      <alignment horizontal="left"/>
    </xf>
    <xf numFmtId="44" fontId="4" fillId="0" borderId="0" xfId="2" applyFont="1" applyAlignment="1">
      <alignment horizontal="right"/>
    </xf>
    <xf numFmtId="166" fontId="9" fillId="0" borderId="0" xfId="1" applyNumberFormat="1" applyFont="1" applyFill="1"/>
    <xf numFmtId="43" fontId="4" fillId="0" borderId="0" xfId="1" applyFont="1" applyAlignment="1">
      <alignment horizontal="center"/>
    </xf>
    <xf numFmtId="44" fontId="4" fillId="0" borderId="0" xfId="0" applyNumberFormat="1" applyFont="1" applyAlignment="1">
      <alignment horizontal="center"/>
    </xf>
    <xf numFmtId="177" fontId="4" fillId="0" borderId="0" xfId="1" applyNumberFormat="1" applyFont="1" applyFill="1"/>
    <xf numFmtId="181" fontId="4" fillId="0" borderId="0" xfId="0" applyNumberFormat="1" applyFont="1"/>
    <xf numFmtId="182" fontId="4" fillId="0" borderId="0" xfId="3" applyNumberFormat="1" applyFont="1" applyFill="1" applyAlignment="1">
      <alignment horizontal="right"/>
    </xf>
    <xf numFmtId="182" fontId="4" fillId="0" borderId="6" xfId="3" applyNumberFormat="1" applyFont="1" applyFill="1" applyBorder="1" applyAlignment="1">
      <alignment horizontal="right" vertical="center"/>
    </xf>
    <xf numFmtId="166" fontId="3" fillId="0" borderId="0" xfId="0" applyNumberFormat="1" applyFont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183" fontId="4" fillId="0" borderId="0" xfId="0" applyNumberFormat="1" applyFont="1"/>
    <xf numFmtId="0" fontId="10" fillId="0" borderId="0" xfId="1" applyNumberFormat="1" applyFont="1" applyFill="1"/>
    <xf numFmtId="182" fontId="4" fillId="0" borderId="0" xfId="3" applyNumberFormat="1" applyFont="1" applyFill="1"/>
    <xf numFmtId="10" fontId="3" fillId="0" borderId="4" xfId="3" applyNumberFormat="1" applyFont="1" applyFill="1" applyBorder="1"/>
    <xf numFmtId="166" fontId="4" fillId="0" borderId="0" xfId="1" applyNumberFormat="1" applyFont="1" applyFill="1" applyBorder="1" applyAlignment="1"/>
    <xf numFmtId="165" fontId="4" fillId="0" borderId="0" xfId="2" applyNumberFormat="1" applyFont="1" applyFill="1" applyBorder="1" applyAlignment="1"/>
    <xf numFmtId="1" fontId="3" fillId="0" borderId="0" xfId="0" applyNumberFormat="1" applyFont="1" applyAlignment="1">
      <alignment horizontal="center"/>
    </xf>
    <xf numFmtId="0" fontId="4" fillId="4" borderId="0" xfId="0" applyFont="1" applyFill="1"/>
    <xf numFmtId="166" fontId="4" fillId="4" borderId="0" xfId="1" applyNumberFormat="1" applyFont="1" applyFill="1" applyBorder="1"/>
    <xf numFmtId="165" fontId="4" fillId="0" borderId="0" xfId="2" applyNumberFormat="1" applyFont="1" applyAlignment="1">
      <alignment horizontal="center"/>
    </xf>
    <xf numFmtId="165" fontId="4" fillId="0" borderId="3" xfId="2" applyNumberFormat="1" applyFont="1" applyBorder="1"/>
    <xf numFmtId="165" fontId="4" fillId="0" borderId="0" xfId="2" applyNumberFormat="1" applyFont="1" applyBorder="1"/>
    <xf numFmtId="165" fontId="3" fillId="0" borderId="10" xfId="2" applyNumberFormat="1" applyFont="1" applyBorder="1" applyAlignment="1">
      <alignment horizontal="center"/>
    </xf>
    <xf numFmtId="166" fontId="4" fillId="5" borderId="0" xfId="1" applyNumberFormat="1" applyFont="1" applyFill="1"/>
    <xf numFmtId="165" fontId="4" fillId="3" borderId="0" xfId="2" applyNumberFormat="1" applyFont="1" applyFill="1"/>
    <xf numFmtId="166" fontId="4" fillId="3" borderId="0" xfId="1" applyNumberFormat="1" applyFont="1" applyFill="1"/>
    <xf numFmtId="10" fontId="4" fillId="0" borderId="0" xfId="3" applyNumberFormat="1" applyFont="1"/>
    <xf numFmtId="166" fontId="14" fillId="0" borderId="0" xfId="1" applyNumberFormat="1" applyFont="1" applyFill="1" applyAlignment="1">
      <alignment horizontal="center"/>
    </xf>
    <xf numFmtId="184" fontId="14" fillId="0" borderId="0" xfId="3" applyNumberFormat="1" applyFont="1" applyFill="1" applyAlignment="1">
      <alignment horizontal="center"/>
    </xf>
    <xf numFmtId="166" fontId="4" fillId="0" borderId="2" xfId="1" applyNumberFormat="1" applyFont="1" applyFill="1" applyBorder="1"/>
    <xf numFmtId="184" fontId="4" fillId="0" borderId="0" xfId="3" applyNumberFormat="1" applyFont="1" applyFill="1"/>
    <xf numFmtId="165" fontId="4" fillId="0" borderId="0" xfId="0" applyNumberFormat="1" applyFont="1" applyAlignment="1">
      <alignment vertical="center"/>
    </xf>
    <xf numFmtId="43" fontId="4" fillId="0" borderId="0" xfId="1" applyFont="1" applyFill="1" applyBorder="1" applyAlignment="1">
      <alignment vertical="center"/>
    </xf>
    <xf numFmtId="10" fontId="11" fillId="0" borderId="0" xfId="3" applyNumberFormat="1" applyFont="1" applyFill="1" applyBorder="1" applyAlignment="1">
      <alignment horizontal="center" vertical="center"/>
    </xf>
    <xf numFmtId="43" fontId="11" fillId="0" borderId="0" xfId="1" applyFont="1" applyFill="1" applyAlignment="1">
      <alignment horizontal="right"/>
    </xf>
    <xf numFmtId="0" fontId="11" fillId="0" borderId="0" xfId="0" applyFont="1" applyAlignment="1">
      <alignment horizontal="right"/>
    </xf>
    <xf numFmtId="43" fontId="11" fillId="0" borderId="1" xfId="1" applyFont="1" applyFill="1" applyBorder="1" applyAlignment="1">
      <alignment horizontal="right"/>
    </xf>
    <xf numFmtId="10" fontId="15" fillId="0" borderId="0" xfId="3" applyNumberFormat="1" applyFont="1" applyFill="1"/>
    <xf numFmtId="43" fontId="15" fillId="0" borderId="0" xfId="1" applyFont="1" applyFill="1"/>
    <xf numFmtId="10" fontId="15" fillId="0" borderId="0" xfId="3" applyNumberFormat="1" applyFont="1" applyFill="1" applyAlignment="1">
      <alignment horizontal="right"/>
    </xf>
    <xf numFmtId="43" fontId="15" fillId="0" borderId="0" xfId="1" applyFont="1" applyFill="1" applyAlignment="1">
      <alignment horizontal="right"/>
    </xf>
    <xf numFmtId="166" fontId="15" fillId="0" borderId="0" xfId="1" applyNumberFormat="1" applyFont="1" applyFill="1"/>
    <xf numFmtId="10" fontId="15" fillId="0" borderId="6" xfId="3" applyNumberFormat="1" applyFont="1" applyFill="1" applyBorder="1" applyAlignment="1">
      <alignment vertical="center"/>
    </xf>
    <xf numFmtId="43" fontId="15" fillId="0" borderId="6" xfId="1" applyFont="1" applyFill="1" applyBorder="1" applyAlignment="1">
      <alignment vertical="center"/>
    </xf>
    <xf numFmtId="9" fontId="4" fillId="0" borderId="0" xfId="3" applyFont="1" applyFill="1" applyAlignment="1">
      <alignment horizontal="center"/>
    </xf>
    <xf numFmtId="185" fontId="12" fillId="6" borderId="0" xfId="0" applyNumberFormat="1" applyFont="1" applyFill="1" applyAlignment="1">
      <alignment horizontal="center"/>
    </xf>
    <xf numFmtId="10" fontId="11" fillId="0" borderId="10" xfId="3" applyNumberFormat="1" applyFont="1" applyFill="1" applyBorder="1" applyAlignment="1">
      <alignment horizontal="center" vertical="center"/>
    </xf>
    <xf numFmtId="43" fontId="4" fillId="0" borderId="11" xfId="1" applyFont="1" applyFill="1" applyBorder="1" applyAlignment="1">
      <alignment horizontal="center"/>
    </xf>
    <xf numFmtId="43" fontId="4" fillId="0" borderId="10" xfId="1" applyFont="1" applyFill="1" applyBorder="1" applyAlignment="1">
      <alignment horizontal="center"/>
    </xf>
    <xf numFmtId="43" fontId="4" fillId="0" borderId="12" xfId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centerContinuous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2" fontId="4" fillId="0" borderId="0" xfId="0" applyNumberFormat="1" applyFont="1" applyFill="1"/>
    <xf numFmtId="166" fontId="4" fillId="0" borderId="0" xfId="0" applyNumberFormat="1" applyFont="1" applyFill="1"/>
    <xf numFmtId="165" fontId="4" fillId="0" borderId="0" xfId="0" applyNumberFormat="1" applyFont="1" applyFill="1"/>
    <xf numFmtId="44" fontId="4" fillId="0" borderId="0" xfId="0" applyNumberFormat="1" applyFont="1" applyFill="1"/>
    <xf numFmtId="169" fontId="4" fillId="0" borderId="0" xfId="0" applyNumberFormat="1" applyFont="1" applyFill="1"/>
    <xf numFmtId="0" fontId="4" fillId="0" borderId="0" xfId="0" applyFont="1" applyFill="1" applyAlignment="1">
      <alignment horizontal="right" vertical="center"/>
    </xf>
    <xf numFmtId="44" fontId="4" fillId="0" borderId="3" xfId="0" applyNumberFormat="1" applyFont="1" applyFill="1" applyBorder="1"/>
    <xf numFmtId="177" fontId="3" fillId="0" borderId="0" xfId="1" applyNumberFormat="1" applyFont="1" applyFill="1" applyAlignment="1">
      <alignment horizontal="righ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5"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600"/>
      </font>
    </dxf>
    <dxf>
      <font>
        <color rgb="FF9C0006"/>
      </font>
    </dxf>
    <dxf>
      <font>
        <color rgb="FF9C0006"/>
      </font>
    </dxf>
    <dxf>
      <font>
        <color rgb="FF006600"/>
      </font>
    </dxf>
    <dxf>
      <font>
        <color theme="6" tint="-0.499984740745262"/>
      </font>
    </dxf>
    <dxf>
      <font>
        <color rgb="FFC00000"/>
      </font>
    </dxf>
    <dxf>
      <font>
        <color rgb="FF9C0006"/>
      </font>
    </dxf>
    <dxf>
      <font>
        <color rgb="FF006600"/>
      </font>
    </dxf>
    <dxf>
      <font>
        <color theme="6" tint="-0.499984740745262"/>
      </font>
    </dxf>
    <dxf>
      <font>
        <condense val="0"/>
        <extend val="0"/>
        <color rgb="FF9C0006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0"/>
  <sheetViews>
    <sheetView tabSelected="1" view="pageBreakPreview" zoomScaleNormal="100" zoomScaleSheetLayoutView="100" workbookViewId="0">
      <selection activeCell="K15" sqref="K15"/>
    </sheetView>
  </sheetViews>
  <sheetFormatPr defaultColWidth="9.140625" defaultRowHeight="12.75" x14ac:dyDescent="0.2"/>
  <cols>
    <col min="1" max="1" width="4.42578125" style="14" customWidth="1"/>
    <col min="2" max="2" width="36.85546875" style="30" bestFit="1" customWidth="1"/>
    <col min="3" max="3" width="6.85546875" style="48" customWidth="1"/>
    <col min="4" max="5" width="12.28515625" style="48" bestFit="1" customWidth="1"/>
    <col min="6" max="6" width="12.7109375" style="49" customWidth="1"/>
    <col min="7" max="7" width="13.42578125" style="14" hidden="1" customWidth="1"/>
    <col min="8" max="9" width="14.28515625" style="50" bestFit="1" customWidth="1"/>
    <col min="10" max="10" width="14.28515625" style="50" customWidth="1"/>
    <col min="11" max="11" width="112.42578125" style="14" customWidth="1"/>
    <col min="12" max="12" width="14.7109375" style="50" bestFit="1" customWidth="1"/>
    <col min="13" max="13" width="15.7109375" style="50" customWidth="1"/>
    <col min="14" max="14" width="15.7109375" style="14" customWidth="1"/>
    <col min="15" max="16384" width="9.140625" style="14"/>
  </cols>
  <sheetData>
    <row r="1" spans="1:17" x14ac:dyDescent="0.2">
      <c r="A1" s="13" t="s">
        <v>1053</v>
      </c>
      <c r="I1" s="211">
        <v>2023</v>
      </c>
      <c r="J1" s="211"/>
    </row>
    <row r="2" spans="1:17" x14ac:dyDescent="0.2">
      <c r="A2" s="13" t="s">
        <v>676</v>
      </c>
      <c r="C2" s="51"/>
      <c r="D2" s="51"/>
      <c r="E2" s="51"/>
      <c r="F2" s="51"/>
      <c r="H2" s="52"/>
      <c r="I2" s="52"/>
      <c r="J2" s="52"/>
      <c r="L2" s="52"/>
      <c r="M2" s="52"/>
      <c r="N2" s="52"/>
    </row>
    <row r="3" spans="1:17" x14ac:dyDescent="0.2">
      <c r="A3" s="13"/>
      <c r="C3" s="13"/>
      <c r="D3" s="53"/>
      <c r="E3" s="53"/>
      <c r="F3" s="54"/>
      <c r="H3" s="55"/>
      <c r="I3" s="56"/>
      <c r="J3" s="56"/>
      <c r="L3" s="59" t="s">
        <v>1171</v>
      </c>
      <c r="M3" s="55"/>
      <c r="N3" s="56"/>
    </row>
    <row r="4" spans="1:17" x14ac:dyDescent="0.2">
      <c r="F4" s="57"/>
      <c r="L4" s="227">
        <v>2250000</v>
      </c>
      <c r="N4" s="50"/>
    </row>
    <row r="5" spans="1:17" x14ac:dyDescent="0.2">
      <c r="A5" s="13"/>
      <c r="B5" s="16"/>
      <c r="C5" s="58"/>
      <c r="D5" s="58"/>
      <c r="E5" s="58"/>
      <c r="F5" s="58"/>
      <c r="G5" s="58"/>
      <c r="I5" s="49"/>
      <c r="J5" s="49"/>
      <c r="L5" s="50" t="s">
        <v>1172</v>
      </c>
      <c r="N5" s="50"/>
    </row>
    <row r="6" spans="1:17" s="16" customFormat="1" x14ac:dyDescent="0.2">
      <c r="C6" s="58"/>
      <c r="D6" s="58" t="s">
        <v>908</v>
      </c>
      <c r="E6" s="58" t="s">
        <v>908</v>
      </c>
      <c r="F6" s="58"/>
      <c r="H6" s="58" t="s">
        <v>908</v>
      </c>
      <c r="I6" s="58" t="s">
        <v>960</v>
      </c>
      <c r="J6" s="58"/>
      <c r="K6" s="14"/>
      <c r="L6" s="228">
        <v>4.7600000000000003E-2</v>
      </c>
      <c r="M6" s="59"/>
      <c r="N6" s="59"/>
    </row>
    <row r="7" spans="1:17" s="16" customFormat="1" x14ac:dyDescent="0.2">
      <c r="C7" s="58"/>
      <c r="D7" s="58" t="s">
        <v>675</v>
      </c>
      <c r="E7" s="58" t="s">
        <v>675</v>
      </c>
      <c r="F7" s="61"/>
      <c r="G7" s="24"/>
      <c r="H7" s="24" t="s">
        <v>334</v>
      </c>
      <c r="I7" s="24" t="s">
        <v>334</v>
      </c>
      <c r="J7" s="24"/>
      <c r="K7" s="14"/>
      <c r="L7" s="245">
        <v>2.7230670674200444E-2</v>
      </c>
      <c r="M7" s="59"/>
      <c r="N7" s="59"/>
    </row>
    <row r="8" spans="1:17" s="16" customFormat="1" ht="13.5" thickBot="1" x14ac:dyDescent="0.25">
      <c r="A8" s="62" t="s">
        <v>966</v>
      </c>
      <c r="B8" s="63" t="s">
        <v>754</v>
      </c>
      <c r="C8" s="63" t="s">
        <v>871</v>
      </c>
      <c r="D8" s="64" t="s">
        <v>348</v>
      </c>
      <c r="E8" s="64" t="s">
        <v>674</v>
      </c>
      <c r="F8" s="64" t="s">
        <v>347</v>
      </c>
      <c r="G8" s="65" t="s">
        <v>76</v>
      </c>
      <c r="H8" s="64" t="s">
        <v>869</v>
      </c>
      <c r="I8" s="64" t="s">
        <v>869</v>
      </c>
      <c r="J8" s="53"/>
      <c r="K8" s="14"/>
      <c r="L8" s="16" t="s">
        <v>1173</v>
      </c>
    </row>
    <row r="9" spans="1:17" x14ac:dyDescent="0.2">
      <c r="A9" s="30"/>
      <c r="B9" s="13"/>
      <c r="C9" s="16"/>
      <c r="F9" s="48"/>
      <c r="G9" s="49"/>
      <c r="H9" s="14"/>
      <c r="I9" s="59"/>
      <c r="J9" s="59"/>
      <c r="M9" s="229">
        <f>SUM(M10:M16)</f>
        <v>2250000</v>
      </c>
      <c r="N9" s="50"/>
      <c r="O9" s="16"/>
      <c r="P9" s="16"/>
      <c r="Q9" s="16"/>
    </row>
    <row r="10" spans="1:17" x14ac:dyDescent="0.2">
      <c r="A10" s="30">
        <v>1</v>
      </c>
      <c r="B10" s="14" t="s">
        <v>1054</v>
      </c>
      <c r="C10" s="30" t="s">
        <v>1055</v>
      </c>
      <c r="D10" s="66">
        <f>'Alloc &amp; Returns'!F$351</f>
        <v>29602180.041909318</v>
      </c>
      <c r="E10" s="66">
        <f>'Alloc &amp; Returns'!F$385</f>
        <v>29445337.537399482</v>
      </c>
      <c r="F10" s="66">
        <f>D10-E10</f>
        <v>156842.50450983644</v>
      </c>
      <c r="G10" s="66">
        <f>'Alloc &amp; Returns'!F$393</f>
        <v>60755217.891847856</v>
      </c>
      <c r="H10" s="67">
        <f>IF(G10=0,0,F10/G10)</f>
        <v>2.581547889253502E-3</v>
      </c>
      <c r="I10" s="48">
        <f t="shared" ref="I10:I20" si="0">H10/H$26</f>
        <v>0.38026577121972721</v>
      </c>
      <c r="J10" s="48"/>
      <c r="L10" s="67">
        <f>L$7</f>
        <v>2.7230670674200444E-2</v>
      </c>
      <c r="M10" s="66">
        <f>ROUND(L10*G10-F10,2)</f>
        <v>1497562.83</v>
      </c>
      <c r="N10" s="244" t="str">
        <f>C10</f>
        <v>R</v>
      </c>
      <c r="O10" s="16"/>
      <c r="P10" s="16"/>
      <c r="Q10" s="16"/>
    </row>
    <row r="11" spans="1:17" x14ac:dyDescent="0.2">
      <c r="A11" s="30">
        <v>2</v>
      </c>
      <c r="B11" s="14" t="s">
        <v>1056</v>
      </c>
      <c r="C11" s="30" t="s">
        <v>1057</v>
      </c>
      <c r="D11" s="66">
        <f>'Alloc &amp; Returns'!G$351</f>
        <v>6890.6413595152371</v>
      </c>
      <c r="E11" s="66">
        <f>'Alloc &amp; Returns'!G$385</f>
        <v>6690.5631612728967</v>
      </c>
      <c r="F11" s="66">
        <f t="shared" ref="F11:F26" si="1">D11-E11</f>
        <v>200.07819824234048</v>
      </c>
      <c r="G11" s="66">
        <f>'Alloc &amp; Returns'!G$393</f>
        <v>17321.951094459615</v>
      </c>
      <c r="H11" s="67">
        <f t="shared" ref="H11:H17" si="2">IF(G11=0,0,F11/G11)</f>
        <v>1.1550557852939269E-2</v>
      </c>
      <c r="I11" s="48">
        <f t="shared" si="0"/>
        <v>1.7014140269294518</v>
      </c>
      <c r="J11" s="48"/>
      <c r="L11" s="67">
        <f t="shared" ref="L11:L16" si="3">L$7</f>
        <v>2.7230670674200444E-2</v>
      </c>
      <c r="M11" s="66">
        <f>ROUND(L11*G11-F11,2)</f>
        <v>271.61</v>
      </c>
      <c r="N11" s="244" t="str">
        <f t="shared" ref="N11:N17" si="4">C11</f>
        <v>TOD</v>
      </c>
      <c r="O11" s="16"/>
      <c r="P11" s="16"/>
      <c r="Q11" s="16"/>
    </row>
    <row r="12" spans="1:17" x14ac:dyDescent="0.2">
      <c r="A12" s="30">
        <v>3</v>
      </c>
      <c r="B12" s="14" t="s">
        <v>1058</v>
      </c>
      <c r="C12" s="30" t="s">
        <v>1059</v>
      </c>
      <c r="D12" s="66">
        <f>'Alloc &amp; Returns'!H$351</f>
        <v>1692413.4749087463</v>
      </c>
      <c r="E12" s="66">
        <f>'Alloc &amp; Returns'!H$385</f>
        <v>1730430.5927262092</v>
      </c>
      <c r="F12" s="66">
        <f t="shared" si="1"/>
        <v>-38017.117817462888</v>
      </c>
      <c r="G12" s="66">
        <f>'Alloc &amp; Returns'!H$393</f>
        <v>3228956.3104836014</v>
      </c>
      <c r="H12" s="67">
        <f t="shared" si="2"/>
        <v>-1.1773809913138483E-2</v>
      </c>
      <c r="I12" s="48">
        <f t="shared" si="0"/>
        <v>-1.7342993811781371</v>
      </c>
      <c r="J12" s="48"/>
      <c r="L12" s="67">
        <f t="shared" si="3"/>
        <v>2.7230670674200444E-2</v>
      </c>
      <c r="M12" s="66">
        <f t="shared" ref="M12:M16" si="5">ROUND(L12*G12-F12,2)</f>
        <v>125943.76</v>
      </c>
      <c r="N12" s="244" t="str">
        <f t="shared" si="4"/>
        <v>C1</v>
      </c>
      <c r="O12" s="16"/>
      <c r="P12" s="16"/>
      <c r="Q12" s="16"/>
    </row>
    <row r="13" spans="1:17" x14ac:dyDescent="0.2">
      <c r="A13" s="30">
        <v>4</v>
      </c>
      <c r="B13" s="14" t="s">
        <v>1058</v>
      </c>
      <c r="C13" s="30" t="s">
        <v>1060</v>
      </c>
      <c r="D13" s="66">
        <f>'Alloc &amp; Returns'!I$351</f>
        <v>1141945.3366083277</v>
      </c>
      <c r="E13" s="66">
        <f>'Alloc &amp; Returns'!I$385</f>
        <v>903934.95775096409</v>
      </c>
      <c r="F13" s="66">
        <f t="shared" si="1"/>
        <v>238010.3788573636</v>
      </c>
      <c r="G13" s="66">
        <f>'Alloc &amp; Returns'!I$393</f>
        <v>855367.26920252212</v>
      </c>
      <c r="H13" s="67">
        <f t="shared" si="2"/>
        <v>0.27825518631226787</v>
      </c>
      <c r="I13" s="48">
        <f t="shared" si="0"/>
        <v>40.987394988640098</v>
      </c>
      <c r="J13" s="48"/>
      <c r="L13" s="67">
        <f>H13</f>
        <v>0.27825518631226787</v>
      </c>
      <c r="M13" s="66">
        <v>0</v>
      </c>
      <c r="N13" s="244" t="str">
        <f t="shared" si="4"/>
        <v>C2</v>
      </c>
      <c r="O13" s="16"/>
      <c r="P13" s="16"/>
      <c r="Q13" s="16"/>
    </row>
    <row r="14" spans="1:17" x14ac:dyDescent="0.2">
      <c r="A14" s="30">
        <v>5</v>
      </c>
      <c r="B14" s="14" t="s">
        <v>1061</v>
      </c>
      <c r="C14" s="30" t="s">
        <v>1062</v>
      </c>
      <c r="D14" s="66">
        <f>'Alloc &amp; Returns'!J$351</f>
        <v>102807.63189445005</v>
      </c>
      <c r="E14" s="66">
        <f>'Alloc &amp; Returns'!J$385</f>
        <v>111187.23586681814</v>
      </c>
      <c r="F14" s="66">
        <f t="shared" si="1"/>
        <v>-8379.6039723680879</v>
      </c>
      <c r="G14" s="66">
        <f>'Alloc &amp; Returns'!J$393</f>
        <v>325293.74504705437</v>
      </c>
      <c r="H14" s="67">
        <f t="shared" si="2"/>
        <v>-2.5760114050628186E-2</v>
      </c>
      <c r="I14" s="48">
        <f t="shared" si="0"/>
        <v>-3.7945023901930583</v>
      </c>
      <c r="J14" s="48"/>
      <c r="L14" s="67">
        <f t="shared" si="3"/>
        <v>2.7230670674200444E-2</v>
      </c>
      <c r="M14" s="66">
        <f t="shared" si="5"/>
        <v>17237.57</v>
      </c>
      <c r="N14" s="244" t="str">
        <f t="shared" si="4"/>
        <v>IB</v>
      </c>
      <c r="O14" s="16"/>
      <c r="P14" s="16"/>
      <c r="Q14" s="16"/>
    </row>
    <row r="15" spans="1:17" x14ac:dyDescent="0.2">
      <c r="A15" s="30">
        <v>6</v>
      </c>
      <c r="B15" s="14" t="s">
        <v>1063</v>
      </c>
      <c r="C15" s="30" t="s">
        <v>1064</v>
      </c>
      <c r="D15" s="66">
        <f>'Alloc &amp; Returns'!K$351</f>
        <v>999368.17024308385</v>
      </c>
      <c r="E15" s="66">
        <f>'Alloc &amp; Returns'!K$385</f>
        <v>916733.48251977772</v>
      </c>
      <c r="F15" s="66">
        <f t="shared" si="1"/>
        <v>82634.687723306124</v>
      </c>
      <c r="G15" s="66">
        <f>'Alloc &amp; Returns'!K$393</f>
        <v>1262655.4567511231</v>
      </c>
      <c r="H15" s="67">
        <f t="shared" si="2"/>
        <v>6.5445159470446032E-2</v>
      </c>
      <c r="I15" s="48">
        <f t="shared" si="0"/>
        <v>9.6401674910720168</v>
      </c>
      <c r="J15" s="48"/>
      <c r="L15" s="67">
        <f>H15</f>
        <v>6.5445159470446032E-2</v>
      </c>
      <c r="M15" s="66">
        <v>0</v>
      </c>
      <c r="N15" s="244" t="str">
        <f t="shared" si="4"/>
        <v>E1</v>
      </c>
      <c r="O15" s="16"/>
      <c r="P15" s="16"/>
      <c r="Q15" s="16"/>
    </row>
    <row r="16" spans="1:17" x14ac:dyDescent="0.2">
      <c r="A16" s="30">
        <v>7</v>
      </c>
      <c r="B16" s="14" t="s">
        <v>1065</v>
      </c>
      <c r="C16" s="30" t="s">
        <v>1066</v>
      </c>
      <c r="D16" s="66">
        <f>'Alloc &amp; Returns'!L$351</f>
        <v>5932574.1245267838</v>
      </c>
      <c r="E16" s="66">
        <f>'Alloc &amp; Returns'!L$385</f>
        <v>6424792.7317347992</v>
      </c>
      <c r="F16" s="66">
        <f t="shared" si="1"/>
        <v>-492218.6072080154</v>
      </c>
      <c r="G16" s="66">
        <f>'Alloc &amp; Returns'!L$393</f>
        <v>4288018.7548815534</v>
      </c>
      <c r="H16" s="67">
        <f t="shared" si="2"/>
        <v>-0.11478928506263303</v>
      </c>
      <c r="I16" s="48">
        <f t="shared" si="0"/>
        <v>-16.9086291963871</v>
      </c>
      <c r="J16" s="48"/>
      <c r="L16" s="67">
        <f t="shared" si="3"/>
        <v>2.7230670674200444E-2</v>
      </c>
      <c r="M16" s="66">
        <f t="shared" si="5"/>
        <v>608984.23</v>
      </c>
      <c r="N16" s="244" t="str">
        <f t="shared" si="4"/>
        <v>L1</v>
      </c>
      <c r="O16" s="16"/>
      <c r="P16" s="16"/>
      <c r="Q16" s="16"/>
    </row>
    <row r="17" spans="1:17" x14ac:dyDescent="0.2">
      <c r="A17" s="30">
        <v>8</v>
      </c>
      <c r="B17" s="14" t="s">
        <v>1067</v>
      </c>
      <c r="C17" s="30" t="s">
        <v>1068</v>
      </c>
      <c r="D17" s="66">
        <f>'Alloc &amp; Returns'!M$351</f>
        <v>1667236.1699999997</v>
      </c>
      <c r="E17" s="66">
        <f>'Alloc &amp; Returns'!M$385</f>
        <v>1089374.763439781</v>
      </c>
      <c r="F17" s="66">
        <f t="shared" si="1"/>
        <v>577861.40656021866</v>
      </c>
      <c r="G17" s="66">
        <f>'Alloc &amp; Returns'!M$393</f>
        <v>5412260.9231907595</v>
      </c>
      <c r="H17" s="67">
        <f t="shared" si="2"/>
        <v>0.10676894827523294</v>
      </c>
      <c r="I17" s="48">
        <f t="shared" si="0"/>
        <v>15.727221883898871</v>
      </c>
      <c r="J17" s="48"/>
      <c r="L17" s="67">
        <f>H17</f>
        <v>0.10676894827523294</v>
      </c>
      <c r="M17" s="66">
        <v>0</v>
      </c>
      <c r="N17" s="244" t="str">
        <f t="shared" si="4"/>
        <v>S</v>
      </c>
      <c r="O17" s="16"/>
      <c r="P17" s="16"/>
      <c r="Q17" s="16"/>
    </row>
    <row r="18" spans="1:17" hidden="1" x14ac:dyDescent="0.2">
      <c r="A18" s="30"/>
      <c r="B18" s="14"/>
      <c r="C18" s="30"/>
      <c r="D18" s="66">
        <f>'Alloc &amp; Returns'!N$351</f>
        <v>0</v>
      </c>
      <c r="E18" s="66">
        <f>'Alloc &amp; Returns'!N$385</f>
        <v>0</v>
      </c>
      <c r="F18" s="66">
        <f t="shared" si="1"/>
        <v>0</v>
      </c>
      <c r="G18" s="66">
        <f>'Alloc &amp; Returns'!N$393</f>
        <v>0</v>
      </c>
      <c r="H18" s="152" t="s">
        <v>1168</v>
      </c>
      <c r="I18" s="79" t="s">
        <v>1168</v>
      </c>
      <c r="J18" s="79"/>
      <c r="K18" s="60"/>
      <c r="L18" s="67"/>
      <c r="M18" s="66">
        <v>0</v>
      </c>
      <c r="N18" s="126"/>
      <c r="O18" s="16"/>
      <c r="P18" s="16"/>
      <c r="Q18" s="16"/>
    </row>
    <row r="19" spans="1:17" hidden="1" x14ac:dyDescent="0.2">
      <c r="A19" s="30"/>
      <c r="B19" s="14"/>
      <c r="C19" s="30"/>
      <c r="D19" s="66">
        <f>'Alloc &amp; Returns'!O$351</f>
        <v>0</v>
      </c>
      <c r="E19" s="66">
        <f>'Alloc &amp; Returns'!O$385</f>
        <v>0</v>
      </c>
      <c r="F19" s="66">
        <f t="shared" si="1"/>
        <v>0</v>
      </c>
      <c r="G19" s="66">
        <f>'Alloc &amp; Returns'!O$393</f>
        <v>0</v>
      </c>
      <c r="H19" s="152" t="s">
        <v>1168</v>
      </c>
      <c r="I19" s="79" t="s">
        <v>1168</v>
      </c>
      <c r="J19" s="79"/>
      <c r="K19" s="60"/>
      <c r="L19" s="67"/>
      <c r="M19" s="66">
        <v>0</v>
      </c>
      <c r="N19" s="126"/>
      <c r="O19" s="16"/>
      <c r="P19" s="16"/>
      <c r="Q19" s="16"/>
    </row>
    <row r="20" spans="1:17" hidden="1" x14ac:dyDescent="0.2">
      <c r="A20" s="30"/>
      <c r="B20" s="14"/>
      <c r="C20" s="30"/>
      <c r="D20" s="66">
        <f>'Alloc &amp; Returns'!P$351</f>
        <v>0</v>
      </c>
      <c r="E20" s="66">
        <f>'Alloc &amp; Returns'!P$385</f>
        <v>0</v>
      </c>
      <c r="F20" s="66">
        <f t="shared" si="1"/>
        <v>0</v>
      </c>
      <c r="G20" s="66">
        <f>'Alloc &amp; Returns'!P$393</f>
        <v>0</v>
      </c>
      <c r="H20" s="67" t="e">
        <f t="shared" ref="H20:H22" si="6">F20/G20</f>
        <v>#DIV/0!</v>
      </c>
      <c r="I20" s="48" t="e">
        <f t="shared" si="0"/>
        <v>#DIV/0!</v>
      </c>
      <c r="J20" s="48"/>
      <c r="K20" s="60"/>
      <c r="L20" s="126"/>
      <c r="M20" s="126"/>
      <c r="N20" s="126"/>
      <c r="O20" s="16"/>
      <c r="P20" s="16"/>
      <c r="Q20" s="16"/>
    </row>
    <row r="21" spans="1:17" hidden="1" x14ac:dyDescent="0.2">
      <c r="A21" s="30"/>
      <c r="B21" s="14"/>
      <c r="C21" s="30"/>
      <c r="D21" s="68">
        <f>'Alloc &amp; Returns'!Q$351</f>
        <v>0</v>
      </c>
      <c r="E21" s="66">
        <f>'Alloc &amp; Returns'!Q$385</f>
        <v>0</v>
      </c>
      <c r="F21" s="68">
        <f t="shared" si="1"/>
        <v>0</v>
      </c>
      <c r="G21" s="66">
        <f>'Alloc &amp; Returns'!Q$393</f>
        <v>0</v>
      </c>
      <c r="H21" s="67" t="e">
        <f t="shared" si="6"/>
        <v>#DIV/0!</v>
      </c>
      <c r="I21" s="67" t="e">
        <f>'Alloc &amp; Returns'!Q330</f>
        <v>#DIV/0!</v>
      </c>
      <c r="J21" s="67"/>
      <c r="K21" s="60"/>
      <c r="L21" s="126"/>
      <c r="M21" s="126"/>
      <c r="N21" s="126"/>
      <c r="O21" s="16"/>
      <c r="P21" s="16"/>
      <c r="Q21" s="16"/>
    </row>
    <row r="22" spans="1:17" hidden="1" x14ac:dyDescent="0.2">
      <c r="A22" s="30"/>
      <c r="B22" s="14"/>
      <c r="C22" s="30"/>
      <c r="D22" s="68">
        <f>'Alloc &amp; Returns'!R$351</f>
        <v>0</v>
      </c>
      <c r="E22" s="66">
        <f>'Alloc &amp; Returns'!R$385</f>
        <v>0</v>
      </c>
      <c r="F22" s="68">
        <f t="shared" si="1"/>
        <v>0</v>
      </c>
      <c r="G22" s="68">
        <f>'Alloc &amp; Returns'!R$393</f>
        <v>0</v>
      </c>
      <c r="H22" s="67" t="e">
        <f t="shared" si="6"/>
        <v>#DIV/0!</v>
      </c>
      <c r="I22" s="67" t="e">
        <f>'Alloc &amp; Returns'!R330</f>
        <v>#DIV/0!</v>
      </c>
      <c r="J22" s="67"/>
      <c r="K22" s="60"/>
      <c r="L22" s="126"/>
      <c r="M22" s="126"/>
      <c r="N22" s="126"/>
      <c r="O22" s="16"/>
      <c r="P22" s="16"/>
      <c r="Q22" s="16"/>
    </row>
    <row r="23" spans="1:17" hidden="1" x14ac:dyDescent="0.2">
      <c r="A23" s="30"/>
      <c r="B23" s="14"/>
      <c r="C23" s="30"/>
      <c r="D23" s="68"/>
      <c r="E23" s="66"/>
      <c r="F23" s="68"/>
      <c r="G23" s="68"/>
      <c r="H23" s="67"/>
      <c r="I23" s="67"/>
      <c r="J23" s="67"/>
      <c r="K23" s="60"/>
      <c r="L23" s="230"/>
      <c r="M23" s="230"/>
      <c r="N23" s="230"/>
      <c r="O23" s="16"/>
      <c r="P23" s="16"/>
      <c r="Q23" s="16"/>
    </row>
    <row r="24" spans="1:17" hidden="1" x14ac:dyDescent="0.2">
      <c r="A24" s="30"/>
      <c r="B24" s="14"/>
      <c r="C24" s="30"/>
      <c r="D24" s="68"/>
      <c r="E24" s="66"/>
      <c r="F24" s="68"/>
      <c r="G24" s="68"/>
      <c r="H24" s="67"/>
      <c r="I24" s="67"/>
      <c r="J24" s="67"/>
      <c r="K24" s="60"/>
      <c r="L24" s="126"/>
      <c r="M24" s="126"/>
      <c r="N24" s="126"/>
      <c r="O24" s="16"/>
      <c r="P24" s="16"/>
      <c r="Q24" s="16"/>
    </row>
    <row r="25" spans="1:17" hidden="1" x14ac:dyDescent="0.2">
      <c r="A25" s="30"/>
      <c r="B25" s="14"/>
      <c r="C25" s="30"/>
      <c r="D25" s="68"/>
      <c r="E25" s="66"/>
      <c r="F25" s="68"/>
      <c r="G25" s="68"/>
      <c r="H25" s="67"/>
      <c r="I25" s="67"/>
      <c r="J25" s="67"/>
      <c r="K25" s="60"/>
      <c r="L25" s="126"/>
      <c r="M25" s="126"/>
      <c r="N25" s="126"/>
      <c r="O25" s="16"/>
      <c r="P25" s="16"/>
      <c r="Q25" s="16"/>
    </row>
    <row r="26" spans="1:17" s="75" customFormat="1" ht="26.25" customHeight="1" thickBot="1" x14ac:dyDescent="0.25">
      <c r="A26" s="69">
        <f>A17+1</f>
        <v>9</v>
      </c>
      <c r="B26" s="70" t="s">
        <v>0</v>
      </c>
      <c r="C26" s="71"/>
      <c r="D26" s="72">
        <f>SUM(D10:D25)</f>
        <v>41145415.591450229</v>
      </c>
      <c r="E26" s="72">
        <f>SUM(E10:E25)</f>
        <v>40628481.864599109</v>
      </c>
      <c r="F26" s="72">
        <f t="shared" si="1"/>
        <v>516933.72685112059</v>
      </c>
      <c r="G26" s="72">
        <f>SUM(G10:G25)</f>
        <v>76145092.302498922</v>
      </c>
      <c r="H26" s="73">
        <f>F26/G26</f>
        <v>6.7887990048986508E-3</v>
      </c>
      <c r="I26" s="74">
        <f>H26/H$26</f>
        <v>1</v>
      </c>
      <c r="J26" s="232"/>
      <c r="K26" s="60"/>
      <c r="L26" s="126"/>
      <c r="M26" s="72">
        <f>SUM(M10:M25)</f>
        <v>2250000</v>
      </c>
      <c r="N26" s="126"/>
      <c r="O26" s="16"/>
      <c r="P26" s="16"/>
      <c r="Q26" s="16"/>
    </row>
    <row r="27" spans="1:17" ht="13.5" thickTop="1" x14ac:dyDescent="0.2">
      <c r="A27" s="30"/>
      <c r="B27" s="14"/>
      <c r="C27" s="30"/>
      <c r="D27" s="76"/>
      <c r="E27" s="76"/>
      <c r="F27" s="68"/>
      <c r="G27" s="76"/>
      <c r="H27" s="77"/>
      <c r="I27" s="59"/>
      <c r="J27" s="59"/>
      <c r="K27" s="60"/>
      <c r="L27" s="75"/>
      <c r="M27" s="231">
        <f>M26-L4</f>
        <v>0</v>
      </c>
      <c r="N27" s="75"/>
      <c r="O27" s="16"/>
      <c r="P27" s="16"/>
      <c r="Q27" s="16"/>
    </row>
    <row r="28" spans="1:17" ht="18.75" customHeight="1" x14ac:dyDescent="0.2">
      <c r="A28" s="30"/>
      <c r="B28" s="14"/>
      <c r="C28" s="30"/>
      <c r="D28" s="76"/>
      <c r="E28" s="76"/>
      <c r="F28" s="68"/>
      <c r="G28" s="76"/>
      <c r="H28" s="246" t="s">
        <v>1139</v>
      </c>
      <c r="I28" s="246"/>
      <c r="J28" s="233"/>
      <c r="K28" s="60"/>
      <c r="L28" s="75"/>
      <c r="M28" s="75"/>
      <c r="N28" s="75"/>
    </row>
    <row r="29" spans="1:17" x14ac:dyDescent="0.2">
      <c r="A29" s="30"/>
      <c r="B29" s="14"/>
      <c r="C29" s="30"/>
      <c r="F29" s="48"/>
      <c r="G29" s="49"/>
      <c r="H29" s="234" t="s">
        <v>908</v>
      </c>
      <c r="I29" s="234" t="s">
        <v>960</v>
      </c>
      <c r="J29" s="58"/>
      <c r="K29" s="50"/>
      <c r="L29" s="59"/>
      <c r="M29" s="59"/>
      <c r="N29" s="60"/>
    </row>
    <row r="30" spans="1:17" x14ac:dyDescent="0.2">
      <c r="A30" s="16"/>
      <c r="B30" s="16"/>
      <c r="C30" s="30"/>
      <c r="D30" s="58" t="s">
        <v>1050</v>
      </c>
      <c r="E30" s="58" t="s">
        <v>1050</v>
      </c>
      <c r="F30" s="14"/>
      <c r="G30" s="49"/>
      <c r="H30" s="235" t="s">
        <v>334</v>
      </c>
      <c r="I30" s="235" t="s">
        <v>334</v>
      </c>
      <c r="J30" s="24"/>
      <c r="K30" s="50"/>
      <c r="L30" s="59"/>
      <c r="N30" s="50"/>
    </row>
    <row r="31" spans="1:17" ht="13.5" thickBot="1" x14ac:dyDescent="0.25">
      <c r="A31" s="62" t="s">
        <v>966</v>
      </c>
      <c r="B31" s="63" t="s">
        <v>754</v>
      </c>
      <c r="C31" s="63" t="s">
        <v>871</v>
      </c>
      <c r="D31" s="64" t="s">
        <v>348</v>
      </c>
      <c r="E31" s="64" t="s">
        <v>953</v>
      </c>
      <c r="F31" s="14"/>
      <c r="G31" s="49"/>
      <c r="H31" s="236" t="s">
        <v>869</v>
      </c>
      <c r="I31" s="236" t="s">
        <v>869</v>
      </c>
      <c r="J31" s="53"/>
      <c r="K31" s="50"/>
      <c r="L31" s="59"/>
      <c r="N31" s="50"/>
    </row>
    <row r="32" spans="1:17" x14ac:dyDescent="0.2">
      <c r="A32" s="30"/>
      <c r="B32" s="14"/>
      <c r="C32" s="16"/>
      <c r="D32" s="133"/>
      <c r="F32" s="14"/>
      <c r="G32" s="49"/>
      <c r="H32" s="237"/>
      <c r="I32" s="238"/>
      <c r="J32" s="53"/>
      <c r="K32" s="50"/>
      <c r="N32" s="50"/>
    </row>
    <row r="33" spans="1:14" x14ac:dyDescent="0.2">
      <c r="A33" s="30">
        <f>A26+1</f>
        <v>10</v>
      </c>
      <c r="B33" s="14" t="str">
        <f>B10</f>
        <v>Sch I - Residential, Schools &amp; Churches</v>
      </c>
      <c r="C33" s="30" t="str">
        <f>C10</f>
        <v>R</v>
      </c>
      <c r="D33" s="205">
        <f t="shared" ref="D33:D49" si="7">D10/D$26</f>
        <v>0.71945269275784085</v>
      </c>
      <c r="E33" s="205">
        <f>'Billing Det'!O8</f>
        <v>0.68317995541671894</v>
      </c>
      <c r="F33" s="14"/>
      <c r="G33" s="49"/>
      <c r="H33" s="237">
        <v>2.7230670745924904E-2</v>
      </c>
      <c r="I33" s="238">
        <v>0.74937896679120108</v>
      </c>
      <c r="J33" s="53"/>
      <c r="K33" s="50"/>
      <c r="N33" s="50"/>
    </row>
    <row r="34" spans="1:14" x14ac:dyDescent="0.2">
      <c r="A34" s="30">
        <f>A33+1</f>
        <v>11</v>
      </c>
      <c r="B34" s="14" t="str">
        <f t="shared" ref="B34:C34" si="8">B11</f>
        <v>Sch I - Res TOD</v>
      </c>
      <c r="C34" s="30" t="str">
        <f t="shared" si="8"/>
        <v>TOD</v>
      </c>
      <c r="D34" s="205">
        <f t="shared" si="7"/>
        <v>1.6747045230835076E-4</v>
      </c>
      <c r="E34" s="205">
        <f>'Billing Det'!O9</f>
        <v>1.2627605086502506E-4</v>
      </c>
      <c r="F34" s="14"/>
      <c r="G34" s="49"/>
      <c r="H34" s="237">
        <v>2.7230662162140002E-2</v>
      </c>
      <c r="I34" s="238">
        <v>0.74937873056830662</v>
      </c>
      <c r="J34" s="53"/>
      <c r="K34" s="50"/>
      <c r="N34" s="50"/>
    </row>
    <row r="35" spans="1:14" x14ac:dyDescent="0.2">
      <c r="A35" s="30">
        <f t="shared" ref="A35:A40" si="9">A34+1</f>
        <v>12</v>
      </c>
      <c r="B35" s="14" t="str">
        <f t="shared" ref="B35:C35" si="10">B12</f>
        <v>Sch II - Small Commercial  Small Power</v>
      </c>
      <c r="C35" s="30" t="str">
        <f t="shared" si="10"/>
        <v>C1</v>
      </c>
      <c r="D35" s="205">
        <f t="shared" si="7"/>
        <v>4.1132491933327797E-2</v>
      </c>
      <c r="E35" s="205">
        <f>'Billing Det'!O10</f>
        <v>3.8427810584599598E-2</v>
      </c>
      <c r="F35" s="14"/>
      <c r="G35" s="49"/>
      <c r="H35" s="237">
        <v>2.7230669519145129E-2</v>
      </c>
      <c r="I35" s="238">
        <v>0.7493789330306313</v>
      </c>
      <c r="J35" s="53"/>
      <c r="K35" s="50"/>
      <c r="N35" s="50"/>
    </row>
    <row r="36" spans="1:14" x14ac:dyDescent="0.2">
      <c r="A36" s="30">
        <f t="shared" si="9"/>
        <v>13</v>
      </c>
      <c r="B36" s="14" t="str">
        <f t="shared" ref="B36:C36" si="11">B13</f>
        <v>Sch II - Small Commercial  Small Power</v>
      </c>
      <c r="C36" s="30" t="str">
        <f t="shared" si="11"/>
        <v>C2</v>
      </c>
      <c r="D36" s="205">
        <f t="shared" si="7"/>
        <v>2.7753889958171112E-2</v>
      </c>
      <c r="E36" s="205">
        <f>'Billing Det'!O11</f>
        <v>2.5215504934934834E-2</v>
      </c>
      <c r="F36" s="14"/>
      <c r="H36" s="237">
        <v>0.27825518631226787</v>
      </c>
      <c r="I36" s="238">
        <v>7.6574898197902614</v>
      </c>
      <c r="J36" s="53"/>
      <c r="N36" s="50"/>
    </row>
    <row r="37" spans="1:14" x14ac:dyDescent="0.2">
      <c r="A37" s="30">
        <f t="shared" si="9"/>
        <v>14</v>
      </c>
      <c r="B37" s="14" t="str">
        <f t="shared" ref="B37:C37" si="12">B14</f>
        <v>Sch VII - Inclining Block Rate</v>
      </c>
      <c r="C37" s="30" t="str">
        <f t="shared" si="12"/>
        <v>IB</v>
      </c>
      <c r="D37" s="205">
        <f t="shared" si="7"/>
        <v>2.4986412317539665E-3</v>
      </c>
      <c r="E37" s="205">
        <f>'Billing Det'!O12</f>
        <v>1.7489275059583639E-3</v>
      </c>
      <c r="F37" s="14"/>
      <c r="H37" s="237">
        <v>2.7230668165324226E-2</v>
      </c>
      <c r="I37" s="238">
        <v>0.74937889577393202</v>
      </c>
      <c r="J37" s="53"/>
      <c r="N37" s="50"/>
    </row>
    <row r="38" spans="1:14" x14ac:dyDescent="0.2">
      <c r="A38" s="30">
        <f t="shared" si="9"/>
        <v>15</v>
      </c>
      <c r="B38" s="14" t="str">
        <f t="shared" ref="B38:C38" si="13">B15</f>
        <v>Sch III - All 3Phase Schools &amp; Churches</v>
      </c>
      <c r="C38" s="30" t="str">
        <f t="shared" si="13"/>
        <v>E1</v>
      </c>
      <c r="D38" s="205">
        <f t="shared" si="7"/>
        <v>2.4288688202015549E-2</v>
      </c>
      <c r="E38" s="205">
        <f>'Billing Det'!O13</f>
        <v>3.1633898811074736E-2</v>
      </c>
      <c r="F38" s="14"/>
      <c r="H38" s="237">
        <v>6.5445159470446032E-2</v>
      </c>
      <c r="I38" s="238">
        <v>1.8010289369308907</v>
      </c>
      <c r="J38" s="53"/>
    </row>
    <row r="39" spans="1:14" x14ac:dyDescent="0.2">
      <c r="A39" s="30">
        <f t="shared" si="9"/>
        <v>16</v>
      </c>
      <c r="B39" s="14" t="str">
        <f t="shared" ref="B39:C39" si="14">B16</f>
        <v>Sch IV-A - Large Power 50-2500 kW</v>
      </c>
      <c r="C39" s="30" t="str">
        <f t="shared" si="14"/>
        <v>L1</v>
      </c>
      <c r="D39" s="205">
        <f t="shared" si="7"/>
        <v>0.14418554386310628</v>
      </c>
      <c r="E39" s="205">
        <f>'Billing Det'!O14</f>
        <v>0.19791848860673178</v>
      </c>
      <c r="F39" s="14"/>
      <c r="H39" s="237">
        <v>2.7230669795708585E-2</v>
      </c>
      <c r="I39" s="238">
        <v>0.74937894064156518</v>
      </c>
      <c r="J39" s="53"/>
    </row>
    <row r="40" spans="1:14" x14ac:dyDescent="0.2">
      <c r="A40" s="30">
        <f t="shared" si="9"/>
        <v>17</v>
      </c>
      <c r="B40" s="14" t="str">
        <f t="shared" ref="B40:C40" si="15">B17</f>
        <v>Sch VI - Outdoor Lighting - Security Lights</v>
      </c>
      <c r="C40" s="30" t="str">
        <f t="shared" si="15"/>
        <v>S</v>
      </c>
      <c r="D40" s="205">
        <f t="shared" si="7"/>
        <v>4.0520581601475945E-2</v>
      </c>
      <c r="E40" s="205">
        <f>'Billing Det'!O15</f>
        <v>2.1749138089116729E-2</v>
      </c>
      <c r="F40" s="14"/>
      <c r="H40" s="239">
        <v>0.10676894827523294</v>
      </c>
      <c r="I40" s="240">
        <v>2.9382458071052429</v>
      </c>
      <c r="J40" s="53"/>
    </row>
    <row r="41" spans="1:14" hidden="1" x14ac:dyDescent="0.2">
      <c r="A41" s="30"/>
      <c r="B41" s="14"/>
      <c r="C41" s="30"/>
      <c r="D41" s="205">
        <f t="shared" si="7"/>
        <v>0</v>
      </c>
      <c r="E41" s="212">
        <f>'Billing Det'!O16</f>
        <v>0</v>
      </c>
      <c r="F41" s="14"/>
      <c r="H41" s="239"/>
      <c r="I41" s="240"/>
      <c r="J41" s="53"/>
    </row>
    <row r="42" spans="1:14" hidden="1" x14ac:dyDescent="0.2">
      <c r="A42" s="30"/>
      <c r="B42" s="14"/>
      <c r="C42" s="30"/>
      <c r="D42" s="205">
        <f t="shared" si="7"/>
        <v>0</v>
      </c>
      <c r="E42" s="212">
        <f>'Billing Det'!O17</f>
        <v>0</v>
      </c>
      <c r="F42" s="14"/>
      <c r="J42" s="53"/>
    </row>
    <row r="43" spans="1:14" hidden="1" x14ac:dyDescent="0.2">
      <c r="A43" s="30"/>
      <c r="B43" s="14"/>
      <c r="D43" s="205">
        <f t="shared" si="7"/>
        <v>0</v>
      </c>
      <c r="E43" s="212">
        <f>'Billing Det'!O18</f>
        <v>0</v>
      </c>
      <c r="F43" s="14"/>
      <c r="H43" s="241"/>
      <c r="I43" s="241"/>
      <c r="J43" s="53"/>
    </row>
    <row r="44" spans="1:14" hidden="1" x14ac:dyDescent="0.2">
      <c r="A44" s="30"/>
      <c r="B44" s="14"/>
      <c r="D44" s="205">
        <f t="shared" si="7"/>
        <v>0</v>
      </c>
      <c r="E44" s="212">
        <f>'Billing Det'!O19</f>
        <v>0</v>
      </c>
      <c r="F44" s="14"/>
      <c r="H44" s="241"/>
      <c r="I44" s="241"/>
      <c r="J44" s="53"/>
    </row>
    <row r="45" spans="1:14" hidden="1" x14ac:dyDescent="0.2">
      <c r="A45" s="30"/>
      <c r="B45" s="14"/>
      <c r="D45" s="205">
        <f t="shared" si="7"/>
        <v>0</v>
      </c>
      <c r="E45" s="212">
        <f>'Billing Det'!O20</f>
        <v>0</v>
      </c>
      <c r="F45" s="14"/>
      <c r="H45" s="241"/>
      <c r="I45" s="241"/>
      <c r="J45" s="53"/>
    </row>
    <row r="46" spans="1:14" hidden="1" x14ac:dyDescent="0.2">
      <c r="A46" s="30"/>
      <c r="B46" s="14"/>
      <c r="D46" s="205">
        <f t="shared" si="7"/>
        <v>0</v>
      </c>
      <c r="E46" s="212">
        <f>'Billing Det'!O21</f>
        <v>0</v>
      </c>
      <c r="F46" s="14"/>
      <c r="H46" s="241"/>
      <c r="I46" s="241"/>
      <c r="J46" s="53"/>
    </row>
    <row r="47" spans="1:14" hidden="1" x14ac:dyDescent="0.2">
      <c r="A47" s="30"/>
      <c r="B47" s="14"/>
      <c r="D47" s="205">
        <f t="shared" si="7"/>
        <v>0</v>
      </c>
      <c r="E47" s="212">
        <f>'Billing Det'!O22</f>
        <v>0</v>
      </c>
      <c r="F47" s="14"/>
      <c r="H47" s="241"/>
      <c r="I47" s="241"/>
      <c r="J47" s="53"/>
    </row>
    <row r="48" spans="1:14" hidden="1" x14ac:dyDescent="0.2">
      <c r="A48" s="30"/>
      <c r="B48" s="14"/>
      <c r="D48" s="205">
        <f t="shared" si="7"/>
        <v>0</v>
      </c>
      <c r="E48" s="212">
        <f>'Billing Det'!O23</f>
        <v>0</v>
      </c>
      <c r="F48" s="14"/>
      <c r="H48" s="241"/>
      <c r="I48" s="241"/>
      <c r="J48" s="53"/>
    </row>
    <row r="49" spans="1:10" ht="13.5" thickBot="1" x14ac:dyDescent="0.25">
      <c r="A49" s="69">
        <f>A40+1</f>
        <v>18</v>
      </c>
      <c r="B49" s="70" t="s">
        <v>0</v>
      </c>
      <c r="C49" s="70"/>
      <c r="D49" s="206">
        <f t="shared" si="7"/>
        <v>1</v>
      </c>
      <c r="E49" s="206">
        <f>'Billing Det'!O25</f>
        <v>1</v>
      </c>
      <c r="F49" s="14"/>
      <c r="H49" s="242">
        <v>3.6337650177886788E-2</v>
      </c>
      <c r="I49" s="243">
        <v>1</v>
      </c>
      <c r="J49" s="53"/>
    </row>
    <row r="50" spans="1:10" ht="13.5" thickTop="1" x14ac:dyDescent="0.2">
      <c r="F50" s="14"/>
      <c r="J50" s="53"/>
    </row>
  </sheetData>
  <mergeCells count="1">
    <mergeCell ref="H28:I28"/>
  </mergeCells>
  <phoneticPr fontId="0" type="noConversion"/>
  <conditionalFormatting sqref="H21:H22">
    <cfRule type="cellIs" dxfId="14" priority="67" stopIfTrue="1" operator="lessThan">
      <formula>$H$26</formula>
    </cfRule>
    <cfRule type="cellIs" dxfId="13" priority="68" stopIfTrue="1" operator="greaterThan">
      <formula>$H$26</formula>
    </cfRule>
  </conditionalFormatting>
  <conditionalFormatting sqref="H32">
    <cfRule type="cellIs" dxfId="12" priority="37" operator="greaterThan">
      <formula>$H$26</formula>
    </cfRule>
    <cfRule type="cellIs" dxfId="11" priority="38" operator="lessThan">
      <formula>$H$26</formula>
    </cfRule>
  </conditionalFormatting>
  <conditionalFormatting sqref="I21:J22">
    <cfRule type="cellIs" dxfId="10" priority="59" stopIfTrue="1" operator="lessThan">
      <formula>$I$26</formula>
    </cfRule>
    <cfRule type="cellIs" dxfId="9" priority="60" stopIfTrue="1" operator="greaterThan">
      <formula>$I$26</formula>
    </cfRule>
  </conditionalFormatting>
  <conditionalFormatting sqref="I32">
    <cfRule type="cellIs" dxfId="8" priority="35" operator="greaterThan">
      <formula>$I$26</formula>
    </cfRule>
    <cfRule type="cellIs" dxfId="7" priority="36" operator="lessThan">
      <formula>$I$26</formula>
    </cfRule>
  </conditionalFormatting>
  <pageMargins left="0.75" right="0.75" top="1" bottom="1" header="0.5" footer="0.5"/>
  <pageSetup orientation="landscape" r:id="rId1"/>
  <headerFooter alignWithMargins="0">
    <oddFooter>&amp;RExhibit JW-3
Page 1 of 2</oddFooter>
  </headerFooter>
  <ignoredErrors>
    <ignoredError sqref="F26 L13:L1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3"/>
  <sheetViews>
    <sheetView view="pageBreakPreview" zoomScaleNormal="100" zoomScaleSheetLayoutView="100" workbookViewId="0">
      <selection activeCell="K15" sqref="K15"/>
    </sheetView>
  </sheetViews>
  <sheetFormatPr defaultColWidth="9.140625" defaultRowHeight="12.75" x14ac:dyDescent="0.2"/>
  <cols>
    <col min="1" max="1" width="4.42578125" style="14" customWidth="1"/>
    <col min="2" max="2" width="36.85546875" style="30" bestFit="1" customWidth="1"/>
    <col min="3" max="3" width="7.28515625" style="30" customWidth="1"/>
    <col min="4" max="4" width="3.42578125" style="48" customWidth="1"/>
    <col min="5" max="6" width="10.7109375" style="48" bestFit="1" customWidth="1"/>
    <col min="7" max="7" width="11" style="49" customWidth="1"/>
    <col min="8" max="8" width="9.140625" style="14"/>
    <col min="9" max="9" width="6.7109375" style="14" bestFit="1" customWidth="1"/>
    <col min="10" max="16384" width="9.140625" style="14"/>
  </cols>
  <sheetData>
    <row r="1" spans="1:9" x14ac:dyDescent="0.2">
      <c r="A1" s="13" t="s">
        <v>1053</v>
      </c>
    </row>
    <row r="2" spans="1:9" x14ac:dyDescent="0.2">
      <c r="A2" s="13" t="s">
        <v>975</v>
      </c>
      <c r="D2" s="51"/>
      <c r="E2" s="51"/>
      <c r="F2" s="51"/>
      <c r="G2" s="51"/>
    </row>
    <row r="3" spans="1:9" x14ac:dyDescent="0.2">
      <c r="A3" s="13"/>
      <c r="D3" s="13"/>
      <c r="E3" s="53"/>
      <c r="F3" s="53"/>
      <c r="G3" s="54"/>
    </row>
    <row r="4" spans="1:9" x14ac:dyDescent="0.2">
      <c r="E4" s="247" t="s">
        <v>1131</v>
      </c>
      <c r="F4" s="248"/>
      <c r="G4" s="249"/>
    </row>
    <row r="5" spans="1:9" s="16" customFormat="1" x14ac:dyDescent="0.2">
      <c r="I5" s="60"/>
    </row>
    <row r="6" spans="1:9" s="16" customFormat="1" x14ac:dyDescent="0.2">
      <c r="A6" s="30"/>
      <c r="B6" s="30"/>
      <c r="C6" s="30"/>
      <c r="D6" s="14"/>
      <c r="E6" s="78" t="s">
        <v>725</v>
      </c>
      <c r="F6" s="78" t="s">
        <v>11</v>
      </c>
      <c r="G6" s="78" t="s">
        <v>10</v>
      </c>
      <c r="I6" s="60"/>
    </row>
    <row r="7" spans="1:9" s="16" customFormat="1" ht="13.5" thickBot="1" x14ac:dyDescent="0.25">
      <c r="A7" s="30" t="s">
        <v>966</v>
      </c>
      <c r="B7" s="180" t="s">
        <v>754</v>
      </c>
      <c r="C7" s="180" t="s">
        <v>871</v>
      </c>
      <c r="D7" s="48"/>
      <c r="E7" s="181" t="s">
        <v>972</v>
      </c>
      <c r="F7" s="181" t="s">
        <v>973</v>
      </c>
      <c r="G7" s="181" t="s">
        <v>974</v>
      </c>
      <c r="H7" s="60"/>
      <c r="I7" s="60"/>
    </row>
    <row r="8" spans="1:9" x14ac:dyDescent="0.2">
      <c r="A8" s="30"/>
      <c r="B8" s="14"/>
      <c r="D8" s="14"/>
      <c r="G8" s="14"/>
      <c r="H8" s="60"/>
      <c r="I8" s="60"/>
    </row>
    <row r="9" spans="1:9" x14ac:dyDescent="0.2">
      <c r="A9" s="30">
        <v>1</v>
      </c>
      <c r="B9" s="14" t="str">
        <f>'Summary of Returns'!B10</f>
        <v>Sch I - Residential, Schools &amp; Churches</v>
      </c>
      <c r="C9" s="30" t="str">
        <f>'Summary of Returns'!C10</f>
        <v>R</v>
      </c>
      <c r="E9" s="177">
        <f>'Alloc &amp; Returns'!F650</f>
        <v>26.43465909218088</v>
      </c>
      <c r="F9" s="179">
        <f>'Alloc &amp; Returns'!F651</f>
        <v>9.1982465918139009E-2</v>
      </c>
      <c r="G9" s="177"/>
      <c r="H9" s="176"/>
      <c r="I9" s="60"/>
    </row>
    <row r="10" spans="1:9" x14ac:dyDescent="0.2">
      <c r="A10" s="30">
        <v>2</v>
      </c>
      <c r="B10" s="14" t="str">
        <f>'Summary of Returns'!B11</f>
        <v>Sch I - Res TOD</v>
      </c>
      <c r="C10" s="30" t="str">
        <f>'Summary of Returns'!C11</f>
        <v>TOD</v>
      </c>
      <c r="D10" s="13"/>
      <c r="E10" s="177">
        <f>'Alloc &amp; Returns'!G650</f>
        <v>26.442682792969862</v>
      </c>
      <c r="F10" s="179">
        <f>'Alloc &amp; Returns'!G651</f>
        <v>9.0917245397297744E-2</v>
      </c>
      <c r="G10" s="177"/>
      <c r="H10" s="176"/>
      <c r="I10" s="60"/>
    </row>
    <row r="11" spans="1:9" x14ac:dyDescent="0.2">
      <c r="A11" s="30">
        <v>3</v>
      </c>
      <c r="B11" s="14" t="str">
        <f>'Summary of Returns'!B12</f>
        <v>Sch II - Small Commercial  Small Power</v>
      </c>
      <c r="C11" s="30" t="str">
        <f>'Summary of Returns'!C12</f>
        <v>C1</v>
      </c>
      <c r="E11" s="177">
        <f>'Alloc &amp; Returns'!H650</f>
        <v>27.887429820886087</v>
      </c>
      <c r="F11" s="179">
        <f>'Alloc &amp; Returns'!H651</f>
        <v>9.4626472533177353E-2</v>
      </c>
      <c r="G11" s="177"/>
      <c r="H11" s="176"/>
      <c r="I11" s="60"/>
    </row>
    <row r="12" spans="1:9" x14ac:dyDescent="0.2">
      <c r="A12" s="30">
        <v>4</v>
      </c>
      <c r="B12" s="14" t="str">
        <f>'Summary of Returns'!B13</f>
        <v>Sch II - Small Commercial  Small Power</v>
      </c>
      <c r="C12" s="30" t="str">
        <f>'Summary of Returns'!C13</f>
        <v>C2</v>
      </c>
      <c r="D12" s="13"/>
      <c r="E12" s="80">
        <f>'Alloc &amp; Returns'!I650</f>
        <v>33.228405707724448</v>
      </c>
      <c r="F12" s="179">
        <f>'Alloc &amp; Returns'!I651</f>
        <v>5.1585484161843172E-2</v>
      </c>
      <c r="G12" s="177">
        <f>'Alloc &amp; Returns'!I652</f>
        <v>9.4799749683031251</v>
      </c>
      <c r="H12" s="176"/>
      <c r="I12" s="60"/>
    </row>
    <row r="13" spans="1:9" x14ac:dyDescent="0.2">
      <c r="A13" s="30">
        <v>5</v>
      </c>
      <c r="B13" s="14" t="str">
        <f>'Summary of Returns'!B14</f>
        <v>Sch VII - Inclining Block Rate</v>
      </c>
      <c r="C13" s="30" t="str">
        <f>'Summary of Returns'!C14</f>
        <v>IB</v>
      </c>
      <c r="E13" s="177">
        <f>'Alloc &amp; Returns'!J650</f>
        <v>26.561886461969699</v>
      </c>
      <c r="F13" s="179">
        <f>'Alloc &amp; Returns'!J651</f>
        <v>9.1207157301445685E-2</v>
      </c>
      <c r="G13" s="177"/>
      <c r="H13" s="176"/>
      <c r="I13" s="60"/>
    </row>
    <row r="14" spans="1:9" x14ac:dyDescent="0.2">
      <c r="A14" s="30">
        <v>6</v>
      </c>
      <c r="B14" s="14" t="str">
        <f>'Summary of Returns'!B15</f>
        <v>Sch III - All 3Phase Schools &amp; Churches</v>
      </c>
      <c r="C14" s="30" t="str">
        <f>'Summary of Returns'!C15</f>
        <v>E1</v>
      </c>
      <c r="D14" s="13"/>
      <c r="E14" s="177">
        <f>'Alloc &amp; Returns'!K650</f>
        <v>37.24582053669436</v>
      </c>
      <c r="F14" s="179">
        <f>'Alloc &amp; Returns'!K651</f>
        <v>7.6055201392979804E-2</v>
      </c>
      <c r="G14" s="177"/>
      <c r="H14" s="176"/>
      <c r="I14" s="60"/>
    </row>
    <row r="15" spans="1:9" x14ac:dyDescent="0.2">
      <c r="A15" s="30">
        <v>7</v>
      </c>
      <c r="B15" s="14" t="str">
        <f>'Summary of Returns'!B16</f>
        <v>Sch IV-A - Large Power 50-2500 kW</v>
      </c>
      <c r="C15" s="30" t="str">
        <f>'Summary of Returns'!C16</f>
        <v>L1</v>
      </c>
      <c r="E15" s="177">
        <f>'Alloc &amp; Returns'!L650</f>
        <v>154.64219174804231</v>
      </c>
      <c r="F15" s="179">
        <f>'Alloc &amp; Returns'!L651</f>
        <v>5.2912036898096378E-2</v>
      </c>
      <c r="G15" s="177">
        <f>'Alloc &amp; Returns'!L652</f>
        <v>9.1071860822664448</v>
      </c>
      <c r="H15" s="176"/>
      <c r="I15" s="60"/>
    </row>
    <row r="16" spans="1:9" x14ac:dyDescent="0.2">
      <c r="A16" s="30">
        <v>8</v>
      </c>
      <c r="B16" s="14" t="str">
        <f>'Summary of Returns'!B17</f>
        <v>Sch VI - Outdoor Lighting - Security Lights</v>
      </c>
      <c r="C16" s="30" t="str">
        <f>'Summary of Returns'!C17</f>
        <v>S</v>
      </c>
      <c r="E16" s="177">
        <f>'Alloc &amp; Returns'!M650</f>
        <v>0</v>
      </c>
      <c r="F16" s="179">
        <f>'Alloc &amp; Returns'!M651</f>
        <v>0</v>
      </c>
      <c r="G16" s="177">
        <f>'Alloc &amp; Returns'!M652</f>
        <v>0</v>
      </c>
      <c r="H16" s="176"/>
      <c r="I16" s="60"/>
    </row>
    <row r="17" spans="1:9" ht="15" hidden="1" customHeight="1" x14ac:dyDescent="0.2">
      <c r="A17" s="30">
        <v>9</v>
      </c>
      <c r="B17" s="14">
        <f>'Summary of Returns'!B18</f>
        <v>0</v>
      </c>
      <c r="C17" s="30">
        <f>'Summary of Returns'!C18</f>
        <v>0</v>
      </c>
      <c r="E17" s="177" t="e">
        <f>'Alloc &amp; Returns'!N650</f>
        <v>#DIV/0!</v>
      </c>
      <c r="F17" s="179" t="e">
        <f>'Alloc &amp; Returns'!N651</f>
        <v>#DIV/0!</v>
      </c>
      <c r="G17" s="177" t="e">
        <f>'Alloc &amp; Returns'!N652</f>
        <v>#DIV/0!</v>
      </c>
      <c r="H17" s="48"/>
      <c r="I17" s="60"/>
    </row>
    <row r="18" spans="1:9" ht="15" hidden="1" customHeight="1" x14ac:dyDescent="0.2">
      <c r="A18" s="30">
        <v>10</v>
      </c>
      <c r="B18" s="14">
        <f>'Summary of Returns'!B19</f>
        <v>0</v>
      </c>
      <c r="C18" s="30">
        <f>'Summary of Returns'!C19</f>
        <v>0</v>
      </c>
      <c r="D18" s="13"/>
      <c r="E18" s="177" t="e">
        <f>'Alloc &amp; Returns'!O650</f>
        <v>#DIV/0!</v>
      </c>
      <c r="F18" s="179" t="e">
        <f>'Alloc &amp; Returns'!O651</f>
        <v>#DIV/0!</v>
      </c>
      <c r="G18" s="177" t="e">
        <f>'Alloc &amp; Returns'!O652</f>
        <v>#DIV/0!</v>
      </c>
      <c r="H18" s="48"/>
      <c r="I18" s="60"/>
    </row>
    <row r="19" spans="1:9" ht="15" customHeight="1" x14ac:dyDescent="0.2">
      <c r="A19" s="30"/>
      <c r="B19" s="14"/>
      <c r="C19" s="14"/>
      <c r="G19" s="57"/>
      <c r="H19" s="60"/>
      <c r="I19" s="60"/>
    </row>
    <row r="20" spans="1:9" ht="15" customHeight="1" x14ac:dyDescent="0.2">
      <c r="A20" s="30"/>
      <c r="B20" s="14"/>
      <c r="C20" s="14"/>
      <c r="D20" s="13"/>
      <c r="E20" s="53"/>
      <c r="F20" s="53"/>
      <c r="G20" s="54"/>
      <c r="H20" s="60"/>
      <c r="I20" s="60"/>
    </row>
    <row r="21" spans="1:9" ht="15" customHeight="1" x14ac:dyDescent="0.2">
      <c r="A21" s="30"/>
      <c r="B21" s="14"/>
      <c r="C21" s="14"/>
      <c r="G21" s="57"/>
      <c r="H21" s="60"/>
      <c r="I21" s="60"/>
    </row>
    <row r="22" spans="1:9" ht="15" customHeight="1" x14ac:dyDescent="0.2">
      <c r="A22" s="30"/>
      <c r="B22" s="14"/>
      <c r="C22" s="14"/>
      <c r="D22" s="13"/>
      <c r="E22" s="53"/>
      <c r="F22" s="53"/>
      <c r="G22" s="54"/>
      <c r="H22" s="60"/>
      <c r="I22" s="60"/>
    </row>
    <row r="23" spans="1:9" ht="15" customHeight="1" x14ac:dyDescent="0.2">
      <c r="A23" s="30"/>
      <c r="B23" s="14"/>
      <c r="C23" s="14"/>
      <c r="G23" s="57"/>
      <c r="H23" s="60"/>
      <c r="I23" s="60"/>
    </row>
    <row r="24" spans="1:9" x14ac:dyDescent="0.2">
      <c r="A24" s="30"/>
      <c r="B24" s="14"/>
      <c r="C24" s="14"/>
      <c r="G24" s="57"/>
      <c r="H24" s="60"/>
      <c r="I24" s="60"/>
    </row>
    <row r="25" spans="1:9" s="75" customFormat="1" ht="26.25" customHeight="1" x14ac:dyDescent="0.2">
      <c r="A25" s="69"/>
      <c r="B25" s="14"/>
      <c r="C25" s="14"/>
      <c r="D25" s="48"/>
      <c r="E25" s="48"/>
      <c r="F25" s="48"/>
      <c r="G25" s="57"/>
      <c r="H25" s="60"/>
      <c r="I25" s="60"/>
    </row>
    <row r="26" spans="1:9" x14ac:dyDescent="0.2">
      <c r="A26" s="69"/>
      <c r="B26" s="14"/>
      <c r="C26" s="14"/>
      <c r="G26" s="57"/>
      <c r="H26" s="60"/>
      <c r="I26" s="60"/>
    </row>
    <row r="27" spans="1:9" x14ac:dyDescent="0.2">
      <c r="A27" s="69"/>
      <c r="B27" s="14"/>
      <c r="C27" s="14"/>
      <c r="G27" s="57"/>
      <c r="H27" s="60"/>
      <c r="I27" s="60"/>
    </row>
    <row r="28" spans="1:9" x14ac:dyDescent="0.2">
      <c r="A28" s="69"/>
      <c r="B28" s="14"/>
      <c r="C28" s="14"/>
      <c r="G28" s="57"/>
      <c r="H28" s="60"/>
      <c r="I28" s="60"/>
    </row>
    <row r="29" spans="1:9" x14ac:dyDescent="0.2">
      <c r="A29" s="69"/>
      <c r="B29" s="75"/>
      <c r="C29" s="14"/>
      <c r="G29" s="57"/>
      <c r="H29" s="60"/>
      <c r="I29" s="60"/>
    </row>
    <row r="30" spans="1:9" x14ac:dyDescent="0.2">
      <c r="A30" s="69"/>
      <c r="B30" s="75"/>
      <c r="C30" s="14"/>
      <c r="G30" s="57"/>
      <c r="H30" s="60"/>
      <c r="I30" s="60"/>
    </row>
    <row r="31" spans="1:9" x14ac:dyDescent="0.2">
      <c r="A31" s="69"/>
      <c r="B31" s="75"/>
      <c r="C31" s="14"/>
      <c r="G31" s="57"/>
      <c r="H31" s="60"/>
      <c r="I31" s="60"/>
    </row>
    <row r="32" spans="1:9" x14ac:dyDescent="0.2">
      <c r="A32" s="69"/>
      <c r="B32" s="75"/>
      <c r="C32" s="14"/>
      <c r="G32" s="57"/>
      <c r="H32" s="60"/>
      <c r="I32" s="60"/>
    </row>
    <row r="33" spans="1:9" x14ac:dyDescent="0.2">
      <c r="A33" s="69"/>
      <c r="B33" s="75"/>
      <c r="C33" s="14"/>
      <c r="E33" s="75"/>
      <c r="G33" s="75"/>
      <c r="H33" s="50"/>
      <c r="I33" s="50"/>
    </row>
    <row r="34" spans="1:9" x14ac:dyDescent="0.2">
      <c r="A34" s="69"/>
      <c r="B34" s="75"/>
      <c r="C34" s="14"/>
      <c r="E34" s="75"/>
      <c r="G34" s="75"/>
      <c r="H34" s="50"/>
      <c r="I34" s="50"/>
    </row>
    <row r="35" spans="1:9" x14ac:dyDescent="0.2">
      <c r="A35" s="69"/>
      <c r="B35" s="75"/>
      <c r="C35" s="14"/>
      <c r="E35" s="75"/>
      <c r="G35" s="75"/>
      <c r="H35" s="50"/>
      <c r="I35" s="50"/>
    </row>
    <row r="36" spans="1:9" x14ac:dyDescent="0.2">
      <c r="A36" s="69"/>
      <c r="B36" s="75"/>
      <c r="C36" s="14"/>
      <c r="E36" s="75"/>
      <c r="G36" s="75"/>
    </row>
    <row r="37" spans="1:9" x14ac:dyDescent="0.2">
      <c r="A37" s="69"/>
      <c r="B37" s="75"/>
      <c r="C37" s="14"/>
      <c r="E37" s="75"/>
      <c r="G37" s="75"/>
    </row>
    <row r="38" spans="1:9" x14ac:dyDescent="0.2">
      <c r="A38" s="69"/>
      <c r="B38" s="75"/>
      <c r="C38" s="14"/>
      <c r="E38" s="75"/>
      <c r="G38" s="75"/>
    </row>
    <row r="39" spans="1:9" x14ac:dyDescent="0.2">
      <c r="A39" s="69"/>
      <c r="B39" s="75"/>
      <c r="C39" s="14"/>
      <c r="E39" s="75"/>
      <c r="G39" s="75"/>
    </row>
    <row r="40" spans="1:9" x14ac:dyDescent="0.2">
      <c r="A40" s="69"/>
      <c r="B40" s="75"/>
      <c r="C40" s="14"/>
      <c r="E40" s="75"/>
      <c r="G40" s="75"/>
    </row>
    <row r="41" spans="1:9" x14ac:dyDescent="0.2">
      <c r="A41" s="69"/>
      <c r="B41" s="75"/>
      <c r="C41" s="14"/>
      <c r="E41" s="75"/>
      <c r="G41" s="75"/>
    </row>
    <row r="42" spans="1:9" x14ac:dyDescent="0.2">
      <c r="A42" s="69"/>
      <c r="B42" s="75"/>
      <c r="C42" s="14"/>
      <c r="E42" s="75"/>
      <c r="G42" s="75"/>
    </row>
    <row r="43" spans="1:9" x14ac:dyDescent="0.2">
      <c r="A43" s="69"/>
      <c r="B43" s="75"/>
      <c r="C43" s="75"/>
      <c r="E43" s="75"/>
      <c r="G43" s="75"/>
    </row>
  </sheetData>
  <mergeCells count="1">
    <mergeCell ref="E4:G4"/>
  </mergeCells>
  <pageMargins left="0.75" right="0.75" top="1" bottom="1" header="0.5" footer="0.5"/>
  <pageSetup orientation="landscape" r:id="rId1"/>
  <headerFooter alignWithMargins="0">
    <oddFooter>&amp;RExhibit JW-3
Page 2 of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506"/>
  <sheetViews>
    <sheetView zoomScale="75" zoomScaleNormal="75" zoomScaleSheetLayoutView="70" workbookViewId="0">
      <pane xSplit="6" ySplit="3" topLeftCell="G4" activePane="bottomRight" state="frozen"/>
      <selection activeCell="I54" sqref="I54"/>
      <selection pane="topRight" activeCell="I54" sqref="I54"/>
      <selection pane="bottomLeft" activeCell="I54" sqref="I54"/>
      <selection pane="bottomRight" activeCell="A326" sqref="A326"/>
    </sheetView>
  </sheetViews>
  <sheetFormatPr defaultColWidth="9.140625" defaultRowHeight="12.75" x14ac:dyDescent="0.2"/>
  <cols>
    <col min="1" max="1" width="7.7109375" style="14" customWidth="1"/>
    <col min="2" max="2" width="47.5703125" style="14" customWidth="1"/>
    <col min="3" max="3" width="12.85546875" style="14" customWidth="1"/>
    <col min="4" max="4" width="12.42578125" style="14" customWidth="1"/>
    <col min="5" max="5" width="2.7109375" style="253" customWidth="1"/>
    <col min="6" max="6" width="18.85546875" style="253" customWidth="1"/>
    <col min="7" max="7" width="2.28515625" style="14" customWidth="1"/>
    <col min="8" max="8" width="17.140625" style="14" customWidth="1"/>
    <col min="9" max="9" width="14.85546875" style="14" customWidth="1"/>
    <col min="10" max="10" width="2.7109375" style="14" customWidth="1"/>
    <col min="11" max="11" width="16.28515625" style="14" customWidth="1"/>
    <col min="12" max="12" width="2.7109375" style="14" customWidth="1"/>
    <col min="13" max="13" width="24.7109375" style="14" bestFit="1" customWidth="1"/>
    <col min="14" max="14" width="3.85546875" style="14" customWidth="1"/>
    <col min="15" max="15" width="16.28515625" style="14" customWidth="1"/>
    <col min="16" max="16" width="15.5703125" style="14" customWidth="1"/>
    <col min="17" max="17" width="1.85546875" style="82" customWidth="1"/>
    <col min="18" max="18" width="13.7109375" style="14" customWidth="1"/>
    <col min="19" max="19" width="15.140625" style="14" customWidth="1"/>
    <col min="20" max="20" width="1.85546875" style="14" customWidth="1"/>
    <col min="21" max="21" width="14.28515625" style="14" bestFit="1" customWidth="1"/>
    <col min="22" max="22" width="1.85546875" style="14" customWidth="1"/>
    <col min="23" max="23" width="13.85546875" style="14" customWidth="1"/>
    <col min="24" max="24" width="1.85546875" style="14" customWidth="1"/>
    <col min="25" max="25" width="15" style="14" customWidth="1"/>
    <col min="26" max="26" width="1.85546875" style="14" customWidth="1"/>
    <col min="27" max="27" width="14.140625" style="14" customWidth="1"/>
    <col min="28" max="28" width="16.140625" style="14" customWidth="1"/>
    <col min="29" max="29" width="14.7109375" style="14" customWidth="1"/>
    <col min="30" max="30" width="12.85546875" style="14" customWidth="1"/>
    <col min="31" max="31" width="9.140625" style="14"/>
    <col min="32" max="32" width="18.140625" style="14" customWidth="1"/>
    <col min="33" max="16384" width="9.140625" style="14"/>
  </cols>
  <sheetData>
    <row r="1" spans="1:30" x14ac:dyDescent="0.2">
      <c r="A1" s="82"/>
      <c r="B1" s="82"/>
      <c r="C1" s="82"/>
      <c r="D1" s="82"/>
      <c r="E1" s="252"/>
      <c r="F1" s="252"/>
      <c r="G1" s="82"/>
      <c r="H1" s="82"/>
      <c r="I1" s="82"/>
      <c r="J1" s="82"/>
      <c r="K1" s="82"/>
      <c r="L1" s="82"/>
      <c r="M1" s="82"/>
      <c r="N1" s="82"/>
      <c r="O1" s="82"/>
      <c r="P1" s="82"/>
      <c r="AC1" s="30" t="str">
        <f>IF(COUNTIF(AC4:AC488,"err"),"err","ok")</f>
        <v>ok</v>
      </c>
    </row>
    <row r="2" spans="1:30" ht="48" customHeight="1" thickBot="1" x14ac:dyDescent="0.25">
      <c r="A2" s="13"/>
      <c r="B2" s="13"/>
      <c r="C2" s="24"/>
      <c r="D2" s="15" t="s">
        <v>208</v>
      </c>
      <c r="E2" s="255"/>
      <c r="F2" s="255" t="s">
        <v>0</v>
      </c>
      <c r="G2" s="24"/>
      <c r="H2" s="83" t="s">
        <v>909</v>
      </c>
      <c r="I2" s="83"/>
      <c r="K2" s="84" t="s">
        <v>350</v>
      </c>
      <c r="L2" s="13"/>
      <c r="M2" s="84" t="s">
        <v>1</v>
      </c>
      <c r="N2" s="85"/>
      <c r="O2" s="83" t="s">
        <v>356</v>
      </c>
      <c r="P2" s="83"/>
      <c r="Q2" s="13"/>
      <c r="R2" s="83" t="s">
        <v>3</v>
      </c>
      <c r="S2" s="83"/>
      <c r="T2" s="13"/>
      <c r="U2" s="86" t="s">
        <v>4</v>
      </c>
      <c r="V2" s="24"/>
      <c r="W2" s="84" t="s">
        <v>756</v>
      </c>
      <c r="X2" s="85"/>
      <c r="Y2" s="84" t="s">
        <v>1014</v>
      </c>
      <c r="Z2" s="85"/>
      <c r="AA2" s="84" t="s">
        <v>470</v>
      </c>
      <c r="AB2" s="13"/>
      <c r="AC2" s="13"/>
    </row>
    <row r="3" spans="1:30" ht="13.5" thickBot="1" x14ac:dyDescent="0.25">
      <c r="A3" s="87" t="s">
        <v>6</v>
      </c>
      <c r="B3" s="87"/>
      <c r="C3" s="88" t="s">
        <v>7</v>
      </c>
      <c r="D3" s="88" t="s">
        <v>8</v>
      </c>
      <c r="E3" s="256"/>
      <c r="F3" s="256" t="s">
        <v>9</v>
      </c>
      <c r="G3" s="86"/>
      <c r="H3" s="86" t="s">
        <v>10</v>
      </c>
      <c r="I3" s="86" t="s">
        <v>11</v>
      </c>
      <c r="J3" s="86"/>
      <c r="K3" s="86" t="s">
        <v>10</v>
      </c>
      <c r="L3" s="86"/>
      <c r="M3" s="86" t="s">
        <v>10</v>
      </c>
      <c r="N3" s="86"/>
      <c r="O3" s="86" t="s">
        <v>10</v>
      </c>
      <c r="P3" s="86" t="s">
        <v>12</v>
      </c>
      <c r="Q3" s="83"/>
      <c r="R3" s="86" t="s">
        <v>10</v>
      </c>
      <c r="S3" s="86" t="s">
        <v>12</v>
      </c>
      <c r="T3" s="86"/>
      <c r="U3" s="86" t="s">
        <v>12</v>
      </c>
      <c r="V3" s="86"/>
      <c r="W3" s="86" t="s">
        <v>12</v>
      </c>
      <c r="X3" s="86"/>
      <c r="Y3" s="86" t="s">
        <v>12</v>
      </c>
      <c r="Z3" s="86"/>
      <c r="AA3" s="86" t="s">
        <v>12</v>
      </c>
      <c r="AB3" s="86" t="s">
        <v>13</v>
      </c>
      <c r="AC3" s="89" t="s">
        <v>14</v>
      </c>
    </row>
    <row r="4" spans="1:30" x14ac:dyDescent="0.2">
      <c r="F4" s="257"/>
      <c r="G4" s="29"/>
      <c r="H4" s="90"/>
      <c r="I4" s="90"/>
      <c r="J4" s="90"/>
      <c r="K4" s="90"/>
      <c r="L4" s="90"/>
      <c r="M4" s="90"/>
      <c r="N4" s="90"/>
      <c r="O4" s="90"/>
      <c r="P4" s="90"/>
      <c r="Q4" s="91"/>
      <c r="R4" s="90"/>
      <c r="S4" s="90"/>
      <c r="T4" s="90"/>
      <c r="U4" s="90"/>
      <c r="V4" s="90"/>
      <c r="W4" s="90"/>
      <c r="X4" s="90"/>
      <c r="Y4" s="90"/>
      <c r="Z4" s="90"/>
      <c r="AA4" s="90"/>
      <c r="AC4" s="30"/>
    </row>
    <row r="5" spans="1:30" x14ac:dyDescent="0.2">
      <c r="A5" s="28" t="s">
        <v>15</v>
      </c>
      <c r="F5" s="68"/>
      <c r="G5" s="68"/>
      <c r="H5" s="90"/>
      <c r="I5" s="90"/>
      <c r="J5" s="90"/>
      <c r="K5" s="90"/>
      <c r="L5" s="90"/>
      <c r="M5" s="90"/>
      <c r="N5" s="90"/>
      <c r="O5" s="90"/>
      <c r="P5" s="90"/>
      <c r="Q5" s="91"/>
      <c r="R5" s="90"/>
      <c r="S5" s="90"/>
      <c r="T5" s="90"/>
      <c r="U5" s="90"/>
      <c r="V5" s="90"/>
      <c r="W5" s="90"/>
      <c r="X5" s="90"/>
      <c r="Y5" s="90"/>
      <c r="Z5" s="90"/>
      <c r="AA5" s="90"/>
      <c r="AC5" s="30"/>
    </row>
    <row r="6" spans="1:30" x14ac:dyDescent="0.2">
      <c r="AC6" s="30"/>
    </row>
    <row r="7" spans="1:30" x14ac:dyDescent="0.2">
      <c r="A7" s="28" t="s">
        <v>358</v>
      </c>
      <c r="AC7" s="30"/>
    </row>
    <row r="8" spans="1:30" x14ac:dyDescent="0.2">
      <c r="A8" s="92">
        <v>301</v>
      </c>
      <c r="B8" s="14" t="s">
        <v>360</v>
      </c>
      <c r="C8" s="14" t="s">
        <v>361</v>
      </c>
      <c r="D8" s="14" t="s">
        <v>392</v>
      </c>
      <c r="F8" s="66">
        <v>0</v>
      </c>
      <c r="G8" s="66"/>
      <c r="H8" s="50">
        <f>IF(VLOOKUP($D8,$C$5:$AA$494,6,)=0,0,((VLOOKUP($D8,$C$5:$AA$494,6,)/VLOOKUP($D8,$C$5:$AA$494,4,))*$F8))</f>
        <v>0</v>
      </c>
      <c r="I8" s="50">
        <f>IF(VLOOKUP($D8,$C$5:$AA$494,7,)=0,0,((VLOOKUP($D8,$C$5:$AA$494,7,)/VLOOKUP($D8,$C$5:$AA$494,4,))*$F8))</f>
        <v>0</v>
      </c>
      <c r="J8" s="50"/>
      <c r="K8" s="50">
        <f>IF(VLOOKUP($D8,$C$5:$AA$494,9,)=0,0,((VLOOKUP($D8,$C$5:$AA$494,9,)/VLOOKUP($D8,$C$5:$AA$494,4,))*$F8))</f>
        <v>0</v>
      </c>
      <c r="L8" s="50"/>
      <c r="M8" s="50">
        <f>IF(VLOOKUP($D8,$C$5:$AA$494,11,)=0,0,((VLOOKUP($D8,$C$5:$AA$494,11,)/VLOOKUP($D8,$C$5:$AA$494,4,))*$F8))</f>
        <v>0</v>
      </c>
      <c r="N8" s="50"/>
      <c r="O8" s="50">
        <f>IF(VLOOKUP($D8,$C$5:$AA$494,13,)=0,0,((VLOOKUP($D8,$C$5:$AA$494,13,)/VLOOKUP($D8,$C$5:$AA$494,4,))*$F8))</f>
        <v>0</v>
      </c>
      <c r="P8" s="50">
        <f>IF(VLOOKUP($D8,$C$5:$AA$494,14,)=0,0,((VLOOKUP($D8,$C$5:$AA$494,14,)/VLOOKUP($D8,$C$5:$AA$494,4,))*$F8))</f>
        <v>0</v>
      </c>
      <c r="Q8" s="50"/>
      <c r="R8" s="50">
        <f>IF(VLOOKUP($D8,$C$5:$AA$494,16,)=0,0,((VLOOKUP($D8,$C$5:$AA$494,16,)/VLOOKUP($D8,$C$5:$AA$494,4,))*$F8))</f>
        <v>0</v>
      </c>
      <c r="S8" s="50">
        <f>IF(VLOOKUP($D8,$C$5:$AA$494,17,)=0,0,((VLOOKUP($D8,$C$5:$AA$494,17,)/VLOOKUP($D8,$C$5:$AA$494,4,))*$F8))</f>
        <v>0</v>
      </c>
      <c r="T8" s="50"/>
      <c r="U8" s="50">
        <f>IF(VLOOKUP($D8,$C$5:$AA$494,19,)=0,0,((VLOOKUP($D8,$C$5:$AA$494,19,)/VLOOKUP($D8,$C$5:$AA$494,4,))*$F8))</f>
        <v>0</v>
      </c>
      <c r="V8" s="50"/>
      <c r="W8" s="50">
        <f>IF(VLOOKUP($D8,$C$5:$AA$494,21,)=0,0,((VLOOKUP($D8,$C$5:$AA$494,21,)/VLOOKUP($D8,$C$5:$AA$494,4,))*$F8))</f>
        <v>0</v>
      </c>
      <c r="X8" s="50"/>
      <c r="Y8" s="50">
        <f>IF(VLOOKUP($D8,$C$5:$AA$494,23,)=0,0,((VLOOKUP($D8,$C$5:$AA$494,23,)/VLOOKUP($D8,$C$5:$AA$494,4,))*$F8))</f>
        <v>0</v>
      </c>
      <c r="Z8" s="50"/>
      <c r="AA8" s="50">
        <f>IF(VLOOKUP($D8,$C$5:$AA$494,25,)=0,0,((VLOOKUP($D8,$C$5:$AA$494,25,)/VLOOKUP($D8,$C$5:$AA$494,4,))*$F8))</f>
        <v>0</v>
      </c>
      <c r="AB8" s="50">
        <f>SUM(H8:AA8)</f>
        <v>0</v>
      </c>
      <c r="AC8" s="30" t="str">
        <f>IF(ABS(AB8-F8)&lt;1,"ok","err")</f>
        <v>ok</v>
      </c>
      <c r="AD8" s="36"/>
    </row>
    <row r="9" spans="1:30" x14ac:dyDescent="0.2">
      <c r="A9" s="92">
        <v>302</v>
      </c>
      <c r="B9" s="14" t="s">
        <v>830</v>
      </c>
      <c r="C9" s="14" t="s">
        <v>831</v>
      </c>
      <c r="D9" s="14" t="s">
        <v>392</v>
      </c>
      <c r="F9" s="50">
        <v>0</v>
      </c>
      <c r="G9" s="50"/>
      <c r="H9" s="50">
        <f>IF(VLOOKUP($D9,$C$5:$AA$494,6,)=0,0,((VLOOKUP($D9,$C$5:$AA$494,6,)/VLOOKUP($D9,$C$5:$AA$494,4,))*$F9))</f>
        <v>0</v>
      </c>
      <c r="I9" s="50">
        <f>IF(VLOOKUP($D9,$C$5:$AA$494,7,)=0,0,((VLOOKUP($D9,$C$5:$AA$494,7,)/VLOOKUP($D9,$C$5:$AA$494,4,))*$F9))</f>
        <v>0</v>
      </c>
      <c r="J9" s="50"/>
      <c r="K9" s="50">
        <f>IF(VLOOKUP($D9,$C$5:$AA$494,9,)=0,0,((VLOOKUP($D9,$C$5:$AA$494,9,)/VLOOKUP($D9,$C$5:$AA$494,4,))*$F9))</f>
        <v>0</v>
      </c>
      <c r="L9" s="50"/>
      <c r="M9" s="50">
        <f>IF(VLOOKUP($D9,$C$5:$AA$494,11,)=0,0,((VLOOKUP($D9,$C$5:$AA$494,11,)/VLOOKUP($D9,$C$5:$AA$494,4,))*$F9))</f>
        <v>0</v>
      </c>
      <c r="N9" s="50"/>
      <c r="O9" s="50">
        <f>IF(VLOOKUP($D9,$C$5:$AA$494,13,)=0,0,((VLOOKUP($D9,$C$5:$AA$494,13,)/VLOOKUP($D9,$C$5:$AA$494,4,))*$F9))</f>
        <v>0</v>
      </c>
      <c r="P9" s="50">
        <f>IF(VLOOKUP($D9,$C$5:$AA$494,14,)=0,0,((VLOOKUP($D9,$C$5:$AA$494,14,)/VLOOKUP($D9,$C$5:$AA$494,4,))*$F9))</f>
        <v>0</v>
      </c>
      <c r="Q9" s="50"/>
      <c r="R9" s="50">
        <f>IF(VLOOKUP($D9,$C$5:$AA$494,16,)=0,0,((VLOOKUP($D9,$C$5:$AA$494,16,)/VLOOKUP($D9,$C$5:$AA$494,4,))*$F9))</f>
        <v>0</v>
      </c>
      <c r="S9" s="50">
        <f>IF(VLOOKUP($D9,$C$5:$AA$494,17,)=0,0,((VLOOKUP($D9,$C$5:$AA$494,17,)/VLOOKUP($D9,$C$5:$AA$494,4,))*$F9))</f>
        <v>0</v>
      </c>
      <c r="T9" s="50"/>
      <c r="U9" s="50">
        <f>IF(VLOOKUP($D9,$C$5:$AA$494,19,)=0,0,((VLOOKUP($D9,$C$5:$AA$494,19,)/VLOOKUP($D9,$C$5:$AA$494,4,))*$F9))</f>
        <v>0</v>
      </c>
      <c r="V9" s="50"/>
      <c r="W9" s="50">
        <f>IF(VLOOKUP($D9,$C$5:$AA$494,21,)=0,0,((VLOOKUP($D9,$C$5:$AA$494,21,)/VLOOKUP($D9,$C$5:$AA$494,4,))*$F9))</f>
        <v>0</v>
      </c>
      <c r="X9" s="50"/>
      <c r="Y9" s="50">
        <f>IF(VLOOKUP($D9,$C$5:$AA$494,23,)=0,0,((VLOOKUP($D9,$C$5:$AA$494,23,)/VLOOKUP($D9,$C$5:$AA$494,4,))*$F9))</f>
        <v>0</v>
      </c>
      <c r="Z9" s="50"/>
      <c r="AA9" s="50">
        <f>IF(VLOOKUP($D9,$C$5:$AA$494,25,)=0,0,((VLOOKUP($D9,$C$5:$AA$494,25,)/VLOOKUP($D9,$C$5:$AA$494,4,))*$F9))</f>
        <v>0</v>
      </c>
      <c r="AB9" s="50">
        <f>SUM(H9:AA9)</f>
        <v>0</v>
      </c>
      <c r="AC9" s="30" t="str">
        <f>IF(ABS(AB9-F9)&lt;1,"ok","err")</f>
        <v>ok</v>
      </c>
    </row>
    <row r="10" spans="1:30" x14ac:dyDescent="0.2">
      <c r="A10" s="92">
        <v>303</v>
      </c>
      <c r="B10" s="14" t="s">
        <v>704</v>
      </c>
      <c r="C10" s="14" t="s">
        <v>705</v>
      </c>
      <c r="D10" s="14" t="s">
        <v>392</v>
      </c>
      <c r="F10" s="50">
        <v>0</v>
      </c>
      <c r="G10" s="50"/>
      <c r="H10" s="50">
        <f>IF(VLOOKUP($D10,$C$5:$AA$494,6,)=0,0,((VLOOKUP($D10,$C$5:$AA$494,6,)/VLOOKUP($D10,$C$5:$AA$494,4,))*$F10))</f>
        <v>0</v>
      </c>
      <c r="I10" s="50">
        <f>IF(VLOOKUP($D10,$C$5:$AA$494,7,)=0,0,((VLOOKUP($D10,$C$5:$AA$494,7,)/VLOOKUP($D10,$C$5:$AA$494,4,))*$F10))</f>
        <v>0</v>
      </c>
      <c r="J10" s="50"/>
      <c r="K10" s="50">
        <f>IF(VLOOKUP($D10,$C$5:$AA$494,9,)=0,0,((VLOOKUP($D10,$C$5:$AA$494,9,)/VLOOKUP($D10,$C$5:$AA$494,4,))*$F10))</f>
        <v>0</v>
      </c>
      <c r="L10" s="50"/>
      <c r="M10" s="50">
        <f>IF(VLOOKUP($D10,$C$5:$AA$494,11,)=0,0,((VLOOKUP($D10,$C$5:$AA$494,11,)/VLOOKUP($D10,$C$5:$AA$494,4,))*$F10))</f>
        <v>0</v>
      </c>
      <c r="N10" s="50"/>
      <c r="O10" s="50">
        <f>IF(VLOOKUP($D10,$C$5:$AA$494,13,)=0,0,((VLOOKUP($D10,$C$5:$AA$494,13,)/VLOOKUP($D10,$C$5:$AA$494,4,))*$F10))</f>
        <v>0</v>
      </c>
      <c r="P10" s="50">
        <f>IF(VLOOKUP($D10,$C$5:$AA$494,14,)=0,0,((VLOOKUP($D10,$C$5:$AA$494,14,)/VLOOKUP($D10,$C$5:$AA$494,4,))*$F10))</f>
        <v>0</v>
      </c>
      <c r="Q10" s="50"/>
      <c r="R10" s="50">
        <f>IF(VLOOKUP($D10,$C$5:$AA$494,16,)=0,0,((VLOOKUP($D10,$C$5:$AA$494,16,)/VLOOKUP($D10,$C$5:$AA$494,4,))*$F10))</f>
        <v>0</v>
      </c>
      <c r="S10" s="50">
        <f>IF(VLOOKUP($D10,$C$5:$AA$494,17,)=0,0,((VLOOKUP($D10,$C$5:$AA$494,17,)/VLOOKUP($D10,$C$5:$AA$494,4,))*$F10))</f>
        <v>0</v>
      </c>
      <c r="T10" s="50"/>
      <c r="U10" s="50">
        <f>IF(VLOOKUP($D10,$C$5:$AA$494,19,)=0,0,((VLOOKUP($D10,$C$5:$AA$494,19,)/VLOOKUP($D10,$C$5:$AA$494,4,))*$F10))</f>
        <v>0</v>
      </c>
      <c r="V10" s="50"/>
      <c r="W10" s="50">
        <f>IF(VLOOKUP($D10,$C$5:$AA$494,21,)=0,0,((VLOOKUP($D10,$C$5:$AA$494,21,)/VLOOKUP($D10,$C$5:$AA$494,4,))*$F10))</f>
        <v>0</v>
      </c>
      <c r="X10" s="50"/>
      <c r="Y10" s="50">
        <f>IF(VLOOKUP($D10,$C$5:$AA$494,23,)=0,0,((VLOOKUP($D10,$C$5:$AA$494,23,)/VLOOKUP($D10,$C$5:$AA$494,4,))*$F10))</f>
        <v>0</v>
      </c>
      <c r="Z10" s="50"/>
      <c r="AA10" s="50">
        <f>IF(VLOOKUP($D10,$C$5:$AA$494,25,)=0,0,((VLOOKUP($D10,$C$5:$AA$494,25,)/VLOOKUP($D10,$C$5:$AA$494,4,))*$F10))</f>
        <v>0</v>
      </c>
      <c r="AB10" s="50">
        <f>SUM(H10:AA10)</f>
        <v>0</v>
      </c>
      <c r="AC10" s="30" t="str">
        <f>IF(ABS(AB10-F10)&lt;1,"ok","err")</f>
        <v>ok</v>
      </c>
    </row>
    <row r="11" spans="1:30" x14ac:dyDescent="0.2">
      <c r="AC11" s="30"/>
    </row>
    <row r="12" spans="1:30" x14ac:dyDescent="0.2">
      <c r="B12" s="14" t="s">
        <v>19</v>
      </c>
      <c r="C12" s="14" t="s">
        <v>20</v>
      </c>
      <c r="F12" s="260">
        <f>SUM(F8:F10)</f>
        <v>0</v>
      </c>
      <c r="G12" s="93"/>
      <c r="H12" s="93">
        <f>SUM(H8:H10)</f>
        <v>0</v>
      </c>
      <c r="I12" s="93">
        <f>SUM(I8:I10)</f>
        <v>0</v>
      </c>
      <c r="J12" s="93"/>
      <c r="K12" s="93">
        <f>SUM(K8:K10)</f>
        <v>0</v>
      </c>
      <c r="L12" s="93"/>
      <c r="M12" s="93">
        <f>SUM(M8:M10)</f>
        <v>0</v>
      </c>
      <c r="N12" s="93"/>
      <c r="O12" s="93">
        <f>SUM(O8:O10)</f>
        <v>0</v>
      </c>
      <c r="P12" s="93">
        <f>SUM(P8:P10)</f>
        <v>0</v>
      </c>
      <c r="Q12" s="93"/>
      <c r="R12" s="93">
        <f>SUM(R8:R10)</f>
        <v>0</v>
      </c>
      <c r="S12" s="93">
        <f>SUM(S8:S10)</f>
        <v>0</v>
      </c>
      <c r="T12" s="93"/>
      <c r="U12" s="93">
        <f>SUM(U8:U10)</f>
        <v>0</v>
      </c>
      <c r="V12" s="93"/>
      <c r="W12" s="93">
        <f>SUM(W8:W10)</f>
        <v>0</v>
      </c>
      <c r="X12" s="93"/>
      <c r="Y12" s="93">
        <f>SUM(Y8:Y10)</f>
        <v>0</v>
      </c>
      <c r="Z12" s="93"/>
      <c r="AA12" s="93">
        <f>SUM(AA8:AA10)</f>
        <v>0</v>
      </c>
      <c r="AB12" s="50">
        <f>SUM(H12:AA12)</f>
        <v>0</v>
      </c>
      <c r="AC12" s="30" t="str">
        <f>IF(ABS(AB12-F12)&lt;1,"ok","err")</f>
        <v>ok</v>
      </c>
      <c r="AD12" s="36"/>
    </row>
    <row r="13" spans="1:30" x14ac:dyDescent="0.2">
      <c r="AC13" s="30"/>
    </row>
    <row r="14" spans="1:30" x14ac:dyDescent="0.2">
      <c r="A14" s="28" t="s">
        <v>769</v>
      </c>
      <c r="Q14" s="14"/>
      <c r="AC14" s="30"/>
    </row>
    <row r="15" spans="1:30" x14ac:dyDescent="0.2">
      <c r="A15" s="94">
        <v>310</v>
      </c>
      <c r="B15" s="14" t="s">
        <v>17</v>
      </c>
      <c r="C15" s="14" t="s">
        <v>776</v>
      </c>
      <c r="D15" s="14" t="s">
        <v>552</v>
      </c>
      <c r="F15" s="66">
        <v>0</v>
      </c>
      <c r="G15" s="66"/>
      <c r="H15" s="50">
        <f t="shared" ref="H15:H22" si="0">IF(VLOOKUP($D15,$C$5:$AA$494,6,)=0,0,((VLOOKUP($D15,$C$5:$AA$494,6,)/VLOOKUP($D15,$C$5:$AA$494,4,))*$F15))</f>
        <v>0</v>
      </c>
      <c r="I15" s="50">
        <f t="shared" ref="I15:I22" si="1">IF(VLOOKUP($D15,$C$5:$AA$494,7,)=0,0,((VLOOKUP($D15,$C$5:$AA$494,7,)/VLOOKUP($D15,$C$5:$AA$494,4,))*$F15))</f>
        <v>0</v>
      </c>
      <c r="J15" s="50"/>
      <c r="K15" s="50">
        <f t="shared" ref="K15:K22" si="2">IF(VLOOKUP($D15,$C$5:$AA$494,9,)=0,0,((VLOOKUP($D15,$C$5:$AA$494,9,)/VLOOKUP($D15,$C$5:$AA$494,4,))*$F15))</f>
        <v>0</v>
      </c>
      <c r="L15" s="50"/>
      <c r="M15" s="50">
        <f t="shared" ref="M15:M22" si="3">IF(VLOOKUP($D15,$C$5:$AA$494,11,)=0,0,((VLOOKUP($D15,$C$5:$AA$494,11,)/VLOOKUP($D15,$C$5:$AA$494,4,))*$F15))</f>
        <v>0</v>
      </c>
      <c r="N15" s="50"/>
      <c r="O15" s="50">
        <f t="shared" ref="O15:O22" si="4">IF(VLOOKUP($D15,$C$5:$AA$494,13,)=0,0,((VLOOKUP($D15,$C$5:$AA$494,13,)/VLOOKUP($D15,$C$5:$AA$494,4,))*$F15))</f>
        <v>0</v>
      </c>
      <c r="P15" s="50">
        <f t="shared" ref="P15:P22" si="5">IF(VLOOKUP($D15,$C$5:$AA$494,14,)=0,0,((VLOOKUP($D15,$C$5:$AA$494,14,)/VLOOKUP($D15,$C$5:$AA$494,4,))*$F15))</f>
        <v>0</v>
      </c>
      <c r="Q15" s="50"/>
      <c r="R15" s="50">
        <f t="shared" ref="R15:R22" si="6">IF(VLOOKUP($D15,$C$5:$AA$494,16,)=0,0,((VLOOKUP($D15,$C$5:$AA$494,16,)/VLOOKUP($D15,$C$5:$AA$494,4,))*$F15))</f>
        <v>0</v>
      </c>
      <c r="S15" s="50">
        <f t="shared" ref="S15:S22" si="7">IF(VLOOKUP($D15,$C$5:$AA$494,17,)=0,0,((VLOOKUP($D15,$C$5:$AA$494,17,)/VLOOKUP($D15,$C$5:$AA$494,4,))*$F15))</f>
        <v>0</v>
      </c>
      <c r="T15" s="50"/>
      <c r="U15" s="50">
        <f t="shared" ref="U15:U22" si="8">IF(VLOOKUP($D15,$C$5:$AA$494,19,)=0,0,((VLOOKUP($D15,$C$5:$AA$494,19,)/VLOOKUP($D15,$C$5:$AA$494,4,))*$F15))</f>
        <v>0</v>
      </c>
      <c r="V15" s="50"/>
      <c r="W15" s="50">
        <f t="shared" ref="W15:W22" si="9">IF(VLOOKUP($D15,$C$5:$AA$494,21,)=0,0,((VLOOKUP($D15,$C$5:$AA$494,21,)/VLOOKUP($D15,$C$5:$AA$494,4,))*$F15))</f>
        <v>0</v>
      </c>
      <c r="X15" s="50"/>
      <c r="Y15" s="50">
        <f t="shared" ref="Y15:Y22" si="10">IF(VLOOKUP($D15,$C$5:$AA$494,23,)=0,0,((VLOOKUP($D15,$C$5:$AA$494,23,)/VLOOKUP($D15,$C$5:$AA$494,4,))*$F15))</f>
        <v>0</v>
      </c>
      <c r="Z15" s="50"/>
      <c r="AA15" s="50">
        <f t="shared" ref="AA15:AA22" si="11">IF(VLOOKUP($D15,$C$5:$AA$494,25,)=0,0,((VLOOKUP($D15,$C$5:$AA$494,25,)/VLOOKUP($D15,$C$5:$AA$494,4,))*$F15))</f>
        <v>0</v>
      </c>
      <c r="AB15" s="50">
        <f t="shared" ref="AB15:AB22" si="12">SUM(H15:AA15)</f>
        <v>0</v>
      </c>
      <c r="AC15" s="30" t="str">
        <f t="shared" ref="AC15:AC22" si="13">IF(ABS(AB15-F15)&lt;1,"ok","err")</f>
        <v>ok</v>
      </c>
    </row>
    <row r="16" spans="1:30" x14ac:dyDescent="0.2">
      <c r="A16" s="94">
        <v>311</v>
      </c>
      <c r="B16" s="14" t="s">
        <v>53</v>
      </c>
      <c r="C16" s="14" t="s">
        <v>783</v>
      </c>
      <c r="D16" s="14" t="s">
        <v>552</v>
      </c>
      <c r="F16" s="50">
        <v>0</v>
      </c>
      <c r="G16" s="50"/>
      <c r="H16" s="50">
        <f t="shared" si="0"/>
        <v>0</v>
      </c>
      <c r="I16" s="50">
        <f t="shared" si="1"/>
        <v>0</v>
      </c>
      <c r="J16" s="50"/>
      <c r="K16" s="50">
        <f t="shared" si="2"/>
        <v>0</v>
      </c>
      <c r="L16" s="50"/>
      <c r="M16" s="50">
        <f t="shared" si="3"/>
        <v>0</v>
      </c>
      <c r="N16" s="50"/>
      <c r="O16" s="50">
        <f t="shared" si="4"/>
        <v>0</v>
      </c>
      <c r="P16" s="50">
        <f t="shared" si="5"/>
        <v>0</v>
      </c>
      <c r="Q16" s="50"/>
      <c r="R16" s="50">
        <f t="shared" si="6"/>
        <v>0</v>
      </c>
      <c r="S16" s="50">
        <f t="shared" si="7"/>
        <v>0</v>
      </c>
      <c r="T16" s="50"/>
      <c r="U16" s="50">
        <f t="shared" si="8"/>
        <v>0</v>
      </c>
      <c r="V16" s="50"/>
      <c r="W16" s="50">
        <f t="shared" si="9"/>
        <v>0</v>
      </c>
      <c r="X16" s="50"/>
      <c r="Y16" s="50">
        <f t="shared" si="10"/>
        <v>0</v>
      </c>
      <c r="Z16" s="50"/>
      <c r="AA16" s="50">
        <f t="shared" si="11"/>
        <v>0</v>
      </c>
      <c r="AB16" s="50">
        <f t="shared" si="12"/>
        <v>0</v>
      </c>
      <c r="AC16" s="30" t="str">
        <f t="shared" si="13"/>
        <v>ok</v>
      </c>
    </row>
    <row r="17" spans="1:29" x14ac:dyDescent="0.2">
      <c r="A17" s="94">
        <v>312</v>
      </c>
      <c r="B17" s="14" t="s">
        <v>770</v>
      </c>
      <c r="C17" s="14" t="s">
        <v>777</v>
      </c>
      <c r="D17" s="14" t="s">
        <v>552</v>
      </c>
      <c r="F17" s="50">
        <v>0</v>
      </c>
      <c r="G17" s="50"/>
      <c r="H17" s="50">
        <f t="shared" si="0"/>
        <v>0</v>
      </c>
      <c r="I17" s="50">
        <f t="shared" si="1"/>
        <v>0</v>
      </c>
      <c r="J17" s="50"/>
      <c r="K17" s="50">
        <f t="shared" si="2"/>
        <v>0</v>
      </c>
      <c r="L17" s="50"/>
      <c r="M17" s="50">
        <f t="shared" si="3"/>
        <v>0</v>
      </c>
      <c r="N17" s="50"/>
      <c r="O17" s="50">
        <f t="shared" si="4"/>
        <v>0</v>
      </c>
      <c r="P17" s="50">
        <f t="shared" si="5"/>
        <v>0</v>
      </c>
      <c r="Q17" s="50"/>
      <c r="R17" s="50">
        <f t="shared" si="6"/>
        <v>0</v>
      </c>
      <c r="S17" s="50">
        <f t="shared" si="7"/>
        <v>0</v>
      </c>
      <c r="T17" s="50"/>
      <c r="U17" s="50">
        <f t="shared" si="8"/>
        <v>0</v>
      </c>
      <c r="V17" s="50"/>
      <c r="W17" s="50">
        <f t="shared" si="9"/>
        <v>0</v>
      </c>
      <c r="X17" s="50"/>
      <c r="Y17" s="50">
        <f t="shared" si="10"/>
        <v>0</v>
      </c>
      <c r="Z17" s="50"/>
      <c r="AA17" s="50">
        <f t="shared" si="11"/>
        <v>0</v>
      </c>
      <c r="AB17" s="50">
        <f t="shared" si="12"/>
        <v>0</v>
      </c>
      <c r="AC17" s="30" t="str">
        <f t="shared" si="13"/>
        <v>ok</v>
      </c>
    </row>
    <row r="18" spans="1:29" x14ac:dyDescent="0.2">
      <c r="A18" s="94">
        <v>313</v>
      </c>
      <c r="B18" s="14" t="s">
        <v>771</v>
      </c>
      <c r="C18" s="14" t="s">
        <v>778</v>
      </c>
      <c r="D18" s="14" t="s">
        <v>552</v>
      </c>
      <c r="F18" s="50">
        <v>0</v>
      </c>
      <c r="G18" s="50"/>
      <c r="H18" s="50">
        <f t="shared" si="0"/>
        <v>0</v>
      </c>
      <c r="I18" s="50">
        <f t="shared" si="1"/>
        <v>0</v>
      </c>
      <c r="J18" s="50"/>
      <c r="K18" s="50">
        <f t="shared" si="2"/>
        <v>0</v>
      </c>
      <c r="L18" s="50"/>
      <c r="M18" s="50">
        <f t="shared" si="3"/>
        <v>0</v>
      </c>
      <c r="N18" s="50"/>
      <c r="O18" s="50">
        <f t="shared" si="4"/>
        <v>0</v>
      </c>
      <c r="P18" s="50">
        <f t="shared" si="5"/>
        <v>0</v>
      </c>
      <c r="Q18" s="50"/>
      <c r="R18" s="50">
        <f t="shared" si="6"/>
        <v>0</v>
      </c>
      <c r="S18" s="50">
        <f t="shared" si="7"/>
        <v>0</v>
      </c>
      <c r="T18" s="50"/>
      <c r="U18" s="50">
        <f t="shared" si="8"/>
        <v>0</v>
      </c>
      <c r="V18" s="50"/>
      <c r="W18" s="50">
        <f t="shared" si="9"/>
        <v>0</v>
      </c>
      <c r="X18" s="50"/>
      <c r="Y18" s="50">
        <f t="shared" si="10"/>
        <v>0</v>
      </c>
      <c r="Z18" s="50"/>
      <c r="AA18" s="50">
        <f t="shared" si="11"/>
        <v>0</v>
      </c>
      <c r="AB18" s="50">
        <f t="shared" si="12"/>
        <v>0</v>
      </c>
      <c r="AC18" s="30" t="str">
        <f t="shared" si="13"/>
        <v>ok</v>
      </c>
    </row>
    <row r="19" spans="1:29" x14ac:dyDescent="0.2">
      <c r="A19" s="94">
        <v>314</v>
      </c>
      <c r="B19" s="14" t="s">
        <v>772</v>
      </c>
      <c r="C19" s="14" t="s">
        <v>779</v>
      </c>
      <c r="D19" s="14" t="s">
        <v>552</v>
      </c>
      <c r="F19" s="50">
        <v>0</v>
      </c>
      <c r="G19" s="50"/>
      <c r="H19" s="50">
        <f t="shared" si="0"/>
        <v>0</v>
      </c>
      <c r="I19" s="50">
        <f t="shared" si="1"/>
        <v>0</v>
      </c>
      <c r="J19" s="50"/>
      <c r="K19" s="50">
        <f t="shared" si="2"/>
        <v>0</v>
      </c>
      <c r="L19" s="50"/>
      <c r="M19" s="50">
        <f t="shared" si="3"/>
        <v>0</v>
      </c>
      <c r="N19" s="50"/>
      <c r="O19" s="50">
        <f t="shared" si="4"/>
        <v>0</v>
      </c>
      <c r="P19" s="50">
        <f t="shared" si="5"/>
        <v>0</v>
      </c>
      <c r="Q19" s="50"/>
      <c r="R19" s="50">
        <f t="shared" si="6"/>
        <v>0</v>
      </c>
      <c r="S19" s="50">
        <f t="shared" si="7"/>
        <v>0</v>
      </c>
      <c r="T19" s="50"/>
      <c r="U19" s="50">
        <f t="shared" si="8"/>
        <v>0</v>
      </c>
      <c r="V19" s="50"/>
      <c r="W19" s="50">
        <f t="shared" si="9"/>
        <v>0</v>
      </c>
      <c r="X19" s="50"/>
      <c r="Y19" s="50">
        <f t="shared" si="10"/>
        <v>0</v>
      </c>
      <c r="Z19" s="50"/>
      <c r="AA19" s="50">
        <f t="shared" si="11"/>
        <v>0</v>
      </c>
      <c r="AB19" s="50">
        <f t="shared" si="12"/>
        <v>0</v>
      </c>
      <c r="AC19" s="30" t="str">
        <f t="shared" si="13"/>
        <v>ok</v>
      </c>
    </row>
    <row r="20" spans="1:29" x14ac:dyDescent="0.2">
      <c r="A20" s="94">
        <v>315</v>
      </c>
      <c r="B20" s="14" t="s">
        <v>773</v>
      </c>
      <c r="C20" s="14" t="s">
        <v>780</v>
      </c>
      <c r="D20" s="14" t="s">
        <v>552</v>
      </c>
      <c r="F20" s="50">
        <v>0</v>
      </c>
      <c r="G20" s="50"/>
      <c r="H20" s="50">
        <f t="shared" si="0"/>
        <v>0</v>
      </c>
      <c r="I20" s="50">
        <f t="shared" si="1"/>
        <v>0</v>
      </c>
      <c r="J20" s="50"/>
      <c r="K20" s="50">
        <f t="shared" si="2"/>
        <v>0</v>
      </c>
      <c r="L20" s="50"/>
      <c r="M20" s="50">
        <f t="shared" si="3"/>
        <v>0</v>
      </c>
      <c r="N20" s="50"/>
      <c r="O20" s="50">
        <f t="shared" si="4"/>
        <v>0</v>
      </c>
      <c r="P20" s="50">
        <f t="shared" si="5"/>
        <v>0</v>
      </c>
      <c r="Q20" s="50"/>
      <c r="R20" s="50">
        <f t="shared" si="6"/>
        <v>0</v>
      </c>
      <c r="S20" s="50">
        <f t="shared" si="7"/>
        <v>0</v>
      </c>
      <c r="T20" s="50"/>
      <c r="U20" s="50">
        <f t="shared" si="8"/>
        <v>0</v>
      </c>
      <c r="V20" s="50"/>
      <c r="W20" s="50">
        <f t="shared" si="9"/>
        <v>0</v>
      </c>
      <c r="X20" s="50"/>
      <c r="Y20" s="50">
        <f t="shared" si="10"/>
        <v>0</v>
      </c>
      <c r="Z20" s="50"/>
      <c r="AA20" s="50">
        <f t="shared" si="11"/>
        <v>0</v>
      </c>
      <c r="AB20" s="50">
        <f t="shared" si="12"/>
        <v>0</v>
      </c>
      <c r="AC20" s="30" t="str">
        <f t="shared" si="13"/>
        <v>ok</v>
      </c>
    </row>
    <row r="21" spans="1:29" x14ac:dyDescent="0.2">
      <c r="A21" s="94">
        <v>316</v>
      </c>
      <c r="B21" s="14" t="s">
        <v>775</v>
      </c>
      <c r="C21" s="14" t="s">
        <v>781</v>
      </c>
      <c r="D21" s="14" t="s">
        <v>552</v>
      </c>
      <c r="F21" s="50">
        <v>0</v>
      </c>
      <c r="G21" s="50"/>
      <c r="H21" s="50">
        <f t="shared" si="0"/>
        <v>0</v>
      </c>
      <c r="I21" s="50">
        <f t="shared" si="1"/>
        <v>0</v>
      </c>
      <c r="J21" s="50"/>
      <c r="K21" s="50">
        <f t="shared" si="2"/>
        <v>0</v>
      </c>
      <c r="L21" s="50"/>
      <c r="M21" s="50">
        <f t="shared" si="3"/>
        <v>0</v>
      </c>
      <c r="N21" s="50"/>
      <c r="O21" s="50">
        <f t="shared" si="4"/>
        <v>0</v>
      </c>
      <c r="P21" s="50">
        <f t="shared" si="5"/>
        <v>0</v>
      </c>
      <c r="Q21" s="50"/>
      <c r="R21" s="50">
        <f t="shared" si="6"/>
        <v>0</v>
      </c>
      <c r="S21" s="50">
        <f t="shared" si="7"/>
        <v>0</v>
      </c>
      <c r="T21" s="50"/>
      <c r="U21" s="50">
        <f t="shared" si="8"/>
        <v>0</v>
      </c>
      <c r="V21" s="50"/>
      <c r="W21" s="50">
        <f t="shared" si="9"/>
        <v>0</v>
      </c>
      <c r="X21" s="50"/>
      <c r="Y21" s="50">
        <f t="shared" si="10"/>
        <v>0</v>
      </c>
      <c r="Z21" s="50"/>
      <c r="AA21" s="50">
        <f t="shared" si="11"/>
        <v>0</v>
      </c>
      <c r="AB21" s="50">
        <f>SUM(H21:AA21)</f>
        <v>0</v>
      </c>
      <c r="AC21" s="30" t="str">
        <f>IF(ABS(AB21-F21)&lt;1,"ok","err")</f>
        <v>ok</v>
      </c>
    </row>
    <row r="22" spans="1:29" x14ac:dyDescent="0.2">
      <c r="A22" s="94">
        <v>317</v>
      </c>
      <c r="B22" s="14" t="s">
        <v>774</v>
      </c>
      <c r="C22" s="14" t="s">
        <v>782</v>
      </c>
      <c r="D22" s="14" t="s">
        <v>552</v>
      </c>
      <c r="F22" s="50">
        <v>0</v>
      </c>
      <c r="G22" s="50"/>
      <c r="H22" s="50">
        <f t="shared" si="0"/>
        <v>0</v>
      </c>
      <c r="I22" s="50">
        <f t="shared" si="1"/>
        <v>0</v>
      </c>
      <c r="J22" s="50"/>
      <c r="K22" s="50">
        <f t="shared" si="2"/>
        <v>0</v>
      </c>
      <c r="L22" s="50"/>
      <c r="M22" s="50">
        <f t="shared" si="3"/>
        <v>0</v>
      </c>
      <c r="N22" s="50"/>
      <c r="O22" s="50">
        <f t="shared" si="4"/>
        <v>0</v>
      </c>
      <c r="P22" s="50">
        <f t="shared" si="5"/>
        <v>0</v>
      </c>
      <c r="Q22" s="50"/>
      <c r="R22" s="50">
        <f t="shared" si="6"/>
        <v>0</v>
      </c>
      <c r="S22" s="50">
        <f t="shared" si="7"/>
        <v>0</v>
      </c>
      <c r="T22" s="50"/>
      <c r="U22" s="50">
        <f t="shared" si="8"/>
        <v>0</v>
      </c>
      <c r="V22" s="50"/>
      <c r="W22" s="50">
        <f t="shared" si="9"/>
        <v>0</v>
      </c>
      <c r="X22" s="50"/>
      <c r="Y22" s="50">
        <f t="shared" si="10"/>
        <v>0</v>
      </c>
      <c r="Z22" s="50"/>
      <c r="AA22" s="50">
        <f t="shared" si="11"/>
        <v>0</v>
      </c>
      <c r="AB22" s="50">
        <f t="shared" si="12"/>
        <v>0</v>
      </c>
      <c r="AC22" s="30" t="str">
        <f t="shared" si="13"/>
        <v>ok</v>
      </c>
    </row>
    <row r="23" spans="1:29" x14ac:dyDescent="0.2">
      <c r="Q23" s="14"/>
      <c r="AB23" s="50"/>
      <c r="AC23" s="30"/>
    </row>
    <row r="24" spans="1:29" x14ac:dyDescent="0.2">
      <c r="B24" s="14" t="s">
        <v>785</v>
      </c>
      <c r="C24" s="14" t="s">
        <v>784</v>
      </c>
      <c r="F24" s="260">
        <f>SUM(F15:F23)</f>
        <v>0</v>
      </c>
      <c r="G24" s="93"/>
      <c r="H24" s="93">
        <f>SUM(H15:H23)</f>
        <v>0</v>
      </c>
      <c r="I24" s="93">
        <f>SUM(I15:I23)</f>
        <v>0</v>
      </c>
      <c r="J24" s="93"/>
      <c r="K24" s="93">
        <f>SUM(K15:K23)</f>
        <v>0</v>
      </c>
      <c r="L24" s="93"/>
      <c r="M24" s="93">
        <f>SUM(M15:M23)</f>
        <v>0</v>
      </c>
      <c r="N24" s="93"/>
      <c r="O24" s="93">
        <f>SUM(O15:O23)</f>
        <v>0</v>
      </c>
      <c r="P24" s="93">
        <f>SUM(P15:P23)</f>
        <v>0</v>
      </c>
      <c r="Q24" s="93"/>
      <c r="R24" s="93">
        <f>SUM(R15:R23)</f>
        <v>0</v>
      </c>
      <c r="S24" s="93">
        <f>SUM(S15:S23)</f>
        <v>0</v>
      </c>
      <c r="T24" s="93"/>
      <c r="U24" s="93">
        <f>SUM(U15:U23)</f>
        <v>0</v>
      </c>
      <c r="V24" s="93"/>
      <c r="W24" s="93">
        <f>SUM(W15:W23)</f>
        <v>0</v>
      </c>
      <c r="X24" s="93"/>
      <c r="Y24" s="93">
        <f>SUM(Y15:Y23)</f>
        <v>0</v>
      </c>
      <c r="Z24" s="93"/>
      <c r="AA24" s="93">
        <f>SUM(AA15:AA23)</f>
        <v>0</v>
      </c>
      <c r="AB24" s="50">
        <f>SUM(H24:AA24)</f>
        <v>0</v>
      </c>
      <c r="AC24" s="30" t="str">
        <f>IF(ABS(AB24-F24)&lt;1,"ok","err")</f>
        <v>ok</v>
      </c>
    </row>
    <row r="25" spans="1:29" x14ac:dyDescent="0.2">
      <c r="Q25" s="14"/>
      <c r="AC25" s="30"/>
    </row>
    <row r="26" spans="1:29" x14ac:dyDescent="0.2">
      <c r="A26" s="28" t="s">
        <v>350</v>
      </c>
      <c r="Q26" s="14"/>
      <c r="AC26" s="30"/>
    </row>
    <row r="27" spans="1:29" x14ac:dyDescent="0.2">
      <c r="A27" s="94">
        <v>350</v>
      </c>
      <c r="B27" s="14" t="s">
        <v>17</v>
      </c>
      <c r="C27" s="14" t="s">
        <v>352</v>
      </c>
      <c r="D27" s="14" t="s">
        <v>391</v>
      </c>
      <c r="F27" s="66">
        <v>0</v>
      </c>
      <c r="G27" s="66"/>
      <c r="H27" s="50">
        <f t="shared" ref="H27:H33" si="14">IF(VLOOKUP($D27,$C$5:$AA$494,6,)=0,0,((VLOOKUP($D27,$C$5:$AA$494,6,)/VLOOKUP($D27,$C$5:$AA$494,4,))*$F27))</f>
        <v>0</v>
      </c>
      <c r="I27" s="50">
        <f t="shared" ref="I27:I33" si="15">IF(VLOOKUP($D27,$C$5:$AA$494,7,)=0,0,((VLOOKUP($D27,$C$5:$AA$494,7,)/VLOOKUP($D27,$C$5:$AA$494,4,))*$F27))</f>
        <v>0</v>
      </c>
      <c r="J27" s="50"/>
      <c r="K27" s="50">
        <f t="shared" ref="K27:K33" si="16">IF(VLOOKUP($D27,$C$5:$AA$494,9,)=0,0,((VLOOKUP($D27,$C$5:$AA$494,9,)/VLOOKUP($D27,$C$5:$AA$494,4,))*$F27))</f>
        <v>0</v>
      </c>
      <c r="L27" s="50"/>
      <c r="M27" s="50">
        <f t="shared" ref="M27:M33" si="17">IF(VLOOKUP($D27,$C$5:$AA$494,11,)=0,0,((VLOOKUP($D27,$C$5:$AA$494,11,)/VLOOKUP($D27,$C$5:$AA$494,4,))*$F27))</f>
        <v>0</v>
      </c>
      <c r="N27" s="50"/>
      <c r="O27" s="50">
        <f t="shared" ref="O27:O33" si="18">IF(VLOOKUP($D27,$C$5:$AA$494,13,)=0,0,((VLOOKUP($D27,$C$5:$AA$494,13,)/VLOOKUP($D27,$C$5:$AA$494,4,))*$F27))</f>
        <v>0</v>
      </c>
      <c r="P27" s="50">
        <f t="shared" ref="P27:P33" si="19">IF(VLOOKUP($D27,$C$5:$AA$494,14,)=0,0,((VLOOKUP($D27,$C$5:$AA$494,14,)/VLOOKUP($D27,$C$5:$AA$494,4,))*$F27))</f>
        <v>0</v>
      </c>
      <c r="Q27" s="50"/>
      <c r="R27" s="50">
        <f t="shared" ref="R27:R33" si="20">IF(VLOOKUP($D27,$C$5:$AA$494,16,)=0,0,((VLOOKUP($D27,$C$5:$AA$494,16,)/VLOOKUP($D27,$C$5:$AA$494,4,))*$F27))</f>
        <v>0</v>
      </c>
      <c r="S27" s="50">
        <f t="shared" ref="S27:S33" si="21">IF(VLOOKUP($D27,$C$5:$AA$494,17,)=0,0,((VLOOKUP($D27,$C$5:$AA$494,17,)/VLOOKUP($D27,$C$5:$AA$494,4,))*$F27))</f>
        <v>0</v>
      </c>
      <c r="T27" s="50"/>
      <c r="U27" s="50">
        <f t="shared" ref="U27:U33" si="22">IF(VLOOKUP($D27,$C$5:$AA$494,19,)=0,0,((VLOOKUP($D27,$C$5:$AA$494,19,)/VLOOKUP($D27,$C$5:$AA$494,4,))*$F27))</f>
        <v>0</v>
      </c>
      <c r="V27" s="50"/>
      <c r="W27" s="50">
        <f t="shared" ref="W27:W33" si="23">IF(VLOOKUP($D27,$C$5:$AA$494,21,)=0,0,((VLOOKUP($D27,$C$5:$AA$494,21,)/VLOOKUP($D27,$C$5:$AA$494,4,))*$F27))</f>
        <v>0</v>
      </c>
      <c r="X27" s="50"/>
      <c r="Y27" s="50">
        <f t="shared" ref="Y27:Y33" si="24">IF(VLOOKUP($D27,$C$5:$AA$494,23,)=0,0,((VLOOKUP($D27,$C$5:$AA$494,23,)/VLOOKUP($D27,$C$5:$AA$494,4,))*$F27))</f>
        <v>0</v>
      </c>
      <c r="Z27" s="50"/>
      <c r="AA27" s="50">
        <f t="shared" ref="AA27:AA33" si="25">IF(VLOOKUP($D27,$C$5:$AA$494,25,)=0,0,((VLOOKUP($D27,$C$5:$AA$494,25,)/VLOOKUP($D27,$C$5:$AA$494,4,))*$F27))</f>
        <v>0</v>
      </c>
      <c r="AB27" s="50">
        <f t="shared" ref="AB27:AB33" si="26">SUM(H27:AA27)</f>
        <v>0</v>
      </c>
      <c r="AC27" s="30" t="str">
        <f t="shared" ref="AC27:AC33" si="27">IF(ABS(AB27-F27)&lt;1,"ok","err")</f>
        <v>ok</v>
      </c>
    </row>
    <row r="28" spans="1:29" x14ac:dyDescent="0.2">
      <c r="A28" s="94">
        <v>352</v>
      </c>
      <c r="B28" s="14" t="s">
        <v>53</v>
      </c>
      <c r="C28" s="14" t="s">
        <v>418</v>
      </c>
      <c r="D28" s="14" t="s">
        <v>391</v>
      </c>
      <c r="F28" s="50">
        <v>0</v>
      </c>
      <c r="G28" s="50"/>
      <c r="H28" s="50">
        <f t="shared" si="14"/>
        <v>0</v>
      </c>
      <c r="I28" s="50">
        <f t="shared" si="15"/>
        <v>0</v>
      </c>
      <c r="J28" s="50"/>
      <c r="K28" s="50">
        <f t="shared" si="16"/>
        <v>0</v>
      </c>
      <c r="L28" s="50"/>
      <c r="M28" s="50">
        <f t="shared" si="17"/>
        <v>0</v>
      </c>
      <c r="N28" s="50"/>
      <c r="O28" s="50">
        <f t="shared" si="18"/>
        <v>0</v>
      </c>
      <c r="P28" s="50">
        <f t="shared" si="19"/>
        <v>0</v>
      </c>
      <c r="Q28" s="50"/>
      <c r="R28" s="50">
        <f t="shared" si="20"/>
        <v>0</v>
      </c>
      <c r="S28" s="50">
        <f t="shared" si="21"/>
        <v>0</v>
      </c>
      <c r="T28" s="50"/>
      <c r="U28" s="50">
        <f t="shared" si="22"/>
        <v>0</v>
      </c>
      <c r="V28" s="50"/>
      <c r="W28" s="50">
        <f t="shared" si="23"/>
        <v>0</v>
      </c>
      <c r="X28" s="50"/>
      <c r="Y28" s="50">
        <f t="shared" si="24"/>
        <v>0</v>
      </c>
      <c r="Z28" s="50"/>
      <c r="AA28" s="50">
        <f t="shared" si="25"/>
        <v>0</v>
      </c>
      <c r="AB28" s="50">
        <f t="shared" si="26"/>
        <v>0</v>
      </c>
      <c r="AC28" s="30" t="str">
        <f t="shared" si="27"/>
        <v>ok</v>
      </c>
    </row>
    <row r="29" spans="1:29" x14ac:dyDescent="0.2">
      <c r="A29" s="94">
        <v>353</v>
      </c>
      <c r="B29" s="14" t="s">
        <v>22</v>
      </c>
      <c r="C29" s="14" t="s">
        <v>353</v>
      </c>
      <c r="D29" s="14" t="s">
        <v>391</v>
      </c>
      <c r="F29" s="50">
        <v>0</v>
      </c>
      <c r="G29" s="50"/>
      <c r="H29" s="50">
        <f t="shared" si="14"/>
        <v>0</v>
      </c>
      <c r="I29" s="50">
        <f t="shared" si="15"/>
        <v>0</v>
      </c>
      <c r="J29" s="50"/>
      <c r="K29" s="50">
        <f t="shared" si="16"/>
        <v>0</v>
      </c>
      <c r="L29" s="50"/>
      <c r="M29" s="50">
        <f t="shared" si="17"/>
        <v>0</v>
      </c>
      <c r="N29" s="50"/>
      <c r="O29" s="50">
        <f t="shared" si="18"/>
        <v>0</v>
      </c>
      <c r="P29" s="50">
        <f t="shared" si="19"/>
        <v>0</v>
      </c>
      <c r="Q29" s="50"/>
      <c r="R29" s="50">
        <f t="shared" si="20"/>
        <v>0</v>
      </c>
      <c r="S29" s="50">
        <f t="shared" si="21"/>
        <v>0</v>
      </c>
      <c r="T29" s="50"/>
      <c r="U29" s="50">
        <f t="shared" si="22"/>
        <v>0</v>
      </c>
      <c r="V29" s="50"/>
      <c r="W29" s="50">
        <f t="shared" si="23"/>
        <v>0</v>
      </c>
      <c r="X29" s="50"/>
      <c r="Y29" s="50">
        <f t="shared" si="24"/>
        <v>0</v>
      </c>
      <c r="Z29" s="50"/>
      <c r="AA29" s="50">
        <f t="shared" si="25"/>
        <v>0</v>
      </c>
      <c r="AB29" s="50">
        <f t="shared" si="26"/>
        <v>0</v>
      </c>
      <c r="AC29" s="30" t="str">
        <f t="shared" si="27"/>
        <v>ok</v>
      </c>
    </row>
    <row r="30" spans="1:29" x14ac:dyDescent="0.2">
      <c r="A30" s="94">
        <v>354</v>
      </c>
      <c r="B30" s="14" t="s">
        <v>419</v>
      </c>
      <c r="C30" s="14" t="s">
        <v>421</v>
      </c>
      <c r="D30" s="14" t="s">
        <v>391</v>
      </c>
      <c r="F30" s="50">
        <v>0</v>
      </c>
      <c r="G30" s="50"/>
      <c r="H30" s="50">
        <f t="shared" si="14"/>
        <v>0</v>
      </c>
      <c r="I30" s="50">
        <f t="shared" si="15"/>
        <v>0</v>
      </c>
      <c r="J30" s="50"/>
      <c r="K30" s="50">
        <f t="shared" si="16"/>
        <v>0</v>
      </c>
      <c r="L30" s="50"/>
      <c r="M30" s="50">
        <f t="shared" si="17"/>
        <v>0</v>
      </c>
      <c r="N30" s="50"/>
      <c r="O30" s="50">
        <f t="shared" si="18"/>
        <v>0</v>
      </c>
      <c r="P30" s="50">
        <f t="shared" si="19"/>
        <v>0</v>
      </c>
      <c r="Q30" s="50"/>
      <c r="R30" s="50">
        <f t="shared" si="20"/>
        <v>0</v>
      </c>
      <c r="S30" s="50">
        <f t="shared" si="21"/>
        <v>0</v>
      </c>
      <c r="T30" s="50"/>
      <c r="U30" s="50">
        <f t="shared" si="22"/>
        <v>0</v>
      </c>
      <c r="V30" s="50"/>
      <c r="W30" s="50">
        <f t="shared" si="23"/>
        <v>0</v>
      </c>
      <c r="X30" s="50"/>
      <c r="Y30" s="50">
        <f t="shared" si="24"/>
        <v>0</v>
      </c>
      <c r="Z30" s="50"/>
      <c r="AA30" s="50">
        <f t="shared" si="25"/>
        <v>0</v>
      </c>
      <c r="AB30" s="50">
        <f t="shared" si="26"/>
        <v>0</v>
      </c>
      <c r="AC30" s="30" t="str">
        <f t="shared" si="27"/>
        <v>ok</v>
      </c>
    </row>
    <row r="31" spans="1:29" x14ac:dyDescent="0.2">
      <c r="A31" s="94">
        <v>355</v>
      </c>
      <c r="B31" s="14" t="s">
        <v>420</v>
      </c>
      <c r="C31" s="14" t="s">
        <v>354</v>
      </c>
      <c r="D31" s="14" t="s">
        <v>391</v>
      </c>
      <c r="F31" s="50">
        <v>0</v>
      </c>
      <c r="G31" s="50"/>
      <c r="H31" s="50">
        <f t="shared" si="14"/>
        <v>0</v>
      </c>
      <c r="I31" s="50">
        <f t="shared" si="15"/>
        <v>0</v>
      </c>
      <c r="J31" s="50"/>
      <c r="K31" s="50">
        <f t="shared" si="16"/>
        <v>0</v>
      </c>
      <c r="L31" s="50"/>
      <c r="M31" s="50">
        <f t="shared" si="17"/>
        <v>0</v>
      </c>
      <c r="N31" s="50"/>
      <c r="O31" s="50">
        <f t="shared" si="18"/>
        <v>0</v>
      </c>
      <c r="P31" s="50">
        <f t="shared" si="19"/>
        <v>0</v>
      </c>
      <c r="Q31" s="50"/>
      <c r="R31" s="50">
        <f t="shared" si="20"/>
        <v>0</v>
      </c>
      <c r="S31" s="50">
        <f t="shared" si="21"/>
        <v>0</v>
      </c>
      <c r="T31" s="50"/>
      <c r="U31" s="50">
        <f t="shared" si="22"/>
        <v>0</v>
      </c>
      <c r="V31" s="50"/>
      <c r="W31" s="50">
        <f t="shared" si="23"/>
        <v>0</v>
      </c>
      <c r="X31" s="50"/>
      <c r="Y31" s="50">
        <f t="shared" si="24"/>
        <v>0</v>
      </c>
      <c r="Z31" s="50"/>
      <c r="AA31" s="50">
        <f t="shared" si="25"/>
        <v>0</v>
      </c>
      <c r="AB31" s="50">
        <f t="shared" si="26"/>
        <v>0</v>
      </c>
      <c r="AC31" s="30" t="str">
        <f t="shared" si="27"/>
        <v>ok</v>
      </c>
    </row>
    <row r="32" spans="1:29" x14ac:dyDescent="0.2">
      <c r="A32" s="94">
        <v>356</v>
      </c>
      <c r="B32" s="14" t="s">
        <v>351</v>
      </c>
      <c r="C32" s="14" t="s">
        <v>355</v>
      </c>
      <c r="D32" s="14" t="s">
        <v>391</v>
      </c>
      <c r="F32" s="50">
        <v>0</v>
      </c>
      <c r="G32" s="50"/>
      <c r="H32" s="50">
        <f t="shared" si="14"/>
        <v>0</v>
      </c>
      <c r="I32" s="50">
        <f t="shared" si="15"/>
        <v>0</v>
      </c>
      <c r="J32" s="50"/>
      <c r="K32" s="50">
        <f t="shared" si="16"/>
        <v>0</v>
      </c>
      <c r="L32" s="50"/>
      <c r="M32" s="50">
        <f t="shared" si="17"/>
        <v>0</v>
      </c>
      <c r="N32" s="50"/>
      <c r="O32" s="50">
        <f t="shared" si="18"/>
        <v>0</v>
      </c>
      <c r="P32" s="50">
        <f t="shared" si="19"/>
        <v>0</v>
      </c>
      <c r="Q32" s="50"/>
      <c r="R32" s="50">
        <f t="shared" si="20"/>
        <v>0</v>
      </c>
      <c r="S32" s="50">
        <f t="shared" si="21"/>
        <v>0</v>
      </c>
      <c r="T32" s="50"/>
      <c r="U32" s="50">
        <f t="shared" si="22"/>
        <v>0</v>
      </c>
      <c r="V32" s="50"/>
      <c r="W32" s="50">
        <f t="shared" si="23"/>
        <v>0</v>
      </c>
      <c r="X32" s="50"/>
      <c r="Y32" s="50">
        <f t="shared" si="24"/>
        <v>0</v>
      </c>
      <c r="Z32" s="50"/>
      <c r="AA32" s="50">
        <f t="shared" si="25"/>
        <v>0</v>
      </c>
      <c r="AB32" s="50">
        <f t="shared" si="26"/>
        <v>0</v>
      </c>
      <c r="AC32" s="30" t="str">
        <f t="shared" si="27"/>
        <v>ok</v>
      </c>
    </row>
    <row r="33" spans="1:29" x14ac:dyDescent="0.2">
      <c r="A33" s="94">
        <v>359</v>
      </c>
      <c r="B33" s="14" t="s">
        <v>422</v>
      </c>
      <c r="C33" s="14" t="s">
        <v>423</v>
      </c>
      <c r="D33" s="14" t="s">
        <v>391</v>
      </c>
      <c r="F33" s="50">
        <v>0</v>
      </c>
      <c r="G33" s="50"/>
      <c r="H33" s="50">
        <f t="shared" si="14"/>
        <v>0</v>
      </c>
      <c r="I33" s="50">
        <f t="shared" si="15"/>
        <v>0</v>
      </c>
      <c r="J33" s="50"/>
      <c r="K33" s="50">
        <f t="shared" si="16"/>
        <v>0</v>
      </c>
      <c r="L33" s="50"/>
      <c r="M33" s="50">
        <f t="shared" si="17"/>
        <v>0</v>
      </c>
      <c r="N33" s="50"/>
      <c r="O33" s="50">
        <f t="shared" si="18"/>
        <v>0</v>
      </c>
      <c r="P33" s="50">
        <f t="shared" si="19"/>
        <v>0</v>
      </c>
      <c r="Q33" s="50"/>
      <c r="R33" s="50">
        <f t="shared" si="20"/>
        <v>0</v>
      </c>
      <c r="S33" s="50">
        <f t="shared" si="21"/>
        <v>0</v>
      </c>
      <c r="T33" s="50"/>
      <c r="U33" s="50">
        <f t="shared" si="22"/>
        <v>0</v>
      </c>
      <c r="V33" s="50"/>
      <c r="W33" s="50">
        <f t="shared" si="23"/>
        <v>0</v>
      </c>
      <c r="X33" s="50"/>
      <c r="Y33" s="50">
        <f t="shared" si="24"/>
        <v>0</v>
      </c>
      <c r="Z33" s="50"/>
      <c r="AA33" s="50">
        <f t="shared" si="25"/>
        <v>0</v>
      </c>
      <c r="AB33" s="50">
        <f t="shared" si="26"/>
        <v>0</v>
      </c>
      <c r="AC33" s="30" t="str">
        <f t="shared" si="27"/>
        <v>ok</v>
      </c>
    </row>
    <row r="34" spans="1:29" x14ac:dyDescent="0.2">
      <c r="Q34" s="14"/>
      <c r="AB34" s="50"/>
      <c r="AC34" s="30"/>
    </row>
    <row r="35" spans="1:29" x14ac:dyDescent="0.2">
      <c r="B35" s="14" t="s">
        <v>359</v>
      </c>
      <c r="C35" s="14" t="s">
        <v>390</v>
      </c>
      <c r="F35" s="260">
        <f>SUM(F27:F34)</f>
        <v>0</v>
      </c>
      <c r="G35" s="93"/>
      <c r="H35" s="93">
        <f t="shared" ref="H35:AA35" si="28">SUM(H27:H34)</f>
        <v>0</v>
      </c>
      <c r="I35" s="93">
        <f t="shared" si="28"/>
        <v>0</v>
      </c>
      <c r="J35" s="93"/>
      <c r="K35" s="93">
        <f t="shared" si="28"/>
        <v>0</v>
      </c>
      <c r="L35" s="93"/>
      <c r="M35" s="93">
        <f t="shared" si="28"/>
        <v>0</v>
      </c>
      <c r="N35" s="93"/>
      <c r="O35" s="93">
        <f t="shared" si="28"/>
        <v>0</v>
      </c>
      <c r="P35" s="93">
        <f t="shared" si="28"/>
        <v>0</v>
      </c>
      <c r="Q35" s="93"/>
      <c r="R35" s="93">
        <f t="shared" si="28"/>
        <v>0</v>
      </c>
      <c r="S35" s="93">
        <f t="shared" si="28"/>
        <v>0</v>
      </c>
      <c r="T35" s="93"/>
      <c r="U35" s="93">
        <f t="shared" si="28"/>
        <v>0</v>
      </c>
      <c r="V35" s="93"/>
      <c r="W35" s="93">
        <f t="shared" si="28"/>
        <v>0</v>
      </c>
      <c r="X35" s="93"/>
      <c r="Y35" s="93">
        <f t="shared" si="28"/>
        <v>0</v>
      </c>
      <c r="Z35" s="93"/>
      <c r="AA35" s="93">
        <f t="shared" si="28"/>
        <v>0</v>
      </c>
      <c r="AB35" s="50">
        <f>SUM(H35:AA35)</f>
        <v>0</v>
      </c>
      <c r="AC35" s="30" t="str">
        <f>IF(ABS(AB35-F35)&lt;1,"ok","err")</f>
        <v>ok</v>
      </c>
    </row>
    <row r="36" spans="1:29" x14ac:dyDescent="0.2">
      <c r="Q36" s="14"/>
      <c r="AC36" s="30"/>
    </row>
    <row r="37" spans="1:29" x14ac:dyDescent="0.2">
      <c r="A37" s="28" t="s">
        <v>366</v>
      </c>
      <c r="Q37" s="14"/>
      <c r="AC37" s="30"/>
    </row>
    <row r="38" spans="1:29" x14ac:dyDescent="0.2">
      <c r="Q38" s="14"/>
      <c r="AC38" s="30"/>
    </row>
    <row r="39" spans="1:29" x14ac:dyDescent="0.2">
      <c r="A39" s="28" t="s">
        <v>21</v>
      </c>
      <c r="Q39" s="14"/>
      <c r="AC39" s="30"/>
    </row>
    <row r="40" spans="1:29" x14ac:dyDescent="0.2">
      <c r="A40" s="94">
        <v>360</v>
      </c>
      <c r="B40" s="14" t="s">
        <v>17</v>
      </c>
      <c r="C40" s="14" t="s">
        <v>18</v>
      </c>
      <c r="D40" s="14" t="s">
        <v>24</v>
      </c>
      <c r="F40" s="66">
        <v>5485.38</v>
      </c>
      <c r="G40" s="66"/>
      <c r="H40" s="50">
        <f>IF(VLOOKUP($D40,$C$5:$AA$494,6,)=0,0,((VLOOKUP($D40,$C$5:$AA$494,6,)/VLOOKUP($D40,$C$5:$AA$494,4,))*$F63))</f>
        <v>0</v>
      </c>
      <c r="I40" s="50">
        <f>IF(VLOOKUP($D40,$C$5:$AA$494,7,)=0,0,((VLOOKUP($D40,$C$5:$AA$494,7,)/VLOOKUP($D40,$C$5:$AA$494,4,))*$F63))</f>
        <v>0</v>
      </c>
      <c r="J40" s="50"/>
      <c r="K40" s="50">
        <f>IF(VLOOKUP($D40,$C$5:$AA$494,9,)=0,0,((VLOOKUP($D40,$C$5:$AA$494,9,)/VLOOKUP($D40,$C$5:$AA$494,4,))*$F63))</f>
        <v>0</v>
      </c>
      <c r="L40" s="50"/>
      <c r="M40" s="50">
        <f t="shared" ref="M40:M52" si="29">IF(VLOOKUP($D40,$C$5:$AA$494,11,)=0,0,((VLOOKUP($D40,$C$5:$AA$494,11,)/VLOOKUP($D40,$C$5:$AA$494,4,))*$F40))</f>
        <v>5485.38</v>
      </c>
      <c r="N40" s="50"/>
      <c r="O40" s="50">
        <f>IF(VLOOKUP($D40,$C$5:$AA$494,13,)=0,0,((VLOOKUP($D40,$C$5:$AA$494,13,)/VLOOKUP($D40,$C$5:$AA$494,4,))*$F63))</f>
        <v>0</v>
      </c>
      <c r="P40" s="50">
        <f>IF(VLOOKUP($D40,$C$5:$AA$494,14,)=0,0,((VLOOKUP($D40,$C$5:$AA$494,14,)/VLOOKUP($D40,$C$5:$AA$494,4,))*$F63))</f>
        <v>0</v>
      </c>
      <c r="Q40" s="50"/>
      <c r="R40" s="50">
        <f>IF(VLOOKUP($D40,$C$5:$AA$494,16,)=0,0,((VLOOKUP($D40,$C$5:$AA$494,16,)/VLOOKUP($D40,$C$5:$AA$494,4,))*$F63))</f>
        <v>0</v>
      </c>
      <c r="S40" s="50">
        <f>IF(VLOOKUP($D40,$C$5:$AA$494,17,)=0,0,((VLOOKUP($D40,$C$5:$AA$494,17,)/VLOOKUP($D40,$C$5:$AA$494,4,))*$F63))</f>
        <v>0</v>
      </c>
      <c r="T40" s="50"/>
      <c r="U40" s="50">
        <f>IF(VLOOKUP($D40,$C$5:$AA$494,19,)=0,0,((VLOOKUP($D40,$C$5:$AA$494,19,)/VLOOKUP($D40,$C$5:$AA$494,4,))*$F63))</f>
        <v>0</v>
      </c>
      <c r="V40" s="50"/>
      <c r="W40" s="50">
        <f>IF(VLOOKUP($D40,$C$5:$AA$494,21,)=0,0,((VLOOKUP($D40,$C$5:$AA$494,21,)/VLOOKUP($D40,$C$5:$AA$494,4,))*$F63))</f>
        <v>0</v>
      </c>
      <c r="X40" s="50"/>
      <c r="Y40" s="50">
        <f>IF(VLOOKUP($D40,$C$5:$AA$494,23,)=0,0,((VLOOKUP($D40,$C$5:$AA$494,23,)/VLOOKUP($D40,$C$5:$AA$494,4,))*$F63))</f>
        <v>0</v>
      </c>
      <c r="Z40" s="50"/>
      <c r="AA40" s="50">
        <f>IF(VLOOKUP($D40,$C$5:$AA$494,25,)=0,0,((VLOOKUP($D40,$C$5:$AA$494,25,)/VLOOKUP($D40,$C$5:$AA$494,4,))*$F63))</f>
        <v>0</v>
      </c>
      <c r="AB40" s="50">
        <f t="shared" ref="AB40:AB52" si="30">SUM(H40:AA40)</f>
        <v>5485.38</v>
      </c>
      <c r="AC40" s="30" t="str">
        <f>IF(ABS(AB40-F40)&lt;1,"ok","err")</f>
        <v>ok</v>
      </c>
    </row>
    <row r="41" spans="1:29" x14ac:dyDescent="0.2">
      <c r="A41" s="94">
        <v>361</v>
      </c>
      <c r="B41" s="14" t="s">
        <v>53</v>
      </c>
      <c r="C41" s="14" t="s">
        <v>424</v>
      </c>
      <c r="D41" s="14" t="s">
        <v>24</v>
      </c>
      <c r="F41" s="50">
        <v>0</v>
      </c>
      <c r="G41" s="50"/>
      <c r="H41" s="50">
        <f t="shared" ref="H41:H52" si="31">IF(VLOOKUP($D41,$C$5:$AA$494,6,)=0,0,((VLOOKUP($D41,$C$5:$AA$494,6,)/VLOOKUP($D41,$C$5:$AA$494,4,))*$F41))</f>
        <v>0</v>
      </c>
      <c r="I41" s="50">
        <f t="shared" ref="I41:I52" si="32">IF(VLOOKUP($D41,$C$5:$AA$494,7,)=0,0,((VLOOKUP($D41,$C$5:$AA$494,7,)/VLOOKUP($D41,$C$5:$AA$494,4,))*$F41))</f>
        <v>0</v>
      </c>
      <c r="J41" s="50"/>
      <c r="K41" s="50">
        <f t="shared" ref="K41:K52" si="33">IF(VLOOKUP($D41,$C$5:$AA$494,9,)=0,0,((VLOOKUP($D41,$C$5:$AA$494,9,)/VLOOKUP($D41,$C$5:$AA$494,4,))*$F41))</f>
        <v>0</v>
      </c>
      <c r="L41" s="50"/>
      <c r="M41" s="50">
        <f t="shared" si="29"/>
        <v>0</v>
      </c>
      <c r="N41" s="50"/>
      <c r="O41" s="50">
        <f t="shared" ref="O41:O52" si="34">IF(VLOOKUP($D41,$C$5:$AA$494,13,)=0,0,((VLOOKUP($D41,$C$5:$AA$494,13,)/VLOOKUP($D41,$C$5:$AA$494,4,))*$F41))</f>
        <v>0</v>
      </c>
      <c r="P41" s="50">
        <f t="shared" ref="P41:P52" si="35">IF(VLOOKUP($D41,$C$5:$AA$494,14,)=0,0,((VLOOKUP($D41,$C$5:$AA$494,14,)/VLOOKUP($D41,$C$5:$AA$494,4,))*$F41))</f>
        <v>0</v>
      </c>
      <c r="Q41" s="50"/>
      <c r="R41" s="50">
        <f t="shared" ref="R41:R52" si="36">IF(VLOOKUP($D41,$C$5:$AA$494,16,)=0,0,((VLOOKUP($D41,$C$5:$AA$494,16,)/VLOOKUP($D41,$C$5:$AA$494,4,))*$F41))</f>
        <v>0</v>
      </c>
      <c r="S41" s="50">
        <f t="shared" ref="S41:S52" si="37">IF(VLOOKUP($D41,$C$5:$AA$494,17,)=0,0,((VLOOKUP($D41,$C$5:$AA$494,17,)/VLOOKUP($D41,$C$5:$AA$494,4,))*$F41))</f>
        <v>0</v>
      </c>
      <c r="T41" s="50"/>
      <c r="U41" s="50">
        <f t="shared" ref="U41:U52" si="38">IF(VLOOKUP($D41,$C$5:$AA$494,19,)=0,0,((VLOOKUP($D41,$C$5:$AA$494,19,)/VLOOKUP($D41,$C$5:$AA$494,4,))*$F41))</f>
        <v>0</v>
      </c>
      <c r="V41" s="50"/>
      <c r="W41" s="50">
        <f t="shared" ref="W41:W52" si="39">IF(VLOOKUP($D41,$C$5:$AA$494,21,)=0,0,((VLOOKUP($D41,$C$5:$AA$494,21,)/VLOOKUP($D41,$C$5:$AA$494,4,))*$F41))</f>
        <v>0</v>
      </c>
      <c r="X41" s="50"/>
      <c r="Y41" s="50">
        <f t="shared" ref="Y41:Y52" si="40">IF(VLOOKUP($D41,$C$5:$AA$494,23,)=0,0,((VLOOKUP($D41,$C$5:$AA$494,23,)/VLOOKUP($D41,$C$5:$AA$494,4,))*$F41))</f>
        <v>0</v>
      </c>
      <c r="Z41" s="50"/>
      <c r="AA41" s="50">
        <f t="shared" ref="AA41:AA52" si="41">IF(VLOOKUP($D41,$C$5:$AA$494,25,)=0,0,((VLOOKUP($D41,$C$5:$AA$494,25,)/VLOOKUP($D41,$C$5:$AA$494,4,))*$F41))</f>
        <v>0</v>
      </c>
      <c r="AB41" s="50">
        <f t="shared" si="30"/>
        <v>0</v>
      </c>
      <c r="AC41" s="30" t="str">
        <f t="shared" ref="AC41:AC52" si="42">IF(ABS(AB41-F41)&lt;1,"ok","err")</f>
        <v>ok</v>
      </c>
    </row>
    <row r="42" spans="1:29" x14ac:dyDescent="0.2">
      <c r="A42" s="94">
        <v>362</v>
      </c>
      <c r="B42" s="14" t="s">
        <v>22</v>
      </c>
      <c r="C42" s="14" t="s">
        <v>23</v>
      </c>
      <c r="D42" s="14" t="s">
        <v>24</v>
      </c>
      <c r="F42" s="50">
        <v>0</v>
      </c>
      <c r="G42" s="50"/>
      <c r="H42" s="50">
        <f t="shared" si="31"/>
        <v>0</v>
      </c>
      <c r="I42" s="50">
        <f t="shared" si="32"/>
        <v>0</v>
      </c>
      <c r="J42" s="50"/>
      <c r="K42" s="50">
        <f t="shared" si="33"/>
        <v>0</v>
      </c>
      <c r="L42" s="50"/>
      <c r="M42" s="50">
        <f t="shared" si="29"/>
        <v>0</v>
      </c>
      <c r="N42" s="50"/>
      <c r="O42" s="50">
        <f t="shared" si="34"/>
        <v>0</v>
      </c>
      <c r="P42" s="50">
        <f t="shared" si="35"/>
        <v>0</v>
      </c>
      <c r="Q42" s="50"/>
      <c r="R42" s="50">
        <f t="shared" si="36"/>
        <v>0</v>
      </c>
      <c r="S42" s="50">
        <f t="shared" si="37"/>
        <v>0</v>
      </c>
      <c r="T42" s="50"/>
      <c r="U42" s="50">
        <f t="shared" si="38"/>
        <v>0</v>
      </c>
      <c r="V42" s="50"/>
      <c r="W42" s="50">
        <f t="shared" si="39"/>
        <v>0</v>
      </c>
      <c r="X42" s="50"/>
      <c r="Y42" s="50">
        <f t="shared" si="40"/>
        <v>0</v>
      </c>
      <c r="Z42" s="50"/>
      <c r="AA42" s="50">
        <f t="shared" si="41"/>
        <v>0</v>
      </c>
      <c r="AB42" s="50">
        <f t="shared" si="30"/>
        <v>0</v>
      </c>
      <c r="AC42" s="30" t="str">
        <f t="shared" si="42"/>
        <v>ok</v>
      </c>
    </row>
    <row r="43" spans="1:29" x14ac:dyDescent="0.2">
      <c r="A43" s="94">
        <v>364</v>
      </c>
      <c r="B43" s="14" t="s">
        <v>25</v>
      </c>
      <c r="C43" s="14" t="s">
        <v>26</v>
      </c>
      <c r="D43" s="14" t="s">
        <v>27</v>
      </c>
      <c r="F43" s="50">
        <v>37791528.039999999</v>
      </c>
      <c r="G43" s="50"/>
      <c r="H43" s="50">
        <f t="shared" si="31"/>
        <v>0</v>
      </c>
      <c r="I43" s="50">
        <f t="shared" si="32"/>
        <v>0</v>
      </c>
      <c r="J43" s="50"/>
      <c r="K43" s="50">
        <f t="shared" si="33"/>
        <v>0</v>
      </c>
      <c r="L43" s="50"/>
      <c r="M43" s="50">
        <f t="shared" si="29"/>
        <v>0</v>
      </c>
      <c r="N43" s="50"/>
      <c r="O43" s="50">
        <f t="shared" si="34"/>
        <v>28925870.086711206</v>
      </c>
      <c r="P43" s="50">
        <f t="shared" si="35"/>
        <v>8865657.9532887954</v>
      </c>
      <c r="Q43" s="50"/>
      <c r="R43" s="50">
        <f t="shared" si="36"/>
        <v>0</v>
      </c>
      <c r="S43" s="50">
        <f t="shared" si="37"/>
        <v>0</v>
      </c>
      <c r="T43" s="50"/>
      <c r="U43" s="50">
        <f t="shared" si="38"/>
        <v>0</v>
      </c>
      <c r="V43" s="50"/>
      <c r="W43" s="50">
        <f t="shared" si="39"/>
        <v>0</v>
      </c>
      <c r="X43" s="50"/>
      <c r="Y43" s="50">
        <f t="shared" si="40"/>
        <v>0</v>
      </c>
      <c r="Z43" s="50"/>
      <c r="AA43" s="50">
        <f t="shared" si="41"/>
        <v>0</v>
      </c>
      <c r="AB43" s="50">
        <f t="shared" si="30"/>
        <v>37791528.039999999</v>
      </c>
      <c r="AC43" s="30" t="str">
        <f t="shared" si="42"/>
        <v>ok</v>
      </c>
    </row>
    <row r="44" spans="1:29" x14ac:dyDescent="0.2">
      <c r="A44" s="94">
        <v>365</v>
      </c>
      <c r="B44" s="14" t="s">
        <v>28</v>
      </c>
      <c r="C44" s="14" t="s">
        <v>29</v>
      </c>
      <c r="D44" s="14" t="s">
        <v>30</v>
      </c>
      <c r="F44" s="50">
        <v>35062976.600000001</v>
      </c>
      <c r="G44" s="50"/>
      <c r="H44" s="50">
        <f t="shared" si="31"/>
        <v>0</v>
      </c>
      <c r="I44" s="50">
        <f t="shared" si="32"/>
        <v>0</v>
      </c>
      <c r="J44" s="50"/>
      <c r="K44" s="50">
        <f t="shared" si="33"/>
        <v>0</v>
      </c>
      <c r="L44" s="50"/>
      <c r="M44" s="50">
        <f t="shared" si="29"/>
        <v>0</v>
      </c>
      <c r="N44" s="50"/>
      <c r="O44" s="50">
        <f t="shared" si="34"/>
        <v>26837419.88181844</v>
      </c>
      <c r="P44" s="50">
        <f t="shared" si="35"/>
        <v>8225556.7181815626</v>
      </c>
      <c r="Q44" s="50"/>
      <c r="R44" s="50">
        <f t="shared" si="36"/>
        <v>0</v>
      </c>
      <c r="S44" s="50">
        <f t="shared" si="37"/>
        <v>0</v>
      </c>
      <c r="T44" s="50"/>
      <c r="U44" s="50">
        <f t="shared" si="38"/>
        <v>0</v>
      </c>
      <c r="V44" s="50"/>
      <c r="W44" s="50">
        <f t="shared" si="39"/>
        <v>0</v>
      </c>
      <c r="X44" s="50"/>
      <c r="Y44" s="50">
        <f t="shared" si="40"/>
        <v>0</v>
      </c>
      <c r="Z44" s="50"/>
      <c r="AA44" s="50">
        <f t="shared" si="41"/>
        <v>0</v>
      </c>
      <c r="AB44" s="50">
        <f t="shared" si="30"/>
        <v>35062976.600000001</v>
      </c>
      <c r="AC44" s="30" t="str">
        <f t="shared" si="42"/>
        <v>ok</v>
      </c>
    </row>
    <row r="45" spans="1:29" x14ac:dyDescent="0.2">
      <c r="A45" s="94">
        <v>366</v>
      </c>
      <c r="B45" s="14" t="s">
        <v>31</v>
      </c>
      <c r="C45" s="14" t="s">
        <v>32</v>
      </c>
      <c r="D45" s="14" t="s">
        <v>33</v>
      </c>
      <c r="F45" s="50">
        <v>0</v>
      </c>
      <c r="G45" s="50"/>
      <c r="H45" s="50">
        <f t="shared" si="31"/>
        <v>0</v>
      </c>
      <c r="I45" s="50">
        <f t="shared" si="32"/>
        <v>0</v>
      </c>
      <c r="J45" s="50"/>
      <c r="K45" s="50">
        <f t="shared" si="33"/>
        <v>0</v>
      </c>
      <c r="L45" s="50"/>
      <c r="M45" s="50">
        <f t="shared" si="29"/>
        <v>0</v>
      </c>
      <c r="N45" s="50"/>
      <c r="O45" s="50">
        <f t="shared" si="34"/>
        <v>0</v>
      </c>
      <c r="P45" s="50">
        <f t="shared" si="35"/>
        <v>0</v>
      </c>
      <c r="Q45" s="50"/>
      <c r="R45" s="50">
        <f t="shared" si="36"/>
        <v>0</v>
      </c>
      <c r="S45" s="50">
        <f t="shared" si="37"/>
        <v>0</v>
      </c>
      <c r="T45" s="50"/>
      <c r="U45" s="50">
        <f t="shared" si="38"/>
        <v>0</v>
      </c>
      <c r="V45" s="50"/>
      <c r="W45" s="50">
        <f t="shared" si="39"/>
        <v>0</v>
      </c>
      <c r="X45" s="50"/>
      <c r="Y45" s="50">
        <f t="shared" si="40"/>
        <v>0</v>
      </c>
      <c r="Z45" s="50"/>
      <c r="AA45" s="50">
        <f t="shared" si="41"/>
        <v>0</v>
      </c>
      <c r="AB45" s="50">
        <f t="shared" si="30"/>
        <v>0</v>
      </c>
      <c r="AC45" s="30" t="str">
        <f t="shared" si="42"/>
        <v>ok</v>
      </c>
    </row>
    <row r="46" spans="1:29" x14ac:dyDescent="0.2">
      <c r="A46" s="94">
        <v>367</v>
      </c>
      <c r="B46" s="14" t="s">
        <v>34</v>
      </c>
      <c r="C46" s="14" t="s">
        <v>35</v>
      </c>
      <c r="D46" s="14" t="s">
        <v>33</v>
      </c>
      <c r="F46" s="50">
        <v>5406855.0800000001</v>
      </c>
      <c r="G46" s="50"/>
      <c r="H46" s="50">
        <f t="shared" si="31"/>
        <v>0</v>
      </c>
      <c r="I46" s="50">
        <f t="shared" si="32"/>
        <v>0</v>
      </c>
      <c r="J46" s="50"/>
      <c r="K46" s="50">
        <f t="shared" si="33"/>
        <v>0</v>
      </c>
      <c r="L46" s="50"/>
      <c r="M46" s="50">
        <f t="shared" si="29"/>
        <v>0</v>
      </c>
      <c r="N46" s="50"/>
      <c r="O46" s="50">
        <f t="shared" si="34"/>
        <v>677631.30349249381</v>
      </c>
      <c r="P46" s="50">
        <f t="shared" si="35"/>
        <v>4729223.7765075061</v>
      </c>
      <c r="Q46" s="50"/>
      <c r="R46" s="50">
        <f t="shared" si="36"/>
        <v>0</v>
      </c>
      <c r="S46" s="50">
        <f t="shared" si="37"/>
        <v>0</v>
      </c>
      <c r="T46" s="50"/>
      <c r="U46" s="50">
        <f t="shared" si="38"/>
        <v>0</v>
      </c>
      <c r="V46" s="50"/>
      <c r="W46" s="50">
        <f t="shared" si="39"/>
        <v>0</v>
      </c>
      <c r="X46" s="50"/>
      <c r="Y46" s="50">
        <f t="shared" si="40"/>
        <v>0</v>
      </c>
      <c r="Z46" s="50"/>
      <c r="AA46" s="50">
        <f t="shared" si="41"/>
        <v>0</v>
      </c>
      <c r="AB46" s="50">
        <f t="shared" si="30"/>
        <v>5406855.0800000001</v>
      </c>
      <c r="AC46" s="30" t="str">
        <f t="shared" si="42"/>
        <v>ok</v>
      </c>
    </row>
    <row r="47" spans="1:29" x14ac:dyDescent="0.2">
      <c r="A47" s="94">
        <v>368</v>
      </c>
      <c r="B47" s="14" t="s">
        <v>36</v>
      </c>
      <c r="C47" s="14" t="s">
        <v>37</v>
      </c>
      <c r="D47" s="14" t="s">
        <v>38</v>
      </c>
      <c r="F47" s="50">
        <v>12168221.699999999</v>
      </c>
      <c r="G47" s="50"/>
      <c r="H47" s="50">
        <f t="shared" si="31"/>
        <v>0</v>
      </c>
      <c r="I47" s="50">
        <f t="shared" si="32"/>
        <v>0</v>
      </c>
      <c r="J47" s="50"/>
      <c r="K47" s="50">
        <f t="shared" si="33"/>
        <v>0</v>
      </c>
      <c r="L47" s="50"/>
      <c r="M47" s="50">
        <f t="shared" si="29"/>
        <v>0</v>
      </c>
      <c r="N47" s="50"/>
      <c r="O47" s="50">
        <f t="shared" si="34"/>
        <v>3286932.7875004918</v>
      </c>
      <c r="P47" s="50">
        <f t="shared" si="35"/>
        <v>8881288.9124995079</v>
      </c>
      <c r="Q47" s="50"/>
      <c r="R47" s="50">
        <f t="shared" si="36"/>
        <v>0</v>
      </c>
      <c r="S47" s="50">
        <f t="shared" si="37"/>
        <v>0</v>
      </c>
      <c r="T47" s="50"/>
      <c r="U47" s="50">
        <f t="shared" si="38"/>
        <v>0</v>
      </c>
      <c r="V47" s="50"/>
      <c r="W47" s="50">
        <f t="shared" si="39"/>
        <v>0</v>
      </c>
      <c r="X47" s="50"/>
      <c r="Y47" s="50">
        <f t="shared" si="40"/>
        <v>0</v>
      </c>
      <c r="Z47" s="50"/>
      <c r="AA47" s="50">
        <f t="shared" si="41"/>
        <v>0</v>
      </c>
      <c r="AB47" s="50">
        <f t="shared" si="30"/>
        <v>12168221.699999999</v>
      </c>
      <c r="AC47" s="30" t="str">
        <f t="shared" si="42"/>
        <v>ok</v>
      </c>
    </row>
    <row r="48" spans="1:29" x14ac:dyDescent="0.2">
      <c r="A48" s="94">
        <v>369</v>
      </c>
      <c r="B48" s="14" t="s">
        <v>39</v>
      </c>
      <c r="C48" s="14" t="s">
        <v>40</v>
      </c>
      <c r="D48" s="14" t="s">
        <v>41</v>
      </c>
      <c r="F48" s="50">
        <v>9627803.1699999999</v>
      </c>
      <c r="G48" s="50"/>
      <c r="H48" s="50">
        <f t="shared" si="31"/>
        <v>0</v>
      </c>
      <c r="I48" s="50">
        <f t="shared" si="32"/>
        <v>0</v>
      </c>
      <c r="J48" s="50"/>
      <c r="K48" s="50">
        <f t="shared" si="33"/>
        <v>0</v>
      </c>
      <c r="L48" s="50"/>
      <c r="M48" s="50">
        <f t="shared" si="29"/>
        <v>0</v>
      </c>
      <c r="N48" s="50"/>
      <c r="O48" s="50">
        <f t="shared" si="34"/>
        <v>0</v>
      </c>
      <c r="P48" s="50">
        <f t="shared" si="35"/>
        <v>0</v>
      </c>
      <c r="Q48" s="50"/>
      <c r="R48" s="50">
        <f t="shared" si="36"/>
        <v>0</v>
      </c>
      <c r="S48" s="50">
        <f t="shared" si="37"/>
        <v>9627803.1699999999</v>
      </c>
      <c r="T48" s="50"/>
      <c r="U48" s="50">
        <f t="shared" si="38"/>
        <v>0</v>
      </c>
      <c r="V48" s="50"/>
      <c r="W48" s="50">
        <f t="shared" si="39"/>
        <v>0</v>
      </c>
      <c r="X48" s="50"/>
      <c r="Y48" s="50">
        <f t="shared" si="40"/>
        <v>0</v>
      </c>
      <c r="Z48" s="50"/>
      <c r="AA48" s="50">
        <f t="shared" si="41"/>
        <v>0</v>
      </c>
      <c r="AB48" s="50">
        <f t="shared" si="30"/>
        <v>9627803.1699999999</v>
      </c>
      <c r="AC48" s="30" t="str">
        <f t="shared" si="42"/>
        <v>ok</v>
      </c>
    </row>
    <row r="49" spans="1:30" x14ac:dyDescent="0.2">
      <c r="A49" s="94">
        <v>370</v>
      </c>
      <c r="B49" s="14" t="s">
        <v>42</v>
      </c>
      <c r="C49" s="14" t="s">
        <v>43</v>
      </c>
      <c r="D49" s="14" t="s">
        <v>44</v>
      </c>
      <c r="F49" s="50">
        <f>522435.46+5164559.31</f>
        <v>5686994.7699999996</v>
      </c>
      <c r="G49" s="50"/>
      <c r="H49" s="50">
        <f t="shared" si="31"/>
        <v>0</v>
      </c>
      <c r="I49" s="50">
        <f t="shared" si="32"/>
        <v>0</v>
      </c>
      <c r="J49" s="50"/>
      <c r="K49" s="50">
        <f t="shared" si="33"/>
        <v>0</v>
      </c>
      <c r="L49" s="50"/>
      <c r="M49" s="50">
        <f t="shared" si="29"/>
        <v>0</v>
      </c>
      <c r="N49" s="50"/>
      <c r="O49" s="50">
        <f t="shared" si="34"/>
        <v>0</v>
      </c>
      <c r="P49" s="50">
        <f t="shared" si="35"/>
        <v>0</v>
      </c>
      <c r="Q49" s="50"/>
      <c r="R49" s="50">
        <f t="shared" si="36"/>
        <v>0</v>
      </c>
      <c r="S49" s="50">
        <f t="shared" si="37"/>
        <v>0</v>
      </c>
      <c r="T49" s="50"/>
      <c r="U49" s="50">
        <f t="shared" si="38"/>
        <v>5686994.7699999996</v>
      </c>
      <c r="V49" s="50"/>
      <c r="W49" s="50">
        <f t="shared" si="39"/>
        <v>0</v>
      </c>
      <c r="X49" s="50"/>
      <c r="Y49" s="50">
        <f t="shared" si="40"/>
        <v>0</v>
      </c>
      <c r="Z49" s="50"/>
      <c r="AA49" s="50">
        <f t="shared" si="41"/>
        <v>0</v>
      </c>
      <c r="AB49" s="50">
        <f t="shared" si="30"/>
        <v>5686994.7699999996</v>
      </c>
      <c r="AC49" s="30" t="str">
        <f t="shared" si="42"/>
        <v>ok</v>
      </c>
    </row>
    <row r="50" spans="1:30" x14ac:dyDescent="0.2">
      <c r="A50" s="94">
        <v>371</v>
      </c>
      <c r="B50" s="14" t="s">
        <v>45</v>
      </c>
      <c r="C50" s="14" t="s">
        <v>46</v>
      </c>
      <c r="D50" s="14" t="s">
        <v>546</v>
      </c>
      <c r="F50" s="50">
        <v>7395141.04</v>
      </c>
      <c r="G50" s="50"/>
      <c r="H50" s="50">
        <f t="shared" si="31"/>
        <v>0</v>
      </c>
      <c r="I50" s="50">
        <f t="shared" si="32"/>
        <v>0</v>
      </c>
      <c r="J50" s="50"/>
      <c r="K50" s="50">
        <f t="shared" si="33"/>
        <v>0</v>
      </c>
      <c r="L50" s="50"/>
      <c r="M50" s="50">
        <f t="shared" si="29"/>
        <v>0</v>
      </c>
      <c r="N50" s="50"/>
      <c r="O50" s="50">
        <f t="shared" si="34"/>
        <v>0</v>
      </c>
      <c r="P50" s="50">
        <f t="shared" si="35"/>
        <v>0</v>
      </c>
      <c r="Q50" s="50"/>
      <c r="R50" s="50">
        <f t="shared" si="36"/>
        <v>0</v>
      </c>
      <c r="S50" s="50">
        <f t="shared" si="37"/>
        <v>0</v>
      </c>
      <c r="T50" s="50"/>
      <c r="U50" s="50">
        <f t="shared" si="38"/>
        <v>0</v>
      </c>
      <c r="V50" s="50"/>
      <c r="W50" s="50">
        <f t="shared" si="39"/>
        <v>7395141.04</v>
      </c>
      <c r="X50" s="50"/>
      <c r="Y50" s="50">
        <f t="shared" si="40"/>
        <v>0</v>
      </c>
      <c r="Z50" s="50"/>
      <c r="AA50" s="50">
        <f t="shared" si="41"/>
        <v>0</v>
      </c>
      <c r="AB50" s="50">
        <f t="shared" si="30"/>
        <v>7395141.04</v>
      </c>
      <c r="AC50" s="30" t="str">
        <f t="shared" si="42"/>
        <v>ok</v>
      </c>
    </row>
    <row r="51" spans="1:30" x14ac:dyDescent="0.2">
      <c r="A51" s="94">
        <v>372</v>
      </c>
      <c r="B51" s="14" t="s">
        <v>574</v>
      </c>
      <c r="C51" s="14" t="s">
        <v>575</v>
      </c>
      <c r="D51" s="14" t="s">
        <v>546</v>
      </c>
      <c r="F51" s="50">
        <v>0</v>
      </c>
      <c r="G51" s="50"/>
      <c r="H51" s="50">
        <f t="shared" si="31"/>
        <v>0</v>
      </c>
      <c r="I51" s="50">
        <f t="shared" si="32"/>
        <v>0</v>
      </c>
      <c r="J51" s="50"/>
      <c r="K51" s="50">
        <f t="shared" si="33"/>
        <v>0</v>
      </c>
      <c r="L51" s="50"/>
      <c r="M51" s="50">
        <f t="shared" si="29"/>
        <v>0</v>
      </c>
      <c r="N51" s="50"/>
      <c r="O51" s="50">
        <f t="shared" si="34"/>
        <v>0</v>
      </c>
      <c r="P51" s="50">
        <f t="shared" si="35"/>
        <v>0</v>
      </c>
      <c r="Q51" s="50"/>
      <c r="R51" s="50">
        <f t="shared" si="36"/>
        <v>0</v>
      </c>
      <c r="S51" s="50">
        <f t="shared" si="37"/>
        <v>0</v>
      </c>
      <c r="T51" s="50"/>
      <c r="U51" s="50">
        <f t="shared" si="38"/>
        <v>0</v>
      </c>
      <c r="V51" s="50"/>
      <c r="W51" s="50">
        <f t="shared" si="39"/>
        <v>0</v>
      </c>
      <c r="X51" s="50"/>
      <c r="Y51" s="50">
        <f t="shared" si="40"/>
        <v>0</v>
      </c>
      <c r="Z51" s="50"/>
      <c r="AA51" s="50">
        <f t="shared" si="41"/>
        <v>0</v>
      </c>
      <c r="AB51" s="50">
        <f t="shared" si="30"/>
        <v>0</v>
      </c>
      <c r="AC51" s="30" t="str">
        <f t="shared" si="42"/>
        <v>ok</v>
      </c>
    </row>
    <row r="52" spans="1:30" x14ac:dyDescent="0.2">
      <c r="A52" s="94">
        <v>373</v>
      </c>
      <c r="B52" s="14" t="s">
        <v>47</v>
      </c>
      <c r="C52" s="14" t="s">
        <v>48</v>
      </c>
      <c r="D52" s="14" t="s">
        <v>49</v>
      </c>
      <c r="F52" s="50">
        <v>0</v>
      </c>
      <c r="G52" s="50"/>
      <c r="H52" s="50">
        <f t="shared" si="31"/>
        <v>0</v>
      </c>
      <c r="I52" s="50">
        <f t="shared" si="32"/>
        <v>0</v>
      </c>
      <c r="J52" s="50"/>
      <c r="K52" s="50">
        <f t="shared" si="33"/>
        <v>0</v>
      </c>
      <c r="L52" s="50"/>
      <c r="M52" s="50">
        <f t="shared" si="29"/>
        <v>0</v>
      </c>
      <c r="N52" s="50"/>
      <c r="O52" s="50">
        <f t="shared" si="34"/>
        <v>0</v>
      </c>
      <c r="P52" s="50">
        <f t="shared" si="35"/>
        <v>0</v>
      </c>
      <c r="Q52" s="50"/>
      <c r="R52" s="50">
        <f t="shared" si="36"/>
        <v>0</v>
      </c>
      <c r="S52" s="50">
        <f t="shared" si="37"/>
        <v>0</v>
      </c>
      <c r="T52" s="50"/>
      <c r="U52" s="50">
        <f t="shared" si="38"/>
        <v>0</v>
      </c>
      <c r="V52" s="50"/>
      <c r="W52" s="50">
        <f t="shared" si="39"/>
        <v>0</v>
      </c>
      <c r="X52" s="50"/>
      <c r="Y52" s="50">
        <f t="shared" si="40"/>
        <v>0</v>
      </c>
      <c r="Z52" s="50"/>
      <c r="AA52" s="50">
        <f t="shared" si="41"/>
        <v>0</v>
      </c>
      <c r="AB52" s="50">
        <f t="shared" si="30"/>
        <v>0</v>
      </c>
      <c r="AC52" s="30" t="str">
        <f t="shared" si="42"/>
        <v>ok</v>
      </c>
    </row>
    <row r="53" spans="1:30" x14ac:dyDescent="0.2">
      <c r="A53" s="94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30"/>
    </row>
    <row r="54" spans="1:30" x14ac:dyDescent="0.2">
      <c r="B54" s="14" t="s">
        <v>50</v>
      </c>
      <c r="C54" s="14" t="s">
        <v>16</v>
      </c>
      <c r="F54" s="66">
        <f>SUM(F40:F53)</f>
        <v>113145005.78000002</v>
      </c>
      <c r="G54" s="66"/>
      <c r="H54" s="66">
        <f>SUM(H40:H53)</f>
        <v>0</v>
      </c>
      <c r="I54" s="66">
        <f>SUM(I40:I53)</f>
        <v>0</v>
      </c>
      <c r="J54" s="66"/>
      <c r="K54" s="66"/>
      <c r="L54" s="66">
        <f>SUM(L40:L53)</f>
        <v>0</v>
      </c>
      <c r="M54" s="66">
        <f>SUM(M40:M53)</f>
        <v>5485.38</v>
      </c>
      <c r="N54" s="66"/>
      <c r="O54" s="66">
        <f>SUM(O40:O53)</f>
        <v>59727854.059522629</v>
      </c>
      <c r="P54" s="66">
        <f>SUM(P40:P53)</f>
        <v>30701727.360477373</v>
      </c>
      <c r="Q54" s="66"/>
      <c r="R54" s="66">
        <f>SUM(R40:R52)</f>
        <v>0</v>
      </c>
      <c r="S54" s="66">
        <f>SUM(S40:S52)</f>
        <v>9627803.1699999999</v>
      </c>
      <c r="T54" s="66"/>
      <c r="U54" s="66">
        <f>SUM(U40:U52)</f>
        <v>5686994.7699999996</v>
      </c>
      <c r="V54" s="66"/>
      <c r="W54" s="66">
        <f>SUM(W40:W52)</f>
        <v>7395141.04</v>
      </c>
      <c r="X54" s="66"/>
      <c r="Y54" s="66">
        <f>SUM(Y40:Y52)</f>
        <v>0</v>
      </c>
      <c r="Z54" s="66"/>
      <c r="AA54" s="66">
        <f>SUM(AA40:AA52)</f>
        <v>0</v>
      </c>
      <c r="AB54" s="50">
        <f>SUM(H54:AA54)</f>
        <v>113145005.78000002</v>
      </c>
      <c r="AC54" s="30" t="str">
        <f>IF(ABS(AB54-F54)&lt;1,"ok","err")</f>
        <v>ok</v>
      </c>
      <c r="AD54" s="36"/>
    </row>
    <row r="55" spans="1:30" x14ac:dyDescent="0.2">
      <c r="Q55" s="14"/>
      <c r="AC55" s="30"/>
      <c r="AD55" s="36"/>
    </row>
    <row r="56" spans="1:30" x14ac:dyDescent="0.2">
      <c r="B56" s="14" t="s">
        <v>753</v>
      </c>
      <c r="C56" s="14" t="s">
        <v>392</v>
      </c>
      <c r="F56" s="260">
        <f t="shared" ref="F56:M56" si="43">F35+F54</f>
        <v>113145005.78000002</v>
      </c>
      <c r="G56" s="93"/>
      <c r="H56" s="93">
        <f t="shared" si="43"/>
        <v>0</v>
      </c>
      <c r="I56" s="93">
        <f t="shared" si="43"/>
        <v>0</v>
      </c>
      <c r="J56" s="93">
        <f t="shared" si="43"/>
        <v>0</v>
      </c>
      <c r="K56" s="93">
        <f t="shared" si="43"/>
        <v>0</v>
      </c>
      <c r="L56" s="93">
        <f t="shared" si="43"/>
        <v>0</v>
      </c>
      <c r="M56" s="93">
        <f t="shared" si="43"/>
        <v>5485.38</v>
      </c>
      <c r="N56" s="93"/>
      <c r="O56" s="93">
        <f t="shared" ref="O56:AA56" si="44">O35+O54</f>
        <v>59727854.059522629</v>
      </c>
      <c r="P56" s="93">
        <f t="shared" si="44"/>
        <v>30701727.360477373</v>
      </c>
      <c r="Q56" s="93">
        <f t="shared" si="44"/>
        <v>0</v>
      </c>
      <c r="R56" s="93">
        <f t="shared" si="44"/>
        <v>0</v>
      </c>
      <c r="S56" s="93">
        <f t="shared" si="44"/>
        <v>9627803.1699999999</v>
      </c>
      <c r="T56" s="93">
        <f t="shared" si="44"/>
        <v>0</v>
      </c>
      <c r="U56" s="93">
        <f t="shared" si="44"/>
        <v>5686994.7699999996</v>
      </c>
      <c r="V56" s="93">
        <f t="shared" si="44"/>
        <v>0</v>
      </c>
      <c r="W56" s="93">
        <f t="shared" si="44"/>
        <v>7395141.04</v>
      </c>
      <c r="X56" s="93">
        <f t="shared" si="44"/>
        <v>0</v>
      </c>
      <c r="Y56" s="93">
        <f t="shared" si="44"/>
        <v>0</v>
      </c>
      <c r="Z56" s="93">
        <f t="shared" si="44"/>
        <v>0</v>
      </c>
      <c r="AA56" s="93">
        <f t="shared" si="44"/>
        <v>0</v>
      </c>
      <c r="AB56" s="50">
        <f>SUM(H56:AA56)</f>
        <v>113145005.78000002</v>
      </c>
      <c r="AC56" s="30" t="str">
        <f>IF(ABS(AB56-F56)&lt;1,"ok","err")</f>
        <v>ok</v>
      </c>
      <c r="AD56" s="36"/>
    </row>
    <row r="57" spans="1:30" x14ac:dyDescent="0.2">
      <c r="Q57" s="14"/>
      <c r="AC57" s="30"/>
    </row>
    <row r="58" spans="1:30" x14ac:dyDescent="0.2">
      <c r="B58" s="14" t="s">
        <v>786</v>
      </c>
      <c r="C58" s="14" t="s">
        <v>787</v>
      </c>
      <c r="F58" s="260">
        <f>F56+F24</f>
        <v>113145005.78000002</v>
      </c>
      <c r="G58" s="93"/>
      <c r="H58" s="93">
        <f t="shared" ref="H58:Y58" si="45">H56+H24</f>
        <v>0</v>
      </c>
      <c r="I58" s="93">
        <f t="shared" si="45"/>
        <v>0</v>
      </c>
      <c r="J58" s="93">
        <f t="shared" si="45"/>
        <v>0</v>
      </c>
      <c r="K58" s="93">
        <f t="shared" si="45"/>
        <v>0</v>
      </c>
      <c r="L58" s="93">
        <f t="shared" si="45"/>
        <v>0</v>
      </c>
      <c r="M58" s="93">
        <f t="shared" si="45"/>
        <v>5485.38</v>
      </c>
      <c r="N58" s="93"/>
      <c r="O58" s="93">
        <f t="shared" si="45"/>
        <v>59727854.059522629</v>
      </c>
      <c r="P58" s="93">
        <f t="shared" si="45"/>
        <v>30701727.360477373</v>
      </c>
      <c r="Q58" s="93">
        <f t="shared" si="45"/>
        <v>0</v>
      </c>
      <c r="R58" s="93">
        <f t="shared" si="45"/>
        <v>0</v>
      </c>
      <c r="S58" s="93">
        <f t="shared" si="45"/>
        <v>9627803.1699999999</v>
      </c>
      <c r="T58" s="93">
        <f t="shared" si="45"/>
        <v>0</v>
      </c>
      <c r="U58" s="93">
        <f t="shared" si="45"/>
        <v>5686994.7699999996</v>
      </c>
      <c r="V58" s="93">
        <f t="shared" si="45"/>
        <v>0</v>
      </c>
      <c r="W58" s="93">
        <f t="shared" si="45"/>
        <v>7395141.04</v>
      </c>
      <c r="X58" s="93">
        <f t="shared" si="45"/>
        <v>0</v>
      </c>
      <c r="Y58" s="93">
        <f t="shared" si="45"/>
        <v>0</v>
      </c>
      <c r="AA58" s="93">
        <f>AA56+AA24</f>
        <v>0</v>
      </c>
      <c r="AB58" s="50">
        <f>SUM(H58:AA58)</f>
        <v>113145005.78000002</v>
      </c>
      <c r="AC58" s="30" t="str">
        <f>IF(ABS(AB58-F58)&lt;1,"ok","err")</f>
        <v>ok</v>
      </c>
    </row>
    <row r="59" spans="1:30" x14ac:dyDescent="0.2">
      <c r="Q59" s="14"/>
      <c r="AC59" s="30"/>
    </row>
    <row r="60" spans="1:30" x14ac:dyDescent="0.2">
      <c r="A60" s="28" t="s">
        <v>366</v>
      </c>
      <c r="Q60" s="14"/>
      <c r="AC60" s="30"/>
    </row>
    <row r="61" spans="1:30" x14ac:dyDescent="0.2">
      <c r="Q61" s="14"/>
      <c r="AC61" s="30"/>
    </row>
    <row r="62" spans="1:30" x14ac:dyDescent="0.2">
      <c r="A62" s="28" t="s">
        <v>51</v>
      </c>
      <c r="Q62" s="14"/>
      <c r="AC62" s="30"/>
    </row>
    <row r="63" spans="1:30" x14ac:dyDescent="0.2">
      <c r="A63" s="94">
        <v>389</v>
      </c>
      <c r="B63" s="14" t="s">
        <v>17</v>
      </c>
      <c r="C63" s="14" t="s">
        <v>52</v>
      </c>
      <c r="D63" s="14" t="s">
        <v>392</v>
      </c>
      <c r="F63" s="66">
        <f>38421.74+60230.09</f>
        <v>98651.829999999987</v>
      </c>
      <c r="G63" s="66"/>
      <c r="H63" s="50">
        <f t="shared" ref="H63:H73" si="46">IF(VLOOKUP($D63,$C$5:$AA$494,6,)=0,0,((VLOOKUP($D63,$C$5:$AA$494,6,)/VLOOKUP($D63,$C$5:$AA$494,4,))*$F63))</f>
        <v>0</v>
      </c>
      <c r="I63" s="50">
        <f t="shared" ref="I63:I73" si="47">IF(VLOOKUP($D63,$C$5:$AA$494,7,)=0,0,((VLOOKUP($D63,$C$5:$AA$494,7,)/VLOOKUP($D63,$C$5:$AA$494,4,))*$F63))</f>
        <v>0</v>
      </c>
      <c r="J63" s="50"/>
      <c r="K63" s="50">
        <f t="shared" ref="K63:K73" si="48">IF(VLOOKUP($D63,$C$5:$AA$494,9,)=0,0,((VLOOKUP($D63,$C$5:$AA$494,9,)/VLOOKUP($D63,$C$5:$AA$494,4,))*$F63))</f>
        <v>0</v>
      </c>
      <c r="L63" s="50"/>
      <c r="M63" s="50">
        <f t="shared" ref="M63:M73" si="49">IF(VLOOKUP($D63,$C$5:$AA$494,11,)=0,0,((VLOOKUP($D63,$C$5:$AA$494,11,)/VLOOKUP($D63,$C$5:$AA$494,4,))*$F63))</f>
        <v>4.7827367325218226</v>
      </c>
      <c r="N63" s="50"/>
      <c r="O63" s="50">
        <f t="shared" ref="O63:O73" si="50">IF(VLOOKUP($D63,$C$5:$AA$494,13,)=0,0,((VLOOKUP($D63,$C$5:$AA$494,13,)/VLOOKUP($D63,$C$5:$AA$494,4,))*$F63))</f>
        <v>52077.085191031707</v>
      </c>
      <c r="P63" s="50">
        <f t="shared" ref="P63:P73" si="51">IF(VLOOKUP($D63,$C$5:$AA$494,14,)=0,0,((VLOOKUP($D63,$C$5:$AA$494,14,)/VLOOKUP($D63,$C$5:$AA$494,4,))*$F63))</f>
        <v>26769.025883133963</v>
      </c>
      <c r="Q63" s="50"/>
      <c r="R63" s="50">
        <f t="shared" ref="R63:R73" si="52">IF(VLOOKUP($D63,$C$5:$AA$494,16,)=0,0,((VLOOKUP($D63,$C$5:$AA$494,16,)/VLOOKUP($D63,$C$5:$AA$494,4,))*$F63))</f>
        <v>0</v>
      </c>
      <c r="S63" s="50">
        <f t="shared" ref="S63:S73" si="53">IF(VLOOKUP($D63,$C$5:$AA$494,17,)=0,0,((VLOOKUP($D63,$C$5:$AA$494,17,)/VLOOKUP($D63,$C$5:$AA$494,4,))*$F63))</f>
        <v>8394.541102831352</v>
      </c>
      <c r="T63" s="50"/>
      <c r="U63" s="50">
        <f t="shared" ref="U63:U73" si="54">IF(VLOOKUP($D63,$C$5:$AA$494,19,)=0,0,((VLOOKUP($D63,$C$5:$AA$494,19,)/VLOOKUP($D63,$C$5:$AA$494,4,))*$F63))</f>
        <v>4958.5258968637527</v>
      </c>
      <c r="V63" s="50"/>
      <c r="W63" s="50">
        <f t="shared" ref="W63:W73" si="55">IF(VLOOKUP($D63,$C$5:$AA$494,21,)=0,0,((VLOOKUP($D63,$C$5:$AA$494,21,)/VLOOKUP($D63,$C$5:$AA$494,4,))*$F63))</f>
        <v>6447.8691894066824</v>
      </c>
      <c r="X63" s="50"/>
      <c r="Y63" s="50">
        <f t="shared" ref="Y63:Y73" si="56">IF(VLOOKUP($D63,$C$5:$AA$494,23,)=0,0,((VLOOKUP($D63,$C$5:$AA$494,23,)/VLOOKUP($D63,$C$5:$AA$494,4,))*$F63))</f>
        <v>0</v>
      </c>
      <c r="Z63" s="50"/>
      <c r="AA63" s="50">
        <f t="shared" ref="AA63:AA73" si="57">IF(VLOOKUP($D63,$C$5:$AA$494,25,)=0,0,((VLOOKUP($D63,$C$5:$AA$494,25,)/VLOOKUP($D63,$C$5:$AA$494,4,))*$F63))</f>
        <v>0</v>
      </c>
      <c r="AB63" s="50">
        <f>SUM(H63:AA63)</f>
        <v>98651.829999999987</v>
      </c>
      <c r="AC63" s="30" t="str">
        <f>IF(ABS(AB63-F63)&lt;1,"ok","err")</f>
        <v>ok</v>
      </c>
    </row>
    <row r="64" spans="1:30" x14ac:dyDescent="0.2">
      <c r="A64" s="94">
        <v>390</v>
      </c>
      <c r="B64" s="14" t="s">
        <v>53</v>
      </c>
      <c r="C64" s="14" t="s">
        <v>54</v>
      </c>
      <c r="D64" s="14" t="s">
        <v>392</v>
      </c>
      <c r="F64" s="50">
        <f>5381.58+1510423.69+212732.75+86660.95+189623+33473.47+491045.42+82699.02</f>
        <v>2612039.88</v>
      </c>
      <c r="G64" s="50"/>
      <c r="H64" s="50">
        <f t="shared" si="46"/>
        <v>0</v>
      </c>
      <c r="I64" s="50">
        <f t="shared" si="47"/>
        <v>0</v>
      </c>
      <c r="J64" s="50"/>
      <c r="K64" s="50">
        <f t="shared" si="48"/>
        <v>0</v>
      </c>
      <c r="L64" s="50"/>
      <c r="M64" s="50">
        <f t="shared" si="49"/>
        <v>126.63423558273469</v>
      </c>
      <c r="N64" s="50"/>
      <c r="O64" s="50">
        <f t="shared" si="50"/>
        <v>1378863.6597327413</v>
      </c>
      <c r="P64" s="50">
        <f t="shared" si="51"/>
        <v>708773.09782796865</v>
      </c>
      <c r="Q64" s="50"/>
      <c r="R64" s="50">
        <f t="shared" si="52"/>
        <v>0</v>
      </c>
      <c r="S64" s="50">
        <f t="shared" si="53"/>
        <v>222265.2751083753</v>
      </c>
      <c r="T64" s="50"/>
      <c r="U64" s="50">
        <f t="shared" si="54"/>
        <v>131288.66832597923</v>
      </c>
      <c r="V64" s="50"/>
      <c r="W64" s="50">
        <f t="shared" si="55"/>
        <v>170722.54476935227</v>
      </c>
      <c r="X64" s="50"/>
      <c r="Y64" s="50">
        <f t="shared" si="56"/>
        <v>0</v>
      </c>
      <c r="Z64" s="50"/>
      <c r="AA64" s="50">
        <f t="shared" si="57"/>
        <v>0</v>
      </c>
      <c r="AB64" s="50">
        <f t="shared" ref="AB64:AB73" si="58">SUM(H64:AA64)</f>
        <v>2612039.8799999994</v>
      </c>
      <c r="AC64" s="30" t="str">
        <f t="shared" ref="AC64:AC73" si="59">IF(ABS(AB64-F64)&lt;1,"ok","err")</f>
        <v>ok</v>
      </c>
    </row>
    <row r="65" spans="1:29" x14ac:dyDescent="0.2">
      <c r="A65" s="94">
        <v>391</v>
      </c>
      <c r="B65" s="14" t="s">
        <v>55</v>
      </c>
      <c r="C65" s="14" t="s">
        <v>56</v>
      </c>
      <c r="D65" s="14" t="s">
        <v>392</v>
      </c>
      <c r="F65" s="50">
        <v>879208.83</v>
      </c>
      <c r="G65" s="50"/>
      <c r="H65" s="50">
        <f t="shared" si="46"/>
        <v>0</v>
      </c>
      <c r="I65" s="50">
        <f t="shared" si="47"/>
        <v>0</v>
      </c>
      <c r="J65" s="50"/>
      <c r="K65" s="50">
        <f t="shared" si="48"/>
        <v>0</v>
      </c>
      <c r="L65" s="50"/>
      <c r="M65" s="50">
        <f t="shared" si="49"/>
        <v>42.624899779340481</v>
      </c>
      <c r="N65" s="50"/>
      <c r="O65" s="50">
        <f t="shared" si="50"/>
        <v>464123.50526713306</v>
      </c>
      <c r="P65" s="50">
        <f t="shared" si="51"/>
        <v>238571.99533906195</v>
      </c>
      <c r="Q65" s="50"/>
      <c r="R65" s="50">
        <f t="shared" si="52"/>
        <v>0</v>
      </c>
      <c r="S65" s="50">
        <f t="shared" si="53"/>
        <v>74814.168793495905</v>
      </c>
      <c r="T65" s="50"/>
      <c r="U65" s="50">
        <f t="shared" si="54"/>
        <v>44191.575080830029</v>
      </c>
      <c r="V65" s="50"/>
      <c r="W65" s="50">
        <f t="shared" si="55"/>
        <v>57464.960619699581</v>
      </c>
      <c r="X65" s="50"/>
      <c r="Y65" s="50">
        <f t="shared" si="56"/>
        <v>0</v>
      </c>
      <c r="Z65" s="50"/>
      <c r="AA65" s="50">
        <f t="shared" si="57"/>
        <v>0</v>
      </c>
      <c r="AB65" s="50">
        <f t="shared" si="58"/>
        <v>879208.82999999973</v>
      </c>
      <c r="AC65" s="30" t="str">
        <f t="shared" si="59"/>
        <v>ok</v>
      </c>
    </row>
    <row r="66" spans="1:29" x14ac:dyDescent="0.2">
      <c r="A66" s="94">
        <v>392</v>
      </c>
      <c r="B66" s="14" t="s">
        <v>57</v>
      </c>
      <c r="C66" s="14" t="s">
        <v>58</v>
      </c>
      <c r="D66" s="14" t="s">
        <v>392</v>
      </c>
      <c r="F66" s="50">
        <v>3208376.93</v>
      </c>
      <c r="G66" s="50"/>
      <c r="H66" s="50">
        <f t="shared" si="46"/>
        <v>0</v>
      </c>
      <c r="I66" s="50">
        <f t="shared" si="47"/>
        <v>0</v>
      </c>
      <c r="J66" s="50"/>
      <c r="K66" s="50">
        <f t="shared" si="48"/>
        <v>0</v>
      </c>
      <c r="L66" s="50"/>
      <c r="M66" s="50">
        <f t="shared" si="49"/>
        <v>155.54523615919337</v>
      </c>
      <c r="N66" s="50"/>
      <c r="O66" s="50">
        <f t="shared" si="50"/>
        <v>1693662.6386814192</v>
      </c>
      <c r="P66" s="50">
        <f t="shared" si="51"/>
        <v>870588.26057276281</v>
      </c>
      <c r="Q66" s="50"/>
      <c r="R66" s="50">
        <f t="shared" si="52"/>
        <v>0</v>
      </c>
      <c r="S66" s="50">
        <f t="shared" si="53"/>
        <v>273009.14754709438</v>
      </c>
      <c r="T66" s="50"/>
      <c r="U66" s="50">
        <f t="shared" si="54"/>
        <v>161262.29076850601</v>
      </c>
      <c r="V66" s="50"/>
      <c r="W66" s="50">
        <f t="shared" si="55"/>
        <v>209699.04719405816</v>
      </c>
      <c r="X66" s="50"/>
      <c r="Y66" s="50">
        <f t="shared" si="56"/>
        <v>0</v>
      </c>
      <c r="Z66" s="50"/>
      <c r="AA66" s="50">
        <f t="shared" si="57"/>
        <v>0</v>
      </c>
      <c r="AB66" s="50">
        <f t="shared" si="58"/>
        <v>3208376.9299999997</v>
      </c>
      <c r="AC66" s="30" t="str">
        <f t="shared" si="59"/>
        <v>ok</v>
      </c>
    </row>
    <row r="67" spans="1:29" x14ac:dyDescent="0.2">
      <c r="A67" s="94">
        <v>393</v>
      </c>
      <c r="B67" s="14" t="s">
        <v>59</v>
      </c>
      <c r="C67" s="14" t="s">
        <v>60</v>
      </c>
      <c r="D67" s="14" t="s">
        <v>392</v>
      </c>
      <c r="F67" s="50">
        <v>0</v>
      </c>
      <c r="G67" s="50"/>
      <c r="H67" s="50">
        <f t="shared" si="46"/>
        <v>0</v>
      </c>
      <c r="I67" s="50">
        <f t="shared" si="47"/>
        <v>0</v>
      </c>
      <c r="J67" s="50"/>
      <c r="K67" s="50">
        <f t="shared" si="48"/>
        <v>0</v>
      </c>
      <c r="L67" s="50"/>
      <c r="M67" s="50">
        <f t="shared" si="49"/>
        <v>0</v>
      </c>
      <c r="N67" s="50"/>
      <c r="O67" s="50">
        <f t="shared" si="50"/>
        <v>0</v>
      </c>
      <c r="P67" s="50">
        <f t="shared" si="51"/>
        <v>0</v>
      </c>
      <c r="Q67" s="50"/>
      <c r="R67" s="50">
        <f t="shared" si="52"/>
        <v>0</v>
      </c>
      <c r="S67" s="50">
        <f t="shared" si="53"/>
        <v>0</v>
      </c>
      <c r="T67" s="50"/>
      <c r="U67" s="50">
        <f t="shared" si="54"/>
        <v>0</v>
      </c>
      <c r="V67" s="50"/>
      <c r="W67" s="50">
        <f t="shared" si="55"/>
        <v>0</v>
      </c>
      <c r="X67" s="50"/>
      <c r="Y67" s="50">
        <f t="shared" si="56"/>
        <v>0</v>
      </c>
      <c r="Z67" s="50"/>
      <c r="AA67" s="50">
        <f t="shared" si="57"/>
        <v>0</v>
      </c>
      <c r="AB67" s="50">
        <f t="shared" si="58"/>
        <v>0</v>
      </c>
      <c r="AC67" s="30" t="str">
        <f t="shared" si="59"/>
        <v>ok</v>
      </c>
    </row>
    <row r="68" spans="1:29" x14ac:dyDescent="0.2">
      <c r="A68" s="94">
        <v>394</v>
      </c>
      <c r="B68" s="14" t="s">
        <v>61</v>
      </c>
      <c r="C68" s="14" t="s">
        <v>62</v>
      </c>
      <c r="D68" s="14" t="s">
        <v>392</v>
      </c>
      <c r="F68" s="50">
        <v>79291.64</v>
      </c>
      <c r="G68" s="50"/>
      <c r="H68" s="50">
        <f t="shared" si="46"/>
        <v>0</v>
      </c>
      <c r="I68" s="50">
        <f t="shared" si="47"/>
        <v>0</v>
      </c>
      <c r="J68" s="50"/>
      <c r="K68" s="50">
        <f t="shared" si="48"/>
        <v>0</v>
      </c>
      <c r="L68" s="50"/>
      <c r="M68" s="50">
        <f t="shared" si="49"/>
        <v>3.8441358787758593</v>
      </c>
      <c r="N68" s="50"/>
      <c r="O68" s="50">
        <f t="shared" si="50"/>
        <v>41857.0795008731</v>
      </c>
      <c r="P68" s="50">
        <f t="shared" si="51"/>
        <v>21515.667408056601</v>
      </c>
      <c r="Q68" s="50"/>
      <c r="R68" s="50">
        <f t="shared" si="52"/>
        <v>0</v>
      </c>
      <c r="S68" s="50">
        <f t="shared" si="53"/>
        <v>6747.1321220387554</v>
      </c>
      <c r="T68" s="50"/>
      <c r="U68" s="50">
        <f t="shared" si="54"/>
        <v>3985.4268323739948</v>
      </c>
      <c r="V68" s="50"/>
      <c r="W68" s="50">
        <f t="shared" si="55"/>
        <v>5182.4900007787646</v>
      </c>
      <c r="X68" s="50"/>
      <c r="Y68" s="50">
        <f t="shared" si="56"/>
        <v>0</v>
      </c>
      <c r="Z68" s="50"/>
      <c r="AA68" s="50">
        <f t="shared" si="57"/>
        <v>0</v>
      </c>
      <c r="AB68" s="50">
        <f t="shared" si="58"/>
        <v>79291.64</v>
      </c>
      <c r="AC68" s="30" t="str">
        <f t="shared" si="59"/>
        <v>ok</v>
      </c>
    </row>
    <row r="69" spans="1:29" x14ac:dyDescent="0.2">
      <c r="A69" s="94">
        <v>395</v>
      </c>
      <c r="B69" s="14" t="s">
        <v>63</v>
      </c>
      <c r="C69" s="14" t="s">
        <v>64</v>
      </c>
      <c r="D69" s="14" t="s">
        <v>392</v>
      </c>
      <c r="F69" s="50">
        <v>76155.199999999997</v>
      </c>
      <c r="G69" s="50"/>
      <c r="H69" s="50">
        <f t="shared" si="46"/>
        <v>0</v>
      </c>
      <c r="I69" s="50">
        <f t="shared" si="47"/>
        <v>0</v>
      </c>
      <c r="J69" s="50"/>
      <c r="K69" s="50">
        <f t="shared" si="48"/>
        <v>0</v>
      </c>
      <c r="L69" s="50"/>
      <c r="M69" s="50">
        <f t="shared" si="49"/>
        <v>3.6920782149965783</v>
      </c>
      <c r="N69" s="50"/>
      <c r="O69" s="50">
        <f t="shared" si="50"/>
        <v>40201.391480929022</v>
      </c>
      <c r="P69" s="50">
        <f t="shared" si="51"/>
        <v>20664.599125381086</v>
      </c>
      <c r="Q69" s="50"/>
      <c r="R69" s="50">
        <f t="shared" si="52"/>
        <v>0</v>
      </c>
      <c r="S69" s="50">
        <f t="shared" si="53"/>
        <v>6480.2442751882272</v>
      </c>
      <c r="T69" s="50"/>
      <c r="U69" s="50">
        <f t="shared" si="54"/>
        <v>3827.7802994717731</v>
      </c>
      <c r="V69" s="50"/>
      <c r="W69" s="50">
        <f t="shared" si="55"/>
        <v>4977.4927408148824</v>
      </c>
      <c r="X69" s="50"/>
      <c r="Y69" s="50">
        <f t="shared" si="56"/>
        <v>0</v>
      </c>
      <c r="Z69" s="50"/>
      <c r="AA69" s="50">
        <f t="shared" si="57"/>
        <v>0</v>
      </c>
      <c r="AB69" s="50">
        <f t="shared" si="58"/>
        <v>76155.199999999997</v>
      </c>
      <c r="AC69" s="30" t="str">
        <f t="shared" si="59"/>
        <v>ok</v>
      </c>
    </row>
    <row r="70" spans="1:29" x14ac:dyDescent="0.2">
      <c r="A70" s="94">
        <v>396</v>
      </c>
      <c r="B70" s="14" t="s">
        <v>65</v>
      </c>
      <c r="C70" s="14" t="s">
        <v>66</v>
      </c>
      <c r="D70" s="14" t="s">
        <v>392</v>
      </c>
      <c r="F70" s="50">
        <v>328197.76000000001</v>
      </c>
      <c r="G70" s="50"/>
      <c r="H70" s="50">
        <f t="shared" si="46"/>
        <v>0</v>
      </c>
      <c r="I70" s="50">
        <f t="shared" si="47"/>
        <v>0</v>
      </c>
      <c r="J70" s="50"/>
      <c r="K70" s="50">
        <f t="shared" si="48"/>
        <v>0</v>
      </c>
      <c r="L70" s="50"/>
      <c r="M70" s="50">
        <f t="shared" si="49"/>
        <v>15.911346827356182</v>
      </c>
      <c r="N70" s="50"/>
      <c r="O70" s="50">
        <f t="shared" si="50"/>
        <v>173251.55252594687</v>
      </c>
      <c r="P70" s="50">
        <f t="shared" si="51"/>
        <v>89055.969181986686</v>
      </c>
      <c r="Q70" s="50"/>
      <c r="R70" s="50">
        <f t="shared" si="52"/>
        <v>0</v>
      </c>
      <c r="S70" s="50">
        <f t="shared" si="53"/>
        <v>27927.202021261841</v>
      </c>
      <c r="T70" s="50"/>
      <c r="U70" s="50">
        <f t="shared" si="54"/>
        <v>16496.167301231762</v>
      </c>
      <c r="V70" s="50"/>
      <c r="W70" s="50">
        <f t="shared" si="55"/>
        <v>21450.95762274546</v>
      </c>
      <c r="X70" s="50"/>
      <c r="Y70" s="50">
        <f t="shared" si="56"/>
        <v>0</v>
      </c>
      <c r="Z70" s="50"/>
      <c r="AA70" s="50">
        <f t="shared" si="57"/>
        <v>0</v>
      </c>
      <c r="AB70" s="50">
        <f t="shared" si="58"/>
        <v>328197.76000000001</v>
      </c>
      <c r="AC70" s="30" t="str">
        <f t="shared" si="59"/>
        <v>ok</v>
      </c>
    </row>
    <row r="71" spans="1:29" x14ac:dyDescent="0.2">
      <c r="A71" s="94">
        <v>397</v>
      </c>
      <c r="B71" s="14" t="s">
        <v>67</v>
      </c>
      <c r="C71" s="14" t="s">
        <v>68</v>
      </c>
      <c r="D71" s="14" t="s">
        <v>392</v>
      </c>
      <c r="F71" s="50">
        <v>441182.29</v>
      </c>
      <c r="G71" s="50"/>
      <c r="H71" s="50">
        <f t="shared" si="46"/>
        <v>0</v>
      </c>
      <c r="I71" s="50">
        <f t="shared" si="47"/>
        <v>0</v>
      </c>
      <c r="J71" s="50"/>
      <c r="K71" s="50">
        <f t="shared" si="48"/>
        <v>0</v>
      </c>
      <c r="L71" s="50"/>
      <c r="M71" s="50">
        <f t="shared" si="49"/>
        <v>21.388946805356731</v>
      </c>
      <c r="N71" s="50"/>
      <c r="O71" s="50">
        <f t="shared" si="50"/>
        <v>232894.69339904244</v>
      </c>
      <c r="P71" s="50">
        <f t="shared" si="51"/>
        <v>119714.1516806157</v>
      </c>
      <c r="Q71" s="50"/>
      <c r="R71" s="50">
        <f t="shared" si="52"/>
        <v>0</v>
      </c>
      <c r="S71" s="50">
        <f t="shared" si="53"/>
        <v>37541.349889264711</v>
      </c>
      <c r="T71" s="50"/>
      <c r="U71" s="50">
        <f t="shared" si="54"/>
        <v>22175.096095051194</v>
      </c>
      <c r="V71" s="50"/>
      <c r="W71" s="50">
        <f t="shared" si="55"/>
        <v>28835.609989220513</v>
      </c>
      <c r="X71" s="50"/>
      <c r="Y71" s="50">
        <f t="shared" si="56"/>
        <v>0</v>
      </c>
      <c r="Z71" s="50"/>
      <c r="AA71" s="50">
        <f t="shared" si="57"/>
        <v>0</v>
      </c>
      <c r="AB71" s="50">
        <f t="shared" si="58"/>
        <v>441182.28999999992</v>
      </c>
      <c r="AC71" s="30" t="str">
        <f t="shared" si="59"/>
        <v>ok</v>
      </c>
    </row>
    <row r="72" spans="1:29" x14ac:dyDescent="0.2">
      <c r="A72" s="94">
        <v>398</v>
      </c>
      <c r="B72" s="14" t="s">
        <v>362</v>
      </c>
      <c r="C72" s="14" t="s">
        <v>363</v>
      </c>
      <c r="D72" s="14" t="s">
        <v>392</v>
      </c>
      <c r="F72" s="50">
        <v>459659.81</v>
      </c>
      <c r="G72" s="50"/>
      <c r="H72" s="50">
        <f t="shared" si="46"/>
        <v>0</v>
      </c>
      <c r="I72" s="50">
        <f t="shared" si="47"/>
        <v>0</v>
      </c>
      <c r="J72" s="50"/>
      <c r="K72" s="50">
        <f t="shared" si="48"/>
        <v>0</v>
      </c>
      <c r="L72" s="50"/>
      <c r="M72" s="50">
        <f t="shared" si="49"/>
        <v>22.284754958433126</v>
      </c>
      <c r="N72" s="50"/>
      <c r="O72" s="50">
        <f t="shared" si="50"/>
        <v>242648.74847494924</v>
      </c>
      <c r="P72" s="50">
        <f t="shared" si="51"/>
        <v>124727.99897707363</v>
      </c>
      <c r="Q72" s="50"/>
      <c r="R72" s="50">
        <f t="shared" si="52"/>
        <v>0</v>
      </c>
      <c r="S72" s="50">
        <f t="shared" si="53"/>
        <v>39113.65018129567</v>
      </c>
      <c r="T72" s="50"/>
      <c r="U72" s="50">
        <f t="shared" si="54"/>
        <v>23103.829616059553</v>
      </c>
      <c r="V72" s="50"/>
      <c r="W72" s="50">
        <f t="shared" si="55"/>
        <v>30043.297995663434</v>
      </c>
      <c r="X72" s="50"/>
      <c r="Y72" s="50">
        <f t="shared" si="56"/>
        <v>0</v>
      </c>
      <c r="Z72" s="50"/>
      <c r="AA72" s="50">
        <f t="shared" si="57"/>
        <v>0</v>
      </c>
      <c r="AB72" s="50">
        <f t="shared" si="58"/>
        <v>459659.81</v>
      </c>
      <c r="AC72" s="30" t="str">
        <f t="shared" si="59"/>
        <v>ok</v>
      </c>
    </row>
    <row r="73" spans="1:29" x14ac:dyDescent="0.2">
      <c r="A73" s="94">
        <v>399</v>
      </c>
      <c r="B73" s="14" t="s">
        <v>583</v>
      </c>
      <c r="C73" s="14" t="s">
        <v>584</v>
      </c>
      <c r="D73" s="14" t="s">
        <v>392</v>
      </c>
      <c r="F73" s="50">
        <v>0</v>
      </c>
      <c r="G73" s="50"/>
      <c r="H73" s="50">
        <f t="shared" si="46"/>
        <v>0</v>
      </c>
      <c r="I73" s="50">
        <f t="shared" si="47"/>
        <v>0</v>
      </c>
      <c r="J73" s="50"/>
      <c r="K73" s="50">
        <f t="shared" si="48"/>
        <v>0</v>
      </c>
      <c r="L73" s="50"/>
      <c r="M73" s="50">
        <f t="shared" si="49"/>
        <v>0</v>
      </c>
      <c r="N73" s="50"/>
      <c r="O73" s="50">
        <f t="shared" si="50"/>
        <v>0</v>
      </c>
      <c r="P73" s="50">
        <f t="shared" si="51"/>
        <v>0</v>
      </c>
      <c r="Q73" s="50"/>
      <c r="R73" s="50">
        <f t="shared" si="52"/>
        <v>0</v>
      </c>
      <c r="S73" s="50">
        <f t="shared" si="53"/>
        <v>0</v>
      </c>
      <c r="T73" s="50"/>
      <c r="U73" s="50">
        <f t="shared" si="54"/>
        <v>0</v>
      </c>
      <c r="V73" s="50"/>
      <c r="W73" s="50">
        <f t="shared" si="55"/>
        <v>0</v>
      </c>
      <c r="X73" s="50"/>
      <c r="Y73" s="50">
        <f t="shared" si="56"/>
        <v>0</v>
      </c>
      <c r="Z73" s="50"/>
      <c r="AA73" s="50">
        <f t="shared" si="57"/>
        <v>0</v>
      </c>
      <c r="AB73" s="50">
        <f t="shared" si="58"/>
        <v>0</v>
      </c>
      <c r="AC73" s="30" t="str">
        <f t="shared" si="59"/>
        <v>ok</v>
      </c>
    </row>
    <row r="74" spans="1:29" x14ac:dyDescent="0.2">
      <c r="Q74" s="14"/>
      <c r="AB74" s="50"/>
      <c r="AC74" s="30"/>
    </row>
    <row r="75" spans="1:29" x14ac:dyDescent="0.2">
      <c r="B75" s="14" t="s">
        <v>69</v>
      </c>
      <c r="C75" s="14" t="s">
        <v>70</v>
      </c>
      <c r="F75" s="66">
        <f>SUM(F63:F74)</f>
        <v>8182764.1699999999</v>
      </c>
      <c r="G75" s="66"/>
      <c r="H75" s="66">
        <f t="shared" ref="H75:W75" si="60">SUM(H63:H74)</f>
        <v>0</v>
      </c>
      <c r="I75" s="66">
        <f t="shared" si="60"/>
        <v>0</v>
      </c>
      <c r="J75" s="66"/>
      <c r="K75" s="66">
        <f>SUM(K63:K74)</f>
        <v>0</v>
      </c>
      <c r="L75" s="66"/>
      <c r="M75" s="66">
        <f t="shared" si="60"/>
        <v>396.70837093870887</v>
      </c>
      <c r="N75" s="66"/>
      <c r="O75" s="66">
        <f t="shared" si="60"/>
        <v>4319580.354254066</v>
      </c>
      <c r="P75" s="66">
        <f t="shared" si="60"/>
        <v>2220380.7659960412</v>
      </c>
      <c r="Q75" s="66"/>
      <c r="R75" s="66">
        <f t="shared" si="60"/>
        <v>0</v>
      </c>
      <c r="S75" s="66">
        <f t="shared" si="60"/>
        <v>696292.71104084607</v>
      </c>
      <c r="T75" s="66"/>
      <c r="U75" s="66">
        <f t="shared" si="60"/>
        <v>411289.36021636729</v>
      </c>
      <c r="V75" s="66"/>
      <c r="W75" s="66">
        <f t="shared" si="60"/>
        <v>534824.27012173971</v>
      </c>
      <c r="X75" s="66"/>
      <c r="Y75" s="66">
        <f>SUM(Y63:Y74)</f>
        <v>0</v>
      </c>
      <c r="Z75" s="66"/>
      <c r="AA75" s="66">
        <f>SUM(AA63:AA74)</f>
        <v>0</v>
      </c>
      <c r="AB75" s="50">
        <f>SUM(H75:AA75)</f>
        <v>8182764.1699999999</v>
      </c>
      <c r="AC75" s="30" t="str">
        <f>IF(ABS(AB75-F75)&lt;1,"ok","err")</f>
        <v>ok</v>
      </c>
    </row>
    <row r="76" spans="1:29" x14ac:dyDescent="0.2">
      <c r="Q76" s="14"/>
      <c r="AB76" s="50"/>
      <c r="AC76" s="30"/>
    </row>
    <row r="77" spans="1:29" hidden="1" x14ac:dyDescent="0.2">
      <c r="A77" s="92">
        <v>106</v>
      </c>
      <c r="B77" s="14" t="s">
        <v>364</v>
      </c>
      <c r="C77" s="14" t="s">
        <v>365</v>
      </c>
      <c r="D77" s="14" t="s">
        <v>392</v>
      </c>
      <c r="F77" s="66">
        <v>0</v>
      </c>
      <c r="G77" s="66"/>
      <c r="H77" s="50">
        <f>IF(VLOOKUP($D77,$C$5:$AA$494,6,)=0,0,((VLOOKUP($D77,$C$5:$AA$494,6,)/VLOOKUP($D77,$C$5:$AA$494,4,))*$F77))</f>
        <v>0</v>
      </c>
      <c r="I77" s="50">
        <f>IF(VLOOKUP($D77,$C$5:$AA$494,7,)=0,0,((VLOOKUP($D77,$C$5:$AA$494,7,)/VLOOKUP($D77,$C$5:$AA$494,4,))*$F77))</f>
        <v>0</v>
      </c>
      <c r="J77" s="50"/>
      <c r="K77" s="50">
        <f>IF(VLOOKUP($D77,$C$5:$AA$494,9,)=0,0,((VLOOKUP($D77,$C$5:$AA$494,9,)/VLOOKUP($D77,$C$5:$AA$494,4,))*$F77))</f>
        <v>0</v>
      </c>
      <c r="L77" s="50"/>
      <c r="M77" s="50">
        <f>IF(VLOOKUP($D77,$C$5:$AA$494,11,)=0,0,((VLOOKUP($D77,$C$5:$AA$494,11,)/VLOOKUP($D77,$C$5:$AA$494,4,))*$F77))</f>
        <v>0</v>
      </c>
      <c r="N77" s="50"/>
      <c r="O77" s="50">
        <f>IF(VLOOKUP($D77,$C$5:$AA$494,13,)=0,0,((VLOOKUP($D77,$C$5:$AA$494,13,)/VLOOKUP($D77,$C$5:$AA$494,4,))*$F77))</f>
        <v>0</v>
      </c>
      <c r="P77" s="50">
        <f>IF(VLOOKUP($D77,$C$5:$AA$494,14,)=0,0,((VLOOKUP($D77,$C$5:$AA$494,14,)/VLOOKUP($D77,$C$5:$AA$494,4,))*$F77))</f>
        <v>0</v>
      </c>
      <c r="Q77" s="50"/>
      <c r="R77" s="50">
        <f>IF(VLOOKUP($D77,$C$5:$AA$494,16,)=0,0,((VLOOKUP($D77,$C$5:$AA$494,16,)/VLOOKUP($D77,$C$5:$AA$494,4,))*$F77))</f>
        <v>0</v>
      </c>
      <c r="S77" s="50">
        <f>IF(VLOOKUP($D77,$C$5:$AA$494,17,)=0,0,((VLOOKUP($D77,$C$5:$AA$494,17,)/VLOOKUP($D77,$C$5:$AA$494,4,))*$F77))</f>
        <v>0</v>
      </c>
      <c r="T77" s="50"/>
      <c r="U77" s="50">
        <f>IF(VLOOKUP($D77,$C$5:$AA$494,19,)=0,0,((VLOOKUP($D77,$C$5:$AA$494,19,)/VLOOKUP($D77,$C$5:$AA$494,4,))*$F77))</f>
        <v>0</v>
      </c>
      <c r="V77" s="50"/>
      <c r="W77" s="50">
        <f>IF(VLOOKUP($D77,$C$5:$AA$494,21,)=0,0,((VLOOKUP($D77,$C$5:$AA$494,21,)/VLOOKUP($D77,$C$5:$AA$494,4,))*$F77))</f>
        <v>0</v>
      </c>
      <c r="X77" s="50"/>
      <c r="Y77" s="50">
        <f>IF(VLOOKUP($D77,$C$5:$AA$494,23,)=0,0,((VLOOKUP($D77,$C$5:$AA$494,23,)/VLOOKUP($D77,$C$5:$AA$494,4,))*$F77))</f>
        <v>0</v>
      </c>
      <c r="Z77" s="50"/>
      <c r="AA77" s="50">
        <f>IF(VLOOKUP($D77,$C$5:$AA$494,25,)=0,0,((VLOOKUP($D77,$C$5:$AA$494,25,)/VLOOKUP($D77,$C$5:$AA$494,4,))*$F77))</f>
        <v>0</v>
      </c>
      <c r="AB77" s="50">
        <f>SUM(H77:AA77)</f>
        <v>0</v>
      </c>
      <c r="AC77" s="30" t="str">
        <f>IF(ABS(AB77-F77)&lt;1,"ok","err")</f>
        <v>ok</v>
      </c>
    </row>
    <row r="78" spans="1:29" hidden="1" x14ac:dyDescent="0.2">
      <c r="A78" s="92">
        <v>102</v>
      </c>
      <c r="B78" s="14" t="s">
        <v>706</v>
      </c>
      <c r="C78" s="14" t="s">
        <v>707</v>
      </c>
      <c r="D78" s="14" t="s">
        <v>16</v>
      </c>
      <c r="F78" s="66">
        <v>0</v>
      </c>
      <c r="G78" s="66"/>
      <c r="H78" s="50">
        <f>IF(VLOOKUP($D78,$C$5:$AA$494,6,)=0,0,((VLOOKUP($D78,$C$5:$AA$494,6,)/VLOOKUP($D78,$C$5:$AA$494,4,))*$F78))</f>
        <v>0</v>
      </c>
      <c r="I78" s="50">
        <f>IF(VLOOKUP($D78,$C$5:$AA$494,7,)=0,0,((VLOOKUP($D78,$C$5:$AA$494,7,)/VLOOKUP($D78,$C$5:$AA$494,4,))*$F78))</f>
        <v>0</v>
      </c>
      <c r="J78" s="50"/>
      <c r="K78" s="50">
        <f>IF(VLOOKUP($D78,$C$5:$AA$494,9,)=0,0,((VLOOKUP($D78,$C$5:$AA$494,9,)/VLOOKUP($D78,$C$5:$AA$494,4,))*$F78))</f>
        <v>0</v>
      </c>
      <c r="L78" s="50"/>
      <c r="M78" s="50">
        <f>IF(VLOOKUP($D78,$C$5:$AA$494,11,)=0,0,((VLOOKUP($D78,$C$5:$AA$494,11,)/VLOOKUP($D78,$C$5:$AA$494,4,))*$F78))</f>
        <v>0</v>
      </c>
      <c r="N78" s="50"/>
      <c r="O78" s="50">
        <f>IF(VLOOKUP($D78,$C$5:$AA$494,13,)=0,0,((VLOOKUP($D78,$C$5:$AA$494,13,)/VLOOKUP($D78,$C$5:$AA$494,4,))*$F78))</f>
        <v>0</v>
      </c>
      <c r="P78" s="50">
        <f>IF(VLOOKUP($D78,$C$5:$AA$494,14,)=0,0,((VLOOKUP($D78,$C$5:$AA$494,14,)/VLOOKUP($D78,$C$5:$AA$494,4,))*$F78))</f>
        <v>0</v>
      </c>
      <c r="Q78" s="50"/>
      <c r="R78" s="50">
        <f>IF(VLOOKUP($D78,$C$5:$AA$494,16,)=0,0,((VLOOKUP($D78,$C$5:$AA$494,16,)/VLOOKUP($D78,$C$5:$AA$494,4,))*$F78))</f>
        <v>0</v>
      </c>
      <c r="S78" s="50">
        <f>IF(VLOOKUP($D78,$C$5:$AA$494,17,)=0,0,((VLOOKUP($D78,$C$5:$AA$494,17,)/VLOOKUP($D78,$C$5:$AA$494,4,))*$F78))</f>
        <v>0</v>
      </c>
      <c r="T78" s="50"/>
      <c r="U78" s="50">
        <f>IF(VLOOKUP($D78,$C$5:$AA$494,19,)=0,0,((VLOOKUP($D78,$C$5:$AA$494,19,)/VLOOKUP($D78,$C$5:$AA$494,4,))*$F78))</f>
        <v>0</v>
      </c>
      <c r="V78" s="50"/>
      <c r="W78" s="50">
        <f>IF(VLOOKUP($D78,$C$5:$AA$494,21,)=0,0,((VLOOKUP($D78,$C$5:$AA$494,21,)/VLOOKUP($D78,$C$5:$AA$494,4,))*$F78))</f>
        <v>0</v>
      </c>
      <c r="X78" s="50"/>
      <c r="Y78" s="50">
        <f>IF(VLOOKUP($D78,$C$5:$AA$494,23,)=0,0,((VLOOKUP($D78,$C$5:$AA$494,23,)/VLOOKUP($D78,$C$5:$AA$494,4,))*$F78))</f>
        <v>0</v>
      </c>
      <c r="Z78" s="50"/>
      <c r="AA78" s="50">
        <f>IF(VLOOKUP($D78,$C$5:$AA$494,25,)=0,0,((VLOOKUP($D78,$C$5:$AA$494,25,)/VLOOKUP($D78,$C$5:$AA$494,4,))*$F78))</f>
        <v>0</v>
      </c>
      <c r="AB78" s="50">
        <f>SUM(H78:AA78)</f>
        <v>0</v>
      </c>
      <c r="AC78" s="30" t="str">
        <f>IF(ABS(AB78-F78)&lt;1,"ok","err")</f>
        <v>ok</v>
      </c>
    </row>
    <row r="79" spans="1:29" hidden="1" x14ac:dyDescent="0.2">
      <c r="Q79" s="14"/>
      <c r="AB79" s="50"/>
      <c r="AC79" s="30"/>
    </row>
    <row r="80" spans="1:29" hidden="1" x14ac:dyDescent="0.2">
      <c r="A80" s="92">
        <v>114</v>
      </c>
      <c r="B80" s="14" t="s">
        <v>832</v>
      </c>
      <c r="D80" s="14" t="s">
        <v>784</v>
      </c>
      <c r="F80" s="66">
        <v>0</v>
      </c>
      <c r="G80" s="66"/>
      <c r="H80" s="50">
        <f>IF(VLOOKUP($D80,$C$5:$AA$494,6,)=0,0,((VLOOKUP($D80,$C$5:$AA$494,6,)/VLOOKUP($D80,$C$5:$AA$494,4,))*$F80))</f>
        <v>0</v>
      </c>
      <c r="I80" s="50">
        <f>IF(VLOOKUP($D80,$C$5:$AA$494,7,)=0,0,((VLOOKUP($D80,$C$5:$AA$494,7,)/VLOOKUP($D80,$C$5:$AA$494,4,))*$F80))</f>
        <v>0</v>
      </c>
      <c r="J80" s="50"/>
      <c r="K80" s="50">
        <f>IF(VLOOKUP($D80,$C$5:$AA$494,9,)=0,0,((VLOOKUP($D80,$C$5:$AA$494,9,)/VLOOKUP($D80,$C$5:$AA$494,4,))*$F80))</f>
        <v>0</v>
      </c>
      <c r="L80" s="50"/>
      <c r="M80" s="50">
        <f>IF(VLOOKUP($D80,$C$5:$AA$494,11,)=0,0,((VLOOKUP($D80,$C$5:$AA$494,11,)/VLOOKUP($D80,$C$5:$AA$494,4,))*$F80))</f>
        <v>0</v>
      </c>
      <c r="N80" s="50"/>
      <c r="O80" s="50">
        <f>IF(VLOOKUP($D80,$C$5:$AA$494,13,)=0,0,((VLOOKUP($D80,$C$5:$AA$494,13,)/VLOOKUP($D80,$C$5:$AA$494,4,))*$F80))</f>
        <v>0</v>
      </c>
      <c r="P80" s="50">
        <f>IF(VLOOKUP($D80,$C$5:$AA$494,14,)=0,0,((VLOOKUP($D80,$C$5:$AA$494,14,)/VLOOKUP($D80,$C$5:$AA$494,4,))*$F80))</f>
        <v>0</v>
      </c>
      <c r="Q80" s="50"/>
      <c r="R80" s="50">
        <f>IF(VLOOKUP($D80,$C$5:$AA$494,16,)=0,0,((VLOOKUP($D80,$C$5:$AA$494,16,)/VLOOKUP($D80,$C$5:$AA$494,4,))*$F80))</f>
        <v>0</v>
      </c>
      <c r="S80" s="50">
        <f>IF(VLOOKUP($D80,$C$5:$AA$494,17,)=0,0,((VLOOKUP($D80,$C$5:$AA$494,17,)/VLOOKUP($D80,$C$5:$AA$494,4,))*$F80))</f>
        <v>0</v>
      </c>
      <c r="T80" s="50"/>
      <c r="U80" s="50">
        <f>IF(VLOOKUP($D80,$C$5:$AA$494,19,)=0,0,((VLOOKUP($D80,$C$5:$AA$494,19,)/VLOOKUP($D80,$C$5:$AA$494,4,))*$F80))</f>
        <v>0</v>
      </c>
      <c r="V80" s="50"/>
      <c r="W80" s="50">
        <f>IF(VLOOKUP($D80,$C$5:$AA$494,21,)=0,0,((VLOOKUP($D80,$C$5:$AA$494,21,)/VLOOKUP($D80,$C$5:$AA$494,4,))*$F80))</f>
        <v>0</v>
      </c>
      <c r="X80" s="50"/>
      <c r="Y80" s="50">
        <f>IF(VLOOKUP($D80,$C$5:$AA$494,23,)=0,0,((VLOOKUP($D80,$C$5:$AA$494,23,)/VLOOKUP($D80,$C$5:$AA$494,4,))*$F80))</f>
        <v>0</v>
      </c>
      <c r="Z80" s="50"/>
      <c r="AA80" s="50">
        <f>IF(VLOOKUP($D80,$C$5:$AA$494,25,)=0,0,((VLOOKUP($D80,$C$5:$AA$494,25,)/VLOOKUP($D80,$C$5:$AA$494,4,))*$F80))</f>
        <v>0</v>
      </c>
      <c r="AB80" s="50">
        <f>SUM(H80:AA80)</f>
        <v>0</v>
      </c>
      <c r="AC80" s="30" t="str">
        <f>IF(ABS(AB80-F80)&lt;1,"ok","err")</f>
        <v>ok</v>
      </c>
    </row>
    <row r="81" spans="1:29" hidden="1" x14ac:dyDescent="0.2">
      <c r="Q81" s="14"/>
      <c r="AB81" s="50"/>
      <c r="AC81" s="30"/>
    </row>
    <row r="82" spans="1:29" x14ac:dyDescent="0.2">
      <c r="B82" s="14" t="s">
        <v>71</v>
      </c>
      <c r="C82" s="14" t="s">
        <v>72</v>
      </c>
      <c r="F82" s="260">
        <f>F12+F24+F35+F54+F75+F77+F78+F80</f>
        <v>121327769.95000002</v>
      </c>
      <c r="G82" s="93"/>
      <c r="H82" s="93">
        <f>H12+H24+H35+H54+H75+H77+H78+H80</f>
        <v>0</v>
      </c>
      <c r="I82" s="93">
        <f>I12+I24+I35+I54+I75+I77+I78+I80</f>
        <v>0</v>
      </c>
      <c r="J82" s="93"/>
      <c r="K82" s="93">
        <f>K12+K24+K35+K54+K75+K77+K78+K80</f>
        <v>0</v>
      </c>
      <c r="L82" s="93"/>
      <c r="M82" s="93">
        <f>M12+M24+M35+M54+M75+M77+M78+M80</f>
        <v>5882.088370938709</v>
      </c>
      <c r="N82" s="93"/>
      <c r="O82" s="93">
        <f>O12+O24+O35+O54+O75+O77+O78+O80</f>
        <v>64047434.413776696</v>
      </c>
      <c r="P82" s="93">
        <f>P12+P24+P35+P54+P75+P77+P78+P80</f>
        <v>32922108.126473416</v>
      </c>
      <c r="Q82" s="93"/>
      <c r="R82" s="93">
        <f>R12+R24+R35+R54+R75+R77+R78+R80</f>
        <v>0</v>
      </c>
      <c r="S82" s="93">
        <f>S12+S24+S35+S54+S75+S77+S78+S80</f>
        <v>10324095.881040845</v>
      </c>
      <c r="T82" s="93"/>
      <c r="U82" s="93">
        <f>U12+U24+U35+U54+U75+U77+U78+U80</f>
        <v>6098284.1302163666</v>
      </c>
      <c r="V82" s="93"/>
      <c r="W82" s="93">
        <f>W12+W24+W35+W54+W75+W77+W78+W80</f>
        <v>7929965.3101217393</v>
      </c>
      <c r="X82" s="93"/>
      <c r="Y82" s="93">
        <f>Y12+Y24+Y35+Y54+Y75+Y77+Y78+Y80</f>
        <v>0</v>
      </c>
      <c r="Z82" s="93"/>
      <c r="AA82" s="93">
        <f>AA12+AA24+AA35+AA54+AA75+AA77+AA78+AA80</f>
        <v>0</v>
      </c>
      <c r="AB82" s="50">
        <f>SUM(H82:AA82)</f>
        <v>121327769.95</v>
      </c>
      <c r="AC82" s="30" t="str">
        <f>IF(ABS(AB82-F82)&lt;1,"ok","err")</f>
        <v>ok</v>
      </c>
    </row>
    <row r="83" spans="1:29" x14ac:dyDescent="0.2">
      <c r="D83" s="93"/>
      <c r="F83" s="48"/>
      <c r="G83" s="50"/>
      <c r="AC83" s="30"/>
    </row>
    <row r="84" spans="1:29" x14ac:dyDescent="0.2">
      <c r="A84" s="28" t="s">
        <v>73</v>
      </c>
      <c r="F84" s="50"/>
      <c r="G84" s="50"/>
      <c r="AC84" s="30"/>
    </row>
    <row r="85" spans="1:29" x14ac:dyDescent="0.2">
      <c r="B85" s="14" t="s">
        <v>789</v>
      </c>
      <c r="C85" s="14" t="s">
        <v>553</v>
      </c>
      <c r="D85" s="14" t="s">
        <v>784</v>
      </c>
      <c r="F85" s="66">
        <v>0</v>
      </c>
      <c r="G85" s="66"/>
      <c r="H85" s="50">
        <f>IF(VLOOKUP($D85,$C$5:$AA$494,6,)=0,0,((VLOOKUP($D85,$C$5:$AA$494,6,)/VLOOKUP($D85,$C$5:$AA$494,4,))*$F85))</f>
        <v>0</v>
      </c>
      <c r="I85" s="50">
        <f>IF(VLOOKUP($D85,$C$5:$AA$494,7,)=0,0,((VLOOKUP($D85,$C$5:$AA$494,7,)/VLOOKUP($D85,$C$5:$AA$494,4,))*$F85))</f>
        <v>0</v>
      </c>
      <c r="J85" s="50"/>
      <c r="K85" s="50">
        <f>IF(VLOOKUP($D85,$C$5:$AA$494,9,)=0,0,((VLOOKUP($D85,$C$5:$AA$494,9,)/VLOOKUP($D85,$C$5:$AA$494,4,))*$F85))</f>
        <v>0</v>
      </c>
      <c r="L85" s="50"/>
      <c r="M85" s="50">
        <f>IF(VLOOKUP($D85,$C$5:$AA$494,11,)=0,0,((VLOOKUP($D85,$C$5:$AA$494,11,)/VLOOKUP($D85,$C$5:$AA$494,4,))*$F85))</f>
        <v>0</v>
      </c>
      <c r="N85" s="50"/>
      <c r="O85" s="50">
        <f>IF(VLOOKUP($D85,$C$5:$AA$494,13,)=0,0,((VLOOKUP($D85,$C$5:$AA$494,13,)/VLOOKUP($D85,$C$5:$AA$494,4,))*$F85))</f>
        <v>0</v>
      </c>
      <c r="P85" s="50">
        <f>IF(VLOOKUP($D85,$C$5:$AA$494,14,)=0,0,((VLOOKUP($D85,$C$5:$AA$494,14,)/VLOOKUP($D85,$C$5:$AA$494,4,))*$F85))</f>
        <v>0</v>
      </c>
      <c r="Q85" s="50"/>
      <c r="R85" s="50">
        <f>IF(VLOOKUP($D85,$C$5:$AA$494,16,)=0,0,((VLOOKUP($D85,$C$5:$AA$494,16,)/VLOOKUP($D85,$C$5:$AA$494,4,))*$F85))</f>
        <v>0</v>
      </c>
      <c r="S85" s="50">
        <f>IF(VLOOKUP($D85,$C$5:$AA$494,17,)=0,0,((VLOOKUP($D85,$C$5:$AA$494,17,)/VLOOKUP($D85,$C$5:$AA$494,4,))*$F85))</f>
        <v>0</v>
      </c>
      <c r="T85" s="50"/>
      <c r="U85" s="50">
        <f>IF(VLOOKUP($D85,$C$5:$AA$494,19,)=0,0,((VLOOKUP($D85,$C$5:$AA$494,19,)/VLOOKUP($D85,$C$5:$AA$494,4,))*$F85))</f>
        <v>0</v>
      </c>
      <c r="V85" s="50"/>
      <c r="W85" s="50">
        <f>IF(VLOOKUP($D85,$C$5:$AA$494,21,)=0,0,((VLOOKUP($D85,$C$5:$AA$494,21,)/VLOOKUP($D85,$C$5:$AA$494,4,))*$F85))</f>
        <v>0</v>
      </c>
      <c r="X85" s="50"/>
      <c r="Y85" s="50">
        <f>IF(VLOOKUP($D85,$C$5:$AA$494,23,)=0,0,((VLOOKUP($D85,$C$5:$AA$494,23,)/VLOOKUP($D85,$C$5:$AA$494,4,))*$F85))</f>
        <v>0</v>
      </c>
      <c r="Z85" s="50"/>
      <c r="AA85" s="50">
        <f>IF(VLOOKUP($D85,$C$5:$AA$494,25,)=0,0,((VLOOKUP($D85,$C$5:$AA$494,25,)/VLOOKUP($D85,$C$5:$AA$494,4,))*$F85))</f>
        <v>0</v>
      </c>
      <c r="AB85" s="50">
        <f>SUM(H85:AA85)</f>
        <v>0</v>
      </c>
      <c r="AC85" s="30" t="str">
        <f>IF(ABS(AB85-F85)&lt;1,"ok","err")</f>
        <v>ok</v>
      </c>
    </row>
    <row r="86" spans="1:29" x14ac:dyDescent="0.2">
      <c r="B86" s="14" t="s">
        <v>425</v>
      </c>
      <c r="C86" s="14" t="s">
        <v>554</v>
      </c>
      <c r="D86" s="14" t="s">
        <v>390</v>
      </c>
      <c r="F86" s="50">
        <v>0</v>
      </c>
      <c r="G86" s="50"/>
      <c r="H86" s="50">
        <f>IF(VLOOKUP($D86,$C$5:$AA$494,6,)=0,0,((VLOOKUP($D86,$C$5:$AA$494,6,)/VLOOKUP($D86,$C$5:$AA$494,4,))*$F86))</f>
        <v>0</v>
      </c>
      <c r="I86" s="50">
        <f>IF(VLOOKUP($D86,$C$5:$AA$494,7,)=0,0,((VLOOKUP($D86,$C$5:$AA$494,7,)/VLOOKUP($D86,$C$5:$AA$494,4,))*$F86))</f>
        <v>0</v>
      </c>
      <c r="J86" s="50"/>
      <c r="K86" s="50">
        <f>IF(VLOOKUP($D86,$C$5:$AA$494,9,)=0,0,((VLOOKUP($D86,$C$5:$AA$494,9,)/VLOOKUP($D86,$C$5:$AA$494,4,))*$F86))</f>
        <v>0</v>
      </c>
      <c r="L86" s="50"/>
      <c r="M86" s="50">
        <f>IF(VLOOKUP($D86,$C$5:$AA$494,11,)=0,0,((VLOOKUP($D86,$C$5:$AA$494,11,)/VLOOKUP($D86,$C$5:$AA$494,4,))*$F86))</f>
        <v>0</v>
      </c>
      <c r="N86" s="50"/>
      <c r="O86" s="50">
        <f>IF(VLOOKUP($D86,$C$5:$AA$494,13,)=0,0,((VLOOKUP($D86,$C$5:$AA$494,13,)/VLOOKUP($D86,$C$5:$AA$494,4,))*$F86))</f>
        <v>0</v>
      </c>
      <c r="P86" s="50">
        <f>IF(VLOOKUP($D86,$C$5:$AA$494,14,)=0,0,((VLOOKUP($D86,$C$5:$AA$494,14,)/VLOOKUP($D86,$C$5:$AA$494,4,))*$F86))</f>
        <v>0</v>
      </c>
      <c r="Q86" s="50"/>
      <c r="R86" s="50">
        <f>IF(VLOOKUP($D86,$C$5:$AA$494,16,)=0,0,((VLOOKUP($D86,$C$5:$AA$494,16,)/VLOOKUP($D86,$C$5:$AA$494,4,))*$F86))</f>
        <v>0</v>
      </c>
      <c r="S86" s="50">
        <f>IF(VLOOKUP($D86,$C$5:$AA$494,17,)=0,0,((VLOOKUP($D86,$C$5:$AA$494,17,)/VLOOKUP($D86,$C$5:$AA$494,4,))*$F86))</f>
        <v>0</v>
      </c>
      <c r="T86" s="50"/>
      <c r="U86" s="50">
        <f>IF(VLOOKUP($D86,$C$5:$AA$494,19,)=0,0,((VLOOKUP($D86,$C$5:$AA$494,19,)/VLOOKUP($D86,$C$5:$AA$494,4,))*$F86))</f>
        <v>0</v>
      </c>
      <c r="V86" s="50"/>
      <c r="W86" s="50">
        <f>IF(VLOOKUP($D86,$C$5:$AA$494,21,)=0,0,((VLOOKUP($D86,$C$5:$AA$494,21,)/VLOOKUP($D86,$C$5:$AA$494,4,))*$F86))</f>
        <v>0</v>
      </c>
      <c r="X86" s="50"/>
      <c r="Y86" s="50">
        <f>IF(VLOOKUP($D86,$C$5:$AA$494,23,)=0,0,((VLOOKUP($D86,$C$5:$AA$494,23,)/VLOOKUP($D86,$C$5:$AA$494,4,))*$F86))</f>
        <v>0</v>
      </c>
      <c r="Z86" s="50"/>
      <c r="AA86" s="50">
        <f>IF(VLOOKUP($D86,$C$5:$AA$494,25,)=0,0,((VLOOKUP($D86,$C$5:$AA$494,25,)/VLOOKUP($D86,$C$5:$AA$494,4,))*$F86))</f>
        <v>0</v>
      </c>
      <c r="AB86" s="50">
        <f>SUM(H86:AA86)</f>
        <v>0</v>
      </c>
      <c r="AC86" s="30" t="str">
        <f>IF(ABS(AB86-F86)&lt;1,"ok","err")</f>
        <v>ok</v>
      </c>
    </row>
    <row r="87" spans="1:29" x14ac:dyDescent="0.2">
      <c r="B87" s="14" t="s">
        <v>841</v>
      </c>
      <c r="C87" s="14" t="s">
        <v>555</v>
      </c>
      <c r="D87" s="14" t="s">
        <v>16</v>
      </c>
      <c r="F87" s="50">
        <f>1844405.49+5070</f>
        <v>1849475.49</v>
      </c>
      <c r="G87" s="50"/>
      <c r="H87" s="50">
        <f>IF(VLOOKUP($D87,$C$5:$AA$494,6,)=0,0,((VLOOKUP($D87,$C$5:$AA$494,6,)/VLOOKUP($D87,$C$5:$AA$494,4,))*$F87))</f>
        <v>0</v>
      </c>
      <c r="I87" s="50">
        <f>IF(VLOOKUP($D87,$C$5:$AA$494,7,)=0,0,((VLOOKUP($D87,$C$5:$AA$494,7,)/VLOOKUP($D87,$C$5:$AA$494,4,))*$F87))</f>
        <v>0</v>
      </c>
      <c r="J87" s="50"/>
      <c r="K87" s="50">
        <f>IF(VLOOKUP($D87,$C$5:$AA$494,9,)=0,0,((VLOOKUP($D87,$C$5:$AA$494,9,)/VLOOKUP($D87,$C$5:$AA$494,4,))*$F87))</f>
        <v>0</v>
      </c>
      <c r="L87" s="50"/>
      <c r="M87" s="50">
        <f>IF(VLOOKUP($D87,$C$5:$AA$494,11,)=0,0,((VLOOKUP($D87,$C$5:$AA$494,11,)/VLOOKUP($D87,$C$5:$AA$494,4,))*$F87))</f>
        <v>89.664371780247734</v>
      </c>
      <c r="N87" s="50"/>
      <c r="O87" s="50">
        <f>IF(VLOOKUP($D87,$C$5:$AA$494,13,)=0,0,((VLOOKUP($D87,$C$5:$AA$494,13,)/VLOOKUP($D87,$C$5:$AA$494,4,))*$F87))</f>
        <v>976315.31671997486</v>
      </c>
      <c r="P87" s="50">
        <f>IF(VLOOKUP($D87,$C$5:$AA$494,14,)=0,0,((VLOOKUP($D87,$C$5:$AA$494,14,)/VLOOKUP($D87,$C$5:$AA$494,4,))*$F87))</f>
        <v>501852.39606839401</v>
      </c>
      <c r="Q87" s="50"/>
      <c r="R87" s="50">
        <f>IF(VLOOKUP($D87,$C$5:$AA$494,16,)=0,0,((VLOOKUP($D87,$C$5:$AA$494,16,)/VLOOKUP($D87,$C$5:$AA$494,4,))*$F87))</f>
        <v>0</v>
      </c>
      <c r="S87" s="50">
        <f>IF(VLOOKUP($D87,$C$5:$AA$494,17,)=0,0,((VLOOKUP($D87,$C$5:$AA$494,17,)/VLOOKUP($D87,$C$5:$AA$494,4,))*$F87))</f>
        <v>157376.68545514214</v>
      </c>
      <c r="T87" s="50"/>
      <c r="U87" s="50">
        <f>IF(VLOOKUP($D87,$C$5:$AA$494,19,)=0,0,((VLOOKUP($D87,$C$5:$AA$494,19,)/VLOOKUP($D87,$C$5:$AA$494,4,))*$F87))</f>
        <v>92959.979685929589</v>
      </c>
      <c r="V87" s="50"/>
      <c r="W87" s="50">
        <f>IF(VLOOKUP($D87,$C$5:$AA$494,21,)=0,0,((VLOOKUP($D87,$C$5:$AA$494,21,)/VLOOKUP($D87,$C$5:$AA$494,4,))*$F87))</f>
        <v>120881.44769877891</v>
      </c>
      <c r="X87" s="50"/>
      <c r="Y87" s="50">
        <f>IF(VLOOKUP($D87,$C$5:$AA$494,23,)=0,0,((VLOOKUP($D87,$C$5:$AA$494,23,)/VLOOKUP($D87,$C$5:$AA$494,4,))*$F87))</f>
        <v>0</v>
      </c>
      <c r="Z87" s="50"/>
      <c r="AA87" s="50">
        <f>IF(VLOOKUP($D87,$C$5:$AA$494,25,)=0,0,((VLOOKUP($D87,$C$5:$AA$494,25,)/VLOOKUP($D87,$C$5:$AA$494,4,))*$F87))</f>
        <v>0</v>
      </c>
      <c r="AB87" s="50">
        <f>SUM(H87:AA87)</f>
        <v>1849475.4899999998</v>
      </c>
      <c r="AC87" s="30" t="str">
        <f>IF(ABS(AB87-F87)&lt;1,"ok","err")</f>
        <v>ok</v>
      </c>
    </row>
    <row r="88" spans="1:29" x14ac:dyDescent="0.2">
      <c r="B88" s="14" t="s">
        <v>449</v>
      </c>
      <c r="C88" s="14" t="s">
        <v>556</v>
      </c>
      <c r="D88" s="14" t="s">
        <v>70</v>
      </c>
      <c r="F88" s="50">
        <v>0</v>
      </c>
      <c r="G88" s="50"/>
      <c r="H88" s="50">
        <f>IF(VLOOKUP($D88,$C$5:$AA$494,6,)=0,0,((VLOOKUP($D88,$C$5:$AA$494,6,)/VLOOKUP($D88,$C$5:$AA$494,4,))*$F88))</f>
        <v>0</v>
      </c>
      <c r="I88" s="50">
        <f>IF(VLOOKUP($D88,$C$5:$AA$494,7,)=0,0,((VLOOKUP($D88,$C$5:$AA$494,7,)/VLOOKUP($D88,$C$5:$AA$494,4,))*$F88))</f>
        <v>0</v>
      </c>
      <c r="J88" s="50"/>
      <c r="K88" s="50">
        <f>IF(VLOOKUP($D88,$C$5:$AA$494,9,)=0,0,((VLOOKUP($D88,$C$5:$AA$494,9,)/VLOOKUP($D88,$C$5:$AA$494,4,))*$F88))</f>
        <v>0</v>
      </c>
      <c r="L88" s="50"/>
      <c r="M88" s="50">
        <f>IF(VLOOKUP($D88,$C$5:$AA$494,11,)=0,0,((VLOOKUP($D88,$C$5:$AA$494,11,)/VLOOKUP($D88,$C$5:$AA$494,4,))*$F88))</f>
        <v>0</v>
      </c>
      <c r="N88" s="50"/>
      <c r="O88" s="50">
        <f>IF(VLOOKUP($D88,$C$5:$AA$494,13,)=0,0,((VLOOKUP($D88,$C$5:$AA$494,13,)/VLOOKUP($D88,$C$5:$AA$494,4,))*$F88))</f>
        <v>0</v>
      </c>
      <c r="P88" s="50">
        <f>IF(VLOOKUP($D88,$C$5:$AA$494,14,)=0,0,((VLOOKUP($D88,$C$5:$AA$494,14,)/VLOOKUP($D88,$C$5:$AA$494,4,))*$F88))</f>
        <v>0</v>
      </c>
      <c r="Q88" s="50"/>
      <c r="R88" s="50">
        <f>IF(VLOOKUP($D88,$C$5:$AA$494,16,)=0,0,((VLOOKUP($D88,$C$5:$AA$494,16,)/VLOOKUP($D88,$C$5:$AA$494,4,))*$F88))</f>
        <v>0</v>
      </c>
      <c r="S88" s="50">
        <f>IF(VLOOKUP($D88,$C$5:$AA$494,17,)=0,0,((VLOOKUP($D88,$C$5:$AA$494,17,)/VLOOKUP($D88,$C$5:$AA$494,4,))*$F88))</f>
        <v>0</v>
      </c>
      <c r="T88" s="50"/>
      <c r="U88" s="50">
        <f>IF(VLOOKUP($D88,$C$5:$AA$494,19,)=0,0,((VLOOKUP($D88,$C$5:$AA$494,19,)/VLOOKUP($D88,$C$5:$AA$494,4,))*$F88))</f>
        <v>0</v>
      </c>
      <c r="V88" s="50"/>
      <c r="W88" s="50">
        <f>IF(VLOOKUP($D88,$C$5:$AA$494,21,)=0,0,((VLOOKUP($D88,$C$5:$AA$494,21,)/VLOOKUP($D88,$C$5:$AA$494,4,))*$F88))</f>
        <v>0</v>
      </c>
      <c r="X88" s="50"/>
      <c r="Y88" s="50">
        <f>IF(VLOOKUP($D88,$C$5:$AA$494,23,)=0,0,((VLOOKUP($D88,$C$5:$AA$494,23,)/VLOOKUP($D88,$C$5:$AA$494,4,))*$F88))</f>
        <v>0</v>
      </c>
      <c r="Z88" s="50"/>
      <c r="AA88" s="50">
        <f>IF(VLOOKUP($D88,$C$5:$AA$494,25,)=0,0,((VLOOKUP($D88,$C$5:$AA$494,25,)/VLOOKUP($D88,$C$5:$AA$494,4,))*$F88))</f>
        <v>0</v>
      </c>
      <c r="AB88" s="50">
        <f>SUM(H88:AA88)</f>
        <v>0</v>
      </c>
      <c r="AC88" s="30" t="str">
        <f>IF(ABS(AB88-F88)&lt;1,"ok","err")</f>
        <v>ok</v>
      </c>
    </row>
    <row r="89" spans="1:29" x14ac:dyDescent="0.2">
      <c r="B89" s="14" t="s">
        <v>933</v>
      </c>
      <c r="C89" s="14" t="s">
        <v>557</v>
      </c>
      <c r="D89" s="14" t="s">
        <v>16</v>
      </c>
      <c r="F89" s="50">
        <v>0</v>
      </c>
      <c r="G89" s="50"/>
      <c r="H89" s="50">
        <f>IF(VLOOKUP($D89,$C$5:$AA$494,6,)=0,0,((VLOOKUP($D89,$C$5:$AA$494,6,)/VLOOKUP($D89,$C$5:$AA$494,4,))*$F89))</f>
        <v>0</v>
      </c>
      <c r="I89" s="50">
        <f>IF(VLOOKUP($D89,$C$5:$AA$494,7,)=0,0,((VLOOKUP($D89,$C$5:$AA$494,7,)/VLOOKUP($D89,$C$5:$AA$494,4,))*$F89))</f>
        <v>0</v>
      </c>
      <c r="J89" s="50"/>
      <c r="K89" s="50">
        <f>IF(VLOOKUP($D89,$C$5:$AA$494,9,)=0,0,((VLOOKUP($D89,$C$5:$AA$494,9,)/VLOOKUP($D89,$C$5:$AA$494,4,))*$F89))</f>
        <v>0</v>
      </c>
      <c r="L89" s="50"/>
      <c r="M89" s="50">
        <f>IF(VLOOKUP($D89,$C$5:$AA$494,11,)=0,0,((VLOOKUP($D89,$C$5:$AA$494,11,)/VLOOKUP($D89,$C$5:$AA$494,4,))*$F89))</f>
        <v>0</v>
      </c>
      <c r="N89" s="50"/>
      <c r="O89" s="50">
        <f>IF(VLOOKUP($D89,$C$5:$AA$494,13,)=0,0,((VLOOKUP($D89,$C$5:$AA$494,13,)/VLOOKUP($D89,$C$5:$AA$494,4,))*$F89))</f>
        <v>0</v>
      </c>
      <c r="P89" s="50">
        <f>IF(VLOOKUP($D89,$C$5:$AA$494,14,)=0,0,((VLOOKUP($D89,$C$5:$AA$494,14,)/VLOOKUP($D89,$C$5:$AA$494,4,))*$F89))</f>
        <v>0</v>
      </c>
      <c r="Q89" s="50"/>
      <c r="R89" s="50">
        <f>IF(VLOOKUP($D89,$C$5:$AA$494,16,)=0,0,((VLOOKUP($D89,$C$5:$AA$494,16,)/VLOOKUP($D89,$C$5:$AA$494,4,))*$F89))</f>
        <v>0</v>
      </c>
      <c r="S89" s="50">
        <f>IF(VLOOKUP($D89,$C$5:$AA$494,17,)=0,0,((VLOOKUP($D89,$C$5:$AA$494,17,)/VLOOKUP($D89,$C$5:$AA$494,4,))*$F89))</f>
        <v>0</v>
      </c>
      <c r="T89" s="50"/>
      <c r="U89" s="50">
        <f>IF(VLOOKUP($D89,$C$5:$AA$494,19,)=0,0,((VLOOKUP($D89,$C$5:$AA$494,19,)/VLOOKUP($D89,$C$5:$AA$494,4,))*$F89))</f>
        <v>0</v>
      </c>
      <c r="V89" s="50"/>
      <c r="W89" s="50">
        <f>IF(VLOOKUP($D89,$C$5:$AA$494,21,)=0,0,((VLOOKUP($D89,$C$5:$AA$494,21,)/VLOOKUP($D89,$C$5:$AA$494,4,))*$F89))</f>
        <v>0</v>
      </c>
      <c r="X89" s="50"/>
      <c r="Y89" s="50">
        <f>IF(VLOOKUP($D89,$C$5:$AA$494,23,)=0,0,((VLOOKUP($D89,$C$5:$AA$494,23,)/VLOOKUP($D89,$C$5:$AA$494,4,))*$F89))</f>
        <v>0</v>
      </c>
      <c r="Z89" s="50"/>
      <c r="AA89" s="50">
        <f>IF(VLOOKUP($D89,$C$5:$AA$494,25,)=0,0,((VLOOKUP($D89,$C$5:$AA$494,25,)/VLOOKUP($D89,$C$5:$AA$494,4,))*$F89))</f>
        <v>0</v>
      </c>
      <c r="AB89" s="50">
        <f>SUM(H89:AA89)</f>
        <v>0</v>
      </c>
      <c r="AC89" s="30" t="str">
        <f>IF(ABS(AB89-F89)&lt;1,"ok","err")</f>
        <v>ok</v>
      </c>
    </row>
    <row r="90" spans="1:29" x14ac:dyDescent="0.2">
      <c r="F90" s="50"/>
      <c r="G90" s="50"/>
      <c r="AB90" s="50"/>
      <c r="AC90" s="30"/>
    </row>
    <row r="91" spans="1:29" x14ac:dyDescent="0.2">
      <c r="A91" s="95" t="s">
        <v>74</v>
      </c>
      <c r="C91" s="14" t="s">
        <v>75</v>
      </c>
      <c r="F91" s="66">
        <f>SUM(F85:F89)</f>
        <v>1849475.49</v>
      </c>
      <c r="G91" s="66"/>
      <c r="H91" s="66">
        <f>SUM(H85:H89)</f>
        <v>0</v>
      </c>
      <c r="I91" s="66">
        <f>SUM(I85:I89)</f>
        <v>0</v>
      </c>
      <c r="J91" s="66"/>
      <c r="K91" s="66">
        <f>SUM(K85:K89)</f>
        <v>0</v>
      </c>
      <c r="L91" s="66"/>
      <c r="M91" s="66">
        <f>SUM(M85:M89)</f>
        <v>89.664371780247734</v>
      </c>
      <c r="N91" s="66"/>
      <c r="O91" s="66">
        <f>SUM(O85:O89)</f>
        <v>976315.31671997486</v>
      </c>
      <c r="P91" s="66">
        <f>SUM(P85:P89)</f>
        <v>501852.39606839401</v>
      </c>
      <c r="Q91" s="66"/>
      <c r="R91" s="66">
        <f>SUM(R85:R89)</f>
        <v>0</v>
      </c>
      <c r="S91" s="66">
        <f>SUM(S85:S89)</f>
        <v>157376.68545514214</v>
      </c>
      <c r="T91" s="66"/>
      <c r="U91" s="66">
        <f>SUM(U85:U89)</f>
        <v>92959.979685929589</v>
      </c>
      <c r="V91" s="66"/>
      <c r="W91" s="66">
        <f>SUM(W85:W89)</f>
        <v>120881.44769877891</v>
      </c>
      <c r="X91" s="66"/>
      <c r="Y91" s="66">
        <f>SUM(Y85:Y89)</f>
        <v>0</v>
      </c>
      <c r="Z91" s="66"/>
      <c r="AA91" s="66">
        <f>SUM(AA85:AA89)</f>
        <v>0</v>
      </c>
      <c r="AB91" s="50">
        <f>SUM(H91:AA91)</f>
        <v>1849475.4899999998</v>
      </c>
      <c r="AC91" s="30" t="str">
        <f>IF(ABS(AB91-F91)&lt;1,"ok","err")</f>
        <v>ok</v>
      </c>
    </row>
    <row r="92" spans="1:29" x14ac:dyDescent="0.2">
      <c r="A92" s="95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50"/>
      <c r="AC92" s="30"/>
    </row>
    <row r="93" spans="1:29" x14ac:dyDescent="0.2">
      <c r="A93" s="13" t="s">
        <v>367</v>
      </c>
      <c r="D93" s="93"/>
      <c r="F93" s="66">
        <f>F82+F91</f>
        <v>123177245.44000001</v>
      </c>
      <c r="G93" s="66"/>
      <c r="H93" s="66">
        <f>H82+H91</f>
        <v>0</v>
      </c>
      <c r="I93" s="66">
        <f>I82+I91</f>
        <v>0</v>
      </c>
      <c r="J93" s="66"/>
      <c r="K93" s="66">
        <f>K82+K91</f>
        <v>0</v>
      </c>
      <c r="L93" s="66"/>
      <c r="M93" s="66">
        <f>M82+M91</f>
        <v>5971.7527427189571</v>
      </c>
      <c r="N93" s="66"/>
      <c r="O93" s="66">
        <f>O82+O91</f>
        <v>65023749.730496667</v>
      </c>
      <c r="P93" s="66">
        <f>P82+P91</f>
        <v>33423960.52254181</v>
      </c>
      <c r="Q93" s="66"/>
      <c r="R93" s="66">
        <f>R82+R91</f>
        <v>0</v>
      </c>
      <c r="S93" s="66">
        <f>S82+S91</f>
        <v>10481472.566495987</v>
      </c>
      <c r="T93" s="66"/>
      <c r="U93" s="66">
        <f>U82+U91</f>
        <v>6191244.1099022962</v>
      </c>
      <c r="V93" s="66"/>
      <c r="W93" s="66">
        <f>W82+W91</f>
        <v>8050846.7578205178</v>
      </c>
      <c r="X93" s="66"/>
      <c r="Y93" s="66">
        <f>Y82+Y91</f>
        <v>0</v>
      </c>
      <c r="Z93" s="66"/>
      <c r="AA93" s="66">
        <f>AA82+AA91</f>
        <v>0</v>
      </c>
      <c r="AB93" s="50">
        <f>SUM(H93:AA93)</f>
        <v>123177245.44</v>
      </c>
      <c r="AC93" s="30" t="str">
        <f>IF(ABS(AB93-F93)&lt;1,"ok","err")</f>
        <v>ok</v>
      </c>
    </row>
    <row r="94" spans="1:29" x14ac:dyDescent="0.2">
      <c r="AC94" s="30"/>
    </row>
    <row r="95" spans="1:29" x14ac:dyDescent="0.2">
      <c r="A95" s="28" t="s">
        <v>76</v>
      </c>
      <c r="F95" s="260"/>
      <c r="G95" s="93"/>
      <c r="AC95" s="30"/>
    </row>
    <row r="96" spans="1:29" x14ac:dyDescent="0.2">
      <c r="AC96" s="30"/>
    </row>
    <row r="97" spans="1:29" x14ac:dyDescent="0.2">
      <c r="A97" s="28" t="s">
        <v>77</v>
      </c>
      <c r="AC97" s="30"/>
    </row>
    <row r="98" spans="1:29" x14ac:dyDescent="0.2">
      <c r="A98" s="14" t="s">
        <v>15</v>
      </c>
      <c r="F98" s="260">
        <f>F82</f>
        <v>121327769.95000002</v>
      </c>
      <c r="G98" s="93"/>
      <c r="H98" s="93">
        <f>H82</f>
        <v>0</v>
      </c>
      <c r="I98" s="93">
        <f>I82</f>
        <v>0</v>
      </c>
      <c r="J98" s="93"/>
      <c r="K98" s="93">
        <f>K82</f>
        <v>0</v>
      </c>
      <c r="L98" s="93"/>
      <c r="M98" s="93">
        <f>M82</f>
        <v>5882.088370938709</v>
      </c>
      <c r="N98" s="93"/>
      <c r="O98" s="93">
        <f>O82</f>
        <v>64047434.413776696</v>
      </c>
      <c r="P98" s="93">
        <f>P82</f>
        <v>32922108.126473416</v>
      </c>
      <c r="Q98" s="93"/>
      <c r="R98" s="93">
        <f>R82</f>
        <v>0</v>
      </c>
      <c r="S98" s="93">
        <f>S82</f>
        <v>10324095.881040845</v>
      </c>
      <c r="T98" s="93"/>
      <c r="U98" s="93">
        <f>U82</f>
        <v>6098284.1302163666</v>
      </c>
      <c r="V98" s="93"/>
      <c r="W98" s="93">
        <f>W82</f>
        <v>7929965.3101217393</v>
      </c>
      <c r="X98" s="93"/>
      <c r="Y98" s="93">
        <f>Y82</f>
        <v>0</v>
      </c>
      <c r="Z98" s="93"/>
      <c r="AA98" s="93">
        <f>AA82</f>
        <v>0</v>
      </c>
      <c r="AB98" s="50">
        <f>SUM(H98:AA98)</f>
        <v>121327769.95</v>
      </c>
      <c r="AC98" s="30" t="str">
        <f>IF(ABS(AB98-F98)&lt;1,"ok","err")</f>
        <v>ok</v>
      </c>
    </row>
    <row r="99" spans="1:29" x14ac:dyDescent="0.2">
      <c r="A99" s="14" t="s">
        <v>73</v>
      </c>
      <c r="F99" s="50">
        <f>F91</f>
        <v>1849475.49</v>
      </c>
      <c r="G99" s="50"/>
      <c r="H99" s="48">
        <f>H91</f>
        <v>0</v>
      </c>
      <c r="I99" s="48">
        <f>I91</f>
        <v>0</v>
      </c>
      <c r="J99" s="48"/>
      <c r="K99" s="48">
        <f>K91</f>
        <v>0</v>
      </c>
      <c r="L99" s="48"/>
      <c r="M99" s="48">
        <f>M91</f>
        <v>89.664371780247734</v>
      </c>
      <c r="N99" s="48"/>
      <c r="O99" s="48">
        <f>O91</f>
        <v>976315.31671997486</v>
      </c>
      <c r="P99" s="48">
        <f>P91</f>
        <v>501852.39606839401</v>
      </c>
      <c r="Q99" s="48"/>
      <c r="R99" s="48">
        <f>R91</f>
        <v>0</v>
      </c>
      <c r="S99" s="48">
        <f>S91</f>
        <v>157376.68545514214</v>
      </c>
      <c r="T99" s="48"/>
      <c r="U99" s="48">
        <f>U91</f>
        <v>92959.979685929589</v>
      </c>
      <c r="V99" s="48"/>
      <c r="W99" s="48">
        <f>W91</f>
        <v>120881.44769877891</v>
      </c>
      <c r="X99" s="48"/>
      <c r="Y99" s="48">
        <f>Y91</f>
        <v>0</v>
      </c>
      <c r="Z99" s="48"/>
      <c r="AA99" s="50">
        <f>AA91</f>
        <v>0</v>
      </c>
      <c r="AB99" s="50">
        <f>SUM(H99:AA99)</f>
        <v>1849475.4899999998</v>
      </c>
      <c r="AC99" s="30" t="str">
        <f>IF(ABS(AB99-F99)&lt;1,"ok","err")</f>
        <v>ok</v>
      </c>
    </row>
    <row r="100" spans="1:29" x14ac:dyDescent="0.2">
      <c r="Q100" s="14"/>
      <c r="AB100" s="50"/>
      <c r="AC100" s="30"/>
    </row>
    <row r="101" spans="1:29" x14ac:dyDescent="0.2">
      <c r="A101" s="95" t="s">
        <v>78</v>
      </c>
      <c r="C101" s="14" t="s">
        <v>79</v>
      </c>
      <c r="F101" s="260">
        <f>F98+F99</f>
        <v>123177245.44000001</v>
      </c>
      <c r="G101" s="93"/>
      <c r="H101" s="93">
        <f t="shared" ref="H101:AA101" si="61">H98+H99</f>
        <v>0</v>
      </c>
      <c r="I101" s="93">
        <f t="shared" si="61"/>
        <v>0</v>
      </c>
      <c r="J101" s="93"/>
      <c r="K101" s="93">
        <f t="shared" si="61"/>
        <v>0</v>
      </c>
      <c r="L101" s="93"/>
      <c r="M101" s="93">
        <f t="shared" si="61"/>
        <v>5971.7527427189571</v>
      </c>
      <c r="N101" s="93"/>
      <c r="O101" s="93">
        <f t="shared" si="61"/>
        <v>65023749.730496667</v>
      </c>
      <c r="P101" s="93">
        <f t="shared" si="61"/>
        <v>33423960.52254181</v>
      </c>
      <c r="Q101" s="93"/>
      <c r="R101" s="93">
        <f t="shared" si="61"/>
        <v>0</v>
      </c>
      <c r="S101" s="93">
        <f t="shared" si="61"/>
        <v>10481472.566495987</v>
      </c>
      <c r="T101" s="93"/>
      <c r="U101" s="93">
        <f t="shared" si="61"/>
        <v>6191244.1099022962</v>
      </c>
      <c r="V101" s="93"/>
      <c r="W101" s="93">
        <f t="shared" si="61"/>
        <v>8050846.7578205178</v>
      </c>
      <c r="X101" s="93"/>
      <c r="Y101" s="93">
        <f t="shared" si="61"/>
        <v>0</v>
      </c>
      <c r="Z101" s="93"/>
      <c r="AA101" s="93">
        <f t="shared" si="61"/>
        <v>0</v>
      </c>
      <c r="AB101" s="50">
        <f>SUM(H101:AA101)</f>
        <v>123177245.44</v>
      </c>
      <c r="AC101" s="30" t="str">
        <f>IF(ABS(AB101-F101)&lt;1,"ok","err")</f>
        <v>ok</v>
      </c>
    </row>
    <row r="102" spans="1:29" x14ac:dyDescent="0.2">
      <c r="Q102" s="14"/>
      <c r="AC102" s="30"/>
    </row>
    <row r="103" spans="1:29" x14ac:dyDescent="0.2">
      <c r="A103" s="28" t="s">
        <v>80</v>
      </c>
      <c r="Q103" s="14"/>
      <c r="AC103" s="30"/>
    </row>
    <row r="104" spans="1:29" x14ac:dyDescent="0.2">
      <c r="A104" s="14" t="s">
        <v>369</v>
      </c>
      <c r="C104" s="14" t="s">
        <v>393</v>
      </c>
      <c r="D104" s="14" t="s">
        <v>79</v>
      </c>
      <c r="F104" s="66">
        <v>0</v>
      </c>
      <c r="G104" s="66"/>
      <c r="H104" s="50">
        <f t="shared" ref="H104:H122" si="62">IF(VLOOKUP($D104,$C$5:$AA$494,6,)=0,0,((VLOOKUP($D104,$C$5:$AA$494,6,)/VLOOKUP($D104,$C$5:$AA$494,4,))*$F104))</f>
        <v>0</v>
      </c>
      <c r="I104" s="50">
        <f t="shared" ref="I104:I122" si="63">IF(VLOOKUP($D104,$C$5:$AA$494,7,)=0,0,((VLOOKUP($D104,$C$5:$AA$494,7,)/VLOOKUP($D104,$C$5:$AA$494,4,))*$F104))</f>
        <v>0</v>
      </c>
      <c r="J104" s="50"/>
      <c r="K104" s="50">
        <f t="shared" ref="K104:K122" si="64">IF(VLOOKUP($D104,$C$5:$AA$494,9,)=0,0,((VLOOKUP($D104,$C$5:$AA$494,9,)/VLOOKUP($D104,$C$5:$AA$494,4,))*$F104))</f>
        <v>0</v>
      </c>
      <c r="L104" s="50"/>
      <c r="M104" s="50">
        <f t="shared" ref="M104:M122" si="65">IF(VLOOKUP($D104,$C$5:$AA$494,11,)=0,0,((VLOOKUP($D104,$C$5:$AA$494,11,)/VLOOKUP($D104,$C$5:$AA$494,4,))*$F104))</f>
        <v>0</v>
      </c>
      <c r="N104" s="50"/>
      <c r="O104" s="50">
        <f t="shared" ref="O104:O122" si="66">IF(VLOOKUP($D104,$C$5:$AA$494,13,)=0,0,((VLOOKUP($D104,$C$5:$AA$494,13,)/VLOOKUP($D104,$C$5:$AA$494,4,))*$F104))</f>
        <v>0</v>
      </c>
      <c r="P104" s="50">
        <f t="shared" ref="P104:P122" si="67">IF(VLOOKUP($D104,$C$5:$AA$494,14,)=0,0,((VLOOKUP($D104,$C$5:$AA$494,14,)/VLOOKUP($D104,$C$5:$AA$494,4,))*$F104))</f>
        <v>0</v>
      </c>
      <c r="Q104" s="50"/>
      <c r="R104" s="50">
        <f t="shared" ref="R104:R122" si="68">IF(VLOOKUP($D104,$C$5:$AA$494,16,)=0,0,((VLOOKUP($D104,$C$5:$AA$494,16,)/VLOOKUP($D104,$C$5:$AA$494,4,))*$F104))</f>
        <v>0</v>
      </c>
      <c r="S104" s="50">
        <f t="shared" ref="S104:S122" si="69">IF(VLOOKUP($D104,$C$5:$AA$494,17,)=0,0,((VLOOKUP($D104,$C$5:$AA$494,17,)/VLOOKUP($D104,$C$5:$AA$494,4,))*$F104))</f>
        <v>0</v>
      </c>
      <c r="T104" s="50"/>
      <c r="U104" s="50">
        <f t="shared" ref="U104:U122" si="70">IF(VLOOKUP($D104,$C$5:$AA$494,19,)=0,0,((VLOOKUP($D104,$C$5:$AA$494,19,)/VLOOKUP($D104,$C$5:$AA$494,4,))*$F104))</f>
        <v>0</v>
      </c>
      <c r="V104" s="50"/>
      <c r="W104" s="50">
        <f t="shared" ref="W104:W122" si="71">IF(VLOOKUP($D104,$C$5:$AA$494,21,)=0,0,((VLOOKUP($D104,$C$5:$AA$494,21,)/VLOOKUP($D104,$C$5:$AA$494,4,))*$F104))</f>
        <v>0</v>
      </c>
      <c r="X104" s="50"/>
      <c r="Y104" s="50">
        <f t="shared" ref="Y104:Y122" si="72">IF(VLOOKUP($D104,$C$5:$AA$494,23,)=0,0,((VLOOKUP($D104,$C$5:$AA$494,23,)/VLOOKUP($D104,$C$5:$AA$494,4,))*$F104))</f>
        <v>0</v>
      </c>
      <c r="Z104" s="50"/>
      <c r="AA104" s="50">
        <f t="shared" ref="AA104:AA122" si="73">IF(VLOOKUP($D104,$C$5:$AA$494,25,)=0,0,((VLOOKUP($D104,$C$5:$AA$494,25,)/VLOOKUP($D104,$C$5:$AA$494,4,))*$F104))</f>
        <v>0</v>
      </c>
      <c r="AB104" s="50">
        <f t="shared" ref="AB104:AB122" si="74">SUM(H104:AA104)</f>
        <v>0</v>
      </c>
      <c r="AC104" s="30" t="str">
        <f t="shared" ref="AC104:AC110" si="75">IF(ABS(AB104-F104)&lt;1,"ok","err")</f>
        <v>ok</v>
      </c>
    </row>
    <row r="105" spans="1:29" x14ac:dyDescent="0.2">
      <c r="A105" s="14" t="s">
        <v>370</v>
      </c>
      <c r="C105" s="14" t="s">
        <v>394</v>
      </c>
      <c r="D105" s="14" t="s">
        <v>16</v>
      </c>
      <c r="F105" s="50">
        <v>-218351.95</v>
      </c>
      <c r="G105" s="50"/>
      <c r="H105" s="50">
        <f t="shared" si="62"/>
        <v>0</v>
      </c>
      <c r="I105" s="50">
        <f t="shared" si="63"/>
        <v>0</v>
      </c>
      <c r="J105" s="50"/>
      <c r="K105" s="50">
        <f t="shared" si="64"/>
        <v>0</v>
      </c>
      <c r="L105" s="50"/>
      <c r="M105" s="50">
        <f t="shared" si="65"/>
        <v>-10.585915049753952</v>
      </c>
      <c r="N105" s="50"/>
      <c r="O105" s="50">
        <f t="shared" si="66"/>
        <v>-115265.30325669475</v>
      </c>
      <c r="P105" s="50">
        <f t="shared" si="67"/>
        <v>-59249.473640608332</v>
      </c>
      <c r="Q105" s="50"/>
      <c r="R105" s="50">
        <f t="shared" si="68"/>
        <v>0</v>
      </c>
      <c r="S105" s="50">
        <f t="shared" si="69"/>
        <v>-18580.136011246588</v>
      </c>
      <c r="T105" s="50"/>
      <c r="U105" s="50">
        <f t="shared" si="70"/>
        <v>-10974.99963969953</v>
      </c>
      <c r="V105" s="50"/>
      <c r="W105" s="50">
        <f t="shared" si="71"/>
        <v>-14271.451536701028</v>
      </c>
      <c r="X105" s="50"/>
      <c r="Y105" s="50">
        <f t="shared" si="72"/>
        <v>0</v>
      </c>
      <c r="Z105" s="50"/>
      <c r="AA105" s="50">
        <f t="shared" si="73"/>
        <v>0</v>
      </c>
      <c r="AB105" s="50">
        <f t="shared" si="74"/>
        <v>-218351.94999999998</v>
      </c>
      <c r="AC105" s="30" t="str">
        <f t="shared" si="75"/>
        <v>ok</v>
      </c>
    </row>
    <row r="106" spans="1:29" x14ac:dyDescent="0.2">
      <c r="A106" s="14" t="s">
        <v>835</v>
      </c>
      <c r="C106" s="14" t="s">
        <v>840</v>
      </c>
      <c r="D106" s="14" t="s">
        <v>784</v>
      </c>
      <c r="F106" s="50">
        <v>0</v>
      </c>
      <c r="G106" s="50"/>
      <c r="H106" s="50">
        <f t="shared" si="62"/>
        <v>0</v>
      </c>
      <c r="I106" s="50">
        <f t="shared" si="63"/>
        <v>0</v>
      </c>
      <c r="J106" s="50"/>
      <c r="K106" s="50">
        <f t="shared" si="64"/>
        <v>0</v>
      </c>
      <c r="L106" s="50"/>
      <c r="M106" s="50">
        <f t="shared" si="65"/>
        <v>0</v>
      </c>
      <c r="N106" s="50"/>
      <c r="O106" s="50">
        <f t="shared" si="66"/>
        <v>0</v>
      </c>
      <c r="P106" s="50">
        <f t="shared" si="67"/>
        <v>0</v>
      </c>
      <c r="Q106" s="50"/>
      <c r="R106" s="50">
        <f t="shared" si="68"/>
        <v>0</v>
      </c>
      <c r="S106" s="50">
        <f t="shared" si="69"/>
        <v>0</v>
      </c>
      <c r="T106" s="50"/>
      <c r="U106" s="50">
        <f t="shared" si="70"/>
        <v>0</v>
      </c>
      <c r="V106" s="50"/>
      <c r="W106" s="50">
        <f t="shared" si="71"/>
        <v>0</v>
      </c>
      <c r="X106" s="50"/>
      <c r="Y106" s="50">
        <f t="shared" si="72"/>
        <v>0</v>
      </c>
      <c r="Z106" s="50"/>
      <c r="AA106" s="50">
        <f t="shared" si="73"/>
        <v>0</v>
      </c>
      <c r="AB106" s="50">
        <f t="shared" si="74"/>
        <v>0</v>
      </c>
      <c r="AC106" s="30" t="str">
        <f t="shared" si="75"/>
        <v>ok</v>
      </c>
    </row>
    <row r="107" spans="1:29" x14ac:dyDescent="0.2">
      <c r="A107" s="14" t="s">
        <v>368</v>
      </c>
      <c r="C107" s="14" t="s">
        <v>395</v>
      </c>
      <c r="D107" s="14" t="s">
        <v>390</v>
      </c>
      <c r="F107" s="50">
        <v>0</v>
      </c>
      <c r="G107" s="50"/>
      <c r="H107" s="50">
        <f t="shared" si="62"/>
        <v>0</v>
      </c>
      <c r="I107" s="50">
        <f t="shared" si="63"/>
        <v>0</v>
      </c>
      <c r="J107" s="50"/>
      <c r="K107" s="50">
        <f t="shared" si="64"/>
        <v>0</v>
      </c>
      <c r="L107" s="50"/>
      <c r="M107" s="50">
        <f t="shared" si="65"/>
        <v>0</v>
      </c>
      <c r="N107" s="50"/>
      <c r="O107" s="50">
        <f t="shared" si="66"/>
        <v>0</v>
      </c>
      <c r="P107" s="50">
        <f t="shared" si="67"/>
        <v>0</v>
      </c>
      <c r="Q107" s="50"/>
      <c r="R107" s="50">
        <f t="shared" si="68"/>
        <v>0</v>
      </c>
      <c r="S107" s="50">
        <f t="shared" si="69"/>
        <v>0</v>
      </c>
      <c r="T107" s="50"/>
      <c r="U107" s="50">
        <f t="shared" si="70"/>
        <v>0</v>
      </c>
      <c r="V107" s="50"/>
      <c r="W107" s="50">
        <f t="shared" si="71"/>
        <v>0</v>
      </c>
      <c r="X107" s="50"/>
      <c r="Y107" s="50">
        <f t="shared" si="72"/>
        <v>0</v>
      </c>
      <c r="Z107" s="50"/>
      <c r="AA107" s="50">
        <f t="shared" si="73"/>
        <v>0</v>
      </c>
      <c r="AB107" s="50">
        <f t="shared" si="74"/>
        <v>0</v>
      </c>
      <c r="AC107" s="30" t="str">
        <f t="shared" si="75"/>
        <v>ok</v>
      </c>
    </row>
    <row r="108" spans="1:29" x14ac:dyDescent="0.2">
      <c r="A108" s="14" t="s">
        <v>1121</v>
      </c>
      <c r="C108" s="14" t="s">
        <v>448</v>
      </c>
      <c r="D108" s="14" t="s">
        <v>16</v>
      </c>
      <c r="F108" s="50">
        <f>44552649.95+3157241.06+1416987.36-173847.25</f>
        <v>48953031.120000005</v>
      </c>
      <c r="G108" s="50"/>
      <c r="H108" s="50">
        <f t="shared" si="62"/>
        <v>0</v>
      </c>
      <c r="I108" s="50">
        <f t="shared" si="63"/>
        <v>0</v>
      </c>
      <c r="J108" s="50"/>
      <c r="K108" s="50">
        <f t="shared" si="64"/>
        <v>0</v>
      </c>
      <c r="L108" s="50"/>
      <c r="M108" s="50">
        <f t="shared" si="65"/>
        <v>2373.290592844633</v>
      </c>
      <c r="N108" s="50"/>
      <c r="O108" s="50">
        <f t="shared" si="66"/>
        <v>25841701.790990263</v>
      </c>
      <c r="P108" s="50">
        <f t="shared" si="67"/>
        <v>13283331.46084713</v>
      </c>
      <c r="Q108" s="50"/>
      <c r="R108" s="50">
        <f t="shared" si="68"/>
        <v>0</v>
      </c>
      <c r="S108" s="50">
        <f t="shared" si="69"/>
        <v>4165540.8910815171</v>
      </c>
      <c r="T108" s="50"/>
      <c r="U108" s="50">
        <f t="shared" si="70"/>
        <v>2460520.7276793267</v>
      </c>
      <c r="V108" s="50"/>
      <c r="W108" s="50">
        <f t="shared" si="71"/>
        <v>3199562.9588089199</v>
      </c>
      <c r="X108" s="50"/>
      <c r="Y108" s="50">
        <f t="shared" si="72"/>
        <v>0</v>
      </c>
      <c r="Z108" s="50"/>
      <c r="AA108" s="50">
        <f t="shared" si="73"/>
        <v>0</v>
      </c>
      <c r="AB108" s="50">
        <f t="shared" si="74"/>
        <v>48953031.120000005</v>
      </c>
      <c r="AC108" s="30" t="str">
        <f t="shared" si="75"/>
        <v>ok</v>
      </c>
    </row>
    <row r="109" spans="1:29" x14ac:dyDescent="0.2">
      <c r="A109" s="14" t="s">
        <v>426</v>
      </c>
      <c r="C109" s="14" t="s">
        <v>436</v>
      </c>
      <c r="D109" s="14" t="s">
        <v>424</v>
      </c>
      <c r="F109" s="50">
        <v>0</v>
      </c>
      <c r="G109" s="50"/>
      <c r="H109" s="50">
        <f t="shared" si="62"/>
        <v>0</v>
      </c>
      <c r="I109" s="50">
        <f t="shared" si="63"/>
        <v>0</v>
      </c>
      <c r="J109" s="50"/>
      <c r="K109" s="50">
        <f t="shared" si="64"/>
        <v>0</v>
      </c>
      <c r="L109" s="50"/>
      <c r="M109" s="50">
        <f t="shared" si="65"/>
        <v>0</v>
      </c>
      <c r="N109" s="50"/>
      <c r="O109" s="50">
        <f t="shared" si="66"/>
        <v>0</v>
      </c>
      <c r="P109" s="50">
        <f t="shared" si="67"/>
        <v>0</v>
      </c>
      <c r="Q109" s="50"/>
      <c r="R109" s="50">
        <f t="shared" si="68"/>
        <v>0</v>
      </c>
      <c r="S109" s="50">
        <f t="shared" si="69"/>
        <v>0</v>
      </c>
      <c r="T109" s="50"/>
      <c r="U109" s="50">
        <f t="shared" si="70"/>
        <v>0</v>
      </c>
      <c r="V109" s="50"/>
      <c r="W109" s="50">
        <f t="shared" si="71"/>
        <v>0</v>
      </c>
      <c r="X109" s="50"/>
      <c r="Y109" s="50">
        <f t="shared" si="72"/>
        <v>0</v>
      </c>
      <c r="Z109" s="50"/>
      <c r="AA109" s="50">
        <f t="shared" si="73"/>
        <v>0</v>
      </c>
      <c r="AB109" s="50">
        <f t="shared" si="74"/>
        <v>0</v>
      </c>
      <c r="AC109" s="30" t="str">
        <f t="shared" si="75"/>
        <v>ok</v>
      </c>
    </row>
    <row r="110" spans="1:29" x14ac:dyDescent="0.2">
      <c r="A110" s="14" t="s">
        <v>427</v>
      </c>
      <c r="C110" s="14" t="s">
        <v>437</v>
      </c>
      <c r="D110" s="14" t="s">
        <v>23</v>
      </c>
      <c r="F110" s="50">
        <v>0</v>
      </c>
      <c r="G110" s="50"/>
      <c r="H110" s="50">
        <f t="shared" si="62"/>
        <v>0</v>
      </c>
      <c r="I110" s="50">
        <f t="shared" si="63"/>
        <v>0</v>
      </c>
      <c r="J110" s="50"/>
      <c r="K110" s="50">
        <f t="shared" si="64"/>
        <v>0</v>
      </c>
      <c r="L110" s="50"/>
      <c r="M110" s="50">
        <f t="shared" si="65"/>
        <v>0</v>
      </c>
      <c r="N110" s="50"/>
      <c r="O110" s="50">
        <f t="shared" si="66"/>
        <v>0</v>
      </c>
      <c r="P110" s="50">
        <f t="shared" si="67"/>
        <v>0</v>
      </c>
      <c r="Q110" s="50"/>
      <c r="R110" s="50">
        <f t="shared" si="68"/>
        <v>0</v>
      </c>
      <c r="S110" s="50">
        <f t="shared" si="69"/>
        <v>0</v>
      </c>
      <c r="T110" s="50"/>
      <c r="U110" s="50">
        <f t="shared" si="70"/>
        <v>0</v>
      </c>
      <c r="V110" s="50"/>
      <c r="W110" s="50">
        <f t="shared" si="71"/>
        <v>0</v>
      </c>
      <c r="X110" s="50"/>
      <c r="Y110" s="50">
        <f t="shared" si="72"/>
        <v>0</v>
      </c>
      <c r="Z110" s="50"/>
      <c r="AA110" s="50">
        <f t="shared" si="73"/>
        <v>0</v>
      </c>
      <c r="AB110" s="50">
        <f t="shared" si="74"/>
        <v>0</v>
      </c>
      <c r="AC110" s="30" t="str">
        <f t="shared" si="75"/>
        <v>ok</v>
      </c>
    </row>
    <row r="111" spans="1:29" x14ac:dyDescent="0.2">
      <c r="A111" s="14" t="s">
        <v>428</v>
      </c>
      <c r="C111" s="14" t="s">
        <v>438</v>
      </c>
      <c r="D111" s="14" t="s">
        <v>26</v>
      </c>
      <c r="F111" s="50">
        <v>0</v>
      </c>
      <c r="G111" s="50"/>
      <c r="H111" s="50">
        <f t="shared" si="62"/>
        <v>0</v>
      </c>
      <c r="I111" s="50">
        <f t="shared" si="63"/>
        <v>0</v>
      </c>
      <c r="J111" s="50"/>
      <c r="K111" s="50">
        <f t="shared" si="64"/>
        <v>0</v>
      </c>
      <c r="L111" s="50"/>
      <c r="M111" s="50">
        <f t="shared" si="65"/>
        <v>0</v>
      </c>
      <c r="N111" s="50"/>
      <c r="O111" s="50">
        <f t="shared" si="66"/>
        <v>0</v>
      </c>
      <c r="P111" s="50">
        <f t="shared" si="67"/>
        <v>0</v>
      </c>
      <c r="Q111" s="50"/>
      <c r="R111" s="50">
        <f t="shared" si="68"/>
        <v>0</v>
      </c>
      <c r="S111" s="50">
        <f t="shared" si="69"/>
        <v>0</v>
      </c>
      <c r="T111" s="50"/>
      <c r="U111" s="50">
        <f t="shared" si="70"/>
        <v>0</v>
      </c>
      <c r="V111" s="50"/>
      <c r="W111" s="50">
        <f t="shared" si="71"/>
        <v>0</v>
      </c>
      <c r="X111" s="50"/>
      <c r="Y111" s="50">
        <f t="shared" si="72"/>
        <v>0</v>
      </c>
      <c r="Z111" s="50"/>
      <c r="AA111" s="50">
        <f t="shared" si="73"/>
        <v>0</v>
      </c>
      <c r="AB111" s="50">
        <f t="shared" si="74"/>
        <v>0</v>
      </c>
      <c r="AC111" s="30" t="str">
        <f t="shared" ref="AC111:AC119" si="76">IF(ABS(AB111-F111)&lt;1,"ok","err")</f>
        <v>ok</v>
      </c>
    </row>
    <row r="112" spans="1:29" x14ac:dyDescent="0.2">
      <c r="A112" s="14" t="s">
        <v>429</v>
      </c>
      <c r="C112" s="14" t="s">
        <v>439</v>
      </c>
      <c r="D112" s="14" t="s">
        <v>29</v>
      </c>
      <c r="F112" s="50">
        <v>0</v>
      </c>
      <c r="G112" s="50"/>
      <c r="H112" s="50">
        <f t="shared" si="62"/>
        <v>0</v>
      </c>
      <c r="I112" s="50">
        <f t="shared" si="63"/>
        <v>0</v>
      </c>
      <c r="J112" s="50"/>
      <c r="K112" s="50">
        <f t="shared" si="64"/>
        <v>0</v>
      </c>
      <c r="L112" s="50"/>
      <c r="M112" s="50">
        <f t="shared" si="65"/>
        <v>0</v>
      </c>
      <c r="N112" s="50"/>
      <c r="O112" s="50">
        <f t="shared" si="66"/>
        <v>0</v>
      </c>
      <c r="P112" s="50">
        <f t="shared" si="67"/>
        <v>0</v>
      </c>
      <c r="Q112" s="50"/>
      <c r="R112" s="50">
        <f t="shared" si="68"/>
        <v>0</v>
      </c>
      <c r="S112" s="50">
        <f t="shared" si="69"/>
        <v>0</v>
      </c>
      <c r="T112" s="50"/>
      <c r="U112" s="50">
        <f t="shared" si="70"/>
        <v>0</v>
      </c>
      <c r="V112" s="50"/>
      <c r="W112" s="50">
        <f t="shared" si="71"/>
        <v>0</v>
      </c>
      <c r="X112" s="50"/>
      <c r="Y112" s="50">
        <f t="shared" si="72"/>
        <v>0</v>
      </c>
      <c r="Z112" s="50"/>
      <c r="AA112" s="50">
        <f t="shared" si="73"/>
        <v>0</v>
      </c>
      <c r="AB112" s="50">
        <f t="shared" si="74"/>
        <v>0</v>
      </c>
      <c r="AC112" s="30" t="str">
        <f t="shared" si="76"/>
        <v>ok</v>
      </c>
    </row>
    <row r="113" spans="1:29" x14ac:dyDescent="0.2">
      <c r="A113" s="14" t="s">
        <v>447</v>
      </c>
      <c r="C113" s="14" t="s">
        <v>440</v>
      </c>
      <c r="D113" s="14" t="s">
        <v>32</v>
      </c>
      <c r="F113" s="50">
        <v>0</v>
      </c>
      <c r="G113" s="50"/>
      <c r="H113" s="50">
        <f t="shared" si="62"/>
        <v>0</v>
      </c>
      <c r="I113" s="50">
        <f t="shared" si="63"/>
        <v>0</v>
      </c>
      <c r="J113" s="50"/>
      <c r="K113" s="50">
        <f t="shared" si="64"/>
        <v>0</v>
      </c>
      <c r="L113" s="50"/>
      <c r="M113" s="50">
        <f t="shared" si="65"/>
        <v>0</v>
      </c>
      <c r="N113" s="50"/>
      <c r="O113" s="50">
        <f t="shared" si="66"/>
        <v>0</v>
      </c>
      <c r="P113" s="50">
        <f t="shared" si="67"/>
        <v>0</v>
      </c>
      <c r="Q113" s="50"/>
      <c r="R113" s="50">
        <f t="shared" si="68"/>
        <v>0</v>
      </c>
      <c r="S113" s="50">
        <f t="shared" si="69"/>
        <v>0</v>
      </c>
      <c r="T113" s="50"/>
      <c r="U113" s="50">
        <f t="shared" si="70"/>
        <v>0</v>
      </c>
      <c r="V113" s="50"/>
      <c r="W113" s="50">
        <f t="shared" si="71"/>
        <v>0</v>
      </c>
      <c r="X113" s="50"/>
      <c r="Y113" s="50">
        <f t="shared" si="72"/>
        <v>0</v>
      </c>
      <c r="Z113" s="50"/>
      <c r="AA113" s="50">
        <f t="shared" si="73"/>
        <v>0</v>
      </c>
      <c r="AB113" s="50">
        <f t="shared" si="74"/>
        <v>0</v>
      </c>
      <c r="AC113" s="30" t="str">
        <f t="shared" si="76"/>
        <v>ok</v>
      </c>
    </row>
    <row r="114" spans="1:29" x14ac:dyDescent="0.2">
      <c r="A114" s="14" t="s">
        <v>430</v>
      </c>
      <c r="C114" s="14" t="s">
        <v>441</v>
      </c>
      <c r="D114" s="14" t="s">
        <v>35</v>
      </c>
      <c r="F114" s="50">
        <v>0</v>
      </c>
      <c r="G114" s="50"/>
      <c r="H114" s="50">
        <f t="shared" si="62"/>
        <v>0</v>
      </c>
      <c r="I114" s="50">
        <f t="shared" si="63"/>
        <v>0</v>
      </c>
      <c r="J114" s="50"/>
      <c r="K114" s="50">
        <f t="shared" si="64"/>
        <v>0</v>
      </c>
      <c r="L114" s="50"/>
      <c r="M114" s="50">
        <f t="shared" si="65"/>
        <v>0</v>
      </c>
      <c r="N114" s="50"/>
      <c r="O114" s="50">
        <f t="shared" si="66"/>
        <v>0</v>
      </c>
      <c r="P114" s="50">
        <f t="shared" si="67"/>
        <v>0</v>
      </c>
      <c r="Q114" s="50"/>
      <c r="R114" s="50">
        <f t="shared" si="68"/>
        <v>0</v>
      </c>
      <c r="S114" s="50">
        <f t="shared" si="69"/>
        <v>0</v>
      </c>
      <c r="T114" s="50"/>
      <c r="U114" s="50">
        <f t="shared" si="70"/>
        <v>0</v>
      </c>
      <c r="V114" s="50"/>
      <c r="W114" s="50">
        <f t="shared" si="71"/>
        <v>0</v>
      </c>
      <c r="X114" s="50"/>
      <c r="Y114" s="50">
        <f t="shared" si="72"/>
        <v>0</v>
      </c>
      <c r="Z114" s="50"/>
      <c r="AA114" s="50">
        <f t="shared" si="73"/>
        <v>0</v>
      </c>
      <c r="AB114" s="50">
        <f t="shared" si="74"/>
        <v>0</v>
      </c>
      <c r="AC114" s="30" t="str">
        <f t="shared" si="76"/>
        <v>ok</v>
      </c>
    </row>
    <row r="115" spans="1:29" x14ac:dyDescent="0.2">
      <c r="A115" s="14" t="s">
        <v>431</v>
      </c>
      <c r="C115" s="14" t="s">
        <v>442</v>
      </c>
      <c r="D115" s="14" t="s">
        <v>37</v>
      </c>
      <c r="F115" s="50">
        <v>0</v>
      </c>
      <c r="G115" s="50"/>
      <c r="H115" s="50">
        <f t="shared" si="62"/>
        <v>0</v>
      </c>
      <c r="I115" s="50">
        <f t="shared" si="63"/>
        <v>0</v>
      </c>
      <c r="J115" s="50"/>
      <c r="K115" s="50">
        <f t="shared" si="64"/>
        <v>0</v>
      </c>
      <c r="L115" s="50"/>
      <c r="M115" s="50">
        <f t="shared" si="65"/>
        <v>0</v>
      </c>
      <c r="N115" s="50"/>
      <c r="O115" s="50">
        <f t="shared" si="66"/>
        <v>0</v>
      </c>
      <c r="P115" s="50">
        <f t="shared" si="67"/>
        <v>0</v>
      </c>
      <c r="Q115" s="50"/>
      <c r="R115" s="50">
        <f t="shared" si="68"/>
        <v>0</v>
      </c>
      <c r="S115" s="50">
        <f t="shared" si="69"/>
        <v>0</v>
      </c>
      <c r="T115" s="50"/>
      <c r="U115" s="50">
        <f t="shared" si="70"/>
        <v>0</v>
      </c>
      <c r="V115" s="50"/>
      <c r="W115" s="50">
        <f t="shared" si="71"/>
        <v>0</v>
      </c>
      <c r="X115" s="50"/>
      <c r="Y115" s="50">
        <f t="shared" si="72"/>
        <v>0</v>
      </c>
      <c r="Z115" s="50"/>
      <c r="AA115" s="50">
        <f t="shared" si="73"/>
        <v>0</v>
      </c>
      <c r="AB115" s="50">
        <f t="shared" si="74"/>
        <v>0</v>
      </c>
      <c r="AC115" s="30" t="str">
        <f>IF(ABS(AB115-F115)&lt;1,"ok","err")</f>
        <v>ok</v>
      </c>
    </row>
    <row r="116" spans="1:29" x14ac:dyDescent="0.2">
      <c r="A116" s="14" t="s">
        <v>432</v>
      </c>
      <c r="C116" s="14" t="s">
        <v>443</v>
      </c>
      <c r="D116" s="14" t="s">
        <v>40</v>
      </c>
      <c r="F116" s="50">
        <v>0</v>
      </c>
      <c r="G116" s="50"/>
      <c r="H116" s="50">
        <f t="shared" si="62"/>
        <v>0</v>
      </c>
      <c r="I116" s="50">
        <f t="shared" si="63"/>
        <v>0</v>
      </c>
      <c r="J116" s="50"/>
      <c r="K116" s="50">
        <f t="shared" si="64"/>
        <v>0</v>
      </c>
      <c r="L116" s="50"/>
      <c r="M116" s="50">
        <f t="shared" si="65"/>
        <v>0</v>
      </c>
      <c r="N116" s="50"/>
      <c r="O116" s="50">
        <f t="shared" si="66"/>
        <v>0</v>
      </c>
      <c r="P116" s="50">
        <f t="shared" si="67"/>
        <v>0</v>
      </c>
      <c r="Q116" s="50"/>
      <c r="R116" s="50">
        <f t="shared" si="68"/>
        <v>0</v>
      </c>
      <c r="S116" s="50">
        <f t="shared" si="69"/>
        <v>0</v>
      </c>
      <c r="T116" s="50"/>
      <c r="U116" s="50">
        <f t="shared" si="70"/>
        <v>0</v>
      </c>
      <c r="V116" s="50"/>
      <c r="W116" s="50">
        <f t="shared" si="71"/>
        <v>0</v>
      </c>
      <c r="X116" s="50"/>
      <c r="Y116" s="50">
        <f t="shared" si="72"/>
        <v>0</v>
      </c>
      <c r="Z116" s="50"/>
      <c r="AA116" s="50">
        <f t="shared" si="73"/>
        <v>0</v>
      </c>
      <c r="AB116" s="50">
        <f t="shared" si="74"/>
        <v>0</v>
      </c>
      <c r="AC116" s="30" t="str">
        <f t="shared" si="76"/>
        <v>ok</v>
      </c>
    </row>
    <row r="117" spans="1:29" x14ac:dyDescent="0.2">
      <c r="A117" s="14" t="s">
        <v>433</v>
      </c>
      <c r="C117" s="14" t="s">
        <v>444</v>
      </c>
      <c r="D117" s="14" t="s">
        <v>43</v>
      </c>
      <c r="F117" s="50">
        <v>0</v>
      </c>
      <c r="G117" s="50"/>
      <c r="H117" s="50">
        <f t="shared" si="62"/>
        <v>0</v>
      </c>
      <c r="I117" s="50">
        <f t="shared" si="63"/>
        <v>0</v>
      </c>
      <c r="J117" s="50"/>
      <c r="K117" s="50">
        <f t="shared" si="64"/>
        <v>0</v>
      </c>
      <c r="L117" s="50"/>
      <c r="M117" s="50">
        <f t="shared" si="65"/>
        <v>0</v>
      </c>
      <c r="N117" s="50"/>
      <c r="O117" s="50">
        <f t="shared" si="66"/>
        <v>0</v>
      </c>
      <c r="P117" s="50">
        <f t="shared" si="67"/>
        <v>0</v>
      </c>
      <c r="Q117" s="50"/>
      <c r="R117" s="50">
        <f t="shared" si="68"/>
        <v>0</v>
      </c>
      <c r="S117" s="50">
        <f t="shared" si="69"/>
        <v>0</v>
      </c>
      <c r="T117" s="50"/>
      <c r="U117" s="50">
        <f t="shared" si="70"/>
        <v>0</v>
      </c>
      <c r="V117" s="50"/>
      <c r="W117" s="50">
        <f t="shared" si="71"/>
        <v>0</v>
      </c>
      <c r="X117" s="50"/>
      <c r="Y117" s="50">
        <f t="shared" si="72"/>
        <v>0</v>
      </c>
      <c r="Z117" s="50"/>
      <c r="AA117" s="50">
        <f t="shared" si="73"/>
        <v>0</v>
      </c>
      <c r="AB117" s="50">
        <f t="shared" si="74"/>
        <v>0</v>
      </c>
      <c r="AC117" s="30" t="str">
        <f t="shared" si="76"/>
        <v>ok</v>
      </c>
    </row>
    <row r="118" spans="1:29" x14ac:dyDescent="0.2">
      <c r="A118" s="14" t="s">
        <v>434</v>
      </c>
      <c r="C118" s="14" t="s">
        <v>445</v>
      </c>
      <c r="D118" s="14" t="s">
        <v>46</v>
      </c>
      <c r="F118" s="50">
        <v>0</v>
      </c>
      <c r="G118" s="50"/>
      <c r="H118" s="50">
        <f t="shared" si="62"/>
        <v>0</v>
      </c>
      <c r="I118" s="50">
        <f t="shared" si="63"/>
        <v>0</v>
      </c>
      <c r="J118" s="50"/>
      <c r="K118" s="50">
        <f t="shared" si="64"/>
        <v>0</v>
      </c>
      <c r="L118" s="50"/>
      <c r="M118" s="50">
        <f t="shared" si="65"/>
        <v>0</v>
      </c>
      <c r="N118" s="50"/>
      <c r="O118" s="50">
        <f t="shared" si="66"/>
        <v>0</v>
      </c>
      <c r="P118" s="50">
        <f t="shared" si="67"/>
        <v>0</v>
      </c>
      <c r="Q118" s="50"/>
      <c r="R118" s="50">
        <f t="shared" si="68"/>
        <v>0</v>
      </c>
      <c r="S118" s="50">
        <f t="shared" si="69"/>
        <v>0</v>
      </c>
      <c r="T118" s="50"/>
      <c r="U118" s="50">
        <f t="shared" si="70"/>
        <v>0</v>
      </c>
      <c r="V118" s="50"/>
      <c r="W118" s="50">
        <f t="shared" si="71"/>
        <v>0</v>
      </c>
      <c r="X118" s="50"/>
      <c r="Y118" s="50">
        <f t="shared" si="72"/>
        <v>0</v>
      </c>
      <c r="Z118" s="50"/>
      <c r="AA118" s="50">
        <f t="shared" si="73"/>
        <v>0</v>
      </c>
      <c r="AB118" s="50">
        <f t="shared" si="74"/>
        <v>0</v>
      </c>
      <c r="AC118" s="30" t="str">
        <f t="shared" si="76"/>
        <v>ok</v>
      </c>
    </row>
    <row r="119" spans="1:29" x14ac:dyDescent="0.2">
      <c r="A119" s="14" t="s">
        <v>435</v>
      </c>
      <c r="C119" s="14" t="s">
        <v>446</v>
      </c>
      <c r="D119" s="14" t="s">
        <v>48</v>
      </c>
      <c r="F119" s="50">
        <v>0</v>
      </c>
      <c r="G119" s="50"/>
      <c r="H119" s="50">
        <f t="shared" si="62"/>
        <v>0</v>
      </c>
      <c r="I119" s="50">
        <f t="shared" si="63"/>
        <v>0</v>
      </c>
      <c r="J119" s="50"/>
      <c r="K119" s="50">
        <f t="shared" si="64"/>
        <v>0</v>
      </c>
      <c r="L119" s="50"/>
      <c r="M119" s="50">
        <f t="shared" si="65"/>
        <v>0</v>
      </c>
      <c r="N119" s="50"/>
      <c r="O119" s="50">
        <f t="shared" si="66"/>
        <v>0</v>
      </c>
      <c r="P119" s="50">
        <f t="shared" si="67"/>
        <v>0</v>
      </c>
      <c r="Q119" s="50"/>
      <c r="R119" s="50">
        <f t="shared" si="68"/>
        <v>0</v>
      </c>
      <c r="S119" s="50">
        <f t="shared" si="69"/>
        <v>0</v>
      </c>
      <c r="T119" s="50"/>
      <c r="U119" s="50">
        <f t="shared" si="70"/>
        <v>0</v>
      </c>
      <c r="V119" s="50"/>
      <c r="W119" s="50">
        <f t="shared" si="71"/>
        <v>0</v>
      </c>
      <c r="X119" s="50"/>
      <c r="Y119" s="50">
        <f t="shared" si="72"/>
        <v>0</v>
      </c>
      <c r="Z119" s="50"/>
      <c r="AA119" s="50">
        <f t="shared" si="73"/>
        <v>0</v>
      </c>
      <c r="AB119" s="50">
        <f t="shared" si="74"/>
        <v>0</v>
      </c>
      <c r="AC119" s="30" t="str">
        <f t="shared" si="76"/>
        <v>ok</v>
      </c>
    </row>
    <row r="120" spans="1:29" x14ac:dyDescent="0.2">
      <c r="A120" s="14" t="s">
        <v>837</v>
      </c>
      <c r="D120" s="14" t="s">
        <v>70</v>
      </c>
      <c r="F120" s="50">
        <v>0</v>
      </c>
      <c r="G120" s="50"/>
      <c r="H120" s="50">
        <f t="shared" si="62"/>
        <v>0</v>
      </c>
      <c r="I120" s="50">
        <f t="shared" si="63"/>
        <v>0</v>
      </c>
      <c r="J120" s="50"/>
      <c r="K120" s="50">
        <f t="shared" si="64"/>
        <v>0</v>
      </c>
      <c r="L120" s="50"/>
      <c r="M120" s="50">
        <f t="shared" si="65"/>
        <v>0</v>
      </c>
      <c r="N120" s="50"/>
      <c r="O120" s="50">
        <f t="shared" si="66"/>
        <v>0</v>
      </c>
      <c r="P120" s="50">
        <f t="shared" si="67"/>
        <v>0</v>
      </c>
      <c r="Q120" s="50"/>
      <c r="R120" s="50">
        <f t="shared" si="68"/>
        <v>0</v>
      </c>
      <c r="S120" s="50">
        <f t="shared" si="69"/>
        <v>0</v>
      </c>
      <c r="T120" s="50"/>
      <c r="U120" s="50">
        <f t="shared" si="70"/>
        <v>0</v>
      </c>
      <c r="V120" s="50"/>
      <c r="W120" s="50">
        <f t="shared" si="71"/>
        <v>0</v>
      </c>
      <c r="X120" s="50"/>
      <c r="Y120" s="50">
        <f t="shared" si="72"/>
        <v>0</v>
      </c>
      <c r="Z120" s="50"/>
      <c r="AA120" s="50">
        <f t="shared" si="73"/>
        <v>0</v>
      </c>
      <c r="AB120" s="50">
        <f t="shared" si="74"/>
        <v>0</v>
      </c>
      <c r="AC120" s="30" t="str">
        <f>IF(ABS(AB120-F120)&lt;1,"ok","err")</f>
        <v>ok</v>
      </c>
    </row>
    <row r="121" spans="1:29" x14ac:dyDescent="0.2">
      <c r="A121" s="182" t="s">
        <v>838</v>
      </c>
      <c r="D121" s="14" t="s">
        <v>70</v>
      </c>
      <c r="F121" s="50">
        <v>0</v>
      </c>
      <c r="G121" s="50"/>
      <c r="H121" s="50">
        <f t="shared" si="62"/>
        <v>0</v>
      </c>
      <c r="I121" s="50">
        <f t="shared" si="63"/>
        <v>0</v>
      </c>
      <c r="J121" s="50"/>
      <c r="K121" s="50">
        <f t="shared" si="64"/>
        <v>0</v>
      </c>
      <c r="L121" s="50"/>
      <c r="M121" s="50">
        <f t="shared" si="65"/>
        <v>0</v>
      </c>
      <c r="N121" s="50"/>
      <c r="O121" s="50">
        <f t="shared" si="66"/>
        <v>0</v>
      </c>
      <c r="P121" s="50">
        <f t="shared" si="67"/>
        <v>0</v>
      </c>
      <c r="Q121" s="50"/>
      <c r="R121" s="50">
        <f t="shared" si="68"/>
        <v>0</v>
      </c>
      <c r="S121" s="50">
        <f t="shared" si="69"/>
        <v>0</v>
      </c>
      <c r="T121" s="50"/>
      <c r="U121" s="50">
        <f t="shared" si="70"/>
        <v>0</v>
      </c>
      <c r="V121" s="50"/>
      <c r="W121" s="50">
        <f t="shared" si="71"/>
        <v>0</v>
      </c>
      <c r="X121" s="50"/>
      <c r="Y121" s="50">
        <f t="shared" si="72"/>
        <v>0</v>
      </c>
      <c r="Z121" s="50"/>
      <c r="AA121" s="50">
        <f t="shared" si="73"/>
        <v>0</v>
      </c>
      <c r="AB121" s="50">
        <f t="shared" si="74"/>
        <v>0</v>
      </c>
      <c r="AC121" s="30" t="str">
        <f>IF(ABS(AB121-F121)&lt;1,"ok","err")</f>
        <v>ok</v>
      </c>
    </row>
    <row r="122" spans="1:29" x14ac:dyDescent="0.2">
      <c r="A122" s="14" t="s">
        <v>839</v>
      </c>
      <c r="D122" s="14" t="s">
        <v>70</v>
      </c>
      <c r="F122" s="50">
        <v>529529.26</v>
      </c>
      <c r="G122" s="50"/>
      <c r="H122" s="50">
        <f t="shared" si="62"/>
        <v>0</v>
      </c>
      <c r="I122" s="50">
        <f t="shared" si="63"/>
        <v>0</v>
      </c>
      <c r="J122" s="50"/>
      <c r="K122" s="50">
        <f t="shared" si="64"/>
        <v>0</v>
      </c>
      <c r="L122" s="50"/>
      <c r="M122" s="50">
        <f t="shared" si="65"/>
        <v>25.672093895745256</v>
      </c>
      <c r="N122" s="50"/>
      <c r="O122" s="50">
        <f t="shared" si="66"/>
        <v>279531.97000161052</v>
      </c>
      <c r="P122" s="50">
        <f t="shared" si="67"/>
        <v>143686.96928193604</v>
      </c>
      <c r="Q122" s="50"/>
      <c r="R122" s="50">
        <f t="shared" si="68"/>
        <v>0</v>
      </c>
      <c r="S122" s="50">
        <f t="shared" si="69"/>
        <v>45059.023620969521</v>
      </c>
      <c r="T122" s="50"/>
      <c r="U122" s="50">
        <f t="shared" si="70"/>
        <v>26615.669966356418</v>
      </c>
      <c r="V122" s="50"/>
      <c r="W122" s="50">
        <f t="shared" si="71"/>
        <v>34609.955035231687</v>
      </c>
      <c r="X122" s="50"/>
      <c r="Y122" s="50">
        <f t="shared" si="72"/>
        <v>0</v>
      </c>
      <c r="Z122" s="50"/>
      <c r="AA122" s="50">
        <f t="shared" si="73"/>
        <v>0</v>
      </c>
      <c r="AB122" s="50">
        <f t="shared" si="74"/>
        <v>529529.25999999989</v>
      </c>
      <c r="AC122" s="30" t="str">
        <f>IF(ABS(AB122-F122)&lt;1,"ok","err")</f>
        <v>ok</v>
      </c>
    </row>
    <row r="123" spans="1:29" x14ac:dyDescent="0.2">
      <c r="Q123" s="14"/>
      <c r="AB123" s="50"/>
      <c r="AC123" s="30"/>
    </row>
    <row r="124" spans="1:29" x14ac:dyDescent="0.2">
      <c r="A124" s="14" t="s">
        <v>836</v>
      </c>
      <c r="C124" s="14" t="s">
        <v>82</v>
      </c>
      <c r="F124" s="260">
        <f>SUM(F104:F122)</f>
        <v>49264208.43</v>
      </c>
      <c r="G124" s="93"/>
      <c r="H124" s="93">
        <f>SUM(H104:H122)</f>
        <v>0</v>
      </c>
      <c r="I124" s="93">
        <f>SUM(I104:I122)</f>
        <v>0</v>
      </c>
      <c r="J124" s="93"/>
      <c r="K124" s="93">
        <f>SUM(K104:K122)</f>
        <v>0</v>
      </c>
      <c r="L124" s="93"/>
      <c r="M124" s="93">
        <f>SUM(M104:M122)</f>
        <v>2388.3767716906241</v>
      </c>
      <c r="N124" s="93"/>
      <c r="O124" s="93">
        <f>SUM(O104:O122)</f>
        <v>26005968.457735181</v>
      </c>
      <c r="P124" s="93">
        <f>SUM(P104:P122)</f>
        <v>13367768.956488458</v>
      </c>
      <c r="Q124" s="93"/>
      <c r="R124" s="93">
        <f>SUM(R104:R122)</f>
        <v>0</v>
      </c>
      <c r="S124" s="93">
        <f>SUM(S104:S122)</f>
        <v>4192019.7786912401</v>
      </c>
      <c r="T124" s="93"/>
      <c r="U124" s="93">
        <f>SUM(U104:U122)</f>
        <v>2476161.3980059833</v>
      </c>
      <c r="V124" s="93"/>
      <c r="W124" s="93">
        <f>SUM(W104:W122)</f>
        <v>3219901.4623074504</v>
      </c>
      <c r="X124" s="93"/>
      <c r="Y124" s="93">
        <f>SUM(Y104:Y122)</f>
        <v>0</v>
      </c>
      <c r="Z124" s="93"/>
      <c r="AA124" s="93">
        <f>SUM(AA104:AA122)</f>
        <v>0</v>
      </c>
      <c r="AB124" s="50">
        <f>SUM(H124:AA124)</f>
        <v>49264208.430000007</v>
      </c>
      <c r="AC124" s="30" t="str">
        <f>IF(ABS(AB124-F124)&lt;1,"ok","err")</f>
        <v>ok</v>
      </c>
    </row>
    <row r="125" spans="1:29" x14ac:dyDescent="0.2">
      <c r="D125" s="93"/>
      <c r="F125" s="260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50"/>
      <c r="AC125" s="30"/>
    </row>
    <row r="126" spans="1:29" x14ac:dyDescent="0.2">
      <c r="A126" s="28" t="s">
        <v>83</v>
      </c>
      <c r="C126" s="14" t="s">
        <v>84</v>
      </c>
      <c r="F126" s="260">
        <f>F101-F124</f>
        <v>73913037.01000002</v>
      </c>
      <c r="G126" s="93"/>
      <c r="H126" s="93">
        <f>H101-H124</f>
        <v>0</v>
      </c>
      <c r="I126" s="93">
        <f>I101-I124</f>
        <v>0</v>
      </c>
      <c r="J126" s="93"/>
      <c r="K126" s="93">
        <f>K101-K124</f>
        <v>0</v>
      </c>
      <c r="L126" s="93"/>
      <c r="M126" s="93">
        <f>M101-M124</f>
        <v>3583.375971028333</v>
      </c>
      <c r="N126" s="93"/>
      <c r="O126" s="93">
        <f>O101-O124</f>
        <v>39017781.272761486</v>
      </c>
      <c r="P126" s="93">
        <f>P101-P124</f>
        <v>20056191.566053353</v>
      </c>
      <c r="Q126" s="93"/>
      <c r="R126" s="93">
        <f>R101-R124</f>
        <v>0</v>
      </c>
      <c r="S126" s="93">
        <f>S101-S124</f>
        <v>6289452.787804747</v>
      </c>
      <c r="T126" s="93"/>
      <c r="U126" s="93">
        <f>U101-U124</f>
        <v>3715082.7118963129</v>
      </c>
      <c r="V126" s="93"/>
      <c r="W126" s="93">
        <f>W101-W124</f>
        <v>4830945.2955130674</v>
      </c>
      <c r="X126" s="93"/>
      <c r="Y126" s="93">
        <f>Y101-Y124</f>
        <v>0</v>
      </c>
      <c r="Z126" s="93"/>
      <c r="AA126" s="93">
        <f>AA101-AA124</f>
        <v>0</v>
      </c>
      <c r="AB126" s="50">
        <f>SUM(H126:AA126)</f>
        <v>73913037.00999999</v>
      </c>
      <c r="AC126" s="30" t="str">
        <f>IF(ABS(AB126-F126)&lt;1,"ok","err")</f>
        <v>ok</v>
      </c>
    </row>
    <row r="127" spans="1:29" x14ac:dyDescent="0.2">
      <c r="Q127" s="14"/>
      <c r="AC127" s="30"/>
    </row>
    <row r="128" spans="1:29" x14ac:dyDescent="0.2">
      <c r="A128" s="28" t="s">
        <v>85</v>
      </c>
      <c r="Q128" s="14"/>
      <c r="AC128" s="30"/>
    </row>
    <row r="129" spans="1:29" x14ac:dyDescent="0.2">
      <c r="A129" s="14" t="s">
        <v>413</v>
      </c>
      <c r="C129" s="14" t="s">
        <v>87</v>
      </c>
      <c r="D129" s="14" t="s">
        <v>88</v>
      </c>
      <c r="F129" s="66">
        <f>0.125*(F285-F180)</f>
        <v>1174394.5424999995</v>
      </c>
      <c r="G129" s="66"/>
      <c r="H129" s="66">
        <f>0.125*(H285-H180)</f>
        <v>0</v>
      </c>
      <c r="I129" s="66">
        <f>0.125*(I285-I180)</f>
        <v>0</v>
      </c>
      <c r="J129" s="66"/>
      <c r="K129" s="66">
        <f>0.125*(K285-K180)</f>
        <v>0</v>
      </c>
      <c r="L129" s="66"/>
      <c r="M129" s="66">
        <f>0.125*(M285-M180)</f>
        <v>4.1219886747571737</v>
      </c>
      <c r="N129" s="66"/>
      <c r="O129" s="66">
        <f>0.125*(O285-O180)</f>
        <v>562681.46818457823</v>
      </c>
      <c r="P129" s="66">
        <f>0.125*(P285-P180)</f>
        <v>204920.10910158433</v>
      </c>
      <c r="Q129" s="66"/>
      <c r="R129" s="66">
        <f>0.125*(R285-R180)</f>
        <v>0</v>
      </c>
      <c r="S129" s="66">
        <f>0.125*(S285-S180)</f>
        <v>33234.541928446248</v>
      </c>
      <c r="T129" s="66"/>
      <c r="U129" s="66">
        <f>0.125*(U285-U180)</f>
        <v>76930.1417990919</v>
      </c>
      <c r="V129" s="66"/>
      <c r="W129" s="66">
        <f>0.125*(W285-W180)</f>
        <v>5557.0785643131348</v>
      </c>
      <c r="X129" s="66"/>
      <c r="Y129" s="66">
        <f>0.125*(Y285-Y180)</f>
        <v>291067.08093331131</v>
      </c>
      <c r="Z129" s="66"/>
      <c r="AA129" s="66">
        <f>0.125*(AA285-AA180)</f>
        <v>0</v>
      </c>
      <c r="AB129" s="50">
        <f>SUM(H129:AA129)</f>
        <v>1174394.5425</v>
      </c>
      <c r="AC129" s="30" t="str">
        <f>IF(ABS(AB129-F129)&lt;1,"ok","err")</f>
        <v>ok</v>
      </c>
    </row>
    <row r="130" spans="1:29" x14ac:dyDescent="0.2">
      <c r="A130" s="14" t="s">
        <v>970</v>
      </c>
      <c r="C130" s="14" t="s">
        <v>396</v>
      </c>
      <c r="D130" s="14" t="s">
        <v>72</v>
      </c>
      <c r="F130" s="50">
        <f>994563.07+16987.68</f>
        <v>1011550.75</v>
      </c>
      <c r="G130" s="50"/>
      <c r="H130" s="50">
        <f>IF(VLOOKUP($D130,$C$5:$AA$494,6,)=0,0,((VLOOKUP($D130,$C$5:$AA$494,6,)/VLOOKUP($D130,$C$5:$AA$494,4,))*$F130))</f>
        <v>0</v>
      </c>
      <c r="I130" s="50">
        <f>IF(VLOOKUP($D130,$C$5:$AA$494,7,)=0,0,((VLOOKUP($D130,$C$5:$AA$494,7,)/VLOOKUP($D130,$C$5:$AA$494,4,))*$F130))</f>
        <v>0</v>
      </c>
      <c r="J130" s="50"/>
      <c r="K130" s="50">
        <f>IF(VLOOKUP($D130,$C$5:$AA$494,9,)=0,0,((VLOOKUP($D130,$C$5:$AA$494,9,)/VLOOKUP($D130,$C$5:$AA$494,4,))*$F130))</f>
        <v>0</v>
      </c>
      <c r="L130" s="50"/>
      <c r="M130" s="50">
        <f>IF(VLOOKUP($D130,$C$5:$AA$494,11,)=0,0,((VLOOKUP($D130,$C$5:$AA$494,11,)/VLOOKUP($D130,$C$5:$AA$494,4,))*$F130))</f>
        <v>49.040964864361861</v>
      </c>
      <c r="N130" s="50"/>
      <c r="O130" s="50">
        <f>IF(VLOOKUP($D130,$C$5:$AA$494,13,)=0,0,((VLOOKUP($D130,$C$5:$AA$494,13,)/VLOOKUP($D130,$C$5:$AA$494,4,))*$F130))</f>
        <v>533985.17374489678</v>
      </c>
      <c r="P130" s="50">
        <f>IF(VLOOKUP($D130,$C$5:$AA$494,14,)=0,0,((VLOOKUP($D130,$C$5:$AA$494,14,)/VLOOKUP($D130,$C$5:$AA$494,4,))*$F130))</f>
        <v>274482.7765369743</v>
      </c>
      <c r="Q130" s="50"/>
      <c r="R130" s="50">
        <f>IF(VLOOKUP($D130,$C$5:$AA$494,16,)=0,0,((VLOOKUP($D130,$C$5:$AA$494,16,)/VLOOKUP($D130,$C$5:$AA$494,4,))*$F130))</f>
        <v>0</v>
      </c>
      <c r="S130" s="50">
        <f>IF(VLOOKUP($D130,$C$5:$AA$494,17,)=0,0,((VLOOKUP($D130,$C$5:$AA$494,17,)/VLOOKUP($D130,$C$5:$AA$494,4,))*$F130))</f>
        <v>86075.487383000203</v>
      </c>
      <c r="T130" s="50"/>
      <c r="U130" s="50">
        <f>IF(VLOOKUP($D130,$C$5:$AA$494,19,)=0,0,((VLOOKUP($D130,$C$5:$AA$494,19,)/VLOOKUP($D130,$C$5:$AA$494,4,))*$F130))</f>
        <v>50843.462203052404</v>
      </c>
      <c r="V130" s="50"/>
      <c r="W130" s="50">
        <f>IF(VLOOKUP($D130,$C$5:$AA$494,21,)=0,0,((VLOOKUP($D130,$C$5:$AA$494,21,)/VLOOKUP($D130,$C$5:$AA$494,4,))*$F130))</f>
        <v>66114.809167211817</v>
      </c>
      <c r="X130" s="50"/>
      <c r="Y130" s="50">
        <f>IF(VLOOKUP($D130,$C$5:$AA$494,23,)=0,0,((VLOOKUP($D130,$C$5:$AA$494,23,)/VLOOKUP($D130,$C$5:$AA$494,4,))*$F130))</f>
        <v>0</v>
      </c>
      <c r="Z130" s="50"/>
      <c r="AA130" s="50">
        <f>IF(VLOOKUP($D130,$C$5:$AA$494,25,)=0,0,((VLOOKUP($D130,$C$5:$AA$494,25,)/VLOOKUP($D130,$C$5:$AA$494,4,))*$F130))</f>
        <v>0</v>
      </c>
      <c r="AB130" s="50">
        <f>SUM(H130:AA130)</f>
        <v>1011550.7499999998</v>
      </c>
      <c r="AC130" s="30" t="str">
        <f>IF(ABS(AB130-F130)&lt;1,"ok","err")</f>
        <v>ok</v>
      </c>
    </row>
    <row r="131" spans="1:29" x14ac:dyDescent="0.2">
      <c r="A131" s="14" t="s">
        <v>971</v>
      </c>
      <c r="C131" s="14" t="s">
        <v>89</v>
      </c>
      <c r="D131" s="14" t="s">
        <v>72</v>
      </c>
      <c r="F131" s="50">
        <f>29503+13690+2917</f>
        <v>46110</v>
      </c>
      <c r="G131" s="50"/>
      <c r="H131" s="50">
        <f>IF(VLOOKUP($D131,$C$5:$AA$494,6,)=0,0,((VLOOKUP($D131,$C$5:$AA$494,6,)/VLOOKUP($D131,$C$5:$AA$494,4,))*$F131))</f>
        <v>0</v>
      </c>
      <c r="I131" s="50">
        <f>IF(VLOOKUP($D131,$C$5:$AA$494,7,)=0,0,((VLOOKUP($D131,$C$5:$AA$494,7,)/VLOOKUP($D131,$C$5:$AA$494,4,))*$F131))</f>
        <v>0</v>
      </c>
      <c r="J131" s="50"/>
      <c r="K131" s="50">
        <f>IF(VLOOKUP($D131,$C$5:$AA$494,9,)=0,0,((VLOOKUP($D131,$C$5:$AA$494,9,)/VLOOKUP($D131,$C$5:$AA$494,4,))*$F131))</f>
        <v>0</v>
      </c>
      <c r="L131" s="50"/>
      <c r="M131" s="50">
        <f>IF(VLOOKUP($D131,$C$5:$AA$494,11,)=0,0,((VLOOKUP($D131,$C$5:$AA$494,11,)/VLOOKUP($D131,$C$5:$AA$494,4,))*$F131))</f>
        <v>2.2354576771315977</v>
      </c>
      <c r="N131" s="50"/>
      <c r="O131" s="50">
        <f>IF(VLOOKUP($D131,$C$5:$AA$494,13,)=0,0,((VLOOKUP($D131,$C$5:$AA$494,13,)/VLOOKUP($D131,$C$5:$AA$494,4,))*$F131))</f>
        <v>24340.900702586787</v>
      </c>
      <c r="P131" s="50">
        <f>IF(VLOOKUP($D131,$C$5:$AA$494,14,)=0,0,((VLOOKUP($D131,$C$5:$AA$494,14,)/VLOOKUP($D131,$C$5:$AA$494,4,))*$F131))</f>
        <v>12511.879237022842</v>
      </c>
      <c r="Q131" s="50"/>
      <c r="R131" s="50">
        <f>IF(VLOOKUP($D131,$C$5:$AA$494,16,)=0,0,((VLOOKUP($D131,$C$5:$AA$494,16,)/VLOOKUP($D131,$C$5:$AA$494,4,))*$F131))</f>
        <v>0</v>
      </c>
      <c r="S131" s="50">
        <f>IF(VLOOKUP($D131,$C$5:$AA$494,17,)=0,0,((VLOOKUP($D131,$C$5:$AA$494,17,)/VLOOKUP($D131,$C$5:$AA$494,4,))*$F131))</f>
        <v>3923.6199698632417</v>
      </c>
      <c r="T131" s="50"/>
      <c r="U131" s="50">
        <f>IF(VLOOKUP($D131,$C$5:$AA$494,19,)=0,0,((VLOOKUP($D131,$C$5:$AA$494,19,)/VLOOKUP($D131,$C$5:$AA$494,4,))*$F131))</f>
        <v>2317.6217724941098</v>
      </c>
      <c r="V131" s="50"/>
      <c r="W131" s="50">
        <f>IF(VLOOKUP($D131,$C$5:$AA$494,21,)=0,0,((VLOOKUP($D131,$C$5:$AA$494,21,)/VLOOKUP($D131,$C$5:$AA$494,4,))*$F131))</f>
        <v>3013.7428603558815</v>
      </c>
      <c r="X131" s="50"/>
      <c r="Y131" s="50">
        <f>IF(VLOOKUP($D131,$C$5:$AA$494,23,)=0,0,((VLOOKUP($D131,$C$5:$AA$494,23,)/VLOOKUP($D131,$C$5:$AA$494,4,))*$F131))</f>
        <v>0</v>
      </c>
      <c r="Z131" s="50"/>
      <c r="AA131" s="50">
        <f>IF(VLOOKUP($D131,$C$5:$AA$494,25,)=0,0,((VLOOKUP($D131,$C$5:$AA$494,25,)/VLOOKUP($D131,$C$5:$AA$494,4,))*$F131))</f>
        <v>0</v>
      </c>
      <c r="AB131" s="50">
        <f>SUM(H131:AA131)</f>
        <v>46109.999999999993</v>
      </c>
      <c r="AC131" s="30" t="str">
        <f>IF(ABS(AB131-F131)&lt;1,"ok","err")</f>
        <v>ok</v>
      </c>
    </row>
    <row r="132" spans="1:29" x14ac:dyDescent="0.2">
      <c r="Q132" s="14"/>
      <c r="AB132" s="50"/>
      <c r="AC132" s="30"/>
    </row>
    <row r="133" spans="1:29" x14ac:dyDescent="0.2">
      <c r="A133" s="96" t="s">
        <v>90</v>
      </c>
      <c r="C133" s="14" t="s">
        <v>91</v>
      </c>
      <c r="F133" s="260">
        <f>SUM(F129:F132)</f>
        <v>2232055.2924999995</v>
      </c>
      <c r="G133" s="93"/>
      <c r="H133" s="93">
        <f t="shared" ref="H133:W133" si="77">SUM(H129:H132)</f>
        <v>0</v>
      </c>
      <c r="I133" s="93">
        <f t="shared" si="77"/>
        <v>0</v>
      </c>
      <c r="J133" s="93"/>
      <c r="K133" s="93">
        <f t="shared" si="77"/>
        <v>0</v>
      </c>
      <c r="L133" s="93"/>
      <c r="M133" s="93">
        <f t="shared" si="77"/>
        <v>55.398411216250636</v>
      </c>
      <c r="N133" s="93"/>
      <c r="O133" s="93">
        <f t="shared" si="77"/>
        <v>1121007.542632062</v>
      </c>
      <c r="P133" s="93">
        <f t="shared" si="77"/>
        <v>491914.76487558149</v>
      </c>
      <c r="Q133" s="93"/>
      <c r="R133" s="93">
        <f t="shared" si="77"/>
        <v>0</v>
      </c>
      <c r="S133" s="93">
        <f t="shared" si="77"/>
        <v>123233.64928130968</v>
      </c>
      <c r="T133" s="93"/>
      <c r="U133" s="93">
        <f t="shared" si="77"/>
        <v>130091.22577463841</v>
      </c>
      <c r="V133" s="93"/>
      <c r="W133" s="93">
        <f t="shared" si="77"/>
        <v>74685.630591880836</v>
      </c>
      <c r="X133" s="93"/>
      <c r="Y133" s="93">
        <f>SUM(Y129:Y132)</f>
        <v>291067.08093331131</v>
      </c>
      <c r="Z133" s="93"/>
      <c r="AA133" s="93">
        <f>SUM(AA129:AA132)</f>
        <v>0</v>
      </c>
      <c r="AB133" s="50">
        <f>SUM(H133:AA133)</f>
        <v>2232055.2925</v>
      </c>
      <c r="AC133" s="30" t="str">
        <f>IF(ABS(AB133-F133)&lt;1,"ok","err")</f>
        <v>ok</v>
      </c>
    </row>
    <row r="134" spans="1:29" x14ac:dyDescent="0.2">
      <c r="Q134" s="14"/>
      <c r="AC134" s="30"/>
    </row>
    <row r="135" spans="1:29" hidden="1" x14ac:dyDescent="0.2">
      <c r="A135" s="28" t="s">
        <v>934</v>
      </c>
      <c r="Q135" s="14"/>
      <c r="AC135" s="30"/>
    </row>
    <row r="136" spans="1:29" hidden="1" x14ac:dyDescent="0.2">
      <c r="A136" s="33">
        <v>1</v>
      </c>
      <c r="C136" s="14" t="s">
        <v>935</v>
      </c>
      <c r="D136" s="14" t="s">
        <v>16</v>
      </c>
      <c r="F136" s="66">
        <v>0</v>
      </c>
      <c r="G136" s="66"/>
      <c r="H136" s="50">
        <f>IF(VLOOKUP($D136,$C$5:$AA$494,6,)=0,0,((VLOOKUP($D136,$C$5:$AA$494,6,)/VLOOKUP($D136,$C$5:$AA$494,4,))*$F136))</f>
        <v>0</v>
      </c>
      <c r="I136" s="50">
        <f>IF(VLOOKUP($D136,$C$5:$AA$494,7,)=0,0,((VLOOKUP($D136,$C$5:$AA$494,7,)/VLOOKUP($D136,$C$5:$AA$494,4,))*$F136))</f>
        <v>0</v>
      </c>
      <c r="J136" s="50"/>
      <c r="K136" s="50">
        <f>IF(VLOOKUP($D136,$C$5:$AA$494,9,)=0,0,((VLOOKUP($D136,$C$5:$AA$494,9,)/VLOOKUP($D136,$C$5:$AA$494,4,))*$F136))</f>
        <v>0</v>
      </c>
      <c r="L136" s="50"/>
      <c r="M136" s="50">
        <f>IF(VLOOKUP($D136,$C$5:$AA$494,11,)=0,0,((VLOOKUP($D136,$C$5:$AA$494,11,)/VLOOKUP($D136,$C$5:$AA$494,4,))*$F136))</f>
        <v>0</v>
      </c>
      <c r="N136" s="50"/>
      <c r="O136" s="50">
        <f>IF(VLOOKUP($D136,$C$5:$AA$494,13,)=0,0,((VLOOKUP($D136,$C$5:$AA$494,13,)/VLOOKUP($D136,$C$5:$AA$494,4,))*$F136))</f>
        <v>0</v>
      </c>
      <c r="P136" s="50">
        <f>IF(VLOOKUP($D136,$C$5:$AA$494,14,)=0,0,((VLOOKUP($D136,$C$5:$AA$494,14,)/VLOOKUP($D136,$C$5:$AA$494,4,))*$F136))</f>
        <v>0</v>
      </c>
      <c r="Q136" s="50"/>
      <c r="R136" s="50">
        <f>IF(VLOOKUP($D136,$C$5:$AA$494,16,)=0,0,((VLOOKUP($D136,$C$5:$AA$494,16,)/VLOOKUP($D136,$C$5:$AA$494,4,))*$F136))</f>
        <v>0</v>
      </c>
      <c r="S136" s="50">
        <f>IF(VLOOKUP($D136,$C$5:$AA$494,17,)=0,0,((VLOOKUP($D136,$C$5:$AA$494,17,)/VLOOKUP($D136,$C$5:$AA$494,4,))*$F136))</f>
        <v>0</v>
      </c>
      <c r="T136" s="50"/>
      <c r="U136" s="50">
        <f>IF(VLOOKUP($D136,$C$5:$AA$494,19,)=0,0,((VLOOKUP($D136,$C$5:$AA$494,19,)/VLOOKUP($D136,$C$5:$AA$494,4,))*$F136))</f>
        <v>0</v>
      </c>
      <c r="V136" s="50"/>
      <c r="W136" s="50">
        <f>IF(VLOOKUP($D136,$C$5:$AA$494,21,)=0,0,((VLOOKUP($D136,$C$5:$AA$494,21,)/VLOOKUP($D136,$C$5:$AA$494,4,))*$F136))</f>
        <v>0</v>
      </c>
      <c r="X136" s="50"/>
      <c r="Y136" s="50">
        <f>IF(VLOOKUP($D136,$C$5:$AA$494,23,)=0,0,((VLOOKUP($D136,$C$5:$AA$494,23,)/VLOOKUP($D136,$C$5:$AA$494,4,))*$F136))</f>
        <v>0</v>
      </c>
      <c r="Z136" s="50"/>
      <c r="AA136" s="50">
        <f>IF(VLOOKUP($D136,$C$5:$AA$494,25,)=0,0,((VLOOKUP($D136,$C$5:$AA$494,25,)/VLOOKUP($D136,$C$5:$AA$494,4,))*$F136))</f>
        <v>0</v>
      </c>
      <c r="AB136" s="50">
        <f>SUM(H136:AA136)</f>
        <v>0</v>
      </c>
      <c r="AC136" s="30" t="str">
        <f>IF(ABS(AB136-F136)&lt;1,"ok","err")</f>
        <v>ok</v>
      </c>
    </row>
    <row r="137" spans="1:29" hidden="1" x14ac:dyDescent="0.2">
      <c r="A137" s="33">
        <v>2</v>
      </c>
      <c r="C137" s="14" t="s">
        <v>936</v>
      </c>
      <c r="D137" s="14" t="s">
        <v>16</v>
      </c>
      <c r="F137" s="66">
        <v>0</v>
      </c>
      <c r="G137" s="66"/>
      <c r="H137" s="50">
        <f>IF(VLOOKUP($D137,$C$5:$AA$494,6,)=0,0,((VLOOKUP($D137,$C$5:$AA$494,6,)/VLOOKUP($D137,$C$5:$AA$494,4,))*$F137))</f>
        <v>0</v>
      </c>
      <c r="I137" s="50">
        <f>IF(VLOOKUP($D137,$C$5:$AA$494,7,)=0,0,((VLOOKUP($D137,$C$5:$AA$494,7,)/VLOOKUP($D137,$C$5:$AA$494,4,))*$F137))</f>
        <v>0</v>
      </c>
      <c r="J137" s="50"/>
      <c r="K137" s="50">
        <f>IF(VLOOKUP($D137,$C$5:$AA$494,9,)=0,0,((VLOOKUP($D137,$C$5:$AA$494,9,)/VLOOKUP($D137,$C$5:$AA$494,4,))*$F137))</f>
        <v>0</v>
      </c>
      <c r="L137" s="50"/>
      <c r="M137" s="50">
        <f>IF(VLOOKUP($D137,$C$5:$AA$494,11,)=0,0,((VLOOKUP($D137,$C$5:$AA$494,11,)/VLOOKUP($D137,$C$5:$AA$494,4,))*$F137))</f>
        <v>0</v>
      </c>
      <c r="N137" s="50"/>
      <c r="O137" s="50">
        <f>IF(VLOOKUP($D137,$C$5:$AA$494,13,)=0,0,((VLOOKUP($D137,$C$5:$AA$494,13,)/VLOOKUP($D137,$C$5:$AA$494,4,))*$F137))</f>
        <v>0</v>
      </c>
      <c r="P137" s="50">
        <f>IF(VLOOKUP($D137,$C$5:$AA$494,14,)=0,0,((VLOOKUP($D137,$C$5:$AA$494,14,)/VLOOKUP($D137,$C$5:$AA$494,4,))*$F137))</f>
        <v>0</v>
      </c>
      <c r="Q137" s="50"/>
      <c r="R137" s="50">
        <f>IF(VLOOKUP($D137,$C$5:$AA$494,16,)=0,0,((VLOOKUP($D137,$C$5:$AA$494,16,)/VLOOKUP($D137,$C$5:$AA$494,4,))*$F137))</f>
        <v>0</v>
      </c>
      <c r="S137" s="50">
        <f>IF(VLOOKUP($D137,$C$5:$AA$494,17,)=0,0,((VLOOKUP($D137,$C$5:$AA$494,17,)/VLOOKUP($D137,$C$5:$AA$494,4,))*$F137))</f>
        <v>0</v>
      </c>
      <c r="T137" s="50"/>
      <c r="U137" s="50">
        <f>IF(VLOOKUP($D137,$C$5:$AA$494,19,)=0,0,((VLOOKUP($D137,$C$5:$AA$494,19,)/VLOOKUP($D137,$C$5:$AA$494,4,))*$F137))</f>
        <v>0</v>
      </c>
      <c r="V137" s="50"/>
      <c r="W137" s="50">
        <f>IF(VLOOKUP($D137,$C$5:$AA$494,21,)=0,0,((VLOOKUP($D137,$C$5:$AA$494,21,)/VLOOKUP($D137,$C$5:$AA$494,4,))*$F137))</f>
        <v>0</v>
      </c>
      <c r="X137" s="50"/>
      <c r="Y137" s="50">
        <f>IF(VLOOKUP($D137,$C$5:$AA$494,23,)=0,0,((VLOOKUP($D137,$C$5:$AA$494,23,)/VLOOKUP($D137,$C$5:$AA$494,4,))*$F137))</f>
        <v>0</v>
      </c>
      <c r="Z137" s="50"/>
      <c r="AA137" s="50">
        <f>IF(VLOOKUP($D137,$C$5:$AA$494,25,)=0,0,((VLOOKUP($D137,$C$5:$AA$494,25,)/VLOOKUP($D137,$C$5:$AA$494,4,))*$F137))</f>
        <v>0</v>
      </c>
      <c r="AB137" s="50">
        <f>SUM(H137:AA137)</f>
        <v>0</v>
      </c>
      <c r="AC137" s="30" t="str">
        <f>IF(ABS(AB137-F137)&lt;1,"ok","err")</f>
        <v>ok</v>
      </c>
    </row>
    <row r="138" spans="1:29" hidden="1" x14ac:dyDescent="0.2">
      <c r="A138" s="33">
        <v>3</v>
      </c>
      <c r="C138" s="14" t="s">
        <v>937</v>
      </c>
      <c r="D138" s="14" t="s">
        <v>16</v>
      </c>
      <c r="F138" s="66">
        <v>0</v>
      </c>
      <c r="G138" s="66"/>
      <c r="H138" s="50">
        <f>IF(VLOOKUP($D138,$C$5:$AA$494,6,)=0,0,((VLOOKUP($D138,$C$5:$AA$494,6,)/VLOOKUP($D138,$C$5:$AA$494,4,))*$F138))</f>
        <v>0</v>
      </c>
      <c r="I138" s="50">
        <f>IF(VLOOKUP($D138,$C$5:$AA$494,7,)=0,0,((VLOOKUP($D138,$C$5:$AA$494,7,)/VLOOKUP($D138,$C$5:$AA$494,4,))*$F138))</f>
        <v>0</v>
      </c>
      <c r="J138" s="50"/>
      <c r="K138" s="50">
        <f>IF(VLOOKUP($D138,$C$5:$AA$494,9,)=0,0,((VLOOKUP($D138,$C$5:$AA$494,9,)/VLOOKUP($D138,$C$5:$AA$494,4,))*$F138))</f>
        <v>0</v>
      </c>
      <c r="L138" s="50"/>
      <c r="M138" s="50">
        <f>IF(VLOOKUP($D138,$C$5:$AA$494,11,)=0,0,((VLOOKUP($D138,$C$5:$AA$494,11,)/VLOOKUP($D138,$C$5:$AA$494,4,))*$F138))</f>
        <v>0</v>
      </c>
      <c r="N138" s="50"/>
      <c r="O138" s="50">
        <f>IF(VLOOKUP($D138,$C$5:$AA$494,13,)=0,0,((VLOOKUP($D138,$C$5:$AA$494,13,)/VLOOKUP($D138,$C$5:$AA$494,4,))*$F138))</f>
        <v>0</v>
      </c>
      <c r="P138" s="50">
        <f>IF(VLOOKUP($D138,$C$5:$AA$494,14,)=0,0,((VLOOKUP($D138,$C$5:$AA$494,14,)/VLOOKUP($D138,$C$5:$AA$494,4,))*$F138))</f>
        <v>0</v>
      </c>
      <c r="Q138" s="50"/>
      <c r="R138" s="50">
        <f>IF(VLOOKUP($D138,$C$5:$AA$494,16,)=0,0,((VLOOKUP($D138,$C$5:$AA$494,16,)/VLOOKUP($D138,$C$5:$AA$494,4,))*$F138))</f>
        <v>0</v>
      </c>
      <c r="S138" s="50">
        <f>IF(VLOOKUP($D138,$C$5:$AA$494,17,)=0,0,((VLOOKUP($D138,$C$5:$AA$494,17,)/VLOOKUP($D138,$C$5:$AA$494,4,))*$F138))</f>
        <v>0</v>
      </c>
      <c r="T138" s="50"/>
      <c r="U138" s="50">
        <f>IF(VLOOKUP($D138,$C$5:$AA$494,19,)=0,0,((VLOOKUP($D138,$C$5:$AA$494,19,)/VLOOKUP($D138,$C$5:$AA$494,4,))*$F138))</f>
        <v>0</v>
      </c>
      <c r="V138" s="50"/>
      <c r="W138" s="50">
        <f>IF(VLOOKUP($D138,$C$5:$AA$494,21,)=0,0,((VLOOKUP($D138,$C$5:$AA$494,21,)/VLOOKUP($D138,$C$5:$AA$494,4,))*$F138))</f>
        <v>0</v>
      </c>
      <c r="X138" s="50"/>
      <c r="Y138" s="50">
        <f>IF(VLOOKUP($D138,$C$5:$AA$494,23,)=0,0,((VLOOKUP($D138,$C$5:$AA$494,23,)/VLOOKUP($D138,$C$5:$AA$494,4,))*$F138))</f>
        <v>0</v>
      </c>
      <c r="Z138" s="50"/>
      <c r="AA138" s="50">
        <f>IF(VLOOKUP($D138,$C$5:$AA$494,25,)=0,0,((VLOOKUP($D138,$C$5:$AA$494,25,)/VLOOKUP($D138,$C$5:$AA$494,4,))*$F138))</f>
        <v>0</v>
      </c>
      <c r="AB138" s="50">
        <f>SUM(H138:AA138)</f>
        <v>0</v>
      </c>
      <c r="AC138" s="30" t="str">
        <f>IF(ABS(AB138-F138)&lt;1,"ok","err")</f>
        <v>ok</v>
      </c>
    </row>
    <row r="139" spans="1:29" hidden="1" x14ac:dyDescent="0.2">
      <c r="A139" s="33">
        <v>4</v>
      </c>
      <c r="C139" s="14" t="s">
        <v>938</v>
      </c>
      <c r="D139" s="14" t="s">
        <v>16</v>
      </c>
      <c r="F139" s="66">
        <v>0</v>
      </c>
      <c r="G139" s="66"/>
      <c r="H139" s="50">
        <f>IF(VLOOKUP($D139,$C$5:$AA$494,6,)=0,0,((VLOOKUP($D139,$C$5:$AA$494,6,)/VLOOKUP($D139,$C$5:$AA$494,4,))*$F139))</f>
        <v>0</v>
      </c>
      <c r="I139" s="50">
        <f>IF(VLOOKUP($D139,$C$5:$AA$494,7,)=0,0,((VLOOKUP($D139,$C$5:$AA$494,7,)/VLOOKUP($D139,$C$5:$AA$494,4,))*$F139))</f>
        <v>0</v>
      </c>
      <c r="J139" s="50"/>
      <c r="K139" s="50">
        <f>IF(VLOOKUP($D139,$C$5:$AA$494,9,)=0,0,((VLOOKUP($D139,$C$5:$AA$494,9,)/VLOOKUP($D139,$C$5:$AA$494,4,))*$F139))</f>
        <v>0</v>
      </c>
      <c r="L139" s="50"/>
      <c r="M139" s="50">
        <f>IF(VLOOKUP($D139,$C$5:$AA$494,11,)=0,0,((VLOOKUP($D139,$C$5:$AA$494,11,)/VLOOKUP($D139,$C$5:$AA$494,4,))*$F139))</f>
        <v>0</v>
      </c>
      <c r="N139" s="50"/>
      <c r="O139" s="50">
        <f>IF(VLOOKUP($D139,$C$5:$AA$494,13,)=0,0,((VLOOKUP($D139,$C$5:$AA$494,13,)/VLOOKUP($D139,$C$5:$AA$494,4,))*$F139))</f>
        <v>0</v>
      </c>
      <c r="P139" s="50">
        <f>IF(VLOOKUP($D139,$C$5:$AA$494,14,)=0,0,((VLOOKUP($D139,$C$5:$AA$494,14,)/VLOOKUP($D139,$C$5:$AA$494,4,))*$F139))</f>
        <v>0</v>
      </c>
      <c r="Q139" s="50"/>
      <c r="R139" s="50">
        <f>IF(VLOOKUP($D139,$C$5:$AA$494,16,)=0,0,((VLOOKUP($D139,$C$5:$AA$494,16,)/VLOOKUP($D139,$C$5:$AA$494,4,))*$F139))</f>
        <v>0</v>
      </c>
      <c r="S139" s="50">
        <f>IF(VLOOKUP($D139,$C$5:$AA$494,17,)=0,0,((VLOOKUP($D139,$C$5:$AA$494,17,)/VLOOKUP($D139,$C$5:$AA$494,4,))*$F139))</f>
        <v>0</v>
      </c>
      <c r="T139" s="50"/>
      <c r="U139" s="50">
        <f>IF(VLOOKUP($D139,$C$5:$AA$494,19,)=0,0,((VLOOKUP($D139,$C$5:$AA$494,19,)/VLOOKUP($D139,$C$5:$AA$494,4,))*$F139))</f>
        <v>0</v>
      </c>
      <c r="V139" s="50"/>
      <c r="W139" s="50">
        <f>IF(VLOOKUP($D139,$C$5:$AA$494,21,)=0,0,((VLOOKUP($D139,$C$5:$AA$494,21,)/VLOOKUP($D139,$C$5:$AA$494,4,))*$F139))</f>
        <v>0</v>
      </c>
      <c r="X139" s="50"/>
      <c r="Y139" s="50">
        <f>IF(VLOOKUP($D139,$C$5:$AA$494,23,)=0,0,((VLOOKUP($D139,$C$5:$AA$494,23,)/VLOOKUP($D139,$C$5:$AA$494,4,))*$F139))</f>
        <v>0</v>
      </c>
      <c r="Z139" s="50"/>
      <c r="AA139" s="50">
        <f>IF(VLOOKUP($D139,$C$5:$AA$494,25,)=0,0,((VLOOKUP($D139,$C$5:$AA$494,25,)/VLOOKUP($D139,$C$5:$AA$494,4,))*$F139))</f>
        <v>0</v>
      </c>
      <c r="AB139" s="50">
        <f>SUM(H139:AA139)</f>
        <v>0</v>
      </c>
      <c r="AC139" s="30" t="str">
        <f>IF(ABS(AB139-F139)&lt;1,"ok","err")</f>
        <v>ok</v>
      </c>
    </row>
    <row r="140" spans="1:29" hidden="1" x14ac:dyDescent="0.2">
      <c r="F140" s="66"/>
      <c r="G140" s="66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30"/>
    </row>
    <row r="141" spans="1:29" hidden="1" x14ac:dyDescent="0.2">
      <c r="A141" s="14" t="s">
        <v>939</v>
      </c>
      <c r="F141" s="260">
        <v>0</v>
      </c>
      <c r="G141" s="93"/>
      <c r="H141" s="93">
        <f>SUM(H136:H139)</f>
        <v>0</v>
      </c>
      <c r="I141" s="93">
        <f>SUM(I136:I139)</f>
        <v>0</v>
      </c>
      <c r="J141" s="93"/>
      <c r="K141" s="93">
        <f>SUM(K136:K139)</f>
        <v>0</v>
      </c>
      <c r="L141" s="93"/>
      <c r="M141" s="93">
        <f>SUM(M136:M139)</f>
        <v>0</v>
      </c>
      <c r="N141" s="93"/>
      <c r="O141" s="93">
        <f>SUM(O136:O139)</f>
        <v>0</v>
      </c>
      <c r="P141" s="93">
        <f>SUM(P136:P139)</f>
        <v>0</v>
      </c>
      <c r="Q141" s="93"/>
      <c r="R141" s="93">
        <f>SUM(R136:R139)</f>
        <v>0</v>
      </c>
      <c r="S141" s="93">
        <f>SUM(S136:S139)</f>
        <v>0</v>
      </c>
      <c r="T141" s="93"/>
      <c r="U141" s="93">
        <f>SUM(U136:U139)</f>
        <v>0</v>
      </c>
      <c r="V141" s="93"/>
      <c r="W141" s="93">
        <f>SUM(W136:W139)</f>
        <v>0</v>
      </c>
      <c r="X141" s="93"/>
      <c r="Y141" s="93">
        <f>SUM(Y136:Y139)</f>
        <v>0</v>
      </c>
      <c r="Z141" s="93"/>
      <c r="AA141" s="93">
        <f>SUM(AA136:AA139)</f>
        <v>0</v>
      </c>
      <c r="AB141" s="50">
        <f>SUM(H141:AA141)</f>
        <v>0</v>
      </c>
      <c r="AC141" s="30" t="str">
        <f>IF(ABS(AB141-F141)&lt;1,"ok","err")</f>
        <v>ok</v>
      </c>
    </row>
    <row r="142" spans="1:29" x14ac:dyDescent="0.2">
      <c r="A142" s="14" t="s">
        <v>92</v>
      </c>
      <c r="C142" s="14" t="s">
        <v>93</v>
      </c>
      <c r="D142" s="14" t="s">
        <v>72</v>
      </c>
      <c r="F142" s="66">
        <v>0</v>
      </c>
      <c r="G142" s="66"/>
      <c r="H142" s="50">
        <f>IF(VLOOKUP($D142,$C$5:$AA$494,6,)=0,0,((VLOOKUP($D142,$C$5:$AA$494,6,)/VLOOKUP($D142,$C$5:$AA$494,4,))*$F142))</f>
        <v>0</v>
      </c>
      <c r="I142" s="50">
        <f>IF(VLOOKUP($D142,$C$5:$AA$494,7,)=0,0,((VLOOKUP($D142,$C$5:$AA$494,7,)/VLOOKUP($D142,$C$5:$AA$494,4,))*$F142))</f>
        <v>0</v>
      </c>
      <c r="J142" s="50"/>
      <c r="K142" s="50">
        <f>IF(VLOOKUP($D142,$C$5:$AA$494,9,)=0,0,((VLOOKUP($D142,$C$5:$AA$494,9,)/VLOOKUP($D142,$C$5:$AA$494,4,))*$F142))</f>
        <v>0</v>
      </c>
      <c r="L142" s="50"/>
      <c r="M142" s="50">
        <f>IF(VLOOKUP($D142,$C$5:$AA$494,11,)=0,0,((VLOOKUP($D142,$C$5:$AA$494,11,)/VLOOKUP($D142,$C$5:$AA$494,4,))*$F142))</f>
        <v>0</v>
      </c>
      <c r="N142" s="50"/>
      <c r="O142" s="50">
        <f>IF(VLOOKUP($D142,$C$5:$AA$494,13,)=0,0,((VLOOKUP($D142,$C$5:$AA$494,13,)/VLOOKUP($D142,$C$5:$AA$494,4,))*$F142))</f>
        <v>0</v>
      </c>
      <c r="P142" s="50">
        <f>IF(VLOOKUP($D142,$C$5:$AA$494,14,)=0,0,((VLOOKUP($D142,$C$5:$AA$494,14,)/VLOOKUP($D142,$C$5:$AA$494,4,))*$F142))</f>
        <v>0</v>
      </c>
      <c r="Q142" s="50"/>
      <c r="R142" s="50">
        <f>IF(VLOOKUP($D142,$C$5:$AA$494,16,)=0,0,((VLOOKUP($D142,$C$5:$AA$494,16,)/VLOOKUP($D142,$C$5:$AA$494,4,))*$F142))</f>
        <v>0</v>
      </c>
      <c r="S142" s="50">
        <f>IF(VLOOKUP($D142,$C$5:$AA$494,17,)=0,0,((VLOOKUP($D142,$C$5:$AA$494,17,)/VLOOKUP($D142,$C$5:$AA$494,4,))*$F142))</f>
        <v>0</v>
      </c>
      <c r="T142" s="50"/>
      <c r="U142" s="50">
        <f>IF(VLOOKUP($D142,$C$5:$AA$494,19,)=0,0,((VLOOKUP($D142,$C$5:$AA$494,19,)/VLOOKUP($D142,$C$5:$AA$494,4,))*$F142))</f>
        <v>0</v>
      </c>
      <c r="V142" s="50"/>
      <c r="W142" s="50">
        <f>IF(VLOOKUP($D142,$C$5:$AA$494,21,)=0,0,((VLOOKUP($D142,$C$5:$AA$494,21,)/VLOOKUP($D142,$C$5:$AA$494,4,))*$F142))</f>
        <v>0</v>
      </c>
      <c r="X142" s="50"/>
      <c r="Y142" s="50">
        <f>IF(VLOOKUP($D142,$C$5:$AA$494,23,)=0,0,((VLOOKUP($D142,$C$5:$AA$494,23,)/VLOOKUP($D142,$C$5:$AA$494,4,))*$F142))</f>
        <v>0</v>
      </c>
      <c r="Z142" s="50"/>
      <c r="AA142" s="50">
        <f>IF(VLOOKUP($D142,$C$5:$AA$494,25,)=0,0,((VLOOKUP($D142,$C$5:$AA$494,25,)/VLOOKUP($D142,$C$5:$AA$494,4,))*$F142))</f>
        <v>0</v>
      </c>
      <c r="AB142" s="50">
        <f>SUM(H142:AA142)</f>
        <v>0</v>
      </c>
      <c r="AC142" s="30" t="str">
        <f>IF(ABS(AB142-F142)&lt;1,"ok","err")</f>
        <v>ok</v>
      </c>
    </row>
    <row r="143" spans="1:29" x14ac:dyDescent="0.2">
      <c r="F143" s="66"/>
      <c r="G143" s="66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30"/>
    </row>
    <row r="144" spans="1:29" x14ac:dyDescent="0.2">
      <c r="A144" s="13" t="s">
        <v>94</v>
      </c>
      <c r="C144" s="14" t="s">
        <v>95</v>
      </c>
      <c r="F144" s="260">
        <f>F126+F133-F142</f>
        <v>76145092.302500024</v>
      </c>
      <c r="G144" s="93"/>
      <c r="H144" s="93">
        <f>H126+H133-H142</f>
        <v>0</v>
      </c>
      <c r="I144" s="93">
        <f>I126+I133-I142</f>
        <v>0</v>
      </c>
      <c r="J144" s="93"/>
      <c r="K144" s="93">
        <f>K126+K133-K142</f>
        <v>0</v>
      </c>
      <c r="L144" s="93"/>
      <c r="M144" s="93">
        <f>M126+M133-M142</f>
        <v>3638.7743822445836</v>
      </c>
      <c r="N144" s="93"/>
      <c r="O144" s="93">
        <f>O126+O133-O142</f>
        <v>40138788.815393552</v>
      </c>
      <c r="P144" s="93">
        <f>P126+P133-P142</f>
        <v>20548106.330928937</v>
      </c>
      <c r="Q144" s="93"/>
      <c r="R144" s="93">
        <f>R126+R133-R142</f>
        <v>0</v>
      </c>
      <c r="S144" s="93">
        <f>S126+S133-S142</f>
        <v>6412686.4370860569</v>
      </c>
      <c r="T144" s="93"/>
      <c r="U144" s="93">
        <f>U126+U133-U142</f>
        <v>3845173.9376709512</v>
      </c>
      <c r="V144" s="93"/>
      <c r="W144" s="93">
        <f>W126+W133-W142</f>
        <v>4905630.9261049479</v>
      </c>
      <c r="X144" s="93"/>
      <c r="Y144" s="93">
        <f>Y126+Y133-Y142</f>
        <v>291067.08093331131</v>
      </c>
      <c r="Z144" s="93"/>
      <c r="AA144" s="93">
        <f>AA126+AA133-AA142</f>
        <v>0</v>
      </c>
      <c r="AB144" s="50">
        <f>SUM(H144:AA144)</f>
        <v>76145092.302499995</v>
      </c>
      <c r="AC144" s="30" t="str">
        <f>IF(ABS(AB144-F144)&lt;1,"ok","err")</f>
        <v>ok</v>
      </c>
    </row>
    <row r="145" spans="1:29" x14ac:dyDescent="0.2">
      <c r="Q145" s="14"/>
      <c r="AC145" s="30"/>
    </row>
    <row r="146" spans="1:29" x14ac:dyDescent="0.2">
      <c r="A146" s="28" t="s">
        <v>86</v>
      </c>
      <c r="Q146" s="14"/>
      <c r="AC146" s="30"/>
    </row>
    <row r="147" spans="1:29" x14ac:dyDescent="0.2">
      <c r="A147" s="28"/>
      <c r="Q147" s="14"/>
      <c r="AC147" s="30"/>
    </row>
    <row r="148" spans="1:29" x14ac:dyDescent="0.2">
      <c r="A148" s="13" t="s">
        <v>790</v>
      </c>
      <c r="Q148" s="14"/>
      <c r="AC148" s="30"/>
    </row>
    <row r="149" spans="1:29" x14ac:dyDescent="0.2">
      <c r="A149" s="14">
        <v>500</v>
      </c>
      <c r="B149" s="14" t="s">
        <v>795</v>
      </c>
      <c r="C149" s="14" t="s">
        <v>808</v>
      </c>
      <c r="D149" s="14" t="s">
        <v>784</v>
      </c>
      <c r="F149" s="66">
        <v>0</v>
      </c>
      <c r="G149" s="66"/>
      <c r="H149" s="50">
        <f t="shared" ref="H149:H157" si="78">IF(VLOOKUP($D149,$C$5:$AA$494,6,)=0,0,((VLOOKUP($D149,$C$5:$AA$494,6,)/VLOOKUP($D149,$C$5:$AA$494,4,))*$F149))</f>
        <v>0</v>
      </c>
      <c r="I149" s="50">
        <f t="shared" ref="I149:I157" si="79">IF(VLOOKUP($D149,$C$5:$AA$494,7,)=0,0,((VLOOKUP($D149,$C$5:$AA$494,7,)/VLOOKUP($D149,$C$5:$AA$494,4,))*$F149))</f>
        <v>0</v>
      </c>
      <c r="J149" s="50"/>
      <c r="K149" s="50">
        <f t="shared" ref="K149:K157" si="80">IF(VLOOKUP($D149,$C$5:$AA$494,9,)=0,0,((VLOOKUP($D149,$C$5:$AA$494,9,)/VLOOKUP($D149,$C$5:$AA$494,4,))*$F149))</f>
        <v>0</v>
      </c>
      <c r="L149" s="50"/>
      <c r="M149" s="50">
        <f t="shared" ref="M149:M157" si="81">IF(VLOOKUP($D149,$C$5:$AA$494,11,)=0,0,((VLOOKUP($D149,$C$5:$AA$494,11,)/VLOOKUP($D149,$C$5:$AA$494,4,))*$F149))</f>
        <v>0</v>
      </c>
      <c r="N149" s="50"/>
      <c r="O149" s="50">
        <f t="shared" ref="O149:O157" si="82">IF(VLOOKUP($D149,$C$5:$AA$494,13,)=0,0,((VLOOKUP($D149,$C$5:$AA$494,13,)/VLOOKUP($D149,$C$5:$AA$494,4,))*$F149))</f>
        <v>0</v>
      </c>
      <c r="P149" s="50">
        <f t="shared" ref="P149:P157" si="83">IF(VLOOKUP($D149,$C$5:$AA$494,14,)=0,0,((VLOOKUP($D149,$C$5:$AA$494,14,)/VLOOKUP($D149,$C$5:$AA$494,4,))*$F149))</f>
        <v>0</v>
      </c>
      <c r="Q149" s="50"/>
      <c r="R149" s="50">
        <f t="shared" ref="R149:R157" si="84">IF(VLOOKUP($D149,$C$5:$AA$494,16,)=0,0,((VLOOKUP($D149,$C$5:$AA$494,16,)/VLOOKUP($D149,$C$5:$AA$494,4,))*$F149))</f>
        <v>0</v>
      </c>
      <c r="S149" s="50">
        <f t="shared" ref="S149:S157" si="85">IF(VLOOKUP($D149,$C$5:$AA$494,17,)=0,0,((VLOOKUP($D149,$C$5:$AA$494,17,)/VLOOKUP($D149,$C$5:$AA$494,4,))*$F149))</f>
        <v>0</v>
      </c>
      <c r="T149" s="50"/>
      <c r="U149" s="50">
        <f t="shared" ref="U149:U157" si="86">IF(VLOOKUP($D149,$C$5:$AA$494,19,)=0,0,((VLOOKUP($D149,$C$5:$AA$494,19,)/VLOOKUP($D149,$C$5:$AA$494,4,))*$F149))</f>
        <v>0</v>
      </c>
      <c r="V149" s="50"/>
      <c r="W149" s="50">
        <f t="shared" ref="W149:W157" si="87">IF(VLOOKUP($D149,$C$5:$AA$494,21,)=0,0,((VLOOKUP($D149,$C$5:$AA$494,21,)/VLOOKUP($D149,$C$5:$AA$494,4,))*$F149))</f>
        <v>0</v>
      </c>
      <c r="X149" s="50"/>
      <c r="Y149" s="50">
        <f t="shared" ref="Y149:Y157" si="88">IF(VLOOKUP($D149,$C$5:$AA$494,23,)=0,0,((VLOOKUP($D149,$C$5:$AA$494,23,)/VLOOKUP($D149,$C$5:$AA$494,4,))*$F149))</f>
        <v>0</v>
      </c>
      <c r="Z149" s="50"/>
      <c r="AA149" s="50">
        <f t="shared" ref="AA149:AA157" si="89">IF(VLOOKUP($D149,$C$5:$AA$494,25,)=0,0,((VLOOKUP($D149,$C$5:$AA$494,25,)/VLOOKUP($D149,$C$5:$AA$494,4,))*$F149))</f>
        <v>0</v>
      </c>
      <c r="AB149" s="50">
        <f t="shared" ref="AB149:AB157" si="90">SUM(H149:AA149)</f>
        <v>0</v>
      </c>
      <c r="AC149" s="30" t="str">
        <f t="shared" ref="AC149:AC157" si="91">IF(ABS(AB149-F149)&lt;1,"ok","err")</f>
        <v>ok</v>
      </c>
    </row>
    <row r="150" spans="1:29" x14ac:dyDescent="0.2">
      <c r="A150" s="14">
        <v>501</v>
      </c>
      <c r="B150" s="14" t="s">
        <v>796</v>
      </c>
      <c r="C150" s="14" t="s">
        <v>809</v>
      </c>
      <c r="D150" s="14" t="s">
        <v>788</v>
      </c>
      <c r="F150" s="50">
        <v>0</v>
      </c>
      <c r="G150" s="50"/>
      <c r="H150" s="50">
        <f t="shared" si="78"/>
        <v>0</v>
      </c>
      <c r="I150" s="50">
        <f t="shared" si="79"/>
        <v>0</v>
      </c>
      <c r="J150" s="50"/>
      <c r="K150" s="50">
        <f t="shared" si="80"/>
        <v>0</v>
      </c>
      <c r="L150" s="50"/>
      <c r="M150" s="50">
        <f t="shared" si="81"/>
        <v>0</v>
      </c>
      <c r="N150" s="50"/>
      <c r="O150" s="50">
        <f t="shared" si="82"/>
        <v>0</v>
      </c>
      <c r="P150" s="50">
        <f t="shared" si="83"/>
        <v>0</v>
      </c>
      <c r="Q150" s="50"/>
      <c r="R150" s="50">
        <f t="shared" si="84"/>
        <v>0</v>
      </c>
      <c r="S150" s="50">
        <f t="shared" si="85"/>
        <v>0</v>
      </c>
      <c r="T150" s="50"/>
      <c r="U150" s="50">
        <f t="shared" si="86"/>
        <v>0</v>
      </c>
      <c r="V150" s="50"/>
      <c r="W150" s="50">
        <f t="shared" si="87"/>
        <v>0</v>
      </c>
      <c r="X150" s="50"/>
      <c r="Y150" s="50">
        <f t="shared" si="88"/>
        <v>0</v>
      </c>
      <c r="Z150" s="50"/>
      <c r="AA150" s="50">
        <f t="shared" si="89"/>
        <v>0</v>
      </c>
      <c r="AB150" s="50">
        <f t="shared" si="90"/>
        <v>0</v>
      </c>
      <c r="AC150" s="30" t="str">
        <f t="shared" si="91"/>
        <v>ok</v>
      </c>
    </row>
    <row r="151" spans="1:29" x14ac:dyDescent="0.2">
      <c r="A151" s="14">
        <v>502</v>
      </c>
      <c r="B151" s="14" t="s">
        <v>797</v>
      </c>
      <c r="C151" s="14" t="s">
        <v>810</v>
      </c>
      <c r="D151" s="14" t="s">
        <v>552</v>
      </c>
      <c r="F151" s="50">
        <v>0</v>
      </c>
      <c r="G151" s="50"/>
      <c r="H151" s="50">
        <f t="shared" si="78"/>
        <v>0</v>
      </c>
      <c r="I151" s="50">
        <f t="shared" si="79"/>
        <v>0</v>
      </c>
      <c r="J151" s="50"/>
      <c r="K151" s="50">
        <f t="shared" si="80"/>
        <v>0</v>
      </c>
      <c r="L151" s="50"/>
      <c r="M151" s="50">
        <f t="shared" si="81"/>
        <v>0</v>
      </c>
      <c r="N151" s="50"/>
      <c r="O151" s="50">
        <f t="shared" si="82"/>
        <v>0</v>
      </c>
      <c r="P151" s="50">
        <f t="shared" si="83"/>
        <v>0</v>
      </c>
      <c r="Q151" s="50"/>
      <c r="R151" s="50">
        <f t="shared" si="84"/>
        <v>0</v>
      </c>
      <c r="S151" s="50">
        <f t="shared" si="85"/>
        <v>0</v>
      </c>
      <c r="T151" s="50"/>
      <c r="U151" s="50">
        <f t="shared" si="86"/>
        <v>0</v>
      </c>
      <c r="V151" s="50"/>
      <c r="W151" s="50">
        <f t="shared" si="87"/>
        <v>0</v>
      </c>
      <c r="X151" s="50"/>
      <c r="Y151" s="50">
        <f t="shared" si="88"/>
        <v>0</v>
      </c>
      <c r="Z151" s="50"/>
      <c r="AA151" s="50">
        <f t="shared" si="89"/>
        <v>0</v>
      </c>
      <c r="AB151" s="50">
        <f t="shared" si="90"/>
        <v>0</v>
      </c>
      <c r="AC151" s="30" t="str">
        <f t="shared" si="91"/>
        <v>ok</v>
      </c>
    </row>
    <row r="152" spans="1:29" x14ac:dyDescent="0.2">
      <c r="A152" s="14">
        <v>503</v>
      </c>
      <c r="B152" s="14" t="s">
        <v>798</v>
      </c>
      <c r="C152" s="14" t="s">
        <v>811</v>
      </c>
      <c r="D152" s="14" t="s">
        <v>552</v>
      </c>
      <c r="F152" s="50">
        <v>0</v>
      </c>
      <c r="G152" s="50"/>
      <c r="H152" s="50">
        <f t="shared" si="78"/>
        <v>0</v>
      </c>
      <c r="I152" s="50">
        <f t="shared" si="79"/>
        <v>0</v>
      </c>
      <c r="J152" s="50"/>
      <c r="K152" s="50">
        <f t="shared" si="80"/>
        <v>0</v>
      </c>
      <c r="L152" s="50"/>
      <c r="M152" s="50">
        <f t="shared" si="81"/>
        <v>0</v>
      </c>
      <c r="N152" s="50"/>
      <c r="O152" s="50">
        <f t="shared" si="82"/>
        <v>0</v>
      </c>
      <c r="P152" s="50">
        <f t="shared" si="83"/>
        <v>0</v>
      </c>
      <c r="Q152" s="50"/>
      <c r="R152" s="50">
        <f t="shared" si="84"/>
        <v>0</v>
      </c>
      <c r="S152" s="50">
        <f t="shared" si="85"/>
        <v>0</v>
      </c>
      <c r="T152" s="50"/>
      <c r="U152" s="50">
        <f t="shared" si="86"/>
        <v>0</v>
      </c>
      <c r="V152" s="50"/>
      <c r="W152" s="50">
        <f t="shared" si="87"/>
        <v>0</v>
      </c>
      <c r="X152" s="50"/>
      <c r="Y152" s="50">
        <f t="shared" si="88"/>
        <v>0</v>
      </c>
      <c r="Z152" s="50"/>
      <c r="AA152" s="50">
        <f t="shared" si="89"/>
        <v>0</v>
      </c>
      <c r="AB152" s="50">
        <f t="shared" si="90"/>
        <v>0</v>
      </c>
      <c r="AC152" s="30" t="str">
        <f t="shared" si="91"/>
        <v>ok</v>
      </c>
    </row>
    <row r="153" spans="1:29" x14ac:dyDescent="0.2">
      <c r="A153" s="14">
        <v>504</v>
      </c>
      <c r="B153" s="14" t="s">
        <v>799</v>
      </c>
      <c r="C153" s="14" t="s">
        <v>812</v>
      </c>
      <c r="D153" s="14" t="s">
        <v>552</v>
      </c>
      <c r="F153" s="50">
        <v>0</v>
      </c>
      <c r="G153" s="50"/>
      <c r="H153" s="50">
        <f t="shared" si="78"/>
        <v>0</v>
      </c>
      <c r="I153" s="50">
        <f t="shared" si="79"/>
        <v>0</v>
      </c>
      <c r="J153" s="50"/>
      <c r="K153" s="50">
        <f t="shared" si="80"/>
        <v>0</v>
      </c>
      <c r="L153" s="50"/>
      <c r="M153" s="50">
        <f t="shared" si="81"/>
        <v>0</v>
      </c>
      <c r="N153" s="50"/>
      <c r="O153" s="50">
        <f t="shared" si="82"/>
        <v>0</v>
      </c>
      <c r="P153" s="50">
        <f t="shared" si="83"/>
        <v>0</v>
      </c>
      <c r="Q153" s="50"/>
      <c r="R153" s="50">
        <f t="shared" si="84"/>
        <v>0</v>
      </c>
      <c r="S153" s="50">
        <f t="shared" si="85"/>
        <v>0</v>
      </c>
      <c r="T153" s="50"/>
      <c r="U153" s="50">
        <f t="shared" si="86"/>
        <v>0</v>
      </c>
      <c r="V153" s="50"/>
      <c r="W153" s="50">
        <f t="shared" si="87"/>
        <v>0</v>
      </c>
      <c r="X153" s="50"/>
      <c r="Y153" s="50">
        <f t="shared" si="88"/>
        <v>0</v>
      </c>
      <c r="Z153" s="50"/>
      <c r="AA153" s="50">
        <f t="shared" si="89"/>
        <v>0</v>
      </c>
      <c r="AB153" s="50">
        <f t="shared" si="90"/>
        <v>0</v>
      </c>
      <c r="AC153" s="30" t="str">
        <f t="shared" si="91"/>
        <v>ok</v>
      </c>
    </row>
    <row r="154" spans="1:29" x14ac:dyDescent="0.2">
      <c r="A154" s="14">
        <v>505</v>
      </c>
      <c r="B154" s="14" t="s">
        <v>800</v>
      </c>
      <c r="C154" s="14" t="s">
        <v>813</v>
      </c>
      <c r="D154" s="14" t="s">
        <v>552</v>
      </c>
      <c r="F154" s="50">
        <v>0</v>
      </c>
      <c r="G154" s="50"/>
      <c r="H154" s="50">
        <f t="shared" si="78"/>
        <v>0</v>
      </c>
      <c r="I154" s="50">
        <f t="shared" si="79"/>
        <v>0</v>
      </c>
      <c r="J154" s="50"/>
      <c r="K154" s="50">
        <f t="shared" si="80"/>
        <v>0</v>
      </c>
      <c r="L154" s="50"/>
      <c r="M154" s="50">
        <f t="shared" si="81"/>
        <v>0</v>
      </c>
      <c r="N154" s="50"/>
      <c r="O154" s="50">
        <f t="shared" si="82"/>
        <v>0</v>
      </c>
      <c r="P154" s="50">
        <f t="shared" si="83"/>
        <v>0</v>
      </c>
      <c r="Q154" s="50"/>
      <c r="R154" s="50">
        <f t="shared" si="84"/>
        <v>0</v>
      </c>
      <c r="S154" s="50">
        <f t="shared" si="85"/>
        <v>0</v>
      </c>
      <c r="T154" s="50"/>
      <c r="U154" s="50">
        <f t="shared" si="86"/>
        <v>0</v>
      </c>
      <c r="V154" s="50"/>
      <c r="W154" s="50">
        <f t="shared" si="87"/>
        <v>0</v>
      </c>
      <c r="X154" s="50"/>
      <c r="Y154" s="50">
        <f t="shared" si="88"/>
        <v>0</v>
      </c>
      <c r="Z154" s="50"/>
      <c r="AA154" s="50">
        <f t="shared" si="89"/>
        <v>0</v>
      </c>
      <c r="AB154" s="50">
        <f t="shared" si="90"/>
        <v>0</v>
      </c>
      <c r="AC154" s="30" t="str">
        <f t="shared" si="91"/>
        <v>ok</v>
      </c>
    </row>
    <row r="155" spans="1:29" x14ac:dyDescent="0.2">
      <c r="A155" s="14">
        <v>506</v>
      </c>
      <c r="B155" s="14" t="s">
        <v>801</v>
      </c>
      <c r="C155" s="14" t="s">
        <v>814</v>
      </c>
      <c r="D155" s="14" t="s">
        <v>552</v>
      </c>
      <c r="F155" s="50">
        <v>0</v>
      </c>
      <c r="G155" s="50"/>
      <c r="H155" s="50">
        <f t="shared" si="78"/>
        <v>0</v>
      </c>
      <c r="I155" s="50">
        <f t="shared" si="79"/>
        <v>0</v>
      </c>
      <c r="J155" s="50"/>
      <c r="K155" s="50">
        <f t="shared" si="80"/>
        <v>0</v>
      </c>
      <c r="L155" s="50"/>
      <c r="M155" s="50">
        <f t="shared" si="81"/>
        <v>0</v>
      </c>
      <c r="N155" s="50"/>
      <c r="O155" s="50">
        <f t="shared" si="82"/>
        <v>0</v>
      </c>
      <c r="P155" s="50">
        <f t="shared" si="83"/>
        <v>0</v>
      </c>
      <c r="Q155" s="50"/>
      <c r="R155" s="50">
        <f t="shared" si="84"/>
        <v>0</v>
      </c>
      <c r="S155" s="50">
        <f t="shared" si="85"/>
        <v>0</v>
      </c>
      <c r="T155" s="50"/>
      <c r="U155" s="50">
        <f t="shared" si="86"/>
        <v>0</v>
      </c>
      <c r="V155" s="50"/>
      <c r="W155" s="50">
        <f t="shared" si="87"/>
        <v>0</v>
      </c>
      <c r="X155" s="50"/>
      <c r="Y155" s="50">
        <f t="shared" si="88"/>
        <v>0</v>
      </c>
      <c r="Z155" s="50"/>
      <c r="AA155" s="50">
        <f t="shared" si="89"/>
        <v>0</v>
      </c>
      <c r="AB155" s="50">
        <f t="shared" si="90"/>
        <v>0</v>
      </c>
      <c r="AC155" s="30" t="str">
        <f t="shared" si="91"/>
        <v>ok</v>
      </c>
    </row>
    <row r="156" spans="1:29" x14ac:dyDescent="0.2">
      <c r="A156" s="14">
        <v>507</v>
      </c>
      <c r="B156" s="14" t="s">
        <v>115</v>
      </c>
      <c r="C156" s="14" t="s">
        <v>815</v>
      </c>
      <c r="D156" s="14" t="s">
        <v>552</v>
      </c>
      <c r="F156" s="50">
        <v>0</v>
      </c>
      <c r="G156" s="50"/>
      <c r="H156" s="50">
        <f t="shared" si="78"/>
        <v>0</v>
      </c>
      <c r="I156" s="50">
        <f t="shared" si="79"/>
        <v>0</v>
      </c>
      <c r="J156" s="50"/>
      <c r="K156" s="50">
        <f t="shared" si="80"/>
        <v>0</v>
      </c>
      <c r="L156" s="50"/>
      <c r="M156" s="50">
        <f t="shared" si="81"/>
        <v>0</v>
      </c>
      <c r="N156" s="50"/>
      <c r="O156" s="50">
        <f t="shared" si="82"/>
        <v>0</v>
      </c>
      <c r="P156" s="50">
        <f t="shared" si="83"/>
        <v>0</v>
      </c>
      <c r="Q156" s="50"/>
      <c r="R156" s="50">
        <f t="shared" si="84"/>
        <v>0</v>
      </c>
      <c r="S156" s="50">
        <f t="shared" si="85"/>
        <v>0</v>
      </c>
      <c r="T156" s="50"/>
      <c r="U156" s="50">
        <f t="shared" si="86"/>
        <v>0</v>
      </c>
      <c r="V156" s="50"/>
      <c r="W156" s="50">
        <f t="shared" si="87"/>
        <v>0</v>
      </c>
      <c r="X156" s="50"/>
      <c r="Y156" s="50">
        <f t="shared" si="88"/>
        <v>0</v>
      </c>
      <c r="Z156" s="50"/>
      <c r="AA156" s="50">
        <f t="shared" si="89"/>
        <v>0</v>
      </c>
      <c r="AB156" s="50">
        <f t="shared" si="90"/>
        <v>0</v>
      </c>
      <c r="AC156" s="30" t="str">
        <f t="shared" si="91"/>
        <v>ok</v>
      </c>
    </row>
    <row r="157" spans="1:29" x14ac:dyDescent="0.2">
      <c r="A157" s="14">
        <v>509</v>
      </c>
      <c r="B157" s="14" t="s">
        <v>802</v>
      </c>
      <c r="C157" s="14" t="s">
        <v>816</v>
      </c>
      <c r="D157" s="14" t="s">
        <v>788</v>
      </c>
      <c r="F157" s="50">
        <v>0</v>
      </c>
      <c r="G157" s="50"/>
      <c r="H157" s="50">
        <f t="shared" si="78"/>
        <v>0</v>
      </c>
      <c r="I157" s="50">
        <f t="shared" si="79"/>
        <v>0</v>
      </c>
      <c r="J157" s="50"/>
      <c r="K157" s="50">
        <f t="shared" si="80"/>
        <v>0</v>
      </c>
      <c r="L157" s="50"/>
      <c r="M157" s="50">
        <f t="shared" si="81"/>
        <v>0</v>
      </c>
      <c r="N157" s="50"/>
      <c r="O157" s="50">
        <f t="shared" si="82"/>
        <v>0</v>
      </c>
      <c r="P157" s="50">
        <f t="shared" si="83"/>
        <v>0</v>
      </c>
      <c r="Q157" s="50"/>
      <c r="R157" s="50">
        <f t="shared" si="84"/>
        <v>0</v>
      </c>
      <c r="S157" s="50">
        <f t="shared" si="85"/>
        <v>0</v>
      </c>
      <c r="T157" s="50"/>
      <c r="U157" s="50">
        <f t="shared" si="86"/>
        <v>0</v>
      </c>
      <c r="V157" s="50"/>
      <c r="W157" s="50">
        <f t="shared" si="87"/>
        <v>0</v>
      </c>
      <c r="X157" s="50"/>
      <c r="Y157" s="50">
        <f t="shared" si="88"/>
        <v>0</v>
      </c>
      <c r="Z157" s="50"/>
      <c r="AA157" s="50">
        <f t="shared" si="89"/>
        <v>0</v>
      </c>
      <c r="AB157" s="50">
        <f t="shared" si="90"/>
        <v>0</v>
      </c>
      <c r="AC157" s="30" t="str">
        <f t="shared" si="91"/>
        <v>ok</v>
      </c>
    </row>
    <row r="158" spans="1:29" x14ac:dyDescent="0.2"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C158" s="30"/>
    </row>
    <row r="159" spans="1:29" x14ac:dyDescent="0.2">
      <c r="A159" s="14" t="s">
        <v>794</v>
      </c>
      <c r="C159" s="14" t="s">
        <v>817</v>
      </c>
      <c r="F159" s="66">
        <f>SUM(F149:F158)</f>
        <v>0</v>
      </c>
      <c r="G159" s="66"/>
      <c r="H159" s="66">
        <f>SUM(H149:H158)</f>
        <v>0</v>
      </c>
      <c r="I159" s="66">
        <f>SUM(I149:I158)</f>
        <v>0</v>
      </c>
      <c r="J159" s="66"/>
      <c r="K159" s="66">
        <f>SUM(K149:K158)</f>
        <v>0</v>
      </c>
      <c r="L159" s="66"/>
      <c r="M159" s="66">
        <f>SUM(M149:M158)</f>
        <v>0</v>
      </c>
      <c r="N159" s="66"/>
      <c r="O159" s="66">
        <f>SUM(O149:O158)</f>
        <v>0</v>
      </c>
      <c r="P159" s="66">
        <f>SUM(P149:P158)</f>
        <v>0</v>
      </c>
      <c r="Q159" s="66"/>
      <c r="R159" s="66">
        <f>SUM(R149:R158)</f>
        <v>0</v>
      </c>
      <c r="S159" s="66">
        <f>SUM(S149:S158)</f>
        <v>0</v>
      </c>
      <c r="T159" s="66"/>
      <c r="U159" s="66">
        <f>SUM(U149:U158)</f>
        <v>0</v>
      </c>
      <c r="V159" s="66"/>
      <c r="W159" s="66">
        <f>SUM(W149:W158)</f>
        <v>0</v>
      </c>
      <c r="X159" s="66"/>
      <c r="Y159" s="66">
        <f>SUM(Y149:Y158)</f>
        <v>0</v>
      </c>
      <c r="Z159" s="66"/>
      <c r="AA159" s="66">
        <f>SUM(AA149:AA158)</f>
        <v>0</v>
      </c>
      <c r="AB159" s="50">
        <f>SUM(H159:AA159)</f>
        <v>0</v>
      </c>
      <c r="AC159" s="30" t="str">
        <f>IF(ABS(AB159-F159)&lt;1,"ok","err")</f>
        <v>ok</v>
      </c>
    </row>
    <row r="160" spans="1:29" x14ac:dyDescent="0.2">
      <c r="A160" s="13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C160" s="30"/>
    </row>
    <row r="161" spans="1:29" x14ac:dyDescent="0.2">
      <c r="A161" s="13" t="s">
        <v>791</v>
      </c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C161" s="30"/>
    </row>
    <row r="162" spans="1:29" x14ac:dyDescent="0.2">
      <c r="A162" s="14">
        <v>510</v>
      </c>
      <c r="B162" s="14" t="s">
        <v>803</v>
      </c>
      <c r="C162" s="14" t="s">
        <v>819</v>
      </c>
      <c r="D162" s="14" t="s">
        <v>788</v>
      </c>
      <c r="F162" s="66">
        <v>0</v>
      </c>
      <c r="G162" s="66"/>
      <c r="H162" s="50">
        <f>IF(VLOOKUP($D162,$C$5:$AA$494,6,)=0,0,((VLOOKUP($D162,$C$5:$AA$494,6,)/VLOOKUP($D162,$C$5:$AA$494,4,))*$F162))</f>
        <v>0</v>
      </c>
      <c r="I162" s="50">
        <f>IF(VLOOKUP($D162,$C$5:$AA$494,7,)=0,0,((VLOOKUP($D162,$C$5:$AA$494,7,)/VLOOKUP($D162,$C$5:$AA$494,4,))*$F162))</f>
        <v>0</v>
      </c>
      <c r="J162" s="50"/>
      <c r="K162" s="50">
        <f>IF(VLOOKUP($D162,$C$5:$AA$494,9,)=0,0,((VLOOKUP($D162,$C$5:$AA$494,9,)/VLOOKUP($D162,$C$5:$AA$494,4,))*$F162))</f>
        <v>0</v>
      </c>
      <c r="L162" s="50"/>
      <c r="M162" s="50">
        <f>IF(VLOOKUP($D162,$C$5:$AA$494,11,)=0,0,((VLOOKUP($D162,$C$5:$AA$494,11,)/VLOOKUP($D162,$C$5:$AA$494,4,))*$F162))</f>
        <v>0</v>
      </c>
      <c r="N162" s="50"/>
      <c r="O162" s="50">
        <f>IF(VLOOKUP($D162,$C$5:$AA$494,13,)=0,0,((VLOOKUP($D162,$C$5:$AA$494,13,)/VLOOKUP($D162,$C$5:$AA$494,4,))*$F162))</f>
        <v>0</v>
      </c>
      <c r="P162" s="50">
        <f>IF(VLOOKUP($D162,$C$5:$AA$494,14,)=0,0,((VLOOKUP($D162,$C$5:$AA$494,14,)/VLOOKUP($D162,$C$5:$AA$494,4,))*$F162))</f>
        <v>0</v>
      </c>
      <c r="Q162" s="50"/>
      <c r="R162" s="50">
        <f>IF(VLOOKUP($D162,$C$5:$AA$494,16,)=0,0,((VLOOKUP($D162,$C$5:$AA$494,16,)/VLOOKUP($D162,$C$5:$AA$494,4,))*$F162))</f>
        <v>0</v>
      </c>
      <c r="S162" s="50">
        <f>IF(VLOOKUP($D162,$C$5:$AA$494,17,)=0,0,((VLOOKUP($D162,$C$5:$AA$494,17,)/VLOOKUP($D162,$C$5:$AA$494,4,))*$F162))</f>
        <v>0</v>
      </c>
      <c r="T162" s="50"/>
      <c r="U162" s="50">
        <f>IF(VLOOKUP($D162,$C$5:$AA$494,19,)=0,0,((VLOOKUP($D162,$C$5:$AA$494,19,)/VLOOKUP($D162,$C$5:$AA$494,4,))*$F162))</f>
        <v>0</v>
      </c>
      <c r="V162" s="50"/>
      <c r="W162" s="50">
        <f>IF(VLOOKUP($D162,$C$5:$AA$494,21,)=0,0,((VLOOKUP($D162,$C$5:$AA$494,21,)/VLOOKUP($D162,$C$5:$AA$494,4,))*$F162))</f>
        <v>0</v>
      </c>
      <c r="X162" s="50"/>
      <c r="Y162" s="50">
        <f>IF(VLOOKUP($D162,$C$5:$AA$494,23,)=0,0,((VLOOKUP($D162,$C$5:$AA$494,23,)/VLOOKUP($D162,$C$5:$AA$494,4,))*$F162))</f>
        <v>0</v>
      </c>
      <c r="Z162" s="50"/>
      <c r="AA162" s="50">
        <f>IF(VLOOKUP($D162,$C$5:$AA$494,25,)=0,0,((VLOOKUP($D162,$C$5:$AA$494,25,)/VLOOKUP($D162,$C$5:$AA$494,4,))*$F162))</f>
        <v>0</v>
      </c>
      <c r="AB162" s="50">
        <f>SUM(H162:AA162)</f>
        <v>0</v>
      </c>
      <c r="AC162" s="30" t="str">
        <f>IF(ABS(AB162-F162)&lt;1,"ok","err")</f>
        <v>ok</v>
      </c>
    </row>
    <row r="163" spans="1:29" x14ac:dyDescent="0.2">
      <c r="A163" s="14">
        <v>511</v>
      </c>
      <c r="B163" s="14" t="s">
        <v>804</v>
      </c>
      <c r="C163" s="14" t="s">
        <v>820</v>
      </c>
      <c r="D163" s="14" t="s">
        <v>552</v>
      </c>
      <c r="F163" s="50">
        <v>0</v>
      </c>
      <c r="G163" s="50"/>
      <c r="H163" s="50">
        <f>IF(VLOOKUP($D163,$C$5:$AA$494,6,)=0,0,((VLOOKUP($D163,$C$5:$AA$494,6,)/VLOOKUP($D163,$C$5:$AA$494,4,))*$F163))</f>
        <v>0</v>
      </c>
      <c r="I163" s="50">
        <f>IF(VLOOKUP($D163,$C$5:$AA$494,7,)=0,0,((VLOOKUP($D163,$C$5:$AA$494,7,)/VLOOKUP($D163,$C$5:$AA$494,4,))*$F163))</f>
        <v>0</v>
      </c>
      <c r="J163" s="50"/>
      <c r="K163" s="50">
        <f>IF(VLOOKUP($D163,$C$5:$AA$494,9,)=0,0,((VLOOKUP($D163,$C$5:$AA$494,9,)/VLOOKUP($D163,$C$5:$AA$494,4,))*$F163))</f>
        <v>0</v>
      </c>
      <c r="L163" s="50"/>
      <c r="M163" s="50">
        <f>IF(VLOOKUP($D163,$C$5:$AA$494,11,)=0,0,((VLOOKUP($D163,$C$5:$AA$494,11,)/VLOOKUP($D163,$C$5:$AA$494,4,))*$F163))</f>
        <v>0</v>
      </c>
      <c r="N163" s="50"/>
      <c r="O163" s="50">
        <f>IF(VLOOKUP($D163,$C$5:$AA$494,13,)=0,0,((VLOOKUP($D163,$C$5:$AA$494,13,)/VLOOKUP($D163,$C$5:$AA$494,4,))*$F163))</f>
        <v>0</v>
      </c>
      <c r="P163" s="50">
        <f>IF(VLOOKUP($D163,$C$5:$AA$494,14,)=0,0,((VLOOKUP($D163,$C$5:$AA$494,14,)/VLOOKUP($D163,$C$5:$AA$494,4,))*$F163))</f>
        <v>0</v>
      </c>
      <c r="Q163" s="50"/>
      <c r="R163" s="50">
        <f>IF(VLOOKUP($D163,$C$5:$AA$494,16,)=0,0,((VLOOKUP($D163,$C$5:$AA$494,16,)/VLOOKUP($D163,$C$5:$AA$494,4,))*$F163))</f>
        <v>0</v>
      </c>
      <c r="S163" s="50">
        <f>IF(VLOOKUP($D163,$C$5:$AA$494,17,)=0,0,((VLOOKUP($D163,$C$5:$AA$494,17,)/VLOOKUP($D163,$C$5:$AA$494,4,))*$F163))</f>
        <v>0</v>
      </c>
      <c r="T163" s="50"/>
      <c r="U163" s="50">
        <f>IF(VLOOKUP($D163,$C$5:$AA$494,19,)=0,0,((VLOOKUP($D163,$C$5:$AA$494,19,)/VLOOKUP($D163,$C$5:$AA$494,4,))*$F163))</f>
        <v>0</v>
      </c>
      <c r="V163" s="50"/>
      <c r="W163" s="50">
        <f>IF(VLOOKUP($D163,$C$5:$AA$494,21,)=0,0,((VLOOKUP($D163,$C$5:$AA$494,21,)/VLOOKUP($D163,$C$5:$AA$494,4,))*$F163))</f>
        <v>0</v>
      </c>
      <c r="X163" s="50"/>
      <c r="Y163" s="50">
        <f>IF(VLOOKUP($D163,$C$5:$AA$494,23,)=0,0,((VLOOKUP($D163,$C$5:$AA$494,23,)/VLOOKUP($D163,$C$5:$AA$494,4,))*$F163))</f>
        <v>0</v>
      </c>
      <c r="Z163" s="50"/>
      <c r="AA163" s="50">
        <f>IF(VLOOKUP($D163,$C$5:$AA$494,25,)=0,0,((VLOOKUP($D163,$C$5:$AA$494,25,)/VLOOKUP($D163,$C$5:$AA$494,4,))*$F163))</f>
        <v>0</v>
      </c>
      <c r="AB163" s="50">
        <f>SUM(H163:AA163)</f>
        <v>0</v>
      </c>
      <c r="AC163" s="30" t="str">
        <f>IF(ABS(AB163-F163)&lt;1,"ok","err")</f>
        <v>ok</v>
      </c>
    </row>
    <row r="164" spans="1:29" x14ac:dyDescent="0.2">
      <c r="A164" s="14">
        <v>512</v>
      </c>
      <c r="B164" s="14" t="s">
        <v>805</v>
      </c>
      <c r="C164" s="14" t="s">
        <v>821</v>
      </c>
      <c r="D164" s="14" t="s">
        <v>788</v>
      </c>
      <c r="F164" s="50">
        <v>0</v>
      </c>
      <c r="G164" s="50"/>
      <c r="H164" s="50">
        <f>IF(VLOOKUP($D164,$C$5:$AA$494,6,)=0,0,((VLOOKUP($D164,$C$5:$AA$494,6,)/VLOOKUP($D164,$C$5:$AA$494,4,))*$F164))</f>
        <v>0</v>
      </c>
      <c r="I164" s="50">
        <f>IF(VLOOKUP($D164,$C$5:$AA$494,7,)=0,0,((VLOOKUP($D164,$C$5:$AA$494,7,)/VLOOKUP($D164,$C$5:$AA$494,4,))*$F164))</f>
        <v>0</v>
      </c>
      <c r="J164" s="50"/>
      <c r="K164" s="50">
        <f>IF(VLOOKUP($D164,$C$5:$AA$494,9,)=0,0,((VLOOKUP($D164,$C$5:$AA$494,9,)/VLOOKUP($D164,$C$5:$AA$494,4,))*$F164))</f>
        <v>0</v>
      </c>
      <c r="L164" s="50"/>
      <c r="M164" s="50">
        <f>IF(VLOOKUP($D164,$C$5:$AA$494,11,)=0,0,((VLOOKUP($D164,$C$5:$AA$494,11,)/VLOOKUP($D164,$C$5:$AA$494,4,))*$F164))</f>
        <v>0</v>
      </c>
      <c r="N164" s="50"/>
      <c r="O164" s="50">
        <f>IF(VLOOKUP($D164,$C$5:$AA$494,13,)=0,0,((VLOOKUP($D164,$C$5:$AA$494,13,)/VLOOKUP($D164,$C$5:$AA$494,4,))*$F164))</f>
        <v>0</v>
      </c>
      <c r="P164" s="50">
        <f>IF(VLOOKUP($D164,$C$5:$AA$494,14,)=0,0,((VLOOKUP($D164,$C$5:$AA$494,14,)/VLOOKUP($D164,$C$5:$AA$494,4,))*$F164))</f>
        <v>0</v>
      </c>
      <c r="Q164" s="50"/>
      <c r="R164" s="50">
        <f>IF(VLOOKUP($D164,$C$5:$AA$494,16,)=0,0,((VLOOKUP($D164,$C$5:$AA$494,16,)/VLOOKUP($D164,$C$5:$AA$494,4,))*$F164))</f>
        <v>0</v>
      </c>
      <c r="S164" s="50">
        <f>IF(VLOOKUP($D164,$C$5:$AA$494,17,)=0,0,((VLOOKUP($D164,$C$5:$AA$494,17,)/VLOOKUP($D164,$C$5:$AA$494,4,))*$F164))</f>
        <v>0</v>
      </c>
      <c r="T164" s="50"/>
      <c r="U164" s="50">
        <f>IF(VLOOKUP($D164,$C$5:$AA$494,19,)=0,0,((VLOOKUP($D164,$C$5:$AA$494,19,)/VLOOKUP($D164,$C$5:$AA$494,4,))*$F164))</f>
        <v>0</v>
      </c>
      <c r="V164" s="50"/>
      <c r="W164" s="50">
        <f>IF(VLOOKUP($D164,$C$5:$AA$494,21,)=0,0,((VLOOKUP($D164,$C$5:$AA$494,21,)/VLOOKUP($D164,$C$5:$AA$494,4,))*$F164))</f>
        <v>0</v>
      </c>
      <c r="X164" s="50"/>
      <c r="Y164" s="50">
        <f>IF(VLOOKUP($D164,$C$5:$AA$494,23,)=0,0,((VLOOKUP($D164,$C$5:$AA$494,23,)/VLOOKUP($D164,$C$5:$AA$494,4,))*$F164))</f>
        <v>0</v>
      </c>
      <c r="Z164" s="50"/>
      <c r="AA164" s="50">
        <f>IF(VLOOKUP($D164,$C$5:$AA$494,25,)=0,0,((VLOOKUP($D164,$C$5:$AA$494,25,)/VLOOKUP($D164,$C$5:$AA$494,4,))*$F164))</f>
        <v>0</v>
      </c>
      <c r="AB164" s="50">
        <f>SUM(H164:AA164)</f>
        <v>0</v>
      </c>
      <c r="AC164" s="30" t="str">
        <f>IF(ABS(AB164-F164)&lt;1,"ok","err")</f>
        <v>ok</v>
      </c>
    </row>
    <row r="165" spans="1:29" x14ac:dyDescent="0.2">
      <c r="A165" s="14">
        <v>513</v>
      </c>
      <c r="B165" s="14" t="s">
        <v>806</v>
      </c>
      <c r="C165" s="14" t="s">
        <v>822</v>
      </c>
      <c r="D165" s="14" t="s">
        <v>788</v>
      </c>
      <c r="F165" s="50">
        <v>0</v>
      </c>
      <c r="G165" s="50"/>
      <c r="H165" s="50">
        <f>IF(VLOOKUP($D165,$C$5:$AA$494,6,)=0,0,((VLOOKUP($D165,$C$5:$AA$494,6,)/VLOOKUP($D165,$C$5:$AA$494,4,))*$F165))</f>
        <v>0</v>
      </c>
      <c r="I165" s="50">
        <f>IF(VLOOKUP($D165,$C$5:$AA$494,7,)=0,0,((VLOOKUP($D165,$C$5:$AA$494,7,)/VLOOKUP($D165,$C$5:$AA$494,4,))*$F165))</f>
        <v>0</v>
      </c>
      <c r="J165" s="50"/>
      <c r="K165" s="50">
        <f>IF(VLOOKUP($D165,$C$5:$AA$494,9,)=0,0,((VLOOKUP($D165,$C$5:$AA$494,9,)/VLOOKUP($D165,$C$5:$AA$494,4,))*$F165))</f>
        <v>0</v>
      </c>
      <c r="L165" s="50"/>
      <c r="M165" s="50">
        <f>IF(VLOOKUP($D165,$C$5:$AA$494,11,)=0,0,((VLOOKUP($D165,$C$5:$AA$494,11,)/VLOOKUP($D165,$C$5:$AA$494,4,))*$F165))</f>
        <v>0</v>
      </c>
      <c r="N165" s="50"/>
      <c r="O165" s="50">
        <f>IF(VLOOKUP($D165,$C$5:$AA$494,13,)=0,0,((VLOOKUP($D165,$C$5:$AA$494,13,)/VLOOKUP($D165,$C$5:$AA$494,4,))*$F165))</f>
        <v>0</v>
      </c>
      <c r="P165" s="50">
        <f>IF(VLOOKUP($D165,$C$5:$AA$494,14,)=0,0,((VLOOKUP($D165,$C$5:$AA$494,14,)/VLOOKUP($D165,$C$5:$AA$494,4,))*$F165))</f>
        <v>0</v>
      </c>
      <c r="Q165" s="50"/>
      <c r="R165" s="50">
        <f>IF(VLOOKUP($D165,$C$5:$AA$494,16,)=0,0,((VLOOKUP($D165,$C$5:$AA$494,16,)/VLOOKUP($D165,$C$5:$AA$494,4,))*$F165))</f>
        <v>0</v>
      </c>
      <c r="S165" s="50">
        <f>IF(VLOOKUP($D165,$C$5:$AA$494,17,)=0,0,((VLOOKUP($D165,$C$5:$AA$494,17,)/VLOOKUP($D165,$C$5:$AA$494,4,))*$F165))</f>
        <v>0</v>
      </c>
      <c r="T165" s="50"/>
      <c r="U165" s="50">
        <f>IF(VLOOKUP($D165,$C$5:$AA$494,19,)=0,0,((VLOOKUP($D165,$C$5:$AA$494,19,)/VLOOKUP($D165,$C$5:$AA$494,4,))*$F165))</f>
        <v>0</v>
      </c>
      <c r="V165" s="50"/>
      <c r="W165" s="50">
        <f>IF(VLOOKUP($D165,$C$5:$AA$494,21,)=0,0,((VLOOKUP($D165,$C$5:$AA$494,21,)/VLOOKUP($D165,$C$5:$AA$494,4,))*$F165))</f>
        <v>0</v>
      </c>
      <c r="X165" s="50"/>
      <c r="Y165" s="50">
        <f>IF(VLOOKUP($D165,$C$5:$AA$494,23,)=0,0,((VLOOKUP($D165,$C$5:$AA$494,23,)/VLOOKUP($D165,$C$5:$AA$494,4,))*$F165))</f>
        <v>0</v>
      </c>
      <c r="Z165" s="50"/>
      <c r="AA165" s="50">
        <f>IF(VLOOKUP($D165,$C$5:$AA$494,25,)=0,0,((VLOOKUP($D165,$C$5:$AA$494,25,)/VLOOKUP($D165,$C$5:$AA$494,4,))*$F165))</f>
        <v>0</v>
      </c>
      <c r="AB165" s="50">
        <f>SUM(H165:AA165)</f>
        <v>0</v>
      </c>
      <c r="AC165" s="30" t="str">
        <f>IF(ABS(AB165-F165)&lt;1,"ok","err")</f>
        <v>ok</v>
      </c>
    </row>
    <row r="166" spans="1:29" x14ac:dyDescent="0.2">
      <c r="A166" s="14">
        <v>514</v>
      </c>
      <c r="B166" s="14" t="s">
        <v>807</v>
      </c>
      <c r="C166" s="14" t="s">
        <v>823</v>
      </c>
      <c r="D166" s="14" t="s">
        <v>552</v>
      </c>
      <c r="F166" s="50">
        <v>0</v>
      </c>
      <c r="G166" s="50"/>
      <c r="H166" s="50">
        <f>IF(VLOOKUP($D166,$C$5:$AA$494,6,)=0,0,((VLOOKUP($D166,$C$5:$AA$494,6,)/VLOOKUP($D166,$C$5:$AA$494,4,))*$F166))</f>
        <v>0</v>
      </c>
      <c r="I166" s="50">
        <f>IF(VLOOKUP($D166,$C$5:$AA$494,7,)=0,0,((VLOOKUP($D166,$C$5:$AA$494,7,)/VLOOKUP($D166,$C$5:$AA$494,4,))*$F166))</f>
        <v>0</v>
      </c>
      <c r="J166" s="50"/>
      <c r="K166" s="50">
        <f>IF(VLOOKUP($D166,$C$5:$AA$494,9,)=0,0,((VLOOKUP($D166,$C$5:$AA$494,9,)/VLOOKUP($D166,$C$5:$AA$494,4,))*$F166))</f>
        <v>0</v>
      </c>
      <c r="L166" s="50"/>
      <c r="M166" s="50">
        <f>IF(VLOOKUP($D166,$C$5:$AA$494,11,)=0,0,((VLOOKUP($D166,$C$5:$AA$494,11,)/VLOOKUP($D166,$C$5:$AA$494,4,))*$F166))</f>
        <v>0</v>
      </c>
      <c r="N166" s="50"/>
      <c r="O166" s="50">
        <f>IF(VLOOKUP($D166,$C$5:$AA$494,13,)=0,0,((VLOOKUP($D166,$C$5:$AA$494,13,)/VLOOKUP($D166,$C$5:$AA$494,4,))*$F166))</f>
        <v>0</v>
      </c>
      <c r="P166" s="50">
        <f>IF(VLOOKUP($D166,$C$5:$AA$494,14,)=0,0,((VLOOKUP($D166,$C$5:$AA$494,14,)/VLOOKUP($D166,$C$5:$AA$494,4,))*$F166))</f>
        <v>0</v>
      </c>
      <c r="Q166" s="50"/>
      <c r="R166" s="50">
        <f>IF(VLOOKUP($D166,$C$5:$AA$494,16,)=0,0,((VLOOKUP($D166,$C$5:$AA$494,16,)/VLOOKUP($D166,$C$5:$AA$494,4,))*$F166))</f>
        <v>0</v>
      </c>
      <c r="S166" s="50">
        <f>IF(VLOOKUP($D166,$C$5:$AA$494,17,)=0,0,((VLOOKUP($D166,$C$5:$AA$494,17,)/VLOOKUP($D166,$C$5:$AA$494,4,))*$F166))</f>
        <v>0</v>
      </c>
      <c r="T166" s="50"/>
      <c r="U166" s="50">
        <f>IF(VLOOKUP($D166,$C$5:$AA$494,19,)=0,0,((VLOOKUP($D166,$C$5:$AA$494,19,)/VLOOKUP($D166,$C$5:$AA$494,4,))*$F166))</f>
        <v>0</v>
      </c>
      <c r="V166" s="50"/>
      <c r="W166" s="50">
        <f>IF(VLOOKUP($D166,$C$5:$AA$494,21,)=0,0,((VLOOKUP($D166,$C$5:$AA$494,21,)/VLOOKUP($D166,$C$5:$AA$494,4,))*$F166))</f>
        <v>0</v>
      </c>
      <c r="X166" s="50"/>
      <c r="Y166" s="50">
        <f>IF(VLOOKUP($D166,$C$5:$AA$494,23,)=0,0,((VLOOKUP($D166,$C$5:$AA$494,23,)/VLOOKUP($D166,$C$5:$AA$494,4,))*$F166))</f>
        <v>0</v>
      </c>
      <c r="Z166" s="50"/>
      <c r="AA166" s="50">
        <f>IF(VLOOKUP($D166,$C$5:$AA$494,25,)=0,0,((VLOOKUP($D166,$C$5:$AA$494,25,)/VLOOKUP($D166,$C$5:$AA$494,4,))*$F166))</f>
        <v>0</v>
      </c>
      <c r="AB166" s="50">
        <f>SUM(H166:AA166)</f>
        <v>0</v>
      </c>
      <c r="AC166" s="30" t="str">
        <f>IF(ABS(AB166-F166)&lt;1,"ok","err")</f>
        <v>ok</v>
      </c>
    </row>
    <row r="167" spans="1:29" x14ac:dyDescent="0.2"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30"/>
    </row>
    <row r="168" spans="1:29" x14ac:dyDescent="0.2">
      <c r="A168" s="14" t="s">
        <v>792</v>
      </c>
      <c r="C168" s="14" t="s">
        <v>818</v>
      </c>
      <c r="F168" s="66">
        <f>SUM(F162:F167)</f>
        <v>0</v>
      </c>
      <c r="G168" s="66"/>
      <c r="H168" s="66">
        <f>SUM(H162:H167)</f>
        <v>0</v>
      </c>
      <c r="I168" s="66">
        <f>SUM(I162:I167)</f>
        <v>0</v>
      </c>
      <c r="J168" s="66"/>
      <c r="K168" s="66">
        <f>SUM(K162:K167)</f>
        <v>0</v>
      </c>
      <c r="L168" s="66"/>
      <c r="M168" s="66">
        <f>SUM(M162:M167)</f>
        <v>0</v>
      </c>
      <c r="N168" s="66"/>
      <c r="O168" s="66">
        <f>SUM(O162:O167)</f>
        <v>0</v>
      </c>
      <c r="P168" s="66">
        <f>SUM(P162:P167)</f>
        <v>0</v>
      </c>
      <c r="Q168" s="66"/>
      <c r="R168" s="66">
        <f>SUM(R162:R167)</f>
        <v>0</v>
      </c>
      <c r="S168" s="66">
        <f>SUM(S162:S167)</f>
        <v>0</v>
      </c>
      <c r="T168" s="66"/>
      <c r="U168" s="66">
        <f>SUM(U162:U167)</f>
        <v>0</v>
      </c>
      <c r="V168" s="66"/>
      <c r="W168" s="66">
        <f>SUM(W162:W167)</f>
        <v>0</v>
      </c>
      <c r="X168" s="66"/>
      <c r="Y168" s="66">
        <f>SUM(Y162:Y167)</f>
        <v>0</v>
      </c>
      <c r="Z168" s="66"/>
      <c r="AA168" s="66">
        <f>SUM(AA162:AA167)</f>
        <v>0</v>
      </c>
      <c r="AB168" s="50">
        <f>SUM(H168:AA168)</f>
        <v>0</v>
      </c>
      <c r="AC168" s="30" t="str">
        <f>IF(ABS(AB168-F168)&lt;1,"ok","err")</f>
        <v>ok</v>
      </c>
    </row>
    <row r="169" spans="1:29" x14ac:dyDescent="0.2"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C169" s="30"/>
    </row>
    <row r="170" spans="1:29" x14ac:dyDescent="0.2">
      <c r="A170" s="14" t="s">
        <v>793</v>
      </c>
      <c r="C170" s="14" t="s">
        <v>826</v>
      </c>
      <c r="F170" s="50">
        <f>F159+F168</f>
        <v>0</v>
      </c>
      <c r="G170" s="50"/>
      <c r="H170" s="50">
        <f>H159+H168</f>
        <v>0</v>
      </c>
      <c r="I170" s="50">
        <f>I159+I168</f>
        <v>0</v>
      </c>
      <c r="J170" s="50"/>
      <c r="K170" s="50">
        <f>K159+K168</f>
        <v>0</v>
      </c>
      <c r="L170" s="50"/>
      <c r="M170" s="50">
        <f>M159+M168</f>
        <v>0</v>
      </c>
      <c r="N170" s="50"/>
      <c r="O170" s="50">
        <f>O159+O168</f>
        <v>0</v>
      </c>
      <c r="P170" s="50">
        <f>P159+P168</f>
        <v>0</v>
      </c>
      <c r="Q170" s="50"/>
      <c r="R170" s="50">
        <f>R159+R168</f>
        <v>0</v>
      </c>
      <c r="S170" s="50">
        <f>S159+S168</f>
        <v>0</v>
      </c>
      <c r="T170" s="50"/>
      <c r="U170" s="50">
        <f>U159+U168</f>
        <v>0</v>
      </c>
      <c r="V170" s="50"/>
      <c r="W170" s="50">
        <f>W159+W168</f>
        <v>0</v>
      </c>
      <c r="X170" s="50"/>
      <c r="Y170" s="50">
        <f>Y159+Y168</f>
        <v>0</v>
      </c>
      <c r="Z170" s="50"/>
      <c r="AA170" s="50">
        <f>AA159+AA168</f>
        <v>0</v>
      </c>
      <c r="AB170" s="50">
        <f>SUM(H170:AA170)</f>
        <v>0</v>
      </c>
      <c r="AC170" s="30" t="str">
        <f>IF(ABS(AB170-F170)&lt;1,"ok","err")</f>
        <v>ok</v>
      </c>
    </row>
    <row r="171" spans="1:29" x14ac:dyDescent="0.2"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C171" s="30"/>
    </row>
    <row r="172" spans="1:29" x14ac:dyDescent="0.2">
      <c r="A172" s="28" t="s">
        <v>136</v>
      </c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C172" s="30"/>
    </row>
    <row r="173" spans="1:29" x14ac:dyDescent="0.2"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C173" s="30"/>
    </row>
    <row r="174" spans="1:29" x14ac:dyDescent="0.2">
      <c r="A174" s="13" t="s">
        <v>96</v>
      </c>
      <c r="H174" s="66"/>
      <c r="I174" s="66"/>
      <c r="Q174" s="14"/>
      <c r="AC174" s="30"/>
    </row>
    <row r="175" spans="1:29" x14ac:dyDescent="0.2">
      <c r="A175" s="14">
        <v>555</v>
      </c>
      <c r="B175" s="14" t="s">
        <v>379</v>
      </c>
      <c r="C175" s="14" t="s">
        <v>397</v>
      </c>
      <c r="D175" s="14" t="s">
        <v>97</v>
      </c>
      <c r="F175" s="66">
        <f>'Purchased Power'!O38-'Purchased Power'!O59-'Purchased Power'!O77</f>
        <v>35813340</v>
      </c>
      <c r="G175" s="66"/>
      <c r="H175" s="66">
        <f>IF(VLOOKUP($D175,$C$5:$AA$494,6,)=0,0,((VLOOKUP($D175,$C$5:$AA$494,6,)/VLOOKUP($D175,$C$5:$AA$494,4,))*$F175))</f>
        <v>9335078.1504406501</v>
      </c>
      <c r="I175" s="66">
        <f>IF(VLOOKUP($D175,$C$5:$AA$494,7,)=0,0,((VLOOKUP($D175,$C$5:$AA$494,7,)/VLOOKUP($D175,$C$5:$AA$494,4,))*$F175))</f>
        <v>26478261.849559348</v>
      </c>
      <c r="J175" s="50"/>
      <c r="K175" s="50">
        <f>IF(VLOOKUP($D175,$C$5:$AA$494,9,)=0,0,((VLOOKUP($D175,$C$5:$AA$494,9,)/VLOOKUP($D175,$C$5:$AA$494,4,))*$F175))</f>
        <v>0</v>
      </c>
      <c r="L175" s="50"/>
      <c r="M175" s="50">
        <f>IF(VLOOKUP($D175,$C$5:$AA$494,11,)=0,0,((VLOOKUP($D175,$C$5:$AA$494,11,)/VLOOKUP($D175,$C$5:$AA$494,4,))*$F175))</f>
        <v>0</v>
      </c>
      <c r="N175" s="50"/>
      <c r="O175" s="50">
        <f>IF(VLOOKUP($D175,$C$5:$AA$494,13,)=0,0,((VLOOKUP($D175,$C$5:$AA$494,13,)/VLOOKUP($D175,$C$5:$AA$494,4,))*$F175))</f>
        <v>0</v>
      </c>
      <c r="P175" s="50">
        <f>IF(VLOOKUP($D175,$C$5:$AA$494,14,)=0,0,((VLOOKUP($D175,$C$5:$AA$494,14,)/VLOOKUP($D175,$C$5:$AA$494,4,))*$F175))</f>
        <v>0</v>
      </c>
      <c r="Q175" s="50"/>
      <c r="R175" s="50">
        <f>IF(VLOOKUP($D175,$C$5:$AA$494,16,)=0,0,((VLOOKUP($D175,$C$5:$AA$494,16,)/VLOOKUP($D175,$C$5:$AA$494,4,))*$F175))</f>
        <v>0</v>
      </c>
      <c r="S175" s="50">
        <f>IF(VLOOKUP($D175,$C$5:$AA$494,17,)=0,0,((VLOOKUP($D175,$C$5:$AA$494,17,)/VLOOKUP($D175,$C$5:$AA$494,4,))*$F175))</f>
        <v>0</v>
      </c>
      <c r="T175" s="50"/>
      <c r="U175" s="50">
        <f>IF(VLOOKUP($D175,$C$5:$AA$494,19,)=0,0,((VLOOKUP($D175,$C$5:$AA$494,19,)/VLOOKUP($D175,$C$5:$AA$494,4,))*$F175))</f>
        <v>0</v>
      </c>
      <c r="V175" s="50"/>
      <c r="W175" s="50">
        <f>IF(VLOOKUP($D175,$C$5:$AA$494,21,)=0,0,((VLOOKUP($D175,$C$5:$AA$494,21,)/VLOOKUP($D175,$C$5:$AA$494,4,))*$F175))</f>
        <v>0</v>
      </c>
      <c r="X175" s="50"/>
      <c r="Y175" s="50">
        <f>IF(VLOOKUP($D175,$C$5:$AA$494,23,)=0,0,((VLOOKUP($D175,$C$5:$AA$494,23,)/VLOOKUP($D175,$C$5:$AA$494,4,))*$F175))</f>
        <v>0</v>
      </c>
      <c r="Z175" s="50"/>
      <c r="AA175" s="50">
        <f>IF(VLOOKUP($D175,$C$5:$AA$494,25,)=0,0,((VLOOKUP($D175,$C$5:$AA$494,25,)/VLOOKUP($D175,$C$5:$AA$494,4,))*$F175))</f>
        <v>0</v>
      </c>
      <c r="AB175" s="50">
        <f>SUM(H175:AA175)</f>
        <v>35813340</v>
      </c>
      <c r="AC175" s="30" t="str">
        <f>IF(ABS(AB175-F175)&lt;1,"ok","err")</f>
        <v>ok</v>
      </c>
    </row>
    <row r="176" spans="1:29" x14ac:dyDescent="0.2">
      <c r="A176" s="14">
        <v>556</v>
      </c>
      <c r="B176" s="14" t="s">
        <v>910</v>
      </c>
      <c r="C176" s="14" t="s">
        <v>911</v>
      </c>
      <c r="D176" s="14" t="s">
        <v>97</v>
      </c>
      <c r="F176" s="50">
        <v>0</v>
      </c>
      <c r="G176" s="50"/>
      <c r="H176" s="50">
        <f>IF(VLOOKUP($D176,$C$5:$AA$494,6,)=0,0,((VLOOKUP($D176,$C$5:$AA$494,6,)/VLOOKUP($D176,$C$5:$AA$494,4,))*$F176))</f>
        <v>0</v>
      </c>
      <c r="I176" s="50">
        <f>IF(VLOOKUP($D176,$C$5:$AA$494,7,)=0,0,((VLOOKUP($D176,$C$5:$AA$494,7,)/VLOOKUP($D176,$C$5:$AA$494,4,))*$F176))</f>
        <v>0</v>
      </c>
      <c r="J176" s="50"/>
      <c r="K176" s="50">
        <f>IF(VLOOKUP($D176,$C$5:$AA$494,9,)=0,0,((VLOOKUP($D176,$C$5:$AA$494,9,)/VLOOKUP($D176,$C$5:$AA$494,4,))*$F176))</f>
        <v>0</v>
      </c>
      <c r="L176" s="50"/>
      <c r="M176" s="50">
        <f>IF(VLOOKUP($D176,$C$5:$AA$494,11,)=0,0,((VLOOKUP($D176,$C$5:$AA$494,11,)/VLOOKUP($D176,$C$5:$AA$494,4,))*$F176))</f>
        <v>0</v>
      </c>
      <c r="N176" s="50"/>
      <c r="O176" s="50">
        <f>IF(VLOOKUP($D176,$C$5:$AA$494,13,)=0,0,((VLOOKUP($D176,$C$5:$AA$494,13,)/VLOOKUP($D176,$C$5:$AA$494,4,))*$F176))</f>
        <v>0</v>
      </c>
      <c r="P176" s="50">
        <f>IF(VLOOKUP($D176,$C$5:$AA$494,14,)=0,0,((VLOOKUP($D176,$C$5:$AA$494,14,)/VLOOKUP($D176,$C$5:$AA$494,4,))*$F176))</f>
        <v>0</v>
      </c>
      <c r="Q176" s="50"/>
      <c r="R176" s="50">
        <f>IF(VLOOKUP($D176,$C$5:$AA$494,16,)=0,0,((VLOOKUP($D176,$C$5:$AA$494,16,)/VLOOKUP($D176,$C$5:$AA$494,4,))*$F176))</f>
        <v>0</v>
      </c>
      <c r="S176" s="50">
        <f>IF(VLOOKUP($D176,$C$5:$AA$494,17,)=0,0,((VLOOKUP($D176,$C$5:$AA$494,17,)/VLOOKUP($D176,$C$5:$AA$494,4,))*$F176))</f>
        <v>0</v>
      </c>
      <c r="T176" s="50"/>
      <c r="U176" s="50">
        <f>IF(VLOOKUP($D176,$C$5:$AA$494,19,)=0,0,((VLOOKUP($D176,$C$5:$AA$494,19,)/VLOOKUP($D176,$C$5:$AA$494,4,))*$F176))</f>
        <v>0</v>
      </c>
      <c r="V176" s="50"/>
      <c r="W176" s="50">
        <f>IF(VLOOKUP($D176,$C$5:$AA$494,21,)=0,0,((VLOOKUP($D176,$C$5:$AA$494,21,)/VLOOKUP($D176,$C$5:$AA$494,4,))*$F176))</f>
        <v>0</v>
      </c>
      <c r="X176" s="50"/>
      <c r="Y176" s="50">
        <f>IF(VLOOKUP($D176,$C$5:$AA$494,23,)=0,0,((VLOOKUP($D176,$C$5:$AA$494,23,)/VLOOKUP($D176,$C$5:$AA$494,4,))*$F176))</f>
        <v>0</v>
      </c>
      <c r="Z176" s="50"/>
      <c r="AA176" s="50">
        <f>IF(VLOOKUP($D176,$C$5:$AA$494,25,)=0,0,((VLOOKUP($D176,$C$5:$AA$494,25,)/VLOOKUP($D176,$C$5:$AA$494,4,))*$F176))</f>
        <v>0</v>
      </c>
      <c r="AB176" s="50">
        <f>SUM(H176:AA176)</f>
        <v>0</v>
      </c>
      <c r="AC176" s="30" t="str">
        <f>IF(ABS(AB176-F176)&lt;1,"ok","err")</f>
        <v>ok</v>
      </c>
    </row>
    <row r="177" spans="1:29" x14ac:dyDescent="0.2">
      <c r="A177" s="14">
        <v>557</v>
      </c>
      <c r="B177" s="14" t="s">
        <v>398</v>
      </c>
      <c r="C177" s="14" t="s">
        <v>400</v>
      </c>
      <c r="D177" s="14" t="s">
        <v>97</v>
      </c>
      <c r="F177" s="50">
        <v>0</v>
      </c>
      <c r="G177" s="50"/>
      <c r="H177" s="50">
        <f>IF(VLOOKUP($D177,$C$5:$AA$494,6,)=0,0,((VLOOKUP($D177,$C$5:$AA$494,6,)/VLOOKUP($D177,$C$5:$AA$494,4,))*$F177))</f>
        <v>0</v>
      </c>
      <c r="I177" s="50">
        <f>IF(VLOOKUP($D177,$C$5:$AA$494,7,)=0,0,((VLOOKUP($D177,$C$5:$AA$494,7,)/VLOOKUP($D177,$C$5:$AA$494,4,))*$F177))</f>
        <v>0</v>
      </c>
      <c r="J177" s="50"/>
      <c r="K177" s="50">
        <f>IF(VLOOKUP($D177,$C$5:$AA$494,9,)=0,0,((VLOOKUP($D177,$C$5:$AA$494,9,)/VLOOKUP($D177,$C$5:$AA$494,4,))*$F177))</f>
        <v>0</v>
      </c>
      <c r="L177" s="50"/>
      <c r="M177" s="50">
        <f>IF(VLOOKUP($D177,$C$5:$AA$494,11,)=0,0,((VLOOKUP($D177,$C$5:$AA$494,11,)/VLOOKUP($D177,$C$5:$AA$494,4,))*$F177))</f>
        <v>0</v>
      </c>
      <c r="N177" s="50"/>
      <c r="O177" s="50">
        <f>IF(VLOOKUP($D177,$C$5:$AA$494,13,)=0,0,((VLOOKUP($D177,$C$5:$AA$494,13,)/VLOOKUP($D177,$C$5:$AA$494,4,))*$F177))</f>
        <v>0</v>
      </c>
      <c r="P177" s="50">
        <f>IF(VLOOKUP($D177,$C$5:$AA$494,14,)=0,0,((VLOOKUP($D177,$C$5:$AA$494,14,)/VLOOKUP($D177,$C$5:$AA$494,4,))*$F177))</f>
        <v>0</v>
      </c>
      <c r="Q177" s="50"/>
      <c r="R177" s="50">
        <f>IF(VLOOKUP($D177,$C$5:$AA$494,16,)=0,0,((VLOOKUP($D177,$C$5:$AA$494,16,)/VLOOKUP($D177,$C$5:$AA$494,4,))*$F177))</f>
        <v>0</v>
      </c>
      <c r="S177" s="50">
        <f>IF(VLOOKUP($D177,$C$5:$AA$494,17,)=0,0,((VLOOKUP($D177,$C$5:$AA$494,17,)/VLOOKUP($D177,$C$5:$AA$494,4,))*$F177))</f>
        <v>0</v>
      </c>
      <c r="T177" s="50"/>
      <c r="U177" s="50">
        <f>IF(VLOOKUP($D177,$C$5:$AA$494,19,)=0,0,((VLOOKUP($D177,$C$5:$AA$494,19,)/VLOOKUP($D177,$C$5:$AA$494,4,))*$F177))</f>
        <v>0</v>
      </c>
      <c r="V177" s="50"/>
      <c r="W177" s="50">
        <f>IF(VLOOKUP($D177,$C$5:$AA$494,21,)=0,0,((VLOOKUP($D177,$C$5:$AA$494,21,)/VLOOKUP($D177,$C$5:$AA$494,4,))*$F177))</f>
        <v>0</v>
      </c>
      <c r="X177" s="50"/>
      <c r="Y177" s="50">
        <f>IF(VLOOKUP($D177,$C$5:$AA$494,23,)=0,0,((VLOOKUP($D177,$C$5:$AA$494,23,)/VLOOKUP($D177,$C$5:$AA$494,4,))*$F177))</f>
        <v>0</v>
      </c>
      <c r="Z177" s="50"/>
      <c r="AA177" s="50">
        <f>IF(VLOOKUP($D177,$C$5:$AA$494,25,)=0,0,((VLOOKUP($D177,$C$5:$AA$494,25,)/VLOOKUP($D177,$C$5:$AA$494,4,))*$F177))</f>
        <v>0</v>
      </c>
      <c r="AB177" s="50">
        <f>SUM(H177:AA177)</f>
        <v>0</v>
      </c>
      <c r="AC177" s="30" t="str">
        <f>IF(ABS(AB177-F177)&lt;1,"ok","err")</f>
        <v>ok</v>
      </c>
    </row>
    <row r="178" spans="1:29" x14ac:dyDescent="0.2">
      <c r="A178" s="14">
        <v>559</v>
      </c>
      <c r="B178" s="14" t="s">
        <v>833</v>
      </c>
      <c r="C178" s="14" t="s">
        <v>834</v>
      </c>
      <c r="D178" s="14" t="s">
        <v>97</v>
      </c>
      <c r="F178" s="50">
        <v>0</v>
      </c>
      <c r="G178" s="50"/>
      <c r="H178" s="50">
        <f>IF(VLOOKUP($D178,$C$5:$AA$494,6,)=0,0,((VLOOKUP($D178,$C$5:$AA$494,6,)/VLOOKUP($D178,$C$5:$AA$494,4,))*$F178))</f>
        <v>0</v>
      </c>
      <c r="I178" s="50">
        <f>IF(VLOOKUP($D178,$C$5:$AA$494,7,)=0,0,((VLOOKUP($D178,$C$5:$AA$494,7,)/VLOOKUP($D178,$C$5:$AA$494,4,))*$F178))</f>
        <v>0</v>
      </c>
      <c r="J178" s="50"/>
      <c r="K178" s="50">
        <f>IF(VLOOKUP($D178,$C$5:$AA$494,9,)=0,0,((VLOOKUP($D178,$C$5:$AA$494,9,)/VLOOKUP($D178,$C$5:$AA$494,4,))*$F178))</f>
        <v>0</v>
      </c>
      <c r="L178" s="50"/>
      <c r="M178" s="50">
        <f>IF(VLOOKUP($D178,$C$5:$AA$494,11,)=0,0,((VLOOKUP($D178,$C$5:$AA$494,11,)/VLOOKUP($D178,$C$5:$AA$494,4,))*$F178))</f>
        <v>0</v>
      </c>
      <c r="N178" s="50"/>
      <c r="O178" s="50">
        <f>IF(VLOOKUP($D178,$C$5:$AA$494,13,)=0,0,((VLOOKUP($D178,$C$5:$AA$494,13,)/VLOOKUP($D178,$C$5:$AA$494,4,))*$F178))</f>
        <v>0</v>
      </c>
      <c r="P178" s="50">
        <f>IF(VLOOKUP($D178,$C$5:$AA$494,14,)=0,0,((VLOOKUP($D178,$C$5:$AA$494,14,)/VLOOKUP($D178,$C$5:$AA$494,4,))*$F178))</f>
        <v>0</v>
      </c>
      <c r="Q178" s="50"/>
      <c r="R178" s="50">
        <f>IF(VLOOKUP($D178,$C$5:$AA$494,16,)=0,0,((VLOOKUP($D178,$C$5:$AA$494,16,)/VLOOKUP($D178,$C$5:$AA$494,4,))*$F178))</f>
        <v>0</v>
      </c>
      <c r="S178" s="50">
        <f>IF(VLOOKUP($D178,$C$5:$AA$494,17,)=0,0,((VLOOKUP($D178,$C$5:$AA$494,17,)/VLOOKUP($D178,$C$5:$AA$494,4,))*$F178))</f>
        <v>0</v>
      </c>
      <c r="T178" s="50"/>
      <c r="U178" s="50">
        <f>IF(VLOOKUP($D178,$C$5:$AA$494,19,)=0,0,((VLOOKUP($D178,$C$5:$AA$494,19,)/VLOOKUP($D178,$C$5:$AA$494,4,))*$F178))</f>
        <v>0</v>
      </c>
      <c r="V178" s="50"/>
      <c r="W178" s="50">
        <f>IF(VLOOKUP($D178,$C$5:$AA$494,21,)=0,0,((VLOOKUP($D178,$C$5:$AA$494,21,)/VLOOKUP($D178,$C$5:$AA$494,4,))*$F178))</f>
        <v>0</v>
      </c>
      <c r="X178" s="50"/>
      <c r="Y178" s="50">
        <f>IF(VLOOKUP($D178,$C$5:$AA$494,23,)=0,0,((VLOOKUP($D178,$C$5:$AA$494,23,)/VLOOKUP($D178,$C$5:$AA$494,4,))*$F178))</f>
        <v>0</v>
      </c>
      <c r="Z178" s="50"/>
      <c r="AA178" s="50">
        <f>IF(VLOOKUP($D178,$C$5:$AA$494,25,)=0,0,((VLOOKUP($D178,$C$5:$AA$494,25,)/VLOOKUP($D178,$C$5:$AA$494,4,))*$F178))</f>
        <v>0</v>
      </c>
      <c r="AB178" s="50">
        <f>SUM(H178:AA178)</f>
        <v>0</v>
      </c>
      <c r="AC178" s="30" t="str">
        <f>IF(ABS(AB178-F178)&lt;1,"ok","err")</f>
        <v>ok</v>
      </c>
    </row>
    <row r="179" spans="1:29" x14ac:dyDescent="0.2"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50"/>
      <c r="AC179" s="30"/>
    </row>
    <row r="180" spans="1:29" x14ac:dyDescent="0.2">
      <c r="A180" s="14" t="s">
        <v>399</v>
      </c>
      <c r="C180" s="14" t="s">
        <v>401</v>
      </c>
      <c r="F180" s="66">
        <f>SUM(F175:F179)</f>
        <v>35813340</v>
      </c>
      <c r="G180" s="66"/>
      <c r="H180" s="66">
        <f>SUM(H175:H179)</f>
        <v>9335078.1504406501</v>
      </c>
      <c r="I180" s="66">
        <f t="shared" ref="I180:AA180" si="92">SUM(I175:I179)</f>
        <v>26478261.849559348</v>
      </c>
      <c r="J180" s="66"/>
      <c r="K180" s="66">
        <f t="shared" si="92"/>
        <v>0</v>
      </c>
      <c r="L180" s="66"/>
      <c r="M180" s="66">
        <f t="shared" si="92"/>
        <v>0</v>
      </c>
      <c r="N180" s="66"/>
      <c r="O180" s="66">
        <f t="shared" si="92"/>
        <v>0</v>
      </c>
      <c r="P180" s="66">
        <f t="shared" si="92"/>
        <v>0</v>
      </c>
      <c r="Q180" s="66"/>
      <c r="R180" s="66">
        <f t="shared" si="92"/>
        <v>0</v>
      </c>
      <c r="S180" s="66">
        <f t="shared" si="92"/>
        <v>0</v>
      </c>
      <c r="T180" s="66"/>
      <c r="U180" s="66">
        <f t="shared" si="92"/>
        <v>0</v>
      </c>
      <c r="V180" s="66"/>
      <c r="W180" s="66">
        <f t="shared" si="92"/>
        <v>0</v>
      </c>
      <c r="X180" s="66"/>
      <c r="Y180" s="66">
        <f t="shared" si="92"/>
        <v>0</v>
      </c>
      <c r="Z180" s="66"/>
      <c r="AA180" s="66">
        <f t="shared" si="92"/>
        <v>0</v>
      </c>
      <c r="AB180" s="50">
        <f>SUM(H180:AA180)</f>
        <v>35813340</v>
      </c>
      <c r="AC180" s="30" t="str">
        <f>IF(ABS(AB180-F180)&lt;1,"ok","err")</f>
        <v>ok</v>
      </c>
    </row>
    <row r="181" spans="1:29" x14ac:dyDescent="0.2"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50"/>
      <c r="AC181" s="30"/>
    </row>
    <row r="182" spans="1:29" x14ac:dyDescent="0.2">
      <c r="A182" s="13" t="s">
        <v>371</v>
      </c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50"/>
      <c r="AC182" s="30"/>
    </row>
    <row r="183" spans="1:29" x14ac:dyDescent="0.2">
      <c r="A183" s="14">
        <v>560</v>
      </c>
      <c r="B183" s="14" t="s">
        <v>374</v>
      </c>
      <c r="C183" s="14" t="s">
        <v>403</v>
      </c>
      <c r="D183" s="14" t="s">
        <v>390</v>
      </c>
      <c r="F183" s="66">
        <v>0</v>
      </c>
      <c r="G183" s="66"/>
      <c r="H183" s="50">
        <f t="shared" ref="H183:H197" si="93">IF((VLOOKUP($D183,$C$5:$AA$494,6,)=0),0,((VLOOKUP($D183,$C$5:$AA$494,6,)/VLOOKUP($D183,$C$5:$AA$494,4,))*$F183))</f>
        <v>0</v>
      </c>
      <c r="I183" s="50">
        <f t="shared" ref="I183:I197" si="94">IF((VLOOKUP($D183,$C$5:$AA$494,7,)=0),0,((VLOOKUP($D183,$C$5:$AA$494,7,)/VLOOKUP($D183,$C$5:$AA$494,4,))*$F183))</f>
        <v>0</v>
      </c>
      <c r="J183" s="50"/>
      <c r="K183" s="50">
        <f t="shared" ref="K183:K197" si="95">IF((VLOOKUP($D183,$C$5:$AA$494,9,)=0),0,((VLOOKUP($D183,$C$5:$AA$494,9,)/VLOOKUP($D183,$C$5:$AA$494,4,))*$F183))</f>
        <v>0</v>
      </c>
      <c r="L183" s="50"/>
      <c r="M183" s="50">
        <f t="shared" ref="M183:M197" si="96">IF((VLOOKUP($D183,$C$5:$AA$494,11,)=0),0,((VLOOKUP($D183,$C$5:$AA$494,11,)/VLOOKUP($D183,$C$5:$AA$494,4,))*$F183))</f>
        <v>0</v>
      </c>
      <c r="N183" s="50"/>
      <c r="O183" s="50">
        <f t="shared" ref="O183:O197" si="97">IF((VLOOKUP($D183,$C$5:$AA$494,13,)=0),0,((VLOOKUP($D183,$C$5:$AA$494,13,)/VLOOKUP($D183,$C$5:$AA$494,4,))*$F183))</f>
        <v>0</v>
      </c>
      <c r="P183" s="50">
        <f t="shared" ref="P183:P197" si="98">IF((VLOOKUP($D183,$C$5:$AA$494,14,)=0),0,((VLOOKUP($D183,$C$5:$AA$494,14,)/VLOOKUP($D183,$C$5:$AA$494,4,))*$F183))</f>
        <v>0</v>
      </c>
      <c r="Q183" s="50"/>
      <c r="R183" s="50">
        <f t="shared" ref="R183:R197" si="99">IF((VLOOKUP($D183,$C$5:$AA$494,16,)=0),0,((VLOOKUP($D183,$C$5:$AA$494,16,)/VLOOKUP($D183,$C$5:$AA$494,4,))*$F183))</f>
        <v>0</v>
      </c>
      <c r="S183" s="50">
        <f t="shared" ref="S183:S197" si="100">IF((VLOOKUP($D183,$C$5:$AA$494,17,)=0),0,((VLOOKUP($D183,$C$5:$AA$494,17,)/VLOOKUP($D183,$C$5:$AA$494,4,))*$F183))</f>
        <v>0</v>
      </c>
      <c r="T183" s="50"/>
      <c r="U183" s="50">
        <f t="shared" ref="U183:U197" si="101">IF((VLOOKUP($D183,$C$5:$AA$494,19,)=0),0,((VLOOKUP($D183,$C$5:$AA$494,19,)/VLOOKUP($D183,$C$5:$AA$494,4,))*$F183))</f>
        <v>0</v>
      </c>
      <c r="V183" s="50"/>
      <c r="W183" s="50">
        <f t="shared" ref="W183:W197" si="102">IF((VLOOKUP($D183,$C$5:$AA$494,21,)=0),0,((VLOOKUP($D183,$C$5:$AA$494,21,)/VLOOKUP($D183,$C$5:$AA$494,4,))*$F183))</f>
        <v>0</v>
      </c>
      <c r="X183" s="50"/>
      <c r="Y183" s="50">
        <f t="shared" ref="Y183:Y197" si="103">IF((VLOOKUP($D183,$C$5:$AA$494,23,)=0),0,((VLOOKUP($D183,$C$5:$AA$494,23,)/VLOOKUP($D183,$C$5:$AA$494,4,))*$F183))</f>
        <v>0</v>
      </c>
      <c r="Z183" s="50"/>
      <c r="AA183" s="50">
        <f t="shared" ref="AA183:AA197" si="104">IF((VLOOKUP($D183,$C$5:$AA$494,25,)=0),0,((VLOOKUP($D183,$C$5:$AA$494,25,)/VLOOKUP($D183,$C$5:$AA$494,4,))*$F183))</f>
        <v>0</v>
      </c>
      <c r="AB183" s="50">
        <f t="shared" ref="AB183:AB197" si="105">SUM(H183:AA183)</f>
        <v>0</v>
      </c>
      <c r="AC183" s="30" t="str">
        <f t="shared" ref="AC183:AC197" si="106">IF(ABS(AB183-F183)&lt;1,"ok","err")</f>
        <v>ok</v>
      </c>
    </row>
    <row r="184" spans="1:29" x14ac:dyDescent="0.2">
      <c r="A184" s="14">
        <v>561</v>
      </c>
      <c r="B184" s="14" t="s">
        <v>101</v>
      </c>
      <c r="C184" s="14" t="s">
        <v>404</v>
      </c>
      <c r="D184" s="14" t="s">
        <v>390</v>
      </c>
      <c r="F184" s="50">
        <v>0</v>
      </c>
      <c r="G184" s="50"/>
      <c r="H184" s="50">
        <f t="shared" si="93"/>
        <v>0</v>
      </c>
      <c r="I184" s="50">
        <f t="shared" si="94"/>
        <v>0</v>
      </c>
      <c r="J184" s="50"/>
      <c r="K184" s="50">
        <f t="shared" si="95"/>
        <v>0</v>
      </c>
      <c r="L184" s="50"/>
      <c r="M184" s="50">
        <f t="shared" si="96"/>
        <v>0</v>
      </c>
      <c r="N184" s="50"/>
      <c r="O184" s="50">
        <f t="shared" si="97"/>
        <v>0</v>
      </c>
      <c r="P184" s="50">
        <f t="shared" si="98"/>
        <v>0</v>
      </c>
      <c r="Q184" s="50"/>
      <c r="R184" s="50">
        <f t="shared" si="99"/>
        <v>0</v>
      </c>
      <c r="S184" s="50">
        <f t="shared" si="100"/>
        <v>0</v>
      </c>
      <c r="T184" s="50"/>
      <c r="U184" s="50">
        <f t="shared" si="101"/>
        <v>0</v>
      </c>
      <c r="V184" s="50"/>
      <c r="W184" s="50">
        <f t="shared" si="102"/>
        <v>0</v>
      </c>
      <c r="X184" s="50"/>
      <c r="Y184" s="50">
        <f t="shared" si="103"/>
        <v>0</v>
      </c>
      <c r="Z184" s="50"/>
      <c r="AA184" s="50">
        <f t="shared" si="104"/>
        <v>0</v>
      </c>
      <c r="AB184" s="50">
        <f t="shared" si="105"/>
        <v>0</v>
      </c>
      <c r="AC184" s="30" t="str">
        <f t="shared" si="106"/>
        <v>ok</v>
      </c>
    </row>
    <row r="185" spans="1:29" x14ac:dyDescent="0.2">
      <c r="A185" s="14">
        <v>562</v>
      </c>
      <c r="B185" s="14" t="s">
        <v>372</v>
      </c>
      <c r="C185" s="14" t="s">
        <v>405</v>
      </c>
      <c r="D185" s="14" t="s">
        <v>390</v>
      </c>
      <c r="F185" s="50">
        <v>0</v>
      </c>
      <c r="G185" s="50"/>
      <c r="H185" s="50">
        <f t="shared" si="93"/>
        <v>0</v>
      </c>
      <c r="I185" s="50">
        <f t="shared" si="94"/>
        <v>0</v>
      </c>
      <c r="J185" s="50"/>
      <c r="K185" s="50">
        <f t="shared" si="95"/>
        <v>0</v>
      </c>
      <c r="L185" s="50"/>
      <c r="M185" s="50">
        <f t="shared" si="96"/>
        <v>0</v>
      </c>
      <c r="N185" s="50"/>
      <c r="O185" s="50">
        <f t="shared" si="97"/>
        <v>0</v>
      </c>
      <c r="P185" s="50">
        <f t="shared" si="98"/>
        <v>0</v>
      </c>
      <c r="Q185" s="50"/>
      <c r="R185" s="50">
        <f t="shared" si="99"/>
        <v>0</v>
      </c>
      <c r="S185" s="50">
        <f t="shared" si="100"/>
        <v>0</v>
      </c>
      <c r="T185" s="50"/>
      <c r="U185" s="50">
        <f t="shared" si="101"/>
        <v>0</v>
      </c>
      <c r="V185" s="50"/>
      <c r="W185" s="50">
        <f t="shared" si="102"/>
        <v>0</v>
      </c>
      <c r="X185" s="50"/>
      <c r="Y185" s="50">
        <f t="shared" si="103"/>
        <v>0</v>
      </c>
      <c r="Z185" s="50"/>
      <c r="AA185" s="50">
        <f t="shared" si="104"/>
        <v>0</v>
      </c>
      <c r="AB185" s="50">
        <f t="shared" si="105"/>
        <v>0</v>
      </c>
      <c r="AC185" s="30" t="str">
        <f t="shared" si="106"/>
        <v>ok</v>
      </c>
    </row>
    <row r="186" spans="1:29" x14ac:dyDescent="0.2">
      <c r="A186" s="14">
        <v>563</v>
      </c>
      <c r="B186" s="14" t="s">
        <v>103</v>
      </c>
      <c r="C186" s="14" t="s">
        <v>406</v>
      </c>
      <c r="D186" s="14" t="s">
        <v>390</v>
      </c>
      <c r="F186" s="50">
        <v>0</v>
      </c>
      <c r="G186" s="50"/>
      <c r="H186" s="50">
        <f t="shared" si="93"/>
        <v>0</v>
      </c>
      <c r="I186" s="50">
        <f t="shared" si="94"/>
        <v>0</v>
      </c>
      <c r="J186" s="50"/>
      <c r="K186" s="50">
        <f t="shared" si="95"/>
        <v>0</v>
      </c>
      <c r="L186" s="50"/>
      <c r="M186" s="50">
        <f t="shared" si="96"/>
        <v>0</v>
      </c>
      <c r="N186" s="50"/>
      <c r="O186" s="50">
        <f t="shared" si="97"/>
        <v>0</v>
      </c>
      <c r="P186" s="50">
        <f t="shared" si="98"/>
        <v>0</v>
      </c>
      <c r="Q186" s="50"/>
      <c r="R186" s="50">
        <f t="shared" si="99"/>
        <v>0</v>
      </c>
      <c r="S186" s="50">
        <f t="shared" si="100"/>
        <v>0</v>
      </c>
      <c r="T186" s="50"/>
      <c r="U186" s="50">
        <f t="shared" si="101"/>
        <v>0</v>
      </c>
      <c r="V186" s="50"/>
      <c r="W186" s="50">
        <f t="shared" si="102"/>
        <v>0</v>
      </c>
      <c r="X186" s="50"/>
      <c r="Y186" s="50">
        <f t="shared" si="103"/>
        <v>0</v>
      </c>
      <c r="Z186" s="50"/>
      <c r="AA186" s="50">
        <f t="shared" si="104"/>
        <v>0</v>
      </c>
      <c r="AB186" s="50">
        <f t="shared" si="105"/>
        <v>0</v>
      </c>
      <c r="AC186" s="30" t="str">
        <f t="shared" si="106"/>
        <v>ok</v>
      </c>
    </row>
    <row r="187" spans="1:29" x14ac:dyDescent="0.2">
      <c r="A187" s="14">
        <v>564</v>
      </c>
      <c r="B187" s="14" t="s">
        <v>105</v>
      </c>
      <c r="C187" s="14" t="s">
        <v>913</v>
      </c>
      <c r="D187" s="14" t="s">
        <v>390</v>
      </c>
      <c r="F187" s="50">
        <v>0</v>
      </c>
      <c r="G187" s="50"/>
      <c r="H187" s="50">
        <f t="shared" si="93"/>
        <v>0</v>
      </c>
      <c r="I187" s="50">
        <f t="shared" si="94"/>
        <v>0</v>
      </c>
      <c r="J187" s="50"/>
      <c r="K187" s="50">
        <f t="shared" si="95"/>
        <v>0</v>
      </c>
      <c r="L187" s="50"/>
      <c r="M187" s="50">
        <f t="shared" si="96"/>
        <v>0</v>
      </c>
      <c r="N187" s="50"/>
      <c r="O187" s="50">
        <f t="shared" si="97"/>
        <v>0</v>
      </c>
      <c r="P187" s="50">
        <f t="shared" si="98"/>
        <v>0</v>
      </c>
      <c r="Q187" s="50"/>
      <c r="R187" s="50">
        <f t="shared" si="99"/>
        <v>0</v>
      </c>
      <c r="S187" s="50">
        <f t="shared" si="100"/>
        <v>0</v>
      </c>
      <c r="T187" s="50"/>
      <c r="U187" s="50">
        <f t="shared" si="101"/>
        <v>0</v>
      </c>
      <c r="V187" s="50"/>
      <c r="W187" s="50">
        <f t="shared" si="102"/>
        <v>0</v>
      </c>
      <c r="X187" s="50"/>
      <c r="Y187" s="50">
        <f t="shared" si="103"/>
        <v>0</v>
      </c>
      <c r="Z187" s="50"/>
      <c r="AA187" s="50">
        <f t="shared" si="104"/>
        <v>0</v>
      </c>
      <c r="AB187" s="50">
        <f>SUM(H187:AA187)</f>
        <v>0</v>
      </c>
      <c r="AC187" s="30" t="str">
        <f>IF(ABS(AB187-F187)&lt;1,"ok","err")</f>
        <v>ok</v>
      </c>
    </row>
    <row r="188" spans="1:29" x14ac:dyDescent="0.2">
      <c r="A188" s="14">
        <v>565</v>
      </c>
      <c r="B188" s="14" t="s">
        <v>912</v>
      </c>
      <c r="C188" s="14" t="s">
        <v>914</v>
      </c>
      <c r="D188" s="14" t="s">
        <v>390</v>
      </c>
      <c r="F188" s="50">
        <v>0</v>
      </c>
      <c r="G188" s="50"/>
      <c r="H188" s="50">
        <f t="shared" si="93"/>
        <v>0</v>
      </c>
      <c r="I188" s="50">
        <f t="shared" si="94"/>
        <v>0</v>
      </c>
      <c r="J188" s="50"/>
      <c r="K188" s="50">
        <f t="shared" si="95"/>
        <v>0</v>
      </c>
      <c r="L188" s="50"/>
      <c r="M188" s="50">
        <f t="shared" si="96"/>
        <v>0</v>
      </c>
      <c r="N188" s="50"/>
      <c r="O188" s="50">
        <f t="shared" si="97"/>
        <v>0</v>
      </c>
      <c r="P188" s="50">
        <f t="shared" si="98"/>
        <v>0</v>
      </c>
      <c r="Q188" s="50"/>
      <c r="R188" s="50">
        <f t="shared" si="99"/>
        <v>0</v>
      </c>
      <c r="S188" s="50">
        <f t="shared" si="100"/>
        <v>0</v>
      </c>
      <c r="T188" s="50"/>
      <c r="U188" s="50">
        <f t="shared" si="101"/>
        <v>0</v>
      </c>
      <c r="V188" s="50"/>
      <c r="W188" s="50">
        <f t="shared" si="102"/>
        <v>0</v>
      </c>
      <c r="X188" s="50"/>
      <c r="Y188" s="50">
        <f t="shared" si="103"/>
        <v>0</v>
      </c>
      <c r="Z188" s="50"/>
      <c r="AA188" s="50">
        <f t="shared" si="104"/>
        <v>0</v>
      </c>
      <c r="AB188" s="50">
        <f>SUM(H188:AA188)</f>
        <v>0</v>
      </c>
      <c r="AC188" s="30" t="str">
        <f>IF(ABS(AB188-F188)&lt;1,"ok","err")</f>
        <v>ok</v>
      </c>
    </row>
    <row r="189" spans="1:29" x14ac:dyDescent="0.2">
      <c r="A189" s="14">
        <v>566</v>
      </c>
      <c r="B189" s="14" t="s">
        <v>585</v>
      </c>
      <c r="C189" s="14" t="s">
        <v>586</v>
      </c>
      <c r="D189" s="14" t="s">
        <v>390</v>
      </c>
      <c r="F189" s="50">
        <v>0</v>
      </c>
      <c r="G189" s="50"/>
      <c r="H189" s="50">
        <f t="shared" si="93"/>
        <v>0</v>
      </c>
      <c r="I189" s="50">
        <f t="shared" si="94"/>
        <v>0</v>
      </c>
      <c r="J189" s="50"/>
      <c r="K189" s="50">
        <f t="shared" si="95"/>
        <v>0</v>
      </c>
      <c r="L189" s="50"/>
      <c r="M189" s="50">
        <f t="shared" si="96"/>
        <v>0</v>
      </c>
      <c r="N189" s="50"/>
      <c r="O189" s="50">
        <f t="shared" si="97"/>
        <v>0</v>
      </c>
      <c r="P189" s="50">
        <f t="shared" si="98"/>
        <v>0</v>
      </c>
      <c r="Q189" s="50"/>
      <c r="R189" s="50">
        <f t="shared" si="99"/>
        <v>0</v>
      </c>
      <c r="S189" s="50">
        <f t="shared" si="100"/>
        <v>0</v>
      </c>
      <c r="T189" s="50"/>
      <c r="U189" s="50">
        <f t="shared" si="101"/>
        <v>0</v>
      </c>
      <c r="V189" s="50"/>
      <c r="W189" s="50">
        <f t="shared" si="102"/>
        <v>0</v>
      </c>
      <c r="X189" s="50"/>
      <c r="Y189" s="50">
        <f t="shared" si="103"/>
        <v>0</v>
      </c>
      <c r="Z189" s="50"/>
      <c r="AA189" s="50">
        <f t="shared" si="104"/>
        <v>0</v>
      </c>
      <c r="AB189" s="50">
        <f>SUM(H189:AA189)</f>
        <v>0</v>
      </c>
      <c r="AC189" s="30" t="str">
        <f>IF(ABS(AB189-F189)&lt;1,"ok","err")</f>
        <v>ok</v>
      </c>
    </row>
    <row r="190" spans="1:29" x14ac:dyDescent="0.2">
      <c r="A190" s="14">
        <v>567</v>
      </c>
      <c r="B190" s="14" t="s">
        <v>115</v>
      </c>
      <c r="C190" s="14" t="s">
        <v>915</v>
      </c>
      <c r="D190" s="14" t="s">
        <v>390</v>
      </c>
      <c r="F190" s="50">
        <v>0</v>
      </c>
      <c r="G190" s="50"/>
      <c r="H190" s="50">
        <f t="shared" si="93"/>
        <v>0</v>
      </c>
      <c r="I190" s="50">
        <f t="shared" si="94"/>
        <v>0</v>
      </c>
      <c r="J190" s="50"/>
      <c r="K190" s="50">
        <f t="shared" si="95"/>
        <v>0</v>
      </c>
      <c r="L190" s="50"/>
      <c r="M190" s="50">
        <f t="shared" si="96"/>
        <v>0</v>
      </c>
      <c r="N190" s="50"/>
      <c r="O190" s="50">
        <f t="shared" si="97"/>
        <v>0</v>
      </c>
      <c r="P190" s="50">
        <f t="shared" si="98"/>
        <v>0</v>
      </c>
      <c r="Q190" s="50"/>
      <c r="R190" s="50">
        <f t="shared" si="99"/>
        <v>0</v>
      </c>
      <c r="S190" s="50">
        <f t="shared" si="100"/>
        <v>0</v>
      </c>
      <c r="T190" s="50"/>
      <c r="U190" s="50">
        <f t="shared" si="101"/>
        <v>0</v>
      </c>
      <c r="V190" s="50"/>
      <c r="W190" s="50">
        <f t="shared" si="102"/>
        <v>0</v>
      </c>
      <c r="X190" s="50"/>
      <c r="Y190" s="50">
        <f t="shared" si="103"/>
        <v>0</v>
      </c>
      <c r="Z190" s="50"/>
      <c r="AA190" s="50">
        <f t="shared" si="104"/>
        <v>0</v>
      </c>
      <c r="AB190" s="50">
        <f>SUM(H190:AA190)</f>
        <v>0</v>
      </c>
      <c r="AC190" s="30" t="str">
        <f>IF(ABS(AB190-F190)&lt;1,"ok","err")</f>
        <v>ok</v>
      </c>
    </row>
    <row r="191" spans="1:29" x14ac:dyDescent="0.2">
      <c r="A191" s="14">
        <v>568</v>
      </c>
      <c r="B191" s="14" t="s">
        <v>916</v>
      </c>
      <c r="C191" s="14" t="s">
        <v>407</v>
      </c>
      <c r="D191" s="14" t="s">
        <v>390</v>
      </c>
      <c r="F191" s="50">
        <v>0</v>
      </c>
      <c r="G191" s="50"/>
      <c r="H191" s="50">
        <f t="shared" si="93"/>
        <v>0</v>
      </c>
      <c r="I191" s="50">
        <f t="shared" si="94"/>
        <v>0</v>
      </c>
      <c r="J191" s="50"/>
      <c r="K191" s="50">
        <f t="shared" si="95"/>
        <v>0</v>
      </c>
      <c r="L191" s="50"/>
      <c r="M191" s="50">
        <f t="shared" si="96"/>
        <v>0</v>
      </c>
      <c r="N191" s="50"/>
      <c r="O191" s="50">
        <f t="shared" si="97"/>
        <v>0</v>
      </c>
      <c r="P191" s="50">
        <f t="shared" si="98"/>
        <v>0</v>
      </c>
      <c r="Q191" s="50"/>
      <c r="R191" s="50">
        <f t="shared" si="99"/>
        <v>0</v>
      </c>
      <c r="S191" s="50">
        <f t="shared" si="100"/>
        <v>0</v>
      </c>
      <c r="T191" s="50"/>
      <c r="U191" s="50">
        <f t="shared" si="101"/>
        <v>0</v>
      </c>
      <c r="V191" s="50"/>
      <c r="W191" s="50">
        <f t="shared" si="102"/>
        <v>0</v>
      </c>
      <c r="X191" s="50"/>
      <c r="Y191" s="50">
        <f t="shared" si="103"/>
        <v>0</v>
      </c>
      <c r="Z191" s="50"/>
      <c r="AA191" s="50">
        <f t="shared" si="104"/>
        <v>0</v>
      </c>
      <c r="AB191" s="50">
        <f>SUM(H191:AA191)</f>
        <v>0</v>
      </c>
      <c r="AC191" s="30" t="str">
        <f>IF(ABS(AB191-F191)&lt;1,"ok","err")</f>
        <v>ok</v>
      </c>
    </row>
    <row r="192" spans="1:29" x14ac:dyDescent="0.2">
      <c r="A192" s="14">
        <v>569</v>
      </c>
      <c r="B192" s="14" t="s">
        <v>804</v>
      </c>
      <c r="C192" s="14" t="s">
        <v>917</v>
      </c>
      <c r="D192" s="14" t="s">
        <v>390</v>
      </c>
      <c r="F192" s="50">
        <v>0</v>
      </c>
      <c r="G192" s="50"/>
      <c r="H192" s="50">
        <f t="shared" si="93"/>
        <v>0</v>
      </c>
      <c r="I192" s="50">
        <f t="shared" si="94"/>
        <v>0</v>
      </c>
      <c r="J192" s="50"/>
      <c r="K192" s="50">
        <f t="shared" si="95"/>
        <v>0</v>
      </c>
      <c r="L192" s="50"/>
      <c r="M192" s="50">
        <f t="shared" si="96"/>
        <v>0</v>
      </c>
      <c r="N192" s="50"/>
      <c r="O192" s="50">
        <f t="shared" si="97"/>
        <v>0</v>
      </c>
      <c r="P192" s="50">
        <f t="shared" si="98"/>
        <v>0</v>
      </c>
      <c r="Q192" s="50"/>
      <c r="R192" s="50">
        <f t="shared" si="99"/>
        <v>0</v>
      </c>
      <c r="S192" s="50">
        <f t="shared" si="100"/>
        <v>0</v>
      </c>
      <c r="T192" s="50"/>
      <c r="U192" s="50">
        <f t="shared" si="101"/>
        <v>0</v>
      </c>
      <c r="V192" s="50"/>
      <c r="W192" s="50">
        <f t="shared" si="102"/>
        <v>0</v>
      </c>
      <c r="X192" s="50"/>
      <c r="Y192" s="50">
        <f t="shared" si="103"/>
        <v>0</v>
      </c>
      <c r="Z192" s="50"/>
      <c r="AA192" s="50">
        <f t="shared" si="104"/>
        <v>0</v>
      </c>
      <c r="AB192" s="50">
        <f t="shared" si="105"/>
        <v>0</v>
      </c>
      <c r="AC192" s="30" t="str">
        <f t="shared" si="106"/>
        <v>ok</v>
      </c>
    </row>
    <row r="193" spans="1:29" x14ac:dyDescent="0.2">
      <c r="A193" s="14">
        <v>570</v>
      </c>
      <c r="B193" s="14" t="s">
        <v>375</v>
      </c>
      <c r="C193" s="14" t="s">
        <v>408</v>
      </c>
      <c r="D193" s="14" t="s">
        <v>390</v>
      </c>
      <c r="F193" s="50">
        <v>0</v>
      </c>
      <c r="G193" s="50"/>
      <c r="H193" s="50">
        <f t="shared" si="93"/>
        <v>0</v>
      </c>
      <c r="I193" s="50">
        <f t="shared" si="94"/>
        <v>0</v>
      </c>
      <c r="J193" s="50"/>
      <c r="K193" s="50">
        <f t="shared" si="95"/>
        <v>0</v>
      </c>
      <c r="L193" s="50"/>
      <c r="M193" s="50">
        <f t="shared" si="96"/>
        <v>0</v>
      </c>
      <c r="N193" s="50"/>
      <c r="O193" s="50">
        <f t="shared" si="97"/>
        <v>0</v>
      </c>
      <c r="P193" s="50">
        <f t="shared" si="98"/>
        <v>0</v>
      </c>
      <c r="Q193" s="50"/>
      <c r="R193" s="50">
        <f t="shared" si="99"/>
        <v>0</v>
      </c>
      <c r="S193" s="50">
        <f t="shared" si="100"/>
        <v>0</v>
      </c>
      <c r="T193" s="50"/>
      <c r="U193" s="50">
        <f t="shared" si="101"/>
        <v>0</v>
      </c>
      <c r="V193" s="50"/>
      <c r="W193" s="50">
        <f t="shared" si="102"/>
        <v>0</v>
      </c>
      <c r="X193" s="50"/>
      <c r="Y193" s="50">
        <f t="shared" si="103"/>
        <v>0</v>
      </c>
      <c r="Z193" s="50"/>
      <c r="AA193" s="50">
        <f t="shared" si="104"/>
        <v>0</v>
      </c>
      <c r="AB193" s="50">
        <f t="shared" si="105"/>
        <v>0</v>
      </c>
      <c r="AC193" s="30" t="str">
        <f t="shared" si="106"/>
        <v>ok</v>
      </c>
    </row>
    <row r="194" spans="1:29" x14ac:dyDescent="0.2">
      <c r="A194" s="14">
        <v>571</v>
      </c>
      <c r="B194" s="14" t="s">
        <v>376</v>
      </c>
      <c r="C194" s="14" t="s">
        <v>409</v>
      </c>
      <c r="D194" s="14" t="s">
        <v>390</v>
      </c>
      <c r="F194" s="50">
        <v>0</v>
      </c>
      <c r="G194" s="50"/>
      <c r="H194" s="50">
        <f t="shared" si="93"/>
        <v>0</v>
      </c>
      <c r="I194" s="50">
        <f t="shared" si="94"/>
        <v>0</v>
      </c>
      <c r="J194" s="50"/>
      <c r="K194" s="50">
        <f t="shared" si="95"/>
        <v>0</v>
      </c>
      <c r="L194" s="50"/>
      <c r="M194" s="50">
        <f t="shared" si="96"/>
        <v>0</v>
      </c>
      <c r="N194" s="50"/>
      <c r="O194" s="50">
        <f t="shared" si="97"/>
        <v>0</v>
      </c>
      <c r="P194" s="50">
        <f t="shared" si="98"/>
        <v>0</v>
      </c>
      <c r="Q194" s="50"/>
      <c r="R194" s="50">
        <f t="shared" si="99"/>
        <v>0</v>
      </c>
      <c r="S194" s="50">
        <f t="shared" si="100"/>
        <v>0</v>
      </c>
      <c r="T194" s="50"/>
      <c r="U194" s="50">
        <f t="shared" si="101"/>
        <v>0</v>
      </c>
      <c r="V194" s="50"/>
      <c r="W194" s="50">
        <f t="shared" si="102"/>
        <v>0</v>
      </c>
      <c r="X194" s="50"/>
      <c r="Y194" s="50">
        <f t="shared" si="103"/>
        <v>0</v>
      </c>
      <c r="Z194" s="50"/>
      <c r="AA194" s="50">
        <f t="shared" si="104"/>
        <v>0</v>
      </c>
      <c r="AB194" s="50">
        <f t="shared" si="105"/>
        <v>0</v>
      </c>
      <c r="AC194" s="30" t="str">
        <f t="shared" si="106"/>
        <v>ok</v>
      </c>
    </row>
    <row r="195" spans="1:29" x14ac:dyDescent="0.2">
      <c r="A195" s="14">
        <v>572</v>
      </c>
      <c r="B195" s="14" t="s">
        <v>923</v>
      </c>
      <c r="C195" s="14" t="s">
        <v>920</v>
      </c>
      <c r="D195" s="14" t="s">
        <v>390</v>
      </c>
      <c r="F195" s="50">
        <v>0</v>
      </c>
      <c r="G195" s="50"/>
      <c r="H195" s="50">
        <f t="shared" si="93"/>
        <v>0</v>
      </c>
      <c r="I195" s="50">
        <f t="shared" si="94"/>
        <v>0</v>
      </c>
      <c r="J195" s="50"/>
      <c r="K195" s="50">
        <f t="shared" si="95"/>
        <v>0</v>
      </c>
      <c r="L195" s="50"/>
      <c r="M195" s="50">
        <f t="shared" si="96"/>
        <v>0</v>
      </c>
      <c r="N195" s="50"/>
      <c r="O195" s="50">
        <f t="shared" si="97"/>
        <v>0</v>
      </c>
      <c r="P195" s="50">
        <f t="shared" si="98"/>
        <v>0</v>
      </c>
      <c r="Q195" s="50"/>
      <c r="R195" s="50">
        <f t="shared" si="99"/>
        <v>0</v>
      </c>
      <c r="S195" s="50">
        <f t="shared" si="100"/>
        <v>0</v>
      </c>
      <c r="T195" s="50"/>
      <c r="U195" s="50">
        <f t="shared" si="101"/>
        <v>0</v>
      </c>
      <c r="V195" s="50"/>
      <c r="W195" s="50">
        <f t="shared" si="102"/>
        <v>0</v>
      </c>
      <c r="X195" s="50"/>
      <c r="Y195" s="50">
        <f t="shared" si="103"/>
        <v>0</v>
      </c>
      <c r="Z195" s="50"/>
      <c r="AA195" s="50">
        <f t="shared" si="104"/>
        <v>0</v>
      </c>
      <c r="AB195" s="50">
        <f>SUM(H195:AA195)</f>
        <v>0</v>
      </c>
      <c r="AC195" s="30" t="str">
        <f>IF(ABS(AB195-F195)&lt;1,"ok","err")</f>
        <v>ok</v>
      </c>
    </row>
    <row r="196" spans="1:29" x14ac:dyDescent="0.2">
      <c r="A196" s="14">
        <v>573</v>
      </c>
      <c r="B196" s="14" t="s">
        <v>918</v>
      </c>
      <c r="C196" s="14" t="s">
        <v>921</v>
      </c>
      <c r="D196" s="14" t="s">
        <v>390</v>
      </c>
      <c r="F196" s="50">
        <v>0</v>
      </c>
      <c r="G196" s="50"/>
      <c r="H196" s="50">
        <f t="shared" si="93"/>
        <v>0</v>
      </c>
      <c r="I196" s="50">
        <f t="shared" si="94"/>
        <v>0</v>
      </c>
      <c r="J196" s="50"/>
      <c r="K196" s="50">
        <f t="shared" si="95"/>
        <v>0</v>
      </c>
      <c r="L196" s="50"/>
      <c r="M196" s="50">
        <f t="shared" si="96"/>
        <v>0</v>
      </c>
      <c r="N196" s="50"/>
      <c r="O196" s="50">
        <f t="shared" si="97"/>
        <v>0</v>
      </c>
      <c r="P196" s="50">
        <f t="shared" si="98"/>
        <v>0</v>
      </c>
      <c r="Q196" s="50"/>
      <c r="R196" s="50">
        <f t="shared" si="99"/>
        <v>0</v>
      </c>
      <c r="S196" s="50">
        <f t="shared" si="100"/>
        <v>0</v>
      </c>
      <c r="T196" s="50"/>
      <c r="U196" s="50">
        <f t="shared" si="101"/>
        <v>0</v>
      </c>
      <c r="V196" s="50"/>
      <c r="W196" s="50">
        <f t="shared" si="102"/>
        <v>0</v>
      </c>
      <c r="X196" s="50"/>
      <c r="Y196" s="50">
        <f t="shared" si="103"/>
        <v>0</v>
      </c>
      <c r="Z196" s="50"/>
      <c r="AA196" s="50">
        <f t="shared" si="104"/>
        <v>0</v>
      </c>
      <c r="AB196" s="50">
        <f>SUM(H196:AA196)</f>
        <v>0</v>
      </c>
      <c r="AC196" s="30" t="str">
        <f>IF(ABS(AB196-F196)&lt;1,"ok","err")</f>
        <v>ok</v>
      </c>
    </row>
    <row r="197" spans="1:29" x14ac:dyDescent="0.2">
      <c r="A197" s="14">
        <v>574</v>
      </c>
      <c r="B197" s="14" t="s">
        <v>919</v>
      </c>
      <c r="C197" s="14" t="s">
        <v>922</v>
      </c>
      <c r="D197" s="14" t="s">
        <v>390</v>
      </c>
      <c r="F197" s="50">
        <v>0</v>
      </c>
      <c r="G197" s="50"/>
      <c r="H197" s="50">
        <f t="shared" si="93"/>
        <v>0</v>
      </c>
      <c r="I197" s="50">
        <f t="shared" si="94"/>
        <v>0</v>
      </c>
      <c r="J197" s="50"/>
      <c r="K197" s="50">
        <f t="shared" si="95"/>
        <v>0</v>
      </c>
      <c r="L197" s="50"/>
      <c r="M197" s="50">
        <f t="shared" si="96"/>
        <v>0</v>
      </c>
      <c r="N197" s="50"/>
      <c r="O197" s="50">
        <f t="shared" si="97"/>
        <v>0</v>
      </c>
      <c r="P197" s="50">
        <f t="shared" si="98"/>
        <v>0</v>
      </c>
      <c r="Q197" s="50"/>
      <c r="R197" s="50">
        <f t="shared" si="99"/>
        <v>0</v>
      </c>
      <c r="S197" s="50">
        <f t="shared" si="100"/>
        <v>0</v>
      </c>
      <c r="T197" s="50"/>
      <c r="U197" s="50">
        <f t="shared" si="101"/>
        <v>0</v>
      </c>
      <c r="V197" s="50"/>
      <c r="W197" s="50">
        <f t="shared" si="102"/>
        <v>0</v>
      </c>
      <c r="X197" s="50"/>
      <c r="Y197" s="50">
        <f t="shared" si="103"/>
        <v>0</v>
      </c>
      <c r="Z197" s="50"/>
      <c r="AA197" s="50">
        <f t="shared" si="104"/>
        <v>0</v>
      </c>
      <c r="AB197" s="50">
        <f t="shared" si="105"/>
        <v>0</v>
      </c>
      <c r="AC197" s="30" t="str">
        <f t="shared" si="106"/>
        <v>ok</v>
      </c>
    </row>
    <row r="198" spans="1:29" x14ac:dyDescent="0.2"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50"/>
      <c r="AC198" s="30"/>
    </row>
    <row r="199" spans="1:29" x14ac:dyDescent="0.2">
      <c r="A199" s="14" t="s">
        <v>377</v>
      </c>
      <c r="F199" s="260">
        <f>SUM(F183:F197)</f>
        <v>0</v>
      </c>
      <c r="G199" s="93"/>
      <c r="H199" s="93">
        <f t="shared" ref="H199:AA199" si="107">SUM(H183:H197)</f>
        <v>0</v>
      </c>
      <c r="I199" s="93">
        <f t="shared" si="107"/>
        <v>0</v>
      </c>
      <c r="J199" s="93"/>
      <c r="K199" s="93">
        <f t="shared" si="107"/>
        <v>0</v>
      </c>
      <c r="L199" s="93"/>
      <c r="M199" s="93">
        <f t="shared" si="107"/>
        <v>0</v>
      </c>
      <c r="N199" s="93"/>
      <c r="O199" s="93">
        <f t="shared" si="107"/>
        <v>0</v>
      </c>
      <c r="P199" s="93">
        <f t="shared" si="107"/>
        <v>0</v>
      </c>
      <c r="Q199" s="93"/>
      <c r="R199" s="93">
        <f t="shared" si="107"/>
        <v>0</v>
      </c>
      <c r="S199" s="93">
        <f t="shared" si="107"/>
        <v>0</v>
      </c>
      <c r="T199" s="93"/>
      <c r="U199" s="93">
        <f t="shared" si="107"/>
        <v>0</v>
      </c>
      <c r="V199" s="93"/>
      <c r="W199" s="93">
        <f t="shared" si="107"/>
        <v>0</v>
      </c>
      <c r="X199" s="93"/>
      <c r="Y199" s="93">
        <f t="shared" si="107"/>
        <v>0</v>
      </c>
      <c r="Z199" s="93"/>
      <c r="AA199" s="93">
        <f t="shared" si="107"/>
        <v>0</v>
      </c>
      <c r="AB199" s="66">
        <f>SUM(H199:AA199)</f>
        <v>0</v>
      </c>
      <c r="AC199" s="30" t="str">
        <f>IF(ABS(AB199-F199)&lt;1,"ok","err")</f>
        <v>ok</v>
      </c>
    </row>
    <row r="200" spans="1:29" x14ac:dyDescent="0.2">
      <c r="B200" s="93"/>
      <c r="Q200" s="14"/>
      <c r="AC200" s="30"/>
    </row>
    <row r="201" spans="1:29" x14ac:dyDescent="0.2">
      <c r="A201" s="13" t="s">
        <v>98</v>
      </c>
      <c r="Q201" s="14"/>
      <c r="AC201" s="30"/>
    </row>
    <row r="202" spans="1:29" x14ac:dyDescent="0.2">
      <c r="A202" s="14">
        <v>580</v>
      </c>
      <c r="B202" s="14" t="s">
        <v>99</v>
      </c>
      <c r="C202" s="14" t="s">
        <v>100</v>
      </c>
      <c r="D202" s="14" t="s">
        <v>16</v>
      </c>
      <c r="F202" s="66">
        <v>0</v>
      </c>
      <c r="G202" s="66"/>
      <c r="H202" s="50">
        <f t="shared" ref="H202:H213" si="108">IF(VLOOKUP($D202,$C$5:$AA$494,6,)=0,0,((VLOOKUP($D202,$C$5:$AA$494,6,)/VLOOKUP($D202,$C$5:$AA$494,4,))*$F202))</f>
        <v>0</v>
      </c>
      <c r="I202" s="50">
        <f t="shared" ref="I202:I213" si="109">IF(VLOOKUP($D202,$C$5:$AA$494,7,)=0,0,((VLOOKUP($D202,$C$5:$AA$494,7,)/VLOOKUP($D202,$C$5:$AA$494,4,))*$F202))</f>
        <v>0</v>
      </c>
      <c r="J202" s="50"/>
      <c r="K202" s="50">
        <f t="shared" ref="K202:K213" si="110">IF(VLOOKUP($D202,$C$5:$AA$494,9,)=0,0,((VLOOKUP($D202,$C$5:$AA$494,9,)/VLOOKUP($D202,$C$5:$AA$494,4,))*$F202))</f>
        <v>0</v>
      </c>
      <c r="L202" s="50"/>
      <c r="M202" s="50">
        <f t="shared" ref="M202:M213" si="111">IF(VLOOKUP($D202,$C$5:$AA$494,11,)=0,0,((VLOOKUP($D202,$C$5:$AA$494,11,)/VLOOKUP($D202,$C$5:$AA$494,4,))*$F202))</f>
        <v>0</v>
      </c>
      <c r="N202" s="50"/>
      <c r="O202" s="50">
        <f t="shared" ref="O202:O213" si="112">IF(VLOOKUP($D202,$C$5:$AA$494,13,)=0,0,((VLOOKUP($D202,$C$5:$AA$494,13,)/VLOOKUP($D202,$C$5:$AA$494,4,))*$F202))</f>
        <v>0</v>
      </c>
      <c r="P202" s="50">
        <f t="shared" ref="P202:P213" si="113">IF(VLOOKUP($D202,$C$5:$AA$494,14,)=0,0,((VLOOKUP($D202,$C$5:$AA$494,14,)/VLOOKUP($D202,$C$5:$AA$494,4,))*$F202))</f>
        <v>0</v>
      </c>
      <c r="Q202" s="50"/>
      <c r="R202" s="50">
        <f t="shared" ref="R202:R213" si="114">IF(VLOOKUP($D202,$C$5:$AA$494,16,)=0,0,((VLOOKUP($D202,$C$5:$AA$494,16,)/VLOOKUP($D202,$C$5:$AA$494,4,))*$F202))</f>
        <v>0</v>
      </c>
      <c r="S202" s="50">
        <f t="shared" ref="S202:S213" si="115">IF(VLOOKUP($D202,$C$5:$AA$494,17,)=0,0,((VLOOKUP($D202,$C$5:$AA$494,17,)/VLOOKUP($D202,$C$5:$AA$494,4,))*$F202))</f>
        <v>0</v>
      </c>
      <c r="T202" s="50"/>
      <c r="U202" s="50">
        <f t="shared" ref="U202:U213" si="116">IF(VLOOKUP($D202,$C$5:$AA$494,19,)=0,0,((VLOOKUP($D202,$C$5:$AA$494,19,)/VLOOKUP($D202,$C$5:$AA$494,4,))*$F202))</f>
        <v>0</v>
      </c>
      <c r="V202" s="50"/>
      <c r="W202" s="50">
        <f t="shared" ref="W202:W213" si="117">IF(VLOOKUP($D202,$C$5:$AA$494,21,)=0,0,((VLOOKUP($D202,$C$5:$AA$494,21,)/VLOOKUP($D202,$C$5:$AA$494,4,))*$F202))</f>
        <v>0</v>
      </c>
      <c r="X202" s="50"/>
      <c r="Y202" s="50">
        <f t="shared" ref="Y202:Y213" si="118">IF(VLOOKUP($D202,$C$5:$AA$494,23,)=0,0,((VLOOKUP($D202,$C$5:$AA$494,23,)/VLOOKUP($D202,$C$5:$AA$494,4,))*$F202))</f>
        <v>0</v>
      </c>
      <c r="Z202" s="50"/>
      <c r="AA202" s="50">
        <f t="shared" ref="AA202:AA213" si="119">IF(VLOOKUP($D202,$C$5:$AA$494,25,)=0,0,((VLOOKUP($D202,$C$5:$AA$494,25,)/VLOOKUP($D202,$C$5:$AA$494,4,))*$F202))</f>
        <v>0</v>
      </c>
      <c r="AB202" s="50">
        <f t="shared" ref="AB202:AB213" si="120">SUM(H202:AA202)</f>
        <v>0</v>
      </c>
      <c r="AC202" s="30" t="str">
        <f t="shared" ref="AC202:AC213" si="121">IF(ABS(AB202-F202)&lt;1,"ok","err")</f>
        <v>ok</v>
      </c>
    </row>
    <row r="203" spans="1:29" x14ac:dyDescent="0.2">
      <c r="A203" s="14">
        <v>581</v>
      </c>
      <c r="B203" s="14" t="s">
        <v>101</v>
      </c>
      <c r="C203" s="14" t="s">
        <v>102</v>
      </c>
      <c r="D203" s="14" t="s">
        <v>23</v>
      </c>
      <c r="F203" s="50">
        <v>0</v>
      </c>
      <c r="G203" s="50"/>
      <c r="H203" s="50">
        <f t="shared" si="108"/>
        <v>0</v>
      </c>
      <c r="I203" s="50">
        <f t="shared" si="109"/>
        <v>0</v>
      </c>
      <c r="J203" s="50"/>
      <c r="K203" s="50">
        <f t="shared" si="110"/>
        <v>0</v>
      </c>
      <c r="L203" s="50"/>
      <c r="M203" s="50">
        <f t="shared" si="111"/>
        <v>0</v>
      </c>
      <c r="N203" s="50"/>
      <c r="O203" s="50">
        <f t="shared" si="112"/>
        <v>0</v>
      </c>
      <c r="P203" s="50">
        <f t="shared" si="113"/>
        <v>0</v>
      </c>
      <c r="Q203" s="50"/>
      <c r="R203" s="50">
        <f t="shared" si="114"/>
        <v>0</v>
      </c>
      <c r="S203" s="50">
        <f t="shared" si="115"/>
        <v>0</v>
      </c>
      <c r="T203" s="50"/>
      <c r="U203" s="50">
        <f t="shared" si="116"/>
        <v>0</v>
      </c>
      <c r="V203" s="50"/>
      <c r="W203" s="50">
        <f t="shared" si="117"/>
        <v>0</v>
      </c>
      <c r="X203" s="50"/>
      <c r="Y203" s="50">
        <f t="shared" si="118"/>
        <v>0</v>
      </c>
      <c r="Z203" s="50"/>
      <c r="AA203" s="50">
        <f t="shared" si="119"/>
        <v>0</v>
      </c>
      <c r="AB203" s="50">
        <f t="shared" si="120"/>
        <v>0</v>
      </c>
      <c r="AC203" s="30" t="str">
        <f t="shared" si="121"/>
        <v>ok</v>
      </c>
    </row>
    <row r="204" spans="1:29" x14ac:dyDescent="0.2">
      <c r="A204" s="14">
        <v>582</v>
      </c>
      <c r="B204" s="14" t="s">
        <v>372</v>
      </c>
      <c r="C204" s="14" t="s">
        <v>378</v>
      </c>
      <c r="D204" s="14" t="s">
        <v>23</v>
      </c>
      <c r="F204" s="50">
        <v>0</v>
      </c>
      <c r="G204" s="50"/>
      <c r="H204" s="50">
        <f t="shared" si="108"/>
        <v>0</v>
      </c>
      <c r="I204" s="50">
        <f t="shared" si="109"/>
        <v>0</v>
      </c>
      <c r="J204" s="50"/>
      <c r="K204" s="50">
        <f t="shared" si="110"/>
        <v>0</v>
      </c>
      <c r="L204" s="50"/>
      <c r="M204" s="50">
        <f t="shared" si="111"/>
        <v>0</v>
      </c>
      <c r="N204" s="50"/>
      <c r="O204" s="50">
        <f t="shared" si="112"/>
        <v>0</v>
      </c>
      <c r="P204" s="50">
        <f t="shared" si="113"/>
        <v>0</v>
      </c>
      <c r="Q204" s="50"/>
      <c r="R204" s="50">
        <f t="shared" si="114"/>
        <v>0</v>
      </c>
      <c r="S204" s="50">
        <f t="shared" si="115"/>
        <v>0</v>
      </c>
      <c r="T204" s="50"/>
      <c r="U204" s="50">
        <f t="shared" si="116"/>
        <v>0</v>
      </c>
      <c r="V204" s="50"/>
      <c r="W204" s="50">
        <f t="shared" si="117"/>
        <v>0</v>
      </c>
      <c r="X204" s="50"/>
      <c r="Y204" s="50">
        <f t="shared" si="118"/>
        <v>0</v>
      </c>
      <c r="Z204" s="50"/>
      <c r="AA204" s="50">
        <f t="shared" si="119"/>
        <v>0</v>
      </c>
      <c r="AB204" s="50">
        <f t="shared" si="120"/>
        <v>0</v>
      </c>
      <c r="AC204" s="30" t="str">
        <f t="shared" si="121"/>
        <v>ok</v>
      </c>
    </row>
    <row r="205" spans="1:29" x14ac:dyDescent="0.2">
      <c r="A205" s="14">
        <v>583</v>
      </c>
      <c r="B205" s="14" t="s">
        <v>103</v>
      </c>
      <c r="C205" s="14" t="s">
        <v>104</v>
      </c>
      <c r="D205" s="14" t="s">
        <v>29</v>
      </c>
      <c r="F205" s="50">
        <v>883694.76</v>
      </c>
      <c r="G205" s="50"/>
      <c r="H205" s="50">
        <f t="shared" si="108"/>
        <v>0</v>
      </c>
      <c r="I205" s="50">
        <f t="shared" si="109"/>
        <v>0</v>
      </c>
      <c r="J205" s="50"/>
      <c r="K205" s="50">
        <f t="shared" si="110"/>
        <v>0</v>
      </c>
      <c r="L205" s="50"/>
      <c r="M205" s="50">
        <f t="shared" si="111"/>
        <v>0</v>
      </c>
      <c r="N205" s="50"/>
      <c r="O205" s="50">
        <f t="shared" si="112"/>
        <v>676385.45329556451</v>
      </c>
      <c r="P205" s="50">
        <f t="shared" si="113"/>
        <v>207309.30670443547</v>
      </c>
      <c r="Q205" s="50"/>
      <c r="R205" s="50">
        <f t="shared" si="114"/>
        <v>0</v>
      </c>
      <c r="S205" s="50">
        <f t="shared" si="115"/>
        <v>0</v>
      </c>
      <c r="T205" s="50"/>
      <c r="U205" s="50">
        <f t="shared" si="116"/>
        <v>0</v>
      </c>
      <c r="V205" s="50"/>
      <c r="W205" s="50">
        <f t="shared" si="117"/>
        <v>0</v>
      </c>
      <c r="X205" s="50"/>
      <c r="Y205" s="50">
        <f t="shared" si="118"/>
        <v>0</v>
      </c>
      <c r="Z205" s="50"/>
      <c r="AA205" s="50">
        <f t="shared" si="119"/>
        <v>0</v>
      </c>
      <c r="AB205" s="50">
        <f t="shared" si="120"/>
        <v>883694.76</v>
      </c>
      <c r="AC205" s="30" t="str">
        <f t="shared" si="121"/>
        <v>ok</v>
      </c>
    </row>
    <row r="206" spans="1:29" x14ac:dyDescent="0.2">
      <c r="A206" s="14">
        <v>584</v>
      </c>
      <c r="B206" s="14" t="s">
        <v>105</v>
      </c>
      <c r="C206" s="14" t="s">
        <v>106</v>
      </c>
      <c r="D206" s="14" t="s">
        <v>35</v>
      </c>
      <c r="F206" s="50">
        <v>167332.34</v>
      </c>
      <c r="G206" s="50"/>
      <c r="H206" s="50">
        <f t="shared" si="108"/>
        <v>0</v>
      </c>
      <c r="I206" s="50">
        <f t="shared" si="109"/>
        <v>0</v>
      </c>
      <c r="J206" s="50"/>
      <c r="K206" s="50">
        <f t="shared" si="110"/>
        <v>0</v>
      </c>
      <c r="L206" s="50"/>
      <c r="M206" s="50">
        <f t="shared" si="111"/>
        <v>0</v>
      </c>
      <c r="N206" s="50"/>
      <c r="O206" s="50">
        <f t="shared" si="112"/>
        <v>20971.457528069936</v>
      </c>
      <c r="P206" s="50">
        <f t="shared" si="113"/>
        <v>146360.88247193006</v>
      </c>
      <c r="Q206" s="50"/>
      <c r="R206" s="50">
        <f t="shared" si="114"/>
        <v>0</v>
      </c>
      <c r="S206" s="50">
        <f t="shared" si="115"/>
        <v>0</v>
      </c>
      <c r="T206" s="50"/>
      <c r="U206" s="50">
        <f t="shared" si="116"/>
        <v>0</v>
      </c>
      <c r="V206" s="50"/>
      <c r="W206" s="50">
        <f t="shared" si="117"/>
        <v>0</v>
      </c>
      <c r="X206" s="50"/>
      <c r="Y206" s="50">
        <f t="shared" si="118"/>
        <v>0</v>
      </c>
      <c r="Z206" s="50"/>
      <c r="AA206" s="50">
        <f t="shared" si="119"/>
        <v>0</v>
      </c>
      <c r="AB206" s="50">
        <f t="shared" si="120"/>
        <v>167332.34</v>
      </c>
      <c r="AC206" s="30" t="str">
        <f t="shared" si="121"/>
        <v>ok</v>
      </c>
    </row>
    <row r="207" spans="1:29" x14ac:dyDescent="0.2">
      <c r="A207" s="14">
        <v>585</v>
      </c>
      <c r="B207" s="14" t="s">
        <v>107</v>
      </c>
      <c r="C207" s="14" t="s">
        <v>108</v>
      </c>
      <c r="D207" s="14" t="s">
        <v>46</v>
      </c>
      <c r="F207" s="50">
        <v>0</v>
      </c>
      <c r="G207" s="50"/>
      <c r="H207" s="50">
        <f t="shared" si="108"/>
        <v>0</v>
      </c>
      <c r="I207" s="50">
        <f t="shared" si="109"/>
        <v>0</v>
      </c>
      <c r="J207" s="50"/>
      <c r="K207" s="50">
        <f t="shared" si="110"/>
        <v>0</v>
      </c>
      <c r="L207" s="50"/>
      <c r="M207" s="50">
        <f t="shared" si="111"/>
        <v>0</v>
      </c>
      <c r="N207" s="50"/>
      <c r="O207" s="50">
        <f t="shared" si="112"/>
        <v>0</v>
      </c>
      <c r="P207" s="50">
        <f t="shared" si="113"/>
        <v>0</v>
      </c>
      <c r="Q207" s="50"/>
      <c r="R207" s="50">
        <f t="shared" si="114"/>
        <v>0</v>
      </c>
      <c r="S207" s="50">
        <f t="shared" si="115"/>
        <v>0</v>
      </c>
      <c r="T207" s="50"/>
      <c r="U207" s="50">
        <f t="shared" si="116"/>
        <v>0</v>
      </c>
      <c r="V207" s="50"/>
      <c r="W207" s="50">
        <f t="shared" si="117"/>
        <v>0</v>
      </c>
      <c r="X207" s="50"/>
      <c r="Y207" s="50">
        <f t="shared" si="118"/>
        <v>0</v>
      </c>
      <c r="Z207" s="50"/>
      <c r="AA207" s="50">
        <f t="shared" si="119"/>
        <v>0</v>
      </c>
      <c r="AB207" s="50">
        <f t="shared" si="120"/>
        <v>0</v>
      </c>
      <c r="AC207" s="30" t="str">
        <f t="shared" si="121"/>
        <v>ok</v>
      </c>
    </row>
    <row r="208" spans="1:29" x14ac:dyDescent="0.2">
      <c r="A208" s="14">
        <v>586</v>
      </c>
      <c r="B208" s="14" t="s">
        <v>109</v>
      </c>
      <c r="C208" s="14" t="s">
        <v>110</v>
      </c>
      <c r="D208" s="14" t="s">
        <v>43</v>
      </c>
      <c r="F208" s="50">
        <v>389331.06</v>
      </c>
      <c r="G208" s="50"/>
      <c r="H208" s="50">
        <f t="shared" si="108"/>
        <v>0</v>
      </c>
      <c r="I208" s="50">
        <f t="shared" si="109"/>
        <v>0</v>
      </c>
      <c r="J208" s="50"/>
      <c r="K208" s="50">
        <f t="shared" si="110"/>
        <v>0</v>
      </c>
      <c r="L208" s="50"/>
      <c r="M208" s="50">
        <f t="shared" si="111"/>
        <v>0</v>
      </c>
      <c r="N208" s="50"/>
      <c r="O208" s="50">
        <f t="shared" si="112"/>
        <v>0</v>
      </c>
      <c r="P208" s="50">
        <f t="shared" si="113"/>
        <v>0</v>
      </c>
      <c r="Q208" s="50"/>
      <c r="R208" s="50">
        <f t="shared" si="114"/>
        <v>0</v>
      </c>
      <c r="S208" s="50">
        <f t="shared" si="115"/>
        <v>0</v>
      </c>
      <c r="T208" s="50"/>
      <c r="U208" s="50">
        <f t="shared" si="116"/>
        <v>389331.06</v>
      </c>
      <c r="V208" s="50"/>
      <c r="W208" s="50">
        <f t="shared" si="117"/>
        <v>0</v>
      </c>
      <c r="X208" s="50"/>
      <c r="Y208" s="50">
        <f t="shared" si="118"/>
        <v>0</v>
      </c>
      <c r="Z208" s="50"/>
      <c r="AA208" s="50">
        <f t="shared" si="119"/>
        <v>0</v>
      </c>
      <c r="AB208" s="50">
        <f t="shared" si="120"/>
        <v>389331.06</v>
      </c>
      <c r="AC208" s="30" t="str">
        <f t="shared" si="121"/>
        <v>ok</v>
      </c>
    </row>
    <row r="209" spans="1:29" x14ac:dyDescent="0.2">
      <c r="A209" s="14">
        <v>586</v>
      </c>
      <c r="B209" s="14" t="s">
        <v>450</v>
      </c>
      <c r="C209" s="14" t="s">
        <v>451</v>
      </c>
      <c r="D209" s="14" t="s">
        <v>471</v>
      </c>
      <c r="F209" s="50">
        <v>0</v>
      </c>
      <c r="G209" s="50"/>
      <c r="H209" s="50">
        <f t="shared" si="108"/>
        <v>0</v>
      </c>
      <c r="I209" s="50">
        <f t="shared" si="109"/>
        <v>0</v>
      </c>
      <c r="J209" s="50"/>
      <c r="K209" s="50">
        <f t="shared" si="110"/>
        <v>0</v>
      </c>
      <c r="L209" s="50"/>
      <c r="M209" s="50">
        <f t="shared" si="111"/>
        <v>0</v>
      </c>
      <c r="N209" s="50"/>
      <c r="O209" s="50">
        <f t="shared" si="112"/>
        <v>0</v>
      </c>
      <c r="P209" s="50">
        <f t="shared" si="113"/>
        <v>0</v>
      </c>
      <c r="Q209" s="50"/>
      <c r="R209" s="50">
        <f t="shared" si="114"/>
        <v>0</v>
      </c>
      <c r="S209" s="50">
        <f t="shared" si="115"/>
        <v>0</v>
      </c>
      <c r="T209" s="50"/>
      <c r="U209" s="50">
        <f t="shared" si="116"/>
        <v>0</v>
      </c>
      <c r="V209" s="50"/>
      <c r="W209" s="50">
        <f t="shared" si="117"/>
        <v>0</v>
      </c>
      <c r="X209" s="50"/>
      <c r="Y209" s="50">
        <f t="shared" si="118"/>
        <v>0</v>
      </c>
      <c r="Z209" s="50"/>
      <c r="AA209" s="50">
        <f t="shared" si="119"/>
        <v>0</v>
      </c>
      <c r="AB209" s="50">
        <f t="shared" si="120"/>
        <v>0</v>
      </c>
      <c r="AC209" s="30" t="str">
        <f t="shared" si="121"/>
        <v>ok</v>
      </c>
    </row>
    <row r="210" spans="1:29" x14ac:dyDescent="0.2">
      <c r="A210" s="14">
        <v>587</v>
      </c>
      <c r="B210" s="14" t="s">
        <v>111</v>
      </c>
      <c r="C210" s="14" t="s">
        <v>112</v>
      </c>
      <c r="D210" s="14" t="s">
        <v>40</v>
      </c>
      <c r="F210" s="50">
        <v>171187.22</v>
      </c>
      <c r="G210" s="50"/>
      <c r="H210" s="50">
        <f t="shared" si="108"/>
        <v>0</v>
      </c>
      <c r="I210" s="50">
        <f t="shared" si="109"/>
        <v>0</v>
      </c>
      <c r="J210" s="50"/>
      <c r="K210" s="50">
        <f t="shared" si="110"/>
        <v>0</v>
      </c>
      <c r="L210" s="50"/>
      <c r="M210" s="50">
        <f t="shared" si="111"/>
        <v>0</v>
      </c>
      <c r="N210" s="50"/>
      <c r="O210" s="50">
        <f t="shared" si="112"/>
        <v>0</v>
      </c>
      <c r="P210" s="50">
        <f t="shared" si="113"/>
        <v>0</v>
      </c>
      <c r="Q210" s="50"/>
      <c r="R210" s="50">
        <f t="shared" si="114"/>
        <v>0</v>
      </c>
      <c r="S210" s="50">
        <f t="shared" si="115"/>
        <v>171187.22</v>
      </c>
      <c r="T210" s="50"/>
      <c r="U210" s="50">
        <f t="shared" si="116"/>
        <v>0</v>
      </c>
      <c r="V210" s="50"/>
      <c r="W210" s="50">
        <f t="shared" si="117"/>
        <v>0</v>
      </c>
      <c r="X210" s="50"/>
      <c r="Y210" s="50">
        <f t="shared" si="118"/>
        <v>0</v>
      </c>
      <c r="Z210" s="50"/>
      <c r="AA210" s="50">
        <f t="shared" si="119"/>
        <v>0</v>
      </c>
      <c r="AB210" s="50">
        <f t="shared" si="120"/>
        <v>171187.22</v>
      </c>
      <c r="AC210" s="30" t="str">
        <f t="shared" si="121"/>
        <v>ok</v>
      </c>
    </row>
    <row r="211" spans="1:29" x14ac:dyDescent="0.2">
      <c r="A211" s="14">
        <v>588</v>
      </c>
      <c r="B211" s="14" t="s">
        <v>113</v>
      </c>
      <c r="C211" s="14" t="s">
        <v>114</v>
      </c>
      <c r="D211" s="14" t="s">
        <v>16</v>
      </c>
      <c r="F211" s="50">
        <v>191644.61</v>
      </c>
      <c r="G211" s="50"/>
      <c r="H211" s="50">
        <f t="shared" si="108"/>
        <v>0</v>
      </c>
      <c r="I211" s="50">
        <f t="shared" si="109"/>
        <v>0</v>
      </c>
      <c r="J211" s="50"/>
      <c r="K211" s="50">
        <f t="shared" si="110"/>
        <v>0</v>
      </c>
      <c r="L211" s="50"/>
      <c r="M211" s="50">
        <f t="shared" si="111"/>
        <v>9.2911172133027744</v>
      </c>
      <c r="N211" s="50"/>
      <c r="O211" s="50">
        <f t="shared" si="112"/>
        <v>101166.8276338315</v>
      </c>
      <c r="P211" s="50">
        <f t="shared" si="113"/>
        <v>52002.477049367604</v>
      </c>
      <c r="Q211" s="50"/>
      <c r="R211" s="50">
        <f t="shared" si="114"/>
        <v>0</v>
      </c>
      <c r="S211" s="50">
        <f t="shared" si="115"/>
        <v>16307.538905067287</v>
      </c>
      <c r="T211" s="50"/>
      <c r="U211" s="50">
        <f t="shared" si="116"/>
        <v>9632.6115965548142</v>
      </c>
      <c r="V211" s="50"/>
      <c r="W211" s="50">
        <f t="shared" si="117"/>
        <v>12525.863697965458</v>
      </c>
      <c r="X211" s="50"/>
      <c r="Y211" s="50">
        <f t="shared" si="118"/>
        <v>0</v>
      </c>
      <c r="Z211" s="50"/>
      <c r="AA211" s="50">
        <f t="shared" si="119"/>
        <v>0</v>
      </c>
      <c r="AB211" s="50">
        <f t="shared" si="120"/>
        <v>191644.60999999996</v>
      </c>
      <c r="AC211" s="30" t="str">
        <f t="shared" si="121"/>
        <v>ok</v>
      </c>
    </row>
    <row r="212" spans="1:29" x14ac:dyDescent="0.2">
      <c r="A212" s="14">
        <v>588</v>
      </c>
      <c r="B212" s="14" t="s">
        <v>709</v>
      </c>
      <c r="C212" s="14" t="s">
        <v>550</v>
      </c>
      <c r="D212" s="14" t="s">
        <v>551</v>
      </c>
      <c r="F212" s="50">
        <v>0</v>
      </c>
      <c r="G212" s="50"/>
      <c r="H212" s="50">
        <f t="shared" si="108"/>
        <v>0</v>
      </c>
      <c r="I212" s="50">
        <f t="shared" si="109"/>
        <v>0</v>
      </c>
      <c r="J212" s="50"/>
      <c r="K212" s="50">
        <f t="shared" si="110"/>
        <v>0</v>
      </c>
      <c r="L212" s="50"/>
      <c r="M212" s="50">
        <f t="shared" si="111"/>
        <v>0</v>
      </c>
      <c r="N212" s="50"/>
      <c r="O212" s="50">
        <f t="shared" si="112"/>
        <v>0</v>
      </c>
      <c r="P212" s="50">
        <f t="shared" si="113"/>
        <v>0</v>
      </c>
      <c r="Q212" s="50"/>
      <c r="R212" s="50">
        <f t="shared" si="114"/>
        <v>0</v>
      </c>
      <c r="S212" s="50">
        <f t="shared" si="115"/>
        <v>0</v>
      </c>
      <c r="T212" s="50"/>
      <c r="U212" s="50">
        <f t="shared" si="116"/>
        <v>0</v>
      </c>
      <c r="V212" s="50"/>
      <c r="W212" s="50">
        <f t="shared" si="117"/>
        <v>0</v>
      </c>
      <c r="X212" s="50"/>
      <c r="Y212" s="50">
        <f t="shared" si="118"/>
        <v>0</v>
      </c>
      <c r="Z212" s="50"/>
      <c r="AA212" s="50">
        <f t="shared" si="119"/>
        <v>0</v>
      </c>
      <c r="AB212" s="50">
        <f t="shared" si="120"/>
        <v>0</v>
      </c>
      <c r="AC212" s="30" t="str">
        <f t="shared" si="121"/>
        <v>ok</v>
      </c>
    </row>
    <row r="213" spans="1:29" x14ac:dyDescent="0.2">
      <c r="A213" s="14">
        <v>589</v>
      </c>
      <c r="B213" s="14" t="s">
        <v>115</v>
      </c>
      <c r="C213" s="14" t="s">
        <v>116</v>
      </c>
      <c r="D213" s="14" t="s">
        <v>16</v>
      </c>
      <c r="F213" s="50">
        <v>8100</v>
      </c>
      <c r="G213" s="50"/>
      <c r="H213" s="50">
        <f t="shared" si="108"/>
        <v>0</v>
      </c>
      <c r="I213" s="50">
        <f t="shared" si="109"/>
        <v>0</v>
      </c>
      <c r="J213" s="50"/>
      <c r="K213" s="50">
        <f t="shared" si="110"/>
        <v>0</v>
      </c>
      <c r="L213" s="50"/>
      <c r="M213" s="50">
        <f t="shared" si="111"/>
        <v>0.39269588342584993</v>
      </c>
      <c r="N213" s="50"/>
      <c r="O213" s="50">
        <f t="shared" si="112"/>
        <v>4275.8901689644972</v>
      </c>
      <c r="P213" s="50">
        <f t="shared" si="113"/>
        <v>2197.9228327886581</v>
      </c>
      <c r="Q213" s="50"/>
      <c r="R213" s="50">
        <f t="shared" si="114"/>
        <v>0</v>
      </c>
      <c r="S213" s="50">
        <f t="shared" si="115"/>
        <v>689.25009229868272</v>
      </c>
      <c r="T213" s="50"/>
      <c r="U213" s="50">
        <f t="shared" si="116"/>
        <v>407.12939399701349</v>
      </c>
      <c r="V213" s="50"/>
      <c r="W213" s="50">
        <f t="shared" si="117"/>
        <v>529.41481606772152</v>
      </c>
      <c r="X213" s="50"/>
      <c r="Y213" s="50">
        <f t="shared" si="118"/>
        <v>0</v>
      </c>
      <c r="Z213" s="50"/>
      <c r="AA213" s="50">
        <f t="shared" si="119"/>
        <v>0</v>
      </c>
      <c r="AB213" s="50">
        <f t="shared" si="120"/>
        <v>8099.9999999999982</v>
      </c>
      <c r="AC213" s="30" t="str">
        <f t="shared" si="121"/>
        <v>ok</v>
      </c>
    </row>
    <row r="214" spans="1:29" x14ac:dyDescent="0.2"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C214" s="30"/>
    </row>
    <row r="215" spans="1:29" x14ac:dyDescent="0.2">
      <c r="A215" s="14" t="s">
        <v>117</v>
      </c>
      <c r="C215" s="14" t="s">
        <v>118</v>
      </c>
      <c r="F215" s="66">
        <f>SUM(F202:F214)</f>
        <v>1811289.9900000002</v>
      </c>
      <c r="G215" s="66"/>
      <c r="H215" s="66">
        <f t="shared" ref="H215:AA215" si="122">SUM(H202:H214)</f>
        <v>0</v>
      </c>
      <c r="I215" s="66">
        <f t="shared" si="122"/>
        <v>0</v>
      </c>
      <c r="J215" s="66"/>
      <c r="K215" s="66">
        <f t="shared" si="122"/>
        <v>0</v>
      </c>
      <c r="L215" s="66"/>
      <c r="M215" s="66">
        <f t="shared" si="122"/>
        <v>9.683813096728624</v>
      </c>
      <c r="N215" s="66"/>
      <c r="O215" s="66">
        <f t="shared" si="122"/>
        <v>802799.62862643052</v>
      </c>
      <c r="P215" s="66">
        <f t="shared" si="122"/>
        <v>407870.58905852179</v>
      </c>
      <c r="Q215" s="66"/>
      <c r="R215" s="66">
        <f t="shared" si="122"/>
        <v>0</v>
      </c>
      <c r="S215" s="66">
        <f t="shared" si="122"/>
        <v>188184.00899736598</v>
      </c>
      <c r="T215" s="66"/>
      <c r="U215" s="66">
        <f t="shared" si="122"/>
        <v>399370.80099055183</v>
      </c>
      <c r="V215" s="66"/>
      <c r="W215" s="66">
        <f t="shared" si="122"/>
        <v>13055.27851403318</v>
      </c>
      <c r="X215" s="66"/>
      <c r="Y215" s="66">
        <f t="shared" si="122"/>
        <v>0</v>
      </c>
      <c r="Z215" s="66"/>
      <c r="AA215" s="66">
        <f t="shared" si="122"/>
        <v>0</v>
      </c>
      <c r="AB215" s="50">
        <f>SUM(H215:AA215)</f>
        <v>1811289.9900000002</v>
      </c>
      <c r="AC215" s="30" t="str">
        <f>IF(ABS(AB215-F215)&lt;1,"ok","err")</f>
        <v>ok</v>
      </c>
    </row>
    <row r="216" spans="1:29" x14ac:dyDescent="0.2"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50"/>
      <c r="AC216" s="30"/>
    </row>
    <row r="217" spans="1:29" x14ac:dyDescent="0.2">
      <c r="A217" s="28" t="s">
        <v>136</v>
      </c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C217" s="30"/>
    </row>
    <row r="218" spans="1:29" x14ac:dyDescent="0.2"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C218" s="30"/>
    </row>
    <row r="219" spans="1:29" x14ac:dyDescent="0.2">
      <c r="A219" s="13" t="s">
        <v>119</v>
      </c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C219" s="30"/>
    </row>
    <row r="220" spans="1:29" x14ac:dyDescent="0.2">
      <c r="A220" s="14">
        <v>590</v>
      </c>
      <c r="B220" s="14" t="s">
        <v>120</v>
      </c>
      <c r="C220" s="14" t="s">
        <v>121</v>
      </c>
      <c r="D220" s="14" t="s">
        <v>16</v>
      </c>
      <c r="F220" s="66">
        <v>0</v>
      </c>
      <c r="G220" s="66"/>
      <c r="H220" s="50">
        <f t="shared" ref="H220:H225" si="123">IF(VLOOKUP($D220,$C$5:$AA$494,6,)=0,0,((VLOOKUP($D220,$C$5:$AA$494,6,)/VLOOKUP($D220,$C$5:$AA$494,4,))*$F220))</f>
        <v>0</v>
      </c>
      <c r="I220" s="50">
        <f t="shared" ref="I220:I227" si="124">IF(VLOOKUP($D220,$C$5:$AA$494,7,)=0,0,((VLOOKUP($D220,$C$5:$AA$494,7,)/VLOOKUP($D220,$C$5:$AA$494,4,))*$F220))</f>
        <v>0</v>
      </c>
      <c r="J220" s="50"/>
      <c r="K220" s="50">
        <f t="shared" ref="K220:K227" si="125">IF(VLOOKUP($D220,$C$5:$AA$494,9,)=0,0,((VLOOKUP($D220,$C$5:$AA$494,9,)/VLOOKUP($D220,$C$5:$AA$494,4,))*$F220))</f>
        <v>0</v>
      </c>
      <c r="L220" s="50"/>
      <c r="M220" s="50">
        <f t="shared" ref="M220:M227" si="126">IF(VLOOKUP($D220,$C$5:$AA$494,11,)=0,0,((VLOOKUP($D220,$C$5:$AA$494,11,)/VLOOKUP($D220,$C$5:$AA$494,4,))*$F220))</f>
        <v>0</v>
      </c>
      <c r="N220" s="50"/>
      <c r="O220" s="50">
        <f t="shared" ref="O220:O227" si="127">IF(VLOOKUP($D220,$C$5:$AA$494,13,)=0,0,((VLOOKUP($D220,$C$5:$AA$494,13,)/VLOOKUP($D220,$C$5:$AA$494,4,))*$F220))</f>
        <v>0</v>
      </c>
      <c r="P220" s="50">
        <f t="shared" ref="P220:P227" si="128">IF(VLOOKUP($D220,$C$5:$AA$494,14,)=0,0,((VLOOKUP($D220,$C$5:$AA$494,14,)/VLOOKUP($D220,$C$5:$AA$494,4,))*$F220))</f>
        <v>0</v>
      </c>
      <c r="Q220" s="50"/>
      <c r="R220" s="50">
        <f t="shared" ref="R220:R227" si="129">IF(VLOOKUP($D220,$C$5:$AA$494,16,)=0,0,((VLOOKUP($D220,$C$5:$AA$494,16,)/VLOOKUP($D220,$C$5:$AA$494,4,))*$F220))</f>
        <v>0</v>
      </c>
      <c r="S220" s="50">
        <f t="shared" ref="S220:S227" si="130">IF(VLOOKUP($D220,$C$5:$AA$494,17,)=0,0,((VLOOKUP($D220,$C$5:$AA$494,17,)/VLOOKUP($D220,$C$5:$AA$494,4,))*$F220))</f>
        <v>0</v>
      </c>
      <c r="T220" s="50"/>
      <c r="U220" s="50">
        <f t="shared" ref="U220:U227" si="131">IF(VLOOKUP($D220,$C$5:$AA$494,19,)=0,0,((VLOOKUP($D220,$C$5:$AA$494,19,)/VLOOKUP($D220,$C$5:$AA$494,4,))*$F220))</f>
        <v>0</v>
      </c>
      <c r="V220" s="50"/>
      <c r="W220" s="50">
        <f t="shared" ref="W220:W227" si="132">IF(VLOOKUP($D220,$C$5:$AA$494,21,)=0,0,((VLOOKUP($D220,$C$5:$AA$494,21,)/VLOOKUP($D220,$C$5:$AA$494,4,))*$F220))</f>
        <v>0</v>
      </c>
      <c r="X220" s="50"/>
      <c r="Y220" s="50">
        <f t="shared" ref="Y220:Y227" si="133">IF(VLOOKUP($D220,$C$5:$AA$494,23,)=0,0,((VLOOKUP($D220,$C$5:$AA$494,23,)/VLOOKUP($D220,$C$5:$AA$494,4,))*$F220))</f>
        <v>0</v>
      </c>
      <c r="Z220" s="50"/>
      <c r="AA220" s="50">
        <f t="shared" ref="AA220:AA227" si="134">IF(VLOOKUP($D220,$C$5:$AA$494,25,)=0,0,((VLOOKUP($D220,$C$5:$AA$494,25,)/VLOOKUP($D220,$C$5:$AA$494,4,))*$F220))</f>
        <v>0</v>
      </c>
      <c r="AB220" s="50">
        <f t="shared" ref="AB220:AB227" si="135">SUM(H220:AA220)</f>
        <v>0</v>
      </c>
      <c r="AC220" s="30" t="str">
        <f t="shared" ref="AC220:AC227" si="136">IF(ABS(AB220-F220)&lt;1,"ok","err")</f>
        <v>ok</v>
      </c>
    </row>
    <row r="221" spans="1:29" x14ac:dyDescent="0.2">
      <c r="A221" s="14">
        <v>592</v>
      </c>
      <c r="B221" s="14" t="s">
        <v>122</v>
      </c>
      <c r="C221" s="14" t="s">
        <v>123</v>
      </c>
      <c r="D221" s="14" t="s">
        <v>23</v>
      </c>
      <c r="F221" s="50">
        <v>0</v>
      </c>
      <c r="G221" s="50"/>
      <c r="H221" s="50">
        <f t="shared" si="123"/>
        <v>0</v>
      </c>
      <c r="I221" s="50">
        <f t="shared" si="124"/>
        <v>0</v>
      </c>
      <c r="J221" s="50"/>
      <c r="K221" s="50">
        <f t="shared" si="125"/>
        <v>0</v>
      </c>
      <c r="L221" s="50"/>
      <c r="M221" s="50">
        <f t="shared" si="126"/>
        <v>0</v>
      </c>
      <c r="N221" s="50"/>
      <c r="O221" s="50">
        <f t="shared" si="127"/>
        <v>0</v>
      </c>
      <c r="P221" s="50">
        <f t="shared" si="128"/>
        <v>0</v>
      </c>
      <c r="Q221" s="50"/>
      <c r="R221" s="50">
        <f t="shared" si="129"/>
        <v>0</v>
      </c>
      <c r="S221" s="50">
        <f t="shared" si="130"/>
        <v>0</v>
      </c>
      <c r="T221" s="50"/>
      <c r="U221" s="50">
        <f t="shared" si="131"/>
        <v>0</v>
      </c>
      <c r="V221" s="50"/>
      <c r="W221" s="50">
        <f t="shared" si="132"/>
        <v>0</v>
      </c>
      <c r="X221" s="50"/>
      <c r="Y221" s="50">
        <f t="shared" si="133"/>
        <v>0</v>
      </c>
      <c r="Z221" s="50"/>
      <c r="AA221" s="50">
        <f t="shared" si="134"/>
        <v>0</v>
      </c>
      <c r="AB221" s="50">
        <f t="shared" si="135"/>
        <v>0</v>
      </c>
      <c r="AC221" s="30" t="str">
        <f t="shared" si="136"/>
        <v>ok</v>
      </c>
    </row>
    <row r="222" spans="1:29" x14ac:dyDescent="0.2">
      <c r="A222" s="14">
        <v>593</v>
      </c>
      <c r="B222" s="14" t="s">
        <v>124</v>
      </c>
      <c r="C222" s="14" t="s">
        <v>125</v>
      </c>
      <c r="D222" s="14" t="s">
        <v>29</v>
      </c>
      <c r="F222" s="50">
        <f>1600226.33+1596965.27+2363.75+1245.77+1717.41+232058.51+66540.98</f>
        <v>3501118.02</v>
      </c>
      <c r="G222" s="50"/>
      <c r="H222" s="50">
        <f t="shared" si="123"/>
        <v>0</v>
      </c>
      <c r="I222" s="50">
        <f t="shared" si="124"/>
        <v>0</v>
      </c>
      <c r="J222" s="50"/>
      <c r="K222" s="50">
        <f t="shared" si="125"/>
        <v>0</v>
      </c>
      <c r="L222" s="50"/>
      <c r="M222" s="50">
        <f t="shared" si="126"/>
        <v>0</v>
      </c>
      <c r="N222" s="50"/>
      <c r="O222" s="50">
        <f t="shared" si="127"/>
        <v>2679777.4595822762</v>
      </c>
      <c r="P222" s="50">
        <f t="shared" si="128"/>
        <v>821340.56041772361</v>
      </c>
      <c r="Q222" s="50"/>
      <c r="R222" s="50">
        <f t="shared" si="129"/>
        <v>0</v>
      </c>
      <c r="S222" s="50">
        <f t="shared" si="130"/>
        <v>0</v>
      </c>
      <c r="T222" s="50"/>
      <c r="U222" s="50">
        <f t="shared" si="131"/>
        <v>0</v>
      </c>
      <c r="V222" s="50"/>
      <c r="W222" s="50">
        <f t="shared" si="132"/>
        <v>0</v>
      </c>
      <c r="X222" s="50"/>
      <c r="Y222" s="50">
        <f t="shared" si="133"/>
        <v>0</v>
      </c>
      <c r="Z222" s="50"/>
      <c r="AA222" s="50">
        <f t="shared" si="134"/>
        <v>0</v>
      </c>
      <c r="AB222" s="50">
        <f t="shared" si="135"/>
        <v>3501118.0199999996</v>
      </c>
      <c r="AC222" s="30" t="str">
        <f t="shared" si="136"/>
        <v>ok</v>
      </c>
    </row>
    <row r="223" spans="1:29" x14ac:dyDescent="0.2">
      <c r="A223" s="14">
        <v>594</v>
      </c>
      <c r="B223" s="14" t="s">
        <v>126</v>
      </c>
      <c r="C223" s="14" t="s">
        <v>127</v>
      </c>
      <c r="D223" s="14" t="s">
        <v>35</v>
      </c>
      <c r="F223" s="50">
        <v>0</v>
      </c>
      <c r="G223" s="50"/>
      <c r="H223" s="50">
        <f t="shared" si="123"/>
        <v>0</v>
      </c>
      <c r="I223" s="50">
        <f t="shared" si="124"/>
        <v>0</v>
      </c>
      <c r="J223" s="50"/>
      <c r="K223" s="50">
        <f t="shared" si="125"/>
        <v>0</v>
      </c>
      <c r="L223" s="50"/>
      <c r="M223" s="50">
        <f t="shared" si="126"/>
        <v>0</v>
      </c>
      <c r="N223" s="50"/>
      <c r="O223" s="50">
        <f t="shared" si="127"/>
        <v>0</v>
      </c>
      <c r="P223" s="50">
        <f t="shared" si="128"/>
        <v>0</v>
      </c>
      <c r="Q223" s="50"/>
      <c r="R223" s="50">
        <f t="shared" si="129"/>
        <v>0</v>
      </c>
      <c r="S223" s="50">
        <f t="shared" si="130"/>
        <v>0</v>
      </c>
      <c r="T223" s="50"/>
      <c r="U223" s="50">
        <f t="shared" si="131"/>
        <v>0</v>
      </c>
      <c r="V223" s="50"/>
      <c r="W223" s="50">
        <f t="shared" si="132"/>
        <v>0</v>
      </c>
      <c r="X223" s="50"/>
      <c r="Y223" s="50">
        <f t="shared" si="133"/>
        <v>0</v>
      </c>
      <c r="Z223" s="50"/>
      <c r="AA223" s="50">
        <f t="shared" si="134"/>
        <v>0</v>
      </c>
      <c r="AB223" s="50">
        <f t="shared" si="135"/>
        <v>0</v>
      </c>
      <c r="AC223" s="30" t="str">
        <f t="shared" si="136"/>
        <v>ok</v>
      </c>
    </row>
    <row r="224" spans="1:29" x14ac:dyDescent="0.2">
      <c r="A224" s="14">
        <v>595</v>
      </c>
      <c r="B224" s="14" t="s">
        <v>128</v>
      </c>
      <c r="C224" s="14" t="s">
        <v>129</v>
      </c>
      <c r="D224" s="14" t="s">
        <v>37</v>
      </c>
      <c r="F224" s="50">
        <v>19711.060000000001</v>
      </c>
      <c r="G224" s="50"/>
      <c r="H224" s="50">
        <f t="shared" si="123"/>
        <v>0</v>
      </c>
      <c r="I224" s="50">
        <f t="shared" si="124"/>
        <v>0</v>
      </c>
      <c r="J224" s="50"/>
      <c r="K224" s="50">
        <f t="shared" si="125"/>
        <v>0</v>
      </c>
      <c r="L224" s="50"/>
      <c r="M224" s="50">
        <f t="shared" si="126"/>
        <v>0</v>
      </c>
      <c r="N224" s="50"/>
      <c r="O224" s="50">
        <f t="shared" si="127"/>
        <v>5324.4369627477663</v>
      </c>
      <c r="P224" s="50">
        <f t="shared" si="128"/>
        <v>14386.623037252235</v>
      </c>
      <c r="Q224" s="50"/>
      <c r="R224" s="50">
        <f t="shared" si="129"/>
        <v>0</v>
      </c>
      <c r="S224" s="50">
        <f t="shared" si="130"/>
        <v>0</v>
      </c>
      <c r="T224" s="50"/>
      <c r="U224" s="50">
        <f t="shared" si="131"/>
        <v>0</v>
      </c>
      <c r="V224" s="50"/>
      <c r="W224" s="50">
        <f t="shared" si="132"/>
        <v>0</v>
      </c>
      <c r="X224" s="50"/>
      <c r="Y224" s="50">
        <f t="shared" si="133"/>
        <v>0</v>
      </c>
      <c r="Z224" s="50"/>
      <c r="AA224" s="50">
        <f t="shared" si="134"/>
        <v>0</v>
      </c>
      <c r="AB224" s="50">
        <f t="shared" si="135"/>
        <v>19711.060000000001</v>
      </c>
      <c r="AC224" s="30" t="str">
        <f t="shared" si="136"/>
        <v>ok</v>
      </c>
    </row>
    <row r="225" spans="1:29" x14ac:dyDescent="0.2">
      <c r="A225" s="14">
        <v>596</v>
      </c>
      <c r="B225" s="14" t="s">
        <v>380</v>
      </c>
      <c r="C225" s="14" t="s">
        <v>381</v>
      </c>
      <c r="D225" s="14" t="s">
        <v>48</v>
      </c>
      <c r="F225" s="50">
        <v>0</v>
      </c>
      <c r="G225" s="50"/>
      <c r="H225" s="50">
        <f t="shared" si="123"/>
        <v>0</v>
      </c>
      <c r="I225" s="50">
        <f t="shared" si="124"/>
        <v>0</v>
      </c>
      <c r="J225" s="50"/>
      <c r="K225" s="50">
        <f t="shared" si="125"/>
        <v>0</v>
      </c>
      <c r="L225" s="50"/>
      <c r="M225" s="50">
        <f t="shared" si="126"/>
        <v>0</v>
      </c>
      <c r="N225" s="50"/>
      <c r="O225" s="50">
        <f t="shared" si="127"/>
        <v>0</v>
      </c>
      <c r="P225" s="50">
        <f t="shared" si="128"/>
        <v>0</v>
      </c>
      <c r="Q225" s="50"/>
      <c r="R225" s="50">
        <f t="shared" si="129"/>
        <v>0</v>
      </c>
      <c r="S225" s="50">
        <f t="shared" si="130"/>
        <v>0</v>
      </c>
      <c r="T225" s="50"/>
      <c r="U225" s="50">
        <f t="shared" si="131"/>
        <v>0</v>
      </c>
      <c r="V225" s="50"/>
      <c r="W225" s="50">
        <f t="shared" si="132"/>
        <v>0</v>
      </c>
      <c r="X225" s="50"/>
      <c r="Y225" s="50">
        <f t="shared" si="133"/>
        <v>0</v>
      </c>
      <c r="Z225" s="50"/>
      <c r="AA225" s="50">
        <f t="shared" si="134"/>
        <v>0</v>
      </c>
      <c r="AB225" s="50">
        <f t="shared" si="135"/>
        <v>0</v>
      </c>
      <c r="AC225" s="30" t="str">
        <f t="shared" si="136"/>
        <v>ok</v>
      </c>
    </row>
    <row r="226" spans="1:29" x14ac:dyDescent="0.2">
      <c r="A226" s="14">
        <v>597</v>
      </c>
      <c r="B226" s="14" t="s">
        <v>130</v>
      </c>
      <c r="C226" s="14" t="s">
        <v>131</v>
      </c>
      <c r="D226" s="14" t="s">
        <v>43</v>
      </c>
      <c r="F226" s="50">
        <f>83003-30</f>
        <v>82973</v>
      </c>
      <c r="G226" s="50"/>
      <c r="H226" s="50"/>
      <c r="I226" s="50">
        <f t="shared" si="124"/>
        <v>0</v>
      </c>
      <c r="J226" s="50"/>
      <c r="K226" s="50">
        <f t="shared" si="125"/>
        <v>0</v>
      </c>
      <c r="L226" s="50"/>
      <c r="M226" s="50">
        <f t="shared" si="126"/>
        <v>0</v>
      </c>
      <c r="N226" s="50"/>
      <c r="O226" s="50">
        <f t="shared" si="127"/>
        <v>0</v>
      </c>
      <c r="P226" s="50">
        <f t="shared" si="128"/>
        <v>0</v>
      </c>
      <c r="Q226" s="50"/>
      <c r="R226" s="50">
        <f t="shared" si="129"/>
        <v>0</v>
      </c>
      <c r="S226" s="50">
        <f t="shared" si="130"/>
        <v>0</v>
      </c>
      <c r="T226" s="50"/>
      <c r="U226" s="50">
        <f t="shared" si="131"/>
        <v>82973</v>
      </c>
      <c r="V226" s="50"/>
      <c r="W226" s="50">
        <f t="shared" si="132"/>
        <v>0</v>
      </c>
      <c r="X226" s="50"/>
      <c r="Y226" s="50">
        <f t="shared" si="133"/>
        <v>0</v>
      </c>
      <c r="Z226" s="50"/>
      <c r="AA226" s="50">
        <f t="shared" si="134"/>
        <v>0</v>
      </c>
      <c r="AB226" s="50">
        <f t="shared" si="135"/>
        <v>82973</v>
      </c>
      <c r="AC226" s="30" t="str">
        <f t="shared" si="136"/>
        <v>ok</v>
      </c>
    </row>
    <row r="227" spans="1:29" x14ac:dyDescent="0.2">
      <c r="A227" s="14">
        <v>598</v>
      </c>
      <c r="B227" s="14" t="s">
        <v>384</v>
      </c>
      <c r="C227" s="14" t="s">
        <v>132</v>
      </c>
      <c r="D227" s="14" t="s">
        <v>16</v>
      </c>
      <c r="F227" s="50">
        <v>237576.87</v>
      </c>
      <c r="G227" s="50"/>
      <c r="H227" s="50">
        <f>IF(VLOOKUP($D227,$C$5:$AA$494,6,)=0,0,((VLOOKUP($D227,$C$5:$AA$494,6,)/VLOOKUP($D227,$C$5:$AA$494,4,))*$F227))</f>
        <v>0</v>
      </c>
      <c r="I227" s="50">
        <f t="shared" si="124"/>
        <v>0</v>
      </c>
      <c r="J227" s="50"/>
      <c r="K227" s="50">
        <f t="shared" si="125"/>
        <v>0</v>
      </c>
      <c r="L227" s="50"/>
      <c r="M227" s="50">
        <f t="shared" si="126"/>
        <v>11.517957882246703</v>
      </c>
      <c r="N227" s="50"/>
      <c r="O227" s="50">
        <f t="shared" si="127"/>
        <v>125413.90158103166</v>
      </c>
      <c r="P227" s="50">
        <f t="shared" si="128"/>
        <v>64466.126804378117</v>
      </c>
      <c r="Q227" s="50"/>
      <c r="R227" s="50">
        <f t="shared" si="129"/>
        <v>0</v>
      </c>
      <c r="S227" s="50">
        <f t="shared" si="130"/>
        <v>20216.034515497795</v>
      </c>
      <c r="T227" s="50"/>
      <c r="U227" s="50">
        <f t="shared" si="131"/>
        <v>11941.299643309538</v>
      </c>
      <c r="V227" s="50"/>
      <c r="W227" s="50">
        <f t="shared" si="132"/>
        <v>15527.989497900615</v>
      </c>
      <c r="X227" s="50"/>
      <c r="Y227" s="50">
        <f t="shared" si="133"/>
        <v>0</v>
      </c>
      <c r="Z227" s="50"/>
      <c r="AA227" s="50">
        <f t="shared" si="134"/>
        <v>0</v>
      </c>
      <c r="AB227" s="50">
        <f t="shared" si="135"/>
        <v>237576.86999999997</v>
      </c>
      <c r="AC227" s="30" t="str">
        <f t="shared" si="136"/>
        <v>ok</v>
      </c>
    </row>
    <row r="228" spans="1:29" x14ac:dyDescent="0.2"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30"/>
    </row>
    <row r="229" spans="1:29" x14ac:dyDescent="0.2">
      <c r="A229" s="14" t="s">
        <v>133</v>
      </c>
      <c r="C229" s="14" t="s">
        <v>134</v>
      </c>
      <c r="F229" s="66">
        <f t="shared" ref="F229:M229" si="137">SUM(F220:F228)</f>
        <v>3841378.95</v>
      </c>
      <c r="G229" s="66"/>
      <c r="H229" s="66">
        <f t="shared" si="137"/>
        <v>0</v>
      </c>
      <c r="I229" s="66">
        <f t="shared" si="137"/>
        <v>0</v>
      </c>
      <c r="J229" s="66"/>
      <c r="K229" s="66">
        <f t="shared" si="137"/>
        <v>0</v>
      </c>
      <c r="L229" s="66"/>
      <c r="M229" s="66">
        <f t="shared" si="137"/>
        <v>11.517957882246703</v>
      </c>
      <c r="N229" s="66"/>
      <c r="O229" s="66">
        <f t="shared" ref="O229:AA229" si="138">SUM(O220:O228)</f>
        <v>2810515.7981260559</v>
      </c>
      <c r="P229" s="66">
        <f t="shared" si="138"/>
        <v>900193.31025935395</v>
      </c>
      <c r="Q229" s="66"/>
      <c r="R229" s="66">
        <f t="shared" si="138"/>
        <v>0</v>
      </c>
      <c r="S229" s="66">
        <f t="shared" si="138"/>
        <v>20216.034515497795</v>
      </c>
      <c r="T229" s="66"/>
      <c r="U229" s="66">
        <f t="shared" si="138"/>
        <v>94914.29964330954</v>
      </c>
      <c r="V229" s="66"/>
      <c r="W229" s="66">
        <f t="shared" si="138"/>
        <v>15527.989497900615</v>
      </c>
      <c r="X229" s="66"/>
      <c r="Y229" s="66">
        <f t="shared" si="138"/>
        <v>0</v>
      </c>
      <c r="Z229" s="66"/>
      <c r="AA229" s="66">
        <f t="shared" si="138"/>
        <v>0</v>
      </c>
      <c r="AB229" s="50">
        <f>SUM(H229:AA229)</f>
        <v>3841378.9499999993</v>
      </c>
      <c r="AC229" s="30" t="str">
        <f>IF(ABS(AB229-F229)&lt;1,"ok","err")</f>
        <v>ok</v>
      </c>
    </row>
    <row r="230" spans="1:29" x14ac:dyDescent="0.2">
      <c r="D230" s="36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C230" s="30"/>
    </row>
    <row r="231" spans="1:29" x14ac:dyDescent="0.2">
      <c r="A231" s="14" t="s">
        <v>382</v>
      </c>
      <c r="F231" s="50">
        <f>F215+F229</f>
        <v>5652668.9400000004</v>
      </c>
      <c r="G231" s="50"/>
      <c r="H231" s="50">
        <f>H215+H229</f>
        <v>0</v>
      </c>
      <c r="I231" s="50">
        <f>I215+I229</f>
        <v>0</v>
      </c>
      <c r="J231" s="50"/>
      <c r="K231" s="50">
        <f>K215+K229</f>
        <v>0</v>
      </c>
      <c r="L231" s="50"/>
      <c r="M231" s="50">
        <f>M215+M229</f>
        <v>21.201770978975325</v>
      </c>
      <c r="N231" s="50"/>
      <c r="O231" s="50">
        <f>O215+O229</f>
        <v>3613315.4267524863</v>
      </c>
      <c r="P231" s="50">
        <f>P215+P229</f>
        <v>1308063.8993178757</v>
      </c>
      <c r="Q231" s="50"/>
      <c r="R231" s="50">
        <f>R215+R229</f>
        <v>0</v>
      </c>
      <c r="S231" s="50">
        <f>S215+S229</f>
        <v>208400.04351286378</v>
      </c>
      <c r="T231" s="50"/>
      <c r="U231" s="50">
        <f>U215+U229</f>
        <v>494285.10063386138</v>
      </c>
      <c r="V231" s="50"/>
      <c r="W231" s="50">
        <f>W215+W229</f>
        <v>28583.268011933797</v>
      </c>
      <c r="X231" s="50"/>
      <c r="Y231" s="50">
        <f>Y215+Y229</f>
        <v>0</v>
      </c>
      <c r="Z231" s="50"/>
      <c r="AA231" s="50">
        <f>AA215+AA229</f>
        <v>0</v>
      </c>
      <c r="AB231" s="50">
        <f>SUM(H231:AA231)</f>
        <v>5652668.9400000004</v>
      </c>
      <c r="AC231" s="30" t="str">
        <f>IF(ABS(AB231-F231)&lt;1,"ok","err")</f>
        <v>ok</v>
      </c>
    </row>
    <row r="232" spans="1:29" x14ac:dyDescent="0.2"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C232" s="30"/>
    </row>
    <row r="233" spans="1:29" x14ac:dyDescent="0.2">
      <c r="A233" s="14" t="s">
        <v>383</v>
      </c>
      <c r="F233" s="50">
        <f>F231+F199</f>
        <v>5652668.9400000004</v>
      </c>
      <c r="G233" s="50"/>
      <c r="H233" s="50">
        <f>H231+H199</f>
        <v>0</v>
      </c>
      <c r="I233" s="50">
        <f>I231+I199</f>
        <v>0</v>
      </c>
      <c r="J233" s="50"/>
      <c r="K233" s="50">
        <f>K231+K199</f>
        <v>0</v>
      </c>
      <c r="L233" s="50"/>
      <c r="M233" s="50">
        <f>M231+M199</f>
        <v>21.201770978975325</v>
      </c>
      <c r="N233" s="50"/>
      <c r="O233" s="50">
        <f>O231+O199</f>
        <v>3613315.4267524863</v>
      </c>
      <c r="P233" s="50">
        <f>P231+P199</f>
        <v>1308063.8993178757</v>
      </c>
      <c r="Q233" s="50"/>
      <c r="R233" s="50">
        <f>R231+R199</f>
        <v>0</v>
      </c>
      <c r="S233" s="50">
        <f>S231+S199</f>
        <v>208400.04351286378</v>
      </c>
      <c r="T233" s="50"/>
      <c r="U233" s="50">
        <f>U231+U199</f>
        <v>494285.10063386138</v>
      </c>
      <c r="V233" s="50"/>
      <c r="W233" s="50">
        <f>W231+W199</f>
        <v>28583.268011933797</v>
      </c>
      <c r="X233" s="50"/>
      <c r="Y233" s="50">
        <f>Y231+Y199</f>
        <v>0</v>
      </c>
      <c r="Z233" s="50"/>
      <c r="AA233" s="50">
        <f>AA231+AA199</f>
        <v>0</v>
      </c>
      <c r="AB233" s="50">
        <f>SUM(H233:AA233)</f>
        <v>5652668.9400000004</v>
      </c>
      <c r="AC233" s="30" t="str">
        <f>IF(ABS(AB233-F233)&lt;1,"ok","err")</f>
        <v>ok</v>
      </c>
    </row>
    <row r="234" spans="1:29" x14ac:dyDescent="0.2"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C234" s="30"/>
    </row>
    <row r="235" spans="1:29" x14ac:dyDescent="0.2">
      <c r="A235" s="14" t="s">
        <v>828</v>
      </c>
      <c r="F235" s="50">
        <f>F170+F199+F231</f>
        <v>5652668.9400000004</v>
      </c>
      <c r="G235" s="50"/>
      <c r="H235" s="50">
        <f>H170+H199+H231</f>
        <v>0</v>
      </c>
      <c r="I235" s="50">
        <f>I170+I199+I231</f>
        <v>0</v>
      </c>
      <c r="J235" s="50"/>
      <c r="K235" s="50">
        <f>K170+K199+K231</f>
        <v>0</v>
      </c>
      <c r="L235" s="50"/>
      <c r="M235" s="50">
        <f>M170+M199+M231</f>
        <v>21.201770978975325</v>
      </c>
      <c r="N235" s="50"/>
      <c r="O235" s="50">
        <f>O170+O199+O231</f>
        <v>3613315.4267524863</v>
      </c>
      <c r="P235" s="50">
        <f>P170+P199+P231</f>
        <v>1308063.8993178757</v>
      </c>
      <c r="Q235" s="50"/>
      <c r="R235" s="50">
        <f>R170+R199+R231</f>
        <v>0</v>
      </c>
      <c r="S235" s="50">
        <f>S170+S199+S231</f>
        <v>208400.04351286378</v>
      </c>
      <c r="T235" s="50"/>
      <c r="U235" s="50">
        <f>U170+U199+U231</f>
        <v>494285.10063386138</v>
      </c>
      <c r="V235" s="50"/>
      <c r="W235" s="50">
        <f>W170+W199+W231</f>
        <v>28583.268011933797</v>
      </c>
      <c r="X235" s="50"/>
      <c r="Y235" s="50">
        <f>Y170+Y199+Y231</f>
        <v>0</v>
      </c>
      <c r="Z235" s="50"/>
      <c r="AA235" s="50">
        <f>AA170+AA199+AA231</f>
        <v>0</v>
      </c>
      <c r="AB235" s="50">
        <f>SUM(H235:AA235)</f>
        <v>5652668.9400000004</v>
      </c>
      <c r="AC235" s="30" t="str">
        <f>IF(ABS(AB235-F235)&lt;1,"ok","err")</f>
        <v>ok</v>
      </c>
    </row>
    <row r="236" spans="1:29" x14ac:dyDescent="0.2"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C236" s="30"/>
    </row>
    <row r="237" spans="1:29" x14ac:dyDescent="0.2">
      <c r="A237" s="14" t="s">
        <v>827</v>
      </c>
      <c r="C237" s="14" t="s">
        <v>135</v>
      </c>
      <c r="F237" s="66">
        <f>F231+F199+F180+F170</f>
        <v>41466008.939999998</v>
      </c>
      <c r="G237" s="66"/>
      <c r="H237" s="66">
        <f>H231+H199+H180+H170</f>
        <v>9335078.1504406501</v>
      </c>
      <c r="I237" s="66">
        <f>I231+I199+I180+I170</f>
        <v>26478261.849559348</v>
      </c>
      <c r="J237" s="66"/>
      <c r="K237" s="66">
        <f>K231+K199+K180+K170</f>
        <v>0</v>
      </c>
      <c r="L237" s="66"/>
      <c r="M237" s="66">
        <f>M231+M199+M180+M170</f>
        <v>21.201770978975325</v>
      </c>
      <c r="N237" s="66"/>
      <c r="O237" s="66">
        <f>O231+O199+O180+O170</f>
        <v>3613315.4267524863</v>
      </c>
      <c r="P237" s="66">
        <f>P231+P199+P180+P170</f>
        <v>1308063.8993178757</v>
      </c>
      <c r="Q237" s="66"/>
      <c r="R237" s="66">
        <f>R231+R199+R180+R170</f>
        <v>0</v>
      </c>
      <c r="S237" s="66">
        <f>S231+S199+S180+S170</f>
        <v>208400.04351286378</v>
      </c>
      <c r="T237" s="66"/>
      <c r="U237" s="66">
        <f>U231+U199+U180+U170</f>
        <v>494285.10063386138</v>
      </c>
      <c r="V237" s="66"/>
      <c r="W237" s="66">
        <f>W231+W199+W180+W170</f>
        <v>28583.268011933797</v>
      </c>
      <c r="X237" s="66"/>
      <c r="Y237" s="66">
        <f>Y231+Y199+Y180+Y170</f>
        <v>0</v>
      </c>
      <c r="Z237" s="66"/>
      <c r="AA237" s="66">
        <f>AA231+AA199+AA180+AA170</f>
        <v>0</v>
      </c>
      <c r="AB237" s="50">
        <f>SUM(H237:AA237)</f>
        <v>41466008.939999998</v>
      </c>
      <c r="AC237" s="30" t="str">
        <f>IF(ABS(AB237-F237)&lt;1,"ok","err")</f>
        <v>ok</v>
      </c>
    </row>
    <row r="238" spans="1:29" x14ac:dyDescent="0.2">
      <c r="A238" s="13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C238" s="30"/>
    </row>
    <row r="239" spans="1:29" x14ac:dyDescent="0.2">
      <c r="A239" s="13" t="s">
        <v>137</v>
      </c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C239" s="30"/>
    </row>
    <row r="240" spans="1:29" x14ac:dyDescent="0.2">
      <c r="A240" s="14">
        <v>901</v>
      </c>
      <c r="B240" s="14" t="s">
        <v>138</v>
      </c>
      <c r="C240" s="14" t="s">
        <v>139</v>
      </c>
      <c r="D240" s="14" t="s">
        <v>140</v>
      </c>
      <c r="F240" s="66">
        <v>0</v>
      </c>
      <c r="G240" s="66"/>
      <c r="H240" s="50">
        <f>IF(VLOOKUP($D240,$C$5:$AA$494,6,)=0,0,((VLOOKUP($D240,$C$5:$AA$494,6,)/VLOOKUP($D240,$C$5:$AA$494,4,))*$F240))</f>
        <v>0</v>
      </c>
      <c r="I240" s="50">
        <f>IF(VLOOKUP($D240,$C$5:$AA$494,7,)=0,0,((VLOOKUP($D240,$C$5:$AA$494,7,)/VLOOKUP($D240,$C$5:$AA$494,4,))*$F240))</f>
        <v>0</v>
      </c>
      <c r="J240" s="50"/>
      <c r="K240" s="50">
        <f>IF(VLOOKUP($D240,$C$5:$AA$494,9,)=0,0,((VLOOKUP($D240,$C$5:$AA$494,9,)/VLOOKUP($D240,$C$5:$AA$494,4,))*$F240))</f>
        <v>0</v>
      </c>
      <c r="L240" s="50"/>
      <c r="M240" s="50">
        <f>IF(VLOOKUP($D240,$C$5:$AA$494,11,)=0,0,((VLOOKUP($D240,$C$5:$AA$494,11,)/VLOOKUP($D240,$C$5:$AA$494,4,))*$F240))</f>
        <v>0</v>
      </c>
      <c r="N240" s="50"/>
      <c r="O240" s="50">
        <f>IF(VLOOKUP($D240,$C$5:$AA$494,13,)=0,0,((VLOOKUP($D240,$C$5:$AA$494,13,)/VLOOKUP($D240,$C$5:$AA$494,4,))*$F240))</f>
        <v>0</v>
      </c>
      <c r="P240" s="50">
        <f>IF(VLOOKUP($D240,$C$5:$AA$494,14,)=0,0,((VLOOKUP($D240,$C$5:$AA$494,14,)/VLOOKUP($D240,$C$5:$AA$494,4,))*$F240))</f>
        <v>0</v>
      </c>
      <c r="Q240" s="50"/>
      <c r="R240" s="50">
        <f>IF(VLOOKUP($D240,$C$5:$AA$494,16,)=0,0,((VLOOKUP($D240,$C$5:$AA$494,16,)/VLOOKUP($D240,$C$5:$AA$494,4,))*$F240))</f>
        <v>0</v>
      </c>
      <c r="S240" s="50">
        <f>IF(VLOOKUP($D240,$C$5:$AA$494,17,)=0,0,((VLOOKUP($D240,$C$5:$AA$494,17,)/VLOOKUP($D240,$C$5:$AA$494,4,))*$F240))</f>
        <v>0</v>
      </c>
      <c r="T240" s="50"/>
      <c r="U240" s="50">
        <f>IF(VLOOKUP($D240,$C$5:$AA$494,19,)=0,0,((VLOOKUP($D240,$C$5:$AA$494,19,)/VLOOKUP($D240,$C$5:$AA$494,4,))*$F240))</f>
        <v>0</v>
      </c>
      <c r="V240" s="50"/>
      <c r="W240" s="50">
        <f>IF(VLOOKUP($D240,$C$5:$AA$494,21,)=0,0,((VLOOKUP($D240,$C$5:$AA$494,21,)/VLOOKUP($D240,$C$5:$AA$494,4,))*$F240))</f>
        <v>0</v>
      </c>
      <c r="X240" s="50"/>
      <c r="Y240" s="50">
        <f>IF(VLOOKUP($D240,$C$5:$AA$494,23,)=0,0,((VLOOKUP($D240,$C$5:$AA$494,23,)/VLOOKUP($D240,$C$5:$AA$494,4,))*$F240))</f>
        <v>0</v>
      </c>
      <c r="Z240" s="50"/>
      <c r="AA240" s="50">
        <f>IF(VLOOKUP($D240,$C$5:$AA$494,25,)=0,0,((VLOOKUP($D240,$C$5:$AA$494,25,)/VLOOKUP($D240,$C$5:$AA$494,4,))*$F240))</f>
        <v>0</v>
      </c>
      <c r="AB240" s="50">
        <f>SUM(H240:AA240)</f>
        <v>0</v>
      </c>
      <c r="AC240" s="30" t="str">
        <f>IF(ABS(AB240-F240)&lt;1,"ok","err")</f>
        <v>ok</v>
      </c>
    </row>
    <row r="241" spans="1:29" x14ac:dyDescent="0.2">
      <c r="A241" s="14">
        <v>902</v>
      </c>
      <c r="B241" s="14" t="s">
        <v>141</v>
      </c>
      <c r="C241" s="14" t="s">
        <v>142</v>
      </c>
      <c r="D241" s="14" t="s">
        <v>140</v>
      </c>
      <c r="F241" s="50">
        <v>71208.100000000006</v>
      </c>
      <c r="G241" s="50"/>
      <c r="H241" s="50">
        <f>IF(VLOOKUP($D241,$C$5:$AA$494,6,)=0,0,((VLOOKUP($D241,$C$5:$AA$494,6,)/VLOOKUP($D241,$C$5:$AA$494,4,))*$F241))</f>
        <v>0</v>
      </c>
      <c r="I241" s="50">
        <f>IF(VLOOKUP($D241,$C$5:$AA$494,7,)=0,0,((VLOOKUP($D241,$C$5:$AA$494,7,)/VLOOKUP($D241,$C$5:$AA$494,4,))*$F241))</f>
        <v>0</v>
      </c>
      <c r="J241" s="50"/>
      <c r="K241" s="50">
        <f>IF(VLOOKUP($D241,$C$5:$AA$494,9,)=0,0,((VLOOKUP($D241,$C$5:$AA$494,9,)/VLOOKUP($D241,$C$5:$AA$494,4,))*$F241))</f>
        <v>0</v>
      </c>
      <c r="L241" s="50"/>
      <c r="M241" s="50">
        <f>IF(VLOOKUP($D241,$C$5:$AA$494,11,)=0,0,((VLOOKUP($D241,$C$5:$AA$494,11,)/VLOOKUP($D241,$C$5:$AA$494,4,))*$F241))</f>
        <v>0</v>
      </c>
      <c r="N241" s="50"/>
      <c r="O241" s="50">
        <f>IF(VLOOKUP($D241,$C$5:$AA$494,13,)=0,0,((VLOOKUP($D241,$C$5:$AA$494,13,)/VLOOKUP($D241,$C$5:$AA$494,4,))*$F241))</f>
        <v>0</v>
      </c>
      <c r="P241" s="50">
        <f>IF(VLOOKUP($D241,$C$5:$AA$494,14,)=0,0,((VLOOKUP($D241,$C$5:$AA$494,14,)/VLOOKUP($D241,$C$5:$AA$494,4,))*$F241))</f>
        <v>0</v>
      </c>
      <c r="Q241" s="50"/>
      <c r="R241" s="50">
        <f>IF(VLOOKUP($D241,$C$5:$AA$494,16,)=0,0,((VLOOKUP($D241,$C$5:$AA$494,16,)/VLOOKUP($D241,$C$5:$AA$494,4,))*$F241))</f>
        <v>0</v>
      </c>
      <c r="S241" s="50">
        <f>IF(VLOOKUP($D241,$C$5:$AA$494,17,)=0,0,((VLOOKUP($D241,$C$5:$AA$494,17,)/VLOOKUP($D241,$C$5:$AA$494,4,))*$F241))</f>
        <v>0</v>
      </c>
      <c r="T241" s="50"/>
      <c r="U241" s="50">
        <f>IF(VLOOKUP($D241,$C$5:$AA$494,19,)=0,0,((VLOOKUP($D241,$C$5:$AA$494,19,)/VLOOKUP($D241,$C$5:$AA$494,4,))*$F241))</f>
        <v>0</v>
      </c>
      <c r="V241" s="50"/>
      <c r="W241" s="50">
        <f>IF(VLOOKUP($D241,$C$5:$AA$494,21,)=0,0,((VLOOKUP($D241,$C$5:$AA$494,21,)/VLOOKUP($D241,$C$5:$AA$494,4,))*$F241))</f>
        <v>0</v>
      </c>
      <c r="X241" s="50"/>
      <c r="Y241" s="50">
        <f>IF(VLOOKUP($D241,$C$5:$AA$494,23,)=0,0,((VLOOKUP($D241,$C$5:$AA$494,23,)/VLOOKUP($D241,$C$5:$AA$494,4,))*$F241))</f>
        <v>71208.100000000006</v>
      </c>
      <c r="Z241" s="50"/>
      <c r="AA241" s="50">
        <f>IF(VLOOKUP($D241,$C$5:$AA$494,25,)=0,0,((VLOOKUP($D241,$C$5:$AA$494,25,)/VLOOKUP($D241,$C$5:$AA$494,4,))*$F241))</f>
        <v>0</v>
      </c>
      <c r="AB241" s="50">
        <f>SUM(H241:AA241)</f>
        <v>71208.100000000006</v>
      </c>
      <c r="AC241" s="30" t="str">
        <f>IF(ABS(AB241-F241)&lt;1,"ok","err")</f>
        <v>ok</v>
      </c>
    </row>
    <row r="242" spans="1:29" x14ac:dyDescent="0.2">
      <c r="A242" s="14">
        <v>903</v>
      </c>
      <c r="B242" s="14" t="s">
        <v>452</v>
      </c>
      <c r="C242" s="14" t="s">
        <v>143</v>
      </c>
      <c r="D242" s="14" t="s">
        <v>140</v>
      </c>
      <c r="F242" s="50">
        <f>1631833.49+12258.15+5229.2-189.85</f>
        <v>1649130.9899999998</v>
      </c>
      <c r="G242" s="50"/>
      <c r="H242" s="50">
        <f>IF(VLOOKUP($D242,$C$5:$AA$494,6,)=0,0,((VLOOKUP($D242,$C$5:$AA$494,6,)/VLOOKUP($D242,$C$5:$AA$494,4,))*$F242))</f>
        <v>0</v>
      </c>
      <c r="I242" s="50">
        <f>IF(VLOOKUP($D242,$C$5:$AA$494,7,)=0,0,((VLOOKUP($D242,$C$5:$AA$494,7,)/VLOOKUP($D242,$C$5:$AA$494,4,))*$F242))</f>
        <v>0</v>
      </c>
      <c r="J242" s="50"/>
      <c r="K242" s="50">
        <f>IF(VLOOKUP($D242,$C$5:$AA$494,9,)=0,0,((VLOOKUP($D242,$C$5:$AA$494,9,)/VLOOKUP($D242,$C$5:$AA$494,4,))*$F242))</f>
        <v>0</v>
      </c>
      <c r="L242" s="50"/>
      <c r="M242" s="50">
        <f>IF(VLOOKUP($D242,$C$5:$AA$494,11,)=0,0,((VLOOKUP($D242,$C$5:$AA$494,11,)/VLOOKUP($D242,$C$5:$AA$494,4,))*$F242))</f>
        <v>0</v>
      </c>
      <c r="N242" s="50"/>
      <c r="O242" s="50">
        <f>IF(VLOOKUP($D242,$C$5:$AA$494,13,)=0,0,((VLOOKUP($D242,$C$5:$AA$494,13,)/VLOOKUP($D242,$C$5:$AA$494,4,))*$F242))</f>
        <v>0</v>
      </c>
      <c r="P242" s="50">
        <f>IF(VLOOKUP($D242,$C$5:$AA$494,14,)=0,0,((VLOOKUP($D242,$C$5:$AA$494,14,)/VLOOKUP($D242,$C$5:$AA$494,4,))*$F242))</f>
        <v>0</v>
      </c>
      <c r="Q242" s="50"/>
      <c r="R242" s="50">
        <f>IF(VLOOKUP($D242,$C$5:$AA$494,16,)=0,0,((VLOOKUP($D242,$C$5:$AA$494,16,)/VLOOKUP($D242,$C$5:$AA$494,4,))*$F242))</f>
        <v>0</v>
      </c>
      <c r="S242" s="50">
        <f>IF(VLOOKUP($D242,$C$5:$AA$494,17,)=0,0,((VLOOKUP($D242,$C$5:$AA$494,17,)/VLOOKUP($D242,$C$5:$AA$494,4,))*$F242))</f>
        <v>0</v>
      </c>
      <c r="T242" s="50"/>
      <c r="U242" s="50">
        <f>IF(VLOOKUP($D242,$C$5:$AA$494,19,)=0,0,((VLOOKUP($D242,$C$5:$AA$494,19,)/VLOOKUP($D242,$C$5:$AA$494,4,))*$F242))</f>
        <v>0</v>
      </c>
      <c r="V242" s="50"/>
      <c r="W242" s="50">
        <f>IF(VLOOKUP($D242,$C$5:$AA$494,21,)=0,0,((VLOOKUP($D242,$C$5:$AA$494,21,)/VLOOKUP($D242,$C$5:$AA$494,4,))*$F242))</f>
        <v>0</v>
      </c>
      <c r="X242" s="50"/>
      <c r="Y242" s="50">
        <f>IF(VLOOKUP($D242,$C$5:$AA$494,23,)=0,0,((VLOOKUP($D242,$C$5:$AA$494,23,)/VLOOKUP($D242,$C$5:$AA$494,4,))*$F242))</f>
        <v>1649130.9899999998</v>
      </c>
      <c r="Z242" s="50"/>
      <c r="AA242" s="50">
        <f>IF(VLOOKUP($D242,$C$5:$AA$494,25,)=0,0,((VLOOKUP($D242,$C$5:$AA$494,25,)/VLOOKUP($D242,$C$5:$AA$494,4,))*$F242))</f>
        <v>0</v>
      </c>
      <c r="AB242" s="50">
        <f>SUM(H242:AA242)</f>
        <v>1649130.9899999998</v>
      </c>
      <c r="AC242" s="30" t="str">
        <f>IF(ABS(AB242-F242)&lt;1,"ok","err")</f>
        <v>ok</v>
      </c>
    </row>
    <row r="243" spans="1:29" x14ac:dyDescent="0.2">
      <c r="A243" s="14">
        <v>904</v>
      </c>
      <c r="B243" s="14" t="s">
        <v>144</v>
      </c>
      <c r="C243" s="14" t="s">
        <v>145</v>
      </c>
      <c r="D243" s="14" t="s">
        <v>140</v>
      </c>
      <c r="F243" s="50">
        <v>0</v>
      </c>
      <c r="G243" s="50"/>
      <c r="H243" s="50">
        <f>IF(VLOOKUP($D243,$C$5:$AA$494,6,)=0,0,((VLOOKUP($D243,$C$5:$AA$494,6,)/VLOOKUP($D243,$C$5:$AA$494,4,))*$F243))</f>
        <v>0</v>
      </c>
      <c r="I243" s="50">
        <f>IF(VLOOKUP($D243,$C$5:$AA$494,7,)=0,0,((VLOOKUP($D243,$C$5:$AA$494,7,)/VLOOKUP($D243,$C$5:$AA$494,4,))*$F243))</f>
        <v>0</v>
      </c>
      <c r="J243" s="50"/>
      <c r="K243" s="50">
        <f>IF(VLOOKUP($D243,$C$5:$AA$494,9,)=0,0,((VLOOKUP($D243,$C$5:$AA$494,9,)/VLOOKUP($D243,$C$5:$AA$494,4,))*$F243))</f>
        <v>0</v>
      </c>
      <c r="L243" s="50"/>
      <c r="M243" s="50">
        <f>IF(VLOOKUP($D243,$C$5:$AA$494,11,)=0,0,((VLOOKUP($D243,$C$5:$AA$494,11,)/VLOOKUP($D243,$C$5:$AA$494,4,))*$F243))</f>
        <v>0</v>
      </c>
      <c r="N243" s="50"/>
      <c r="O243" s="50">
        <f>IF(VLOOKUP($D243,$C$5:$AA$494,13,)=0,0,((VLOOKUP($D243,$C$5:$AA$494,13,)/VLOOKUP($D243,$C$5:$AA$494,4,))*$F243))</f>
        <v>0</v>
      </c>
      <c r="P243" s="50">
        <f>IF(VLOOKUP($D243,$C$5:$AA$494,14,)=0,0,((VLOOKUP($D243,$C$5:$AA$494,14,)/VLOOKUP($D243,$C$5:$AA$494,4,))*$F243))</f>
        <v>0</v>
      </c>
      <c r="Q243" s="50"/>
      <c r="R243" s="50">
        <f>IF(VLOOKUP($D243,$C$5:$AA$494,16,)=0,0,((VLOOKUP($D243,$C$5:$AA$494,16,)/VLOOKUP($D243,$C$5:$AA$494,4,))*$F243))</f>
        <v>0</v>
      </c>
      <c r="S243" s="50">
        <f>IF(VLOOKUP($D243,$C$5:$AA$494,17,)=0,0,((VLOOKUP($D243,$C$5:$AA$494,17,)/VLOOKUP($D243,$C$5:$AA$494,4,))*$F243))</f>
        <v>0</v>
      </c>
      <c r="T243" s="50"/>
      <c r="U243" s="50">
        <f>IF(VLOOKUP($D243,$C$5:$AA$494,19,)=0,0,((VLOOKUP($D243,$C$5:$AA$494,19,)/VLOOKUP($D243,$C$5:$AA$494,4,))*$F243))</f>
        <v>0</v>
      </c>
      <c r="V243" s="50"/>
      <c r="W243" s="50">
        <f>IF(VLOOKUP($D243,$C$5:$AA$494,21,)=0,0,((VLOOKUP($D243,$C$5:$AA$494,21,)/VLOOKUP($D243,$C$5:$AA$494,4,))*$F243))</f>
        <v>0</v>
      </c>
      <c r="X243" s="50"/>
      <c r="Y243" s="50">
        <f>IF(VLOOKUP($D243,$C$5:$AA$494,23,)=0,0,((VLOOKUP($D243,$C$5:$AA$494,23,)/VLOOKUP($D243,$C$5:$AA$494,4,))*$F243))</f>
        <v>0</v>
      </c>
      <c r="Z243" s="50"/>
      <c r="AA243" s="50">
        <f>IF(VLOOKUP($D243,$C$5:$AA$494,25,)=0,0,((VLOOKUP($D243,$C$5:$AA$494,25,)/VLOOKUP($D243,$C$5:$AA$494,4,))*$F243))</f>
        <v>0</v>
      </c>
      <c r="AB243" s="50">
        <f>SUM(H243:AA243)</f>
        <v>0</v>
      </c>
      <c r="AC243" s="30" t="str">
        <f>IF(ABS(AB243-F243)&lt;1,"ok","err")</f>
        <v>ok</v>
      </c>
    </row>
    <row r="244" spans="1:29" x14ac:dyDescent="0.2">
      <c r="A244" s="14">
        <v>905</v>
      </c>
      <c r="B244" s="14" t="s">
        <v>453</v>
      </c>
      <c r="C244" s="14" t="s">
        <v>143</v>
      </c>
      <c r="D244" s="14" t="s">
        <v>140</v>
      </c>
      <c r="F244" s="50">
        <v>0</v>
      </c>
      <c r="G244" s="50"/>
      <c r="H244" s="50">
        <f>IF(VLOOKUP($D244,$C$5:$AA$494,6,)=0,0,((VLOOKUP($D244,$C$5:$AA$494,6,)/VLOOKUP($D244,$C$5:$AA$494,4,))*$F244))</f>
        <v>0</v>
      </c>
      <c r="I244" s="50">
        <f>IF(VLOOKUP($D244,$C$5:$AA$494,7,)=0,0,((VLOOKUP($D244,$C$5:$AA$494,7,)/VLOOKUP($D244,$C$5:$AA$494,4,))*$F244))</f>
        <v>0</v>
      </c>
      <c r="J244" s="50"/>
      <c r="K244" s="50">
        <f>IF(VLOOKUP($D244,$C$5:$AA$494,9,)=0,0,((VLOOKUP($D244,$C$5:$AA$494,9,)/VLOOKUP($D244,$C$5:$AA$494,4,))*$F244))</f>
        <v>0</v>
      </c>
      <c r="L244" s="50"/>
      <c r="M244" s="50">
        <f>IF(VLOOKUP($D244,$C$5:$AA$494,11,)=0,0,((VLOOKUP($D244,$C$5:$AA$494,11,)/VLOOKUP($D244,$C$5:$AA$494,4,))*$F244))</f>
        <v>0</v>
      </c>
      <c r="N244" s="50"/>
      <c r="O244" s="50">
        <f>IF(VLOOKUP($D244,$C$5:$AA$494,13,)=0,0,((VLOOKUP($D244,$C$5:$AA$494,13,)/VLOOKUP($D244,$C$5:$AA$494,4,))*$F244))</f>
        <v>0</v>
      </c>
      <c r="P244" s="50">
        <f>IF(VLOOKUP($D244,$C$5:$AA$494,14,)=0,0,((VLOOKUP($D244,$C$5:$AA$494,14,)/VLOOKUP($D244,$C$5:$AA$494,4,))*$F244))</f>
        <v>0</v>
      </c>
      <c r="Q244" s="50"/>
      <c r="R244" s="50">
        <f>IF(VLOOKUP($D244,$C$5:$AA$494,16,)=0,0,((VLOOKUP($D244,$C$5:$AA$494,16,)/VLOOKUP($D244,$C$5:$AA$494,4,))*$F244))</f>
        <v>0</v>
      </c>
      <c r="S244" s="50">
        <f>IF(VLOOKUP($D244,$C$5:$AA$494,17,)=0,0,((VLOOKUP($D244,$C$5:$AA$494,17,)/VLOOKUP($D244,$C$5:$AA$494,4,))*$F244))</f>
        <v>0</v>
      </c>
      <c r="T244" s="50"/>
      <c r="U244" s="50">
        <f>IF(VLOOKUP($D244,$C$5:$AA$494,19,)=0,0,((VLOOKUP($D244,$C$5:$AA$494,19,)/VLOOKUP($D244,$C$5:$AA$494,4,))*$F244))</f>
        <v>0</v>
      </c>
      <c r="V244" s="50"/>
      <c r="W244" s="50">
        <f>IF(VLOOKUP($D244,$C$5:$AA$494,21,)=0,0,((VLOOKUP($D244,$C$5:$AA$494,21,)/VLOOKUP($D244,$C$5:$AA$494,4,))*$F244))</f>
        <v>0</v>
      </c>
      <c r="X244" s="50"/>
      <c r="Y244" s="50">
        <f>IF(VLOOKUP($D244,$C$5:$AA$494,23,)=0,0,((VLOOKUP($D244,$C$5:$AA$494,23,)/VLOOKUP($D244,$C$5:$AA$494,4,))*$F244))</f>
        <v>0</v>
      </c>
      <c r="Z244" s="50"/>
      <c r="AA244" s="50">
        <f>IF(VLOOKUP($D244,$C$5:$AA$494,25,)=0,0,((VLOOKUP($D244,$C$5:$AA$494,25,)/VLOOKUP($D244,$C$5:$AA$494,4,))*$F244))</f>
        <v>0</v>
      </c>
      <c r="AB244" s="50">
        <f>SUM(H244:AA244)</f>
        <v>0</v>
      </c>
      <c r="AC244" s="30" t="str">
        <f>IF(ABS(AB244-F244)&lt;1,"ok","err")</f>
        <v>ok</v>
      </c>
    </row>
    <row r="245" spans="1:29" x14ac:dyDescent="0.2">
      <c r="A245" s="13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30"/>
    </row>
    <row r="246" spans="1:29" x14ac:dyDescent="0.2">
      <c r="A246" s="14" t="s">
        <v>146</v>
      </c>
      <c r="C246" s="14" t="s">
        <v>147</v>
      </c>
      <c r="F246" s="66">
        <f>SUM(F240:F245)</f>
        <v>1720339.0899999999</v>
      </c>
      <c r="G246" s="66"/>
      <c r="H246" s="66">
        <f t="shared" ref="H246:W246" si="139">SUM(H240:H245)</f>
        <v>0</v>
      </c>
      <c r="I246" s="66">
        <f t="shared" si="139"/>
        <v>0</v>
      </c>
      <c r="J246" s="66"/>
      <c r="K246" s="66">
        <f t="shared" si="139"/>
        <v>0</v>
      </c>
      <c r="L246" s="66"/>
      <c r="M246" s="66">
        <f t="shared" si="139"/>
        <v>0</v>
      </c>
      <c r="N246" s="66"/>
      <c r="O246" s="66">
        <f t="shared" si="139"/>
        <v>0</v>
      </c>
      <c r="P246" s="66">
        <f t="shared" si="139"/>
        <v>0</v>
      </c>
      <c r="Q246" s="66"/>
      <c r="R246" s="66">
        <f t="shared" si="139"/>
        <v>0</v>
      </c>
      <c r="S246" s="66">
        <f t="shared" si="139"/>
        <v>0</v>
      </c>
      <c r="T246" s="66"/>
      <c r="U246" s="66">
        <f t="shared" si="139"/>
        <v>0</v>
      </c>
      <c r="V246" s="66"/>
      <c r="W246" s="66">
        <f t="shared" si="139"/>
        <v>0</v>
      </c>
      <c r="X246" s="66"/>
      <c r="Y246" s="66">
        <f>SUM(Y240:Y245)</f>
        <v>1720339.0899999999</v>
      </c>
      <c r="Z246" s="66"/>
      <c r="AA246" s="66">
        <f>SUM(AA240:AA245)</f>
        <v>0</v>
      </c>
      <c r="AB246" s="50">
        <f>SUM(H246:AA246)</f>
        <v>1720339.0899999999</v>
      </c>
      <c r="AC246" s="30" t="str">
        <f>IF(ABS(AB246-F246)&lt;1,"ok","err")</f>
        <v>ok</v>
      </c>
    </row>
    <row r="247" spans="1:29" x14ac:dyDescent="0.2"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C247" s="30"/>
    </row>
    <row r="248" spans="1:29" x14ac:dyDescent="0.2">
      <c r="A248" s="13" t="s">
        <v>148</v>
      </c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C248" s="30"/>
    </row>
    <row r="249" spans="1:29" x14ac:dyDescent="0.2">
      <c r="A249" s="14">
        <v>907</v>
      </c>
      <c r="B249" s="14" t="s">
        <v>385</v>
      </c>
      <c r="C249" s="14" t="s">
        <v>149</v>
      </c>
      <c r="D249" s="14" t="s">
        <v>150</v>
      </c>
      <c r="F249" s="66">
        <v>0</v>
      </c>
      <c r="G249" s="66"/>
      <c r="H249" s="50">
        <f>IF(VLOOKUP($D249,$C$5:$AA$494,6,)=0,0,((VLOOKUP($D249,$C$5:$AA$494,6,)/VLOOKUP($D249,$C$5:$AA$494,4,))*$F249))</f>
        <v>0</v>
      </c>
      <c r="I249" s="50">
        <f t="shared" ref="I249:I260" si="140">IF(VLOOKUP($D249,$C$5:$AA$494,7,)=0,0,((VLOOKUP($D249,$C$5:$AA$494,7,)/VLOOKUP($D249,$C$5:$AA$494,4,))*$F249))</f>
        <v>0</v>
      </c>
      <c r="J249" s="50"/>
      <c r="K249" s="50">
        <f t="shared" ref="K249:K260" si="141">IF(VLOOKUP($D249,$C$5:$AA$494,9,)=0,0,((VLOOKUP($D249,$C$5:$AA$494,9,)/VLOOKUP($D249,$C$5:$AA$494,4,))*$F249))</f>
        <v>0</v>
      </c>
      <c r="L249" s="50"/>
      <c r="M249" s="50">
        <f t="shared" ref="M249:M260" si="142">IF(VLOOKUP($D249,$C$5:$AA$494,11,)=0,0,((VLOOKUP($D249,$C$5:$AA$494,11,)/VLOOKUP($D249,$C$5:$AA$494,4,))*$F249))</f>
        <v>0</v>
      </c>
      <c r="N249" s="50"/>
      <c r="O249" s="50">
        <f t="shared" ref="O249:O260" si="143">IF(VLOOKUP($D249,$C$5:$AA$494,13,)=0,0,((VLOOKUP($D249,$C$5:$AA$494,13,)/VLOOKUP($D249,$C$5:$AA$494,4,))*$F249))</f>
        <v>0</v>
      </c>
      <c r="P249" s="50">
        <f t="shared" ref="P249:P260" si="144">IF(VLOOKUP($D249,$C$5:$AA$494,14,)=0,0,((VLOOKUP($D249,$C$5:$AA$494,14,)/VLOOKUP($D249,$C$5:$AA$494,4,))*$F249))</f>
        <v>0</v>
      </c>
      <c r="Q249" s="50"/>
      <c r="R249" s="50">
        <f t="shared" ref="R249:R260" si="145">IF(VLOOKUP($D249,$C$5:$AA$494,16,)=0,0,((VLOOKUP($D249,$C$5:$AA$494,16,)/VLOOKUP($D249,$C$5:$AA$494,4,))*$F249))</f>
        <v>0</v>
      </c>
      <c r="S249" s="50">
        <f t="shared" ref="S249:S260" si="146">IF(VLOOKUP($D249,$C$5:$AA$494,17,)=0,0,((VLOOKUP($D249,$C$5:$AA$494,17,)/VLOOKUP($D249,$C$5:$AA$494,4,))*$F249))</f>
        <v>0</v>
      </c>
      <c r="T249" s="50"/>
      <c r="U249" s="50">
        <f t="shared" ref="U249:U260" si="147">IF(VLOOKUP($D249,$C$5:$AA$494,19,)=0,0,((VLOOKUP($D249,$C$5:$AA$494,19,)/VLOOKUP($D249,$C$5:$AA$494,4,))*$F249))</f>
        <v>0</v>
      </c>
      <c r="V249" s="50"/>
      <c r="W249" s="50">
        <f t="shared" ref="W249:W260" si="148">IF(VLOOKUP($D249,$C$5:$AA$494,21,)=0,0,((VLOOKUP($D249,$C$5:$AA$494,21,)/VLOOKUP($D249,$C$5:$AA$494,4,))*$F249))</f>
        <v>0</v>
      </c>
      <c r="X249" s="50"/>
      <c r="Y249" s="50">
        <f t="shared" ref="Y249:Y260" si="149">IF(VLOOKUP($D249,$C$5:$AA$494,23,)=0,0,((VLOOKUP($D249,$C$5:$AA$494,23,)/VLOOKUP($D249,$C$5:$AA$494,4,))*$F249))</f>
        <v>0</v>
      </c>
      <c r="Z249" s="50"/>
      <c r="AA249" s="50">
        <f t="shared" ref="AA249:AA260" si="150">IF(VLOOKUP($D249,$C$5:$AA$494,25,)=0,0,((VLOOKUP($D249,$C$5:$AA$494,25,)/VLOOKUP($D249,$C$5:$AA$494,4,))*$F249))</f>
        <v>0</v>
      </c>
      <c r="AB249" s="50">
        <f t="shared" ref="AB249:AB260" si="151">SUM(H249:AA249)</f>
        <v>0</v>
      </c>
      <c r="AC249" s="30" t="str">
        <f t="shared" ref="AC249:AC260" si="152">IF(ABS(AB249-F249)&lt;1,"ok","err")</f>
        <v>ok</v>
      </c>
    </row>
    <row r="250" spans="1:29" x14ac:dyDescent="0.2">
      <c r="A250" s="14">
        <v>908</v>
      </c>
      <c r="B250" s="14" t="s">
        <v>151</v>
      </c>
      <c r="C250" s="14" t="s">
        <v>152</v>
      </c>
      <c r="D250" s="14" t="s">
        <v>150</v>
      </c>
      <c r="F250" s="50">
        <v>170530.73</v>
      </c>
      <c r="G250" s="50"/>
      <c r="H250" s="50"/>
      <c r="I250" s="50">
        <f t="shared" si="140"/>
        <v>0</v>
      </c>
      <c r="J250" s="50"/>
      <c r="K250" s="50">
        <f t="shared" si="141"/>
        <v>0</v>
      </c>
      <c r="L250" s="50"/>
      <c r="M250" s="50">
        <f t="shared" si="142"/>
        <v>0</v>
      </c>
      <c r="N250" s="50"/>
      <c r="O250" s="50">
        <f t="shared" si="143"/>
        <v>0</v>
      </c>
      <c r="P250" s="50">
        <f t="shared" si="144"/>
        <v>0</v>
      </c>
      <c r="Q250" s="50"/>
      <c r="R250" s="50">
        <f t="shared" si="145"/>
        <v>0</v>
      </c>
      <c r="S250" s="50">
        <f t="shared" si="146"/>
        <v>0</v>
      </c>
      <c r="T250" s="50"/>
      <c r="U250" s="50">
        <f t="shared" si="147"/>
        <v>0</v>
      </c>
      <c r="V250" s="50"/>
      <c r="W250" s="50">
        <f t="shared" si="148"/>
        <v>0</v>
      </c>
      <c r="X250" s="50"/>
      <c r="Y250" s="50">
        <f t="shared" si="149"/>
        <v>170530.73</v>
      </c>
      <c r="Z250" s="50"/>
      <c r="AA250" s="50">
        <f t="shared" si="150"/>
        <v>0</v>
      </c>
      <c r="AB250" s="50">
        <f t="shared" si="151"/>
        <v>170530.73</v>
      </c>
      <c r="AC250" s="30" t="str">
        <f t="shared" si="152"/>
        <v>ok</v>
      </c>
    </row>
    <row r="251" spans="1:29" x14ac:dyDescent="0.2">
      <c r="A251" s="14">
        <v>908</v>
      </c>
      <c r="B251" s="14" t="s">
        <v>454</v>
      </c>
      <c r="C251" s="14" t="s">
        <v>455</v>
      </c>
      <c r="D251" s="14" t="s">
        <v>471</v>
      </c>
      <c r="F251" s="50">
        <v>0</v>
      </c>
      <c r="G251" s="50"/>
      <c r="H251" s="50">
        <f t="shared" ref="H251:H260" si="153">IF(VLOOKUP($D251,$C$5:$AA$494,6,)=0,0,((VLOOKUP($D251,$C$5:$AA$494,6,)/VLOOKUP($D251,$C$5:$AA$494,4,))*$F251))</f>
        <v>0</v>
      </c>
      <c r="I251" s="50">
        <f t="shared" si="140"/>
        <v>0</v>
      </c>
      <c r="J251" s="50"/>
      <c r="K251" s="50">
        <f t="shared" si="141"/>
        <v>0</v>
      </c>
      <c r="L251" s="50"/>
      <c r="M251" s="50">
        <f t="shared" si="142"/>
        <v>0</v>
      </c>
      <c r="N251" s="50"/>
      <c r="O251" s="50">
        <f t="shared" si="143"/>
        <v>0</v>
      </c>
      <c r="P251" s="50">
        <f t="shared" si="144"/>
        <v>0</v>
      </c>
      <c r="Q251" s="50"/>
      <c r="R251" s="50">
        <f t="shared" si="145"/>
        <v>0</v>
      </c>
      <c r="S251" s="50">
        <f t="shared" si="146"/>
        <v>0</v>
      </c>
      <c r="T251" s="50"/>
      <c r="U251" s="50">
        <f t="shared" si="147"/>
        <v>0</v>
      </c>
      <c r="V251" s="50"/>
      <c r="W251" s="50">
        <f t="shared" si="148"/>
        <v>0</v>
      </c>
      <c r="X251" s="50"/>
      <c r="Y251" s="50">
        <f t="shared" si="149"/>
        <v>0</v>
      </c>
      <c r="Z251" s="50"/>
      <c r="AA251" s="50">
        <f t="shared" si="150"/>
        <v>0</v>
      </c>
      <c r="AB251" s="50">
        <f t="shared" si="151"/>
        <v>0</v>
      </c>
      <c r="AC251" s="30" t="str">
        <f t="shared" si="152"/>
        <v>ok</v>
      </c>
    </row>
    <row r="252" spans="1:29" x14ac:dyDescent="0.2">
      <c r="A252" s="14">
        <v>909</v>
      </c>
      <c r="B252" s="14" t="s">
        <v>153</v>
      </c>
      <c r="C252" s="14" t="s">
        <v>154</v>
      </c>
      <c r="D252" s="14" t="s">
        <v>150</v>
      </c>
      <c r="F252" s="50">
        <v>0</v>
      </c>
      <c r="G252" s="50"/>
      <c r="H252" s="50">
        <f t="shared" si="153"/>
        <v>0</v>
      </c>
      <c r="I252" s="50">
        <f t="shared" si="140"/>
        <v>0</v>
      </c>
      <c r="J252" s="50"/>
      <c r="K252" s="50">
        <f t="shared" si="141"/>
        <v>0</v>
      </c>
      <c r="L252" s="50"/>
      <c r="M252" s="50">
        <f t="shared" si="142"/>
        <v>0</v>
      </c>
      <c r="N252" s="50"/>
      <c r="O252" s="50">
        <f t="shared" si="143"/>
        <v>0</v>
      </c>
      <c r="P252" s="50">
        <f t="shared" si="144"/>
        <v>0</v>
      </c>
      <c r="Q252" s="50"/>
      <c r="R252" s="50">
        <f t="shared" si="145"/>
        <v>0</v>
      </c>
      <c r="S252" s="50">
        <f t="shared" si="146"/>
        <v>0</v>
      </c>
      <c r="T252" s="50"/>
      <c r="U252" s="50">
        <f t="shared" si="147"/>
        <v>0</v>
      </c>
      <c r="V252" s="50"/>
      <c r="W252" s="50">
        <f t="shared" si="148"/>
        <v>0</v>
      </c>
      <c r="X252" s="50"/>
      <c r="Y252" s="50">
        <f t="shared" si="149"/>
        <v>0</v>
      </c>
      <c r="Z252" s="50"/>
      <c r="AA252" s="50">
        <f t="shared" si="150"/>
        <v>0</v>
      </c>
      <c r="AB252" s="50">
        <f t="shared" si="151"/>
        <v>0</v>
      </c>
      <c r="AC252" s="30" t="str">
        <f t="shared" si="152"/>
        <v>ok</v>
      </c>
    </row>
    <row r="253" spans="1:29" x14ac:dyDescent="0.2">
      <c r="A253" s="14">
        <v>909</v>
      </c>
      <c r="B253" s="14" t="s">
        <v>456</v>
      </c>
      <c r="C253" s="14" t="s">
        <v>457</v>
      </c>
      <c r="D253" s="14" t="s">
        <v>471</v>
      </c>
      <c r="F253" s="50">
        <v>0</v>
      </c>
      <c r="G253" s="50"/>
      <c r="H253" s="50">
        <f t="shared" si="153"/>
        <v>0</v>
      </c>
      <c r="I253" s="50">
        <f t="shared" si="140"/>
        <v>0</v>
      </c>
      <c r="J253" s="50"/>
      <c r="K253" s="50">
        <f t="shared" si="141"/>
        <v>0</v>
      </c>
      <c r="L253" s="50"/>
      <c r="M253" s="50">
        <f t="shared" si="142"/>
        <v>0</v>
      </c>
      <c r="N253" s="50"/>
      <c r="O253" s="50">
        <f t="shared" si="143"/>
        <v>0</v>
      </c>
      <c r="P253" s="50">
        <f t="shared" si="144"/>
        <v>0</v>
      </c>
      <c r="Q253" s="50"/>
      <c r="R253" s="50">
        <f t="shared" si="145"/>
        <v>0</v>
      </c>
      <c r="S253" s="50">
        <f t="shared" si="146"/>
        <v>0</v>
      </c>
      <c r="T253" s="50"/>
      <c r="U253" s="50">
        <f t="shared" si="147"/>
        <v>0</v>
      </c>
      <c r="V253" s="50"/>
      <c r="W253" s="50">
        <f t="shared" si="148"/>
        <v>0</v>
      </c>
      <c r="X253" s="50"/>
      <c r="Y253" s="50">
        <f t="shared" si="149"/>
        <v>0</v>
      </c>
      <c r="Z253" s="50"/>
      <c r="AA253" s="50">
        <f t="shared" si="150"/>
        <v>0</v>
      </c>
      <c r="AB253" s="50">
        <f t="shared" si="151"/>
        <v>0</v>
      </c>
      <c r="AC253" s="30" t="str">
        <f t="shared" si="152"/>
        <v>ok</v>
      </c>
    </row>
    <row r="254" spans="1:29" x14ac:dyDescent="0.2">
      <c r="A254" s="14">
        <v>910</v>
      </c>
      <c r="B254" s="14" t="s">
        <v>155</v>
      </c>
      <c r="C254" s="14" t="s">
        <v>156</v>
      </c>
      <c r="D254" s="14" t="s">
        <v>150</v>
      </c>
      <c r="F254" s="50">
        <v>0</v>
      </c>
      <c r="G254" s="50"/>
      <c r="H254" s="50">
        <f t="shared" si="153"/>
        <v>0</v>
      </c>
      <c r="I254" s="50">
        <f t="shared" si="140"/>
        <v>0</v>
      </c>
      <c r="J254" s="50"/>
      <c r="K254" s="50">
        <f t="shared" si="141"/>
        <v>0</v>
      </c>
      <c r="L254" s="50"/>
      <c r="M254" s="50">
        <f t="shared" si="142"/>
        <v>0</v>
      </c>
      <c r="N254" s="50"/>
      <c r="O254" s="50">
        <f t="shared" si="143"/>
        <v>0</v>
      </c>
      <c r="P254" s="50">
        <f t="shared" si="144"/>
        <v>0</v>
      </c>
      <c r="Q254" s="50"/>
      <c r="R254" s="50">
        <f t="shared" si="145"/>
        <v>0</v>
      </c>
      <c r="S254" s="50">
        <f t="shared" si="146"/>
        <v>0</v>
      </c>
      <c r="T254" s="50"/>
      <c r="U254" s="50">
        <f t="shared" si="147"/>
        <v>0</v>
      </c>
      <c r="V254" s="50"/>
      <c r="W254" s="50">
        <f t="shared" si="148"/>
        <v>0</v>
      </c>
      <c r="X254" s="50"/>
      <c r="Y254" s="50">
        <f t="shared" si="149"/>
        <v>0</v>
      </c>
      <c r="Z254" s="50"/>
      <c r="AA254" s="50">
        <f t="shared" si="150"/>
        <v>0</v>
      </c>
      <c r="AB254" s="50">
        <f t="shared" si="151"/>
        <v>0</v>
      </c>
      <c r="AC254" s="30" t="str">
        <f t="shared" si="152"/>
        <v>ok</v>
      </c>
    </row>
    <row r="255" spans="1:29" x14ac:dyDescent="0.2">
      <c r="A255" s="14">
        <v>911</v>
      </c>
      <c r="B255" s="14" t="s">
        <v>385</v>
      </c>
      <c r="C255" s="14" t="s">
        <v>710</v>
      </c>
      <c r="D255" s="14" t="s">
        <v>150</v>
      </c>
      <c r="F255" s="50">
        <v>0</v>
      </c>
      <c r="G255" s="50"/>
      <c r="H255" s="50">
        <f t="shared" si="153"/>
        <v>0</v>
      </c>
      <c r="I255" s="50">
        <f t="shared" si="140"/>
        <v>0</v>
      </c>
      <c r="J255" s="50"/>
      <c r="K255" s="50">
        <f t="shared" si="141"/>
        <v>0</v>
      </c>
      <c r="L255" s="50"/>
      <c r="M255" s="50">
        <f t="shared" si="142"/>
        <v>0</v>
      </c>
      <c r="N255" s="50"/>
      <c r="O255" s="50">
        <f t="shared" si="143"/>
        <v>0</v>
      </c>
      <c r="P255" s="50">
        <f t="shared" si="144"/>
        <v>0</v>
      </c>
      <c r="Q255" s="50"/>
      <c r="R255" s="50">
        <f t="shared" si="145"/>
        <v>0</v>
      </c>
      <c r="S255" s="50">
        <f t="shared" si="146"/>
        <v>0</v>
      </c>
      <c r="T255" s="50"/>
      <c r="U255" s="50">
        <f t="shared" si="147"/>
        <v>0</v>
      </c>
      <c r="V255" s="50"/>
      <c r="W255" s="50">
        <f t="shared" si="148"/>
        <v>0</v>
      </c>
      <c r="X255" s="50"/>
      <c r="Y255" s="50">
        <f t="shared" si="149"/>
        <v>0</v>
      </c>
      <c r="Z255" s="50"/>
      <c r="AA255" s="50">
        <f t="shared" si="150"/>
        <v>0</v>
      </c>
      <c r="AB255" s="50">
        <f>SUM(H255:AA255)</f>
        <v>0</v>
      </c>
      <c r="AC255" s="30" t="str">
        <f>IF(ABS(AB255-F255)&lt;1,"ok","err")</f>
        <v>ok</v>
      </c>
    </row>
    <row r="256" spans="1:29" x14ac:dyDescent="0.2">
      <c r="A256" s="14">
        <v>912</v>
      </c>
      <c r="B256" s="14" t="s">
        <v>587</v>
      </c>
      <c r="C256" s="14" t="s">
        <v>588</v>
      </c>
      <c r="D256" s="14" t="s">
        <v>471</v>
      </c>
      <c r="F256" s="50">
        <v>0</v>
      </c>
      <c r="G256" s="50"/>
      <c r="H256" s="50">
        <f t="shared" si="153"/>
        <v>0</v>
      </c>
      <c r="I256" s="50">
        <f t="shared" si="140"/>
        <v>0</v>
      </c>
      <c r="J256" s="50"/>
      <c r="K256" s="50">
        <f t="shared" si="141"/>
        <v>0</v>
      </c>
      <c r="L256" s="50"/>
      <c r="M256" s="50">
        <f t="shared" si="142"/>
        <v>0</v>
      </c>
      <c r="N256" s="50"/>
      <c r="O256" s="50">
        <f t="shared" si="143"/>
        <v>0</v>
      </c>
      <c r="P256" s="50">
        <f t="shared" si="144"/>
        <v>0</v>
      </c>
      <c r="Q256" s="50"/>
      <c r="R256" s="50">
        <f t="shared" si="145"/>
        <v>0</v>
      </c>
      <c r="S256" s="50">
        <f t="shared" si="146"/>
        <v>0</v>
      </c>
      <c r="T256" s="50"/>
      <c r="U256" s="50">
        <f t="shared" si="147"/>
        <v>0</v>
      </c>
      <c r="V256" s="50"/>
      <c r="W256" s="50">
        <f t="shared" si="148"/>
        <v>0</v>
      </c>
      <c r="X256" s="50"/>
      <c r="Y256" s="50">
        <f t="shared" si="149"/>
        <v>0</v>
      </c>
      <c r="Z256" s="50"/>
      <c r="AA256" s="50">
        <f t="shared" si="150"/>
        <v>0</v>
      </c>
      <c r="AB256" s="50">
        <f t="shared" si="151"/>
        <v>0</v>
      </c>
      <c r="AC256" s="30" t="str">
        <f t="shared" si="152"/>
        <v>ok</v>
      </c>
    </row>
    <row r="257" spans="1:29" x14ac:dyDescent="0.2">
      <c r="A257" s="14">
        <v>913</v>
      </c>
      <c r="B257" s="14" t="s">
        <v>638</v>
      </c>
      <c r="C257" s="14" t="s">
        <v>577</v>
      </c>
      <c r="D257" s="14" t="s">
        <v>471</v>
      </c>
      <c r="F257" s="50">
        <v>0</v>
      </c>
      <c r="G257" s="50"/>
      <c r="H257" s="50">
        <f t="shared" si="153"/>
        <v>0</v>
      </c>
      <c r="I257" s="50">
        <f t="shared" si="140"/>
        <v>0</v>
      </c>
      <c r="J257" s="50"/>
      <c r="K257" s="50">
        <f t="shared" si="141"/>
        <v>0</v>
      </c>
      <c r="L257" s="50"/>
      <c r="M257" s="50">
        <f t="shared" si="142"/>
        <v>0</v>
      </c>
      <c r="N257" s="50"/>
      <c r="O257" s="50">
        <f t="shared" si="143"/>
        <v>0</v>
      </c>
      <c r="P257" s="50">
        <f t="shared" si="144"/>
        <v>0</v>
      </c>
      <c r="Q257" s="50"/>
      <c r="R257" s="50">
        <f t="shared" si="145"/>
        <v>0</v>
      </c>
      <c r="S257" s="50">
        <f t="shared" si="146"/>
        <v>0</v>
      </c>
      <c r="T257" s="50"/>
      <c r="U257" s="50">
        <f t="shared" si="147"/>
        <v>0</v>
      </c>
      <c r="V257" s="50"/>
      <c r="W257" s="50">
        <f t="shared" si="148"/>
        <v>0</v>
      </c>
      <c r="X257" s="50"/>
      <c r="Y257" s="50">
        <f t="shared" si="149"/>
        <v>0</v>
      </c>
      <c r="Z257" s="50"/>
      <c r="AA257" s="50">
        <f t="shared" si="150"/>
        <v>0</v>
      </c>
      <c r="AB257" s="50">
        <f t="shared" si="151"/>
        <v>0</v>
      </c>
      <c r="AC257" s="30" t="str">
        <f t="shared" si="152"/>
        <v>ok</v>
      </c>
    </row>
    <row r="258" spans="1:29" x14ac:dyDescent="0.2">
      <c r="A258" s="14">
        <v>914</v>
      </c>
      <c r="B258" s="14" t="s">
        <v>930</v>
      </c>
      <c r="C258" s="14" t="s">
        <v>931</v>
      </c>
      <c r="D258" s="14" t="s">
        <v>471</v>
      </c>
      <c r="F258" s="50">
        <v>0</v>
      </c>
      <c r="G258" s="50"/>
      <c r="H258" s="50">
        <f t="shared" si="153"/>
        <v>0</v>
      </c>
      <c r="I258" s="50">
        <f t="shared" si="140"/>
        <v>0</v>
      </c>
      <c r="J258" s="50"/>
      <c r="K258" s="50">
        <f t="shared" si="141"/>
        <v>0</v>
      </c>
      <c r="L258" s="50"/>
      <c r="M258" s="50">
        <f t="shared" si="142"/>
        <v>0</v>
      </c>
      <c r="N258" s="50"/>
      <c r="O258" s="50">
        <f t="shared" si="143"/>
        <v>0</v>
      </c>
      <c r="P258" s="50">
        <f t="shared" si="144"/>
        <v>0</v>
      </c>
      <c r="Q258" s="50"/>
      <c r="R258" s="50">
        <f t="shared" si="145"/>
        <v>0</v>
      </c>
      <c r="S258" s="50">
        <f t="shared" si="146"/>
        <v>0</v>
      </c>
      <c r="T258" s="50"/>
      <c r="U258" s="50">
        <f t="shared" si="147"/>
        <v>0</v>
      </c>
      <c r="V258" s="50"/>
      <c r="W258" s="50">
        <f t="shared" si="148"/>
        <v>0</v>
      </c>
      <c r="X258" s="50"/>
      <c r="Y258" s="50">
        <f t="shared" si="149"/>
        <v>0</v>
      </c>
      <c r="Z258" s="50"/>
      <c r="AA258" s="50">
        <f t="shared" si="150"/>
        <v>0</v>
      </c>
      <c r="AB258" s="50">
        <f>SUM(H258:AA258)</f>
        <v>0</v>
      </c>
      <c r="AC258" s="30" t="str">
        <f>IF(ABS(AB258-F258)&lt;1,"ok","err")</f>
        <v>ok</v>
      </c>
    </row>
    <row r="259" spans="1:29" x14ac:dyDescent="0.2">
      <c r="A259" s="14">
        <v>916</v>
      </c>
      <c r="B259" s="14" t="s">
        <v>640</v>
      </c>
      <c r="C259" s="14" t="s">
        <v>641</v>
      </c>
      <c r="D259" s="14" t="s">
        <v>471</v>
      </c>
      <c r="F259" s="50">
        <v>0</v>
      </c>
      <c r="G259" s="50"/>
      <c r="H259" s="50">
        <f t="shared" si="153"/>
        <v>0</v>
      </c>
      <c r="I259" s="50">
        <f t="shared" si="140"/>
        <v>0</v>
      </c>
      <c r="J259" s="50"/>
      <c r="K259" s="50">
        <f t="shared" si="141"/>
        <v>0</v>
      </c>
      <c r="L259" s="50"/>
      <c r="M259" s="50">
        <f t="shared" si="142"/>
        <v>0</v>
      </c>
      <c r="N259" s="50"/>
      <c r="O259" s="50">
        <f t="shared" si="143"/>
        <v>0</v>
      </c>
      <c r="P259" s="50">
        <f t="shared" si="144"/>
        <v>0</v>
      </c>
      <c r="Q259" s="50"/>
      <c r="R259" s="50">
        <f t="shared" si="145"/>
        <v>0</v>
      </c>
      <c r="S259" s="50">
        <f t="shared" si="146"/>
        <v>0</v>
      </c>
      <c r="T259" s="50"/>
      <c r="U259" s="50">
        <f t="shared" si="147"/>
        <v>0</v>
      </c>
      <c r="V259" s="50"/>
      <c r="W259" s="50">
        <f t="shared" si="148"/>
        <v>0</v>
      </c>
      <c r="X259" s="50"/>
      <c r="Y259" s="50">
        <f t="shared" si="149"/>
        <v>0</v>
      </c>
      <c r="Z259" s="50"/>
      <c r="AA259" s="50">
        <f t="shared" si="150"/>
        <v>0</v>
      </c>
      <c r="AB259" s="50">
        <f t="shared" si="151"/>
        <v>0</v>
      </c>
      <c r="AC259" s="30" t="str">
        <f t="shared" si="152"/>
        <v>ok</v>
      </c>
    </row>
    <row r="260" spans="1:29" x14ac:dyDescent="0.2">
      <c r="A260" s="14">
        <v>917</v>
      </c>
      <c r="B260" s="14" t="s">
        <v>640</v>
      </c>
      <c r="C260" s="14" t="s">
        <v>924</v>
      </c>
      <c r="D260" s="14" t="s">
        <v>471</v>
      </c>
      <c r="F260" s="50">
        <v>0</v>
      </c>
      <c r="G260" s="50"/>
      <c r="H260" s="50">
        <f t="shared" si="153"/>
        <v>0</v>
      </c>
      <c r="I260" s="50">
        <f t="shared" si="140"/>
        <v>0</v>
      </c>
      <c r="J260" s="50"/>
      <c r="K260" s="50">
        <f t="shared" si="141"/>
        <v>0</v>
      </c>
      <c r="L260" s="50"/>
      <c r="M260" s="50">
        <f t="shared" si="142"/>
        <v>0</v>
      </c>
      <c r="N260" s="50"/>
      <c r="O260" s="50">
        <f t="shared" si="143"/>
        <v>0</v>
      </c>
      <c r="P260" s="50">
        <f t="shared" si="144"/>
        <v>0</v>
      </c>
      <c r="Q260" s="50"/>
      <c r="R260" s="50">
        <f t="shared" si="145"/>
        <v>0</v>
      </c>
      <c r="S260" s="50">
        <f t="shared" si="146"/>
        <v>0</v>
      </c>
      <c r="T260" s="50"/>
      <c r="U260" s="50">
        <f t="shared" si="147"/>
        <v>0</v>
      </c>
      <c r="V260" s="50"/>
      <c r="W260" s="50">
        <f t="shared" si="148"/>
        <v>0</v>
      </c>
      <c r="X260" s="50"/>
      <c r="Y260" s="50">
        <f t="shared" si="149"/>
        <v>0</v>
      </c>
      <c r="Z260" s="50"/>
      <c r="AA260" s="50">
        <f t="shared" si="150"/>
        <v>0</v>
      </c>
      <c r="AB260" s="50">
        <f t="shared" si="151"/>
        <v>0</v>
      </c>
      <c r="AC260" s="30" t="str">
        <f t="shared" si="152"/>
        <v>ok</v>
      </c>
    </row>
    <row r="261" spans="1:29" x14ac:dyDescent="0.2"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30"/>
    </row>
    <row r="262" spans="1:29" x14ac:dyDescent="0.2">
      <c r="A262" s="14" t="s">
        <v>157</v>
      </c>
      <c r="C262" s="14" t="s">
        <v>158</v>
      </c>
      <c r="F262" s="66">
        <f>SUM(F249:F260)</f>
        <v>170530.73</v>
      </c>
      <c r="G262" s="66"/>
      <c r="H262" s="66">
        <f t="shared" ref="H262:W262" si="154">SUM(H249:H261)</f>
        <v>0</v>
      </c>
      <c r="I262" s="66">
        <f t="shared" si="154"/>
        <v>0</v>
      </c>
      <c r="J262" s="66"/>
      <c r="K262" s="66">
        <f t="shared" si="154"/>
        <v>0</v>
      </c>
      <c r="L262" s="66"/>
      <c r="M262" s="66">
        <f t="shared" si="154"/>
        <v>0</v>
      </c>
      <c r="N262" s="66"/>
      <c r="O262" s="66">
        <f t="shared" si="154"/>
        <v>0</v>
      </c>
      <c r="P262" s="66">
        <f t="shared" si="154"/>
        <v>0</v>
      </c>
      <c r="Q262" s="66"/>
      <c r="R262" s="66">
        <f t="shared" si="154"/>
        <v>0</v>
      </c>
      <c r="S262" s="66">
        <f t="shared" si="154"/>
        <v>0</v>
      </c>
      <c r="T262" s="66"/>
      <c r="U262" s="66">
        <f t="shared" si="154"/>
        <v>0</v>
      </c>
      <c r="V262" s="66"/>
      <c r="W262" s="66">
        <f t="shared" si="154"/>
        <v>0</v>
      </c>
      <c r="X262" s="66"/>
      <c r="Y262" s="66">
        <f>SUM(Y249:Y261)</f>
        <v>170530.73</v>
      </c>
      <c r="Z262" s="66"/>
      <c r="AA262" s="66">
        <f>SUM(AA249:AA261)</f>
        <v>0</v>
      </c>
      <c r="AB262" s="50">
        <f>SUM(H262:AA262)</f>
        <v>170530.73</v>
      </c>
      <c r="AC262" s="30" t="str">
        <f>IF(ABS(AB262-F262)&lt;1,"ok","err")</f>
        <v>ok</v>
      </c>
    </row>
    <row r="263" spans="1:29" x14ac:dyDescent="0.2">
      <c r="D263" s="93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C263" s="30"/>
    </row>
    <row r="264" spans="1:29" x14ac:dyDescent="0.2">
      <c r="A264" s="14" t="s">
        <v>410</v>
      </c>
      <c r="C264" s="14" t="s">
        <v>411</v>
      </c>
      <c r="F264" s="50">
        <f t="shared" ref="F264:M264" si="155">F233+F246+F262</f>
        <v>7543538.7600000007</v>
      </c>
      <c r="G264" s="50"/>
      <c r="H264" s="50">
        <f t="shared" si="155"/>
        <v>0</v>
      </c>
      <c r="I264" s="50">
        <f t="shared" si="155"/>
        <v>0</v>
      </c>
      <c r="J264" s="50"/>
      <c r="K264" s="50">
        <f t="shared" si="155"/>
        <v>0</v>
      </c>
      <c r="L264" s="50"/>
      <c r="M264" s="50">
        <f t="shared" si="155"/>
        <v>21.201770978975325</v>
      </c>
      <c r="N264" s="50"/>
      <c r="O264" s="50">
        <f t="shared" ref="O264:AA264" si="156">O233+O246+O262</f>
        <v>3613315.4267524863</v>
      </c>
      <c r="P264" s="50">
        <f t="shared" si="156"/>
        <v>1308063.8993178757</v>
      </c>
      <c r="Q264" s="50"/>
      <c r="R264" s="50">
        <f t="shared" si="156"/>
        <v>0</v>
      </c>
      <c r="S264" s="50">
        <f t="shared" si="156"/>
        <v>208400.04351286378</v>
      </c>
      <c r="T264" s="50"/>
      <c r="U264" s="50">
        <f t="shared" si="156"/>
        <v>494285.10063386138</v>
      </c>
      <c r="V264" s="50"/>
      <c r="W264" s="50">
        <f t="shared" si="156"/>
        <v>28583.268011933797</v>
      </c>
      <c r="X264" s="50"/>
      <c r="Y264" s="50">
        <f t="shared" si="156"/>
        <v>1890869.8199999998</v>
      </c>
      <c r="Z264" s="50"/>
      <c r="AA264" s="50">
        <f t="shared" si="156"/>
        <v>0</v>
      </c>
      <c r="AB264" s="50">
        <f>SUM(H264:AA264)</f>
        <v>7543538.7599999998</v>
      </c>
      <c r="AC264" s="30" t="str">
        <f>IF(ABS(AB264-F264)&lt;1,"ok","err")</f>
        <v>ok</v>
      </c>
    </row>
    <row r="265" spans="1:29" x14ac:dyDescent="0.2"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C265" s="30"/>
    </row>
    <row r="266" spans="1:29" x14ac:dyDescent="0.2">
      <c r="A266" s="28" t="s">
        <v>136</v>
      </c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C266" s="30"/>
    </row>
    <row r="267" spans="1:29" x14ac:dyDescent="0.2"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C267" s="30"/>
    </row>
    <row r="268" spans="1:29" x14ac:dyDescent="0.2">
      <c r="A268" s="13" t="s">
        <v>159</v>
      </c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C268" s="30"/>
    </row>
    <row r="269" spans="1:29" x14ac:dyDescent="0.2">
      <c r="A269" s="14">
        <v>920</v>
      </c>
      <c r="B269" s="14" t="s">
        <v>160</v>
      </c>
      <c r="C269" s="14" t="s">
        <v>161</v>
      </c>
      <c r="D269" s="14" t="s">
        <v>411</v>
      </c>
      <c r="F269" s="66">
        <v>1255015.6200000001</v>
      </c>
      <c r="G269" s="66"/>
      <c r="H269" s="50">
        <f>IF((VLOOKUP($D269,$C$5:$AA$494,6,)=0),0,((VLOOKUP($D269,$C$5:$AA$494,6,)/VLOOKUP($D269,$C$5:$AA$494,4,))*$F269))</f>
        <v>0</v>
      </c>
      <c r="I269" s="50">
        <f>(VLOOKUP($D269,$C$5:$AA$494,7,)/VLOOKUP($D269,$C$5:$AA$494,4,))*$F269</f>
        <v>0</v>
      </c>
      <c r="J269" s="50"/>
      <c r="K269" s="50">
        <f>(VLOOKUP($D269,$C$5:$AA$494,9,)/VLOOKUP($D269,$C$5:$AA$494,4,))*$F269</f>
        <v>0</v>
      </c>
      <c r="L269" s="50"/>
      <c r="M269" s="50">
        <f>(VLOOKUP($D269,$C$5:$AA$494,11,)/VLOOKUP($D269,$C$5:$AA$494,4,))*$F269</f>
        <v>3.5273304210180432</v>
      </c>
      <c r="N269" s="50"/>
      <c r="O269" s="50">
        <f>(VLOOKUP($D269,$C$5:$AA$494,13,)/VLOOKUP($D269,$C$5:$AA$494,4,))*$F269</f>
        <v>601145.88720709854</v>
      </c>
      <c r="P269" s="50">
        <f>(VLOOKUP($D269,$C$5:$AA$494,14,)/VLOOKUP($D269,$C$5:$AA$494,4,))*$F269</f>
        <v>217622.08398887332</v>
      </c>
      <c r="Q269" s="50"/>
      <c r="R269" s="50">
        <f>(VLOOKUP($D269,$C$5:$AA$494,16,)/VLOOKUP($D269,$C$5:$AA$494,4,))*$F269</f>
        <v>0</v>
      </c>
      <c r="S269" s="50">
        <f>(VLOOKUP($D269,$C$5:$AA$494,17,)/VLOOKUP($D269,$C$5:$AA$494,4,))*$F269</f>
        <v>34671.434473722213</v>
      </c>
      <c r="T269" s="50"/>
      <c r="U269" s="50">
        <f>(VLOOKUP($D269,$C$5:$AA$494,19,)/VLOOKUP($D269,$C$5:$AA$494,4,))*$F269</f>
        <v>82234.020632084343</v>
      </c>
      <c r="V269" s="50"/>
      <c r="W269" s="50">
        <f>(VLOOKUP($D269,$C$5:$AA$494,21,)/VLOOKUP($D269,$C$5:$AA$494,4,))*$F269</f>
        <v>4755.3872216894742</v>
      </c>
      <c r="X269" s="50"/>
      <c r="Y269" s="50">
        <f>(VLOOKUP($D269,$C$5:$AA$494,23,)/VLOOKUP($D269,$C$5:$AA$494,4,))*$F269</f>
        <v>314583.27914611105</v>
      </c>
      <c r="Z269" s="50"/>
      <c r="AA269" s="50">
        <f>(VLOOKUP($D269,$C$5:$AA$494,25,)/VLOOKUP($D269,$C$5:$AA$494,4,))*$F269</f>
        <v>0</v>
      </c>
      <c r="AB269" s="50">
        <f t="shared" ref="AB269:AB281" si="157">SUM(H269:AA269)</f>
        <v>1255015.6199999999</v>
      </c>
      <c r="AC269" s="30" t="str">
        <f t="shared" ref="AC269:AC281" si="158">IF(ABS(AB269-F269)&lt;1,"ok","err")</f>
        <v>ok</v>
      </c>
    </row>
    <row r="270" spans="1:29" x14ac:dyDescent="0.2">
      <c r="A270" s="14">
        <v>921</v>
      </c>
      <c r="B270" s="14" t="s">
        <v>162</v>
      </c>
      <c r="C270" s="14" t="s">
        <v>163</v>
      </c>
      <c r="D270" s="14" t="s">
        <v>516</v>
      </c>
      <c r="F270" s="50">
        <v>102897.88</v>
      </c>
      <c r="G270" s="50"/>
      <c r="H270" s="50">
        <f>IF(VLOOKUP($D270,$C$5:$AA$494,6,)=0,0,((VLOOKUP($D270,$C$5:$AA$494,6,)/VLOOKUP($D270,$C$5:$AA$494,4,))*$F270))</f>
        <v>0</v>
      </c>
      <c r="I270" s="50">
        <f>IF(VLOOKUP($D270,$C$5:$AA$494,7,)=0,0,((VLOOKUP($D270,$C$5:$AA$494,7,)/VLOOKUP($D270,$C$5:$AA$494,4,))*$F270))</f>
        <v>0</v>
      </c>
      <c r="J270" s="50"/>
      <c r="K270" s="50">
        <f>IF(VLOOKUP($D270,$C$5:$AA$494,9,)=0,0,((VLOOKUP($D270,$C$5:$AA$494,9,)/VLOOKUP($D270,$C$5:$AA$494,4,))*$F270))</f>
        <v>0</v>
      </c>
      <c r="L270" s="50"/>
      <c r="M270" s="50">
        <f>IF(VLOOKUP($D270,$C$5:$AA$494,11,)=0,0,((VLOOKUP($D270,$C$5:$AA$494,11,)/VLOOKUP($D270,$C$5:$AA$494,4,))*$F270))</f>
        <v>0.28216812536915858</v>
      </c>
      <c r="N270" s="50"/>
      <c r="O270" s="50">
        <f>IF(VLOOKUP($D270,$C$5:$AA$494,13,)=0,0,((VLOOKUP($D270,$C$5:$AA$494,13,)/VLOOKUP($D270,$C$5:$AA$494,4,))*$F270))</f>
        <v>43467.647839164798</v>
      </c>
      <c r="P270" s="50">
        <f>IF(VLOOKUP($D270,$C$5:$AA$494,14,)=0,0,((VLOOKUP($D270,$C$5:$AA$494,14,)/VLOOKUP($D270,$C$5:$AA$494,4,))*$F270))</f>
        <v>13960.271175174707</v>
      </c>
      <c r="Q270" s="50"/>
      <c r="R270" s="50">
        <f>IF(VLOOKUP($D270,$C$5:$AA$494,16,)=0,0,((VLOOKUP($D270,$C$5:$AA$494,16,)/VLOOKUP($D270,$C$5:$AA$494,4,))*$F270))</f>
        <v>0</v>
      </c>
      <c r="S270" s="50">
        <f>IF(VLOOKUP($D270,$C$5:$AA$494,17,)=0,0,((VLOOKUP($D270,$C$5:$AA$494,17,)/VLOOKUP($D270,$C$5:$AA$494,4,))*$F270))</f>
        <v>889.8569037368552</v>
      </c>
      <c r="T270" s="50"/>
      <c r="U270" s="50">
        <f>IF(VLOOKUP($D270,$C$5:$AA$494,19,)=0,0,((VLOOKUP($D270,$C$5:$AA$494,19,)/VLOOKUP($D270,$C$5:$AA$494,4,))*$F270))</f>
        <v>8770.2111017795432</v>
      </c>
      <c r="V270" s="50"/>
      <c r="W270" s="50">
        <f>IF(VLOOKUP($D270,$C$5:$AA$494,21,)=0,0,((VLOOKUP($D270,$C$5:$AA$494,21,)/VLOOKUP($D270,$C$5:$AA$494,4,))*$F270))</f>
        <v>380.40629529719541</v>
      </c>
      <c r="X270" s="50"/>
      <c r="Y270" s="50">
        <f>IF(VLOOKUP($D270,$C$5:$AA$494,23,)=0,0,((VLOOKUP($D270,$C$5:$AA$494,23,)/VLOOKUP($D270,$C$5:$AA$494,4,))*$F270))</f>
        <v>35429.204516721533</v>
      </c>
      <c r="Z270" s="50"/>
      <c r="AA270" s="50">
        <f>IF(VLOOKUP($D270,$C$5:$AA$494,25,)=0,0,((VLOOKUP($D270,$C$5:$AA$494,25,)/VLOOKUP($D270,$C$5:$AA$494,4,))*$F270))</f>
        <v>0</v>
      </c>
      <c r="AB270" s="50">
        <f>SUM(H270:AA270)</f>
        <v>102897.88</v>
      </c>
      <c r="AC270" s="30" t="str">
        <f>IF(ABS(AB270-F270)&lt;1,"ok","err")</f>
        <v>ok</v>
      </c>
    </row>
    <row r="271" spans="1:29" x14ac:dyDescent="0.2">
      <c r="A271" s="14">
        <v>923</v>
      </c>
      <c r="B271" s="14" t="s">
        <v>164</v>
      </c>
      <c r="C271" s="14" t="s">
        <v>165</v>
      </c>
      <c r="D271" s="14" t="s">
        <v>411</v>
      </c>
      <c r="F271" s="50">
        <v>76059.13</v>
      </c>
      <c r="G271" s="50"/>
      <c r="H271" s="50">
        <f t="shared" ref="H271:H278" si="159">IF((VLOOKUP($D271,$C$5:$AA$494,6,)=0),0,((VLOOKUP($D271,$C$5:$AA$494,6,)/VLOOKUP($D271,$C$5:$AA$494,4,))*$F271))</f>
        <v>0</v>
      </c>
      <c r="I271" s="50">
        <f t="shared" ref="I271:I281" si="160">(VLOOKUP($D271,$C$5:$AA$494,7,)/VLOOKUP($D271,$C$5:$AA$494,4,))*$F271</f>
        <v>0</v>
      </c>
      <c r="J271" s="50"/>
      <c r="K271" s="50">
        <f t="shared" ref="K271:K281" si="161">(VLOOKUP($D271,$C$5:$AA$494,9,)/VLOOKUP($D271,$C$5:$AA$494,4,))*$F271</f>
        <v>0</v>
      </c>
      <c r="L271" s="50"/>
      <c r="M271" s="50">
        <f t="shared" ref="M271:M281" si="162">(VLOOKUP($D271,$C$5:$AA$494,11,)/VLOOKUP($D271,$C$5:$AA$494,4,))*$F271</f>
        <v>0.21377079198836271</v>
      </c>
      <c r="N271" s="50"/>
      <c r="O271" s="50">
        <f t="shared" ref="O271:O281" si="163">(VLOOKUP($D271,$C$5:$AA$494,13,)/VLOOKUP($D271,$C$5:$AA$494,4,))*$F271</f>
        <v>36431.923599524634</v>
      </c>
      <c r="P271" s="50">
        <f t="shared" ref="P271:P281" si="164">(VLOOKUP($D271,$C$5:$AA$494,14,)/VLOOKUP($D271,$C$5:$AA$494,4,))*$F271</f>
        <v>13188.797105952064</v>
      </c>
      <c r="Q271" s="50"/>
      <c r="R271" s="50">
        <f t="shared" ref="R271:R281" si="165">(VLOOKUP($D271,$C$5:$AA$494,16,)/VLOOKUP($D271,$C$5:$AA$494,4,))*$F271</f>
        <v>0</v>
      </c>
      <c r="S271" s="50">
        <f t="shared" ref="S271:S281" si="166">(VLOOKUP($D271,$C$5:$AA$494,17,)/VLOOKUP($D271,$C$5:$AA$494,4,))*$F271</f>
        <v>2101.2321280298643</v>
      </c>
      <c r="T271" s="50"/>
      <c r="U271" s="50">
        <f t="shared" ref="U271:U281" si="167">(VLOOKUP($D271,$C$5:$AA$494,19,)/VLOOKUP($D271,$C$5:$AA$494,4,))*$F271</f>
        <v>4983.7212907982648</v>
      </c>
      <c r="V271" s="50"/>
      <c r="W271" s="50">
        <f t="shared" ref="W271:W281" si="168">(VLOOKUP($D271,$C$5:$AA$494,21,)/VLOOKUP($D271,$C$5:$AA$494,4,))*$F271</f>
        <v>288.19610619254166</v>
      </c>
      <c r="X271" s="50"/>
      <c r="Y271" s="50">
        <f t="shared" ref="Y271:Y281" si="169">(VLOOKUP($D271,$C$5:$AA$494,23,)/VLOOKUP($D271,$C$5:$AA$494,4,))*$F271</f>
        <v>19065.045998710637</v>
      </c>
      <c r="Z271" s="50"/>
      <c r="AA271" s="50">
        <f t="shared" ref="AA271:AA281" si="170">(VLOOKUP($D271,$C$5:$AA$494,25,)/VLOOKUP($D271,$C$5:$AA$494,4,))*$F271</f>
        <v>0</v>
      </c>
      <c r="AB271" s="50">
        <f t="shared" si="157"/>
        <v>76059.13</v>
      </c>
      <c r="AC271" s="30" t="str">
        <f t="shared" si="158"/>
        <v>ok</v>
      </c>
    </row>
    <row r="272" spans="1:29" x14ac:dyDescent="0.2">
      <c r="A272" s="14">
        <v>924</v>
      </c>
      <c r="B272" s="14" t="s">
        <v>166</v>
      </c>
      <c r="C272" s="14" t="s">
        <v>167</v>
      </c>
      <c r="D272" s="14" t="s">
        <v>84</v>
      </c>
      <c r="F272" s="50">
        <v>0</v>
      </c>
      <c r="G272" s="50"/>
      <c r="H272" s="50">
        <f t="shared" si="159"/>
        <v>0</v>
      </c>
      <c r="I272" s="50">
        <f t="shared" si="160"/>
        <v>0</v>
      </c>
      <c r="J272" s="50"/>
      <c r="K272" s="50">
        <f t="shared" si="161"/>
        <v>0</v>
      </c>
      <c r="L272" s="50"/>
      <c r="M272" s="50">
        <f t="shared" si="162"/>
        <v>0</v>
      </c>
      <c r="N272" s="50"/>
      <c r="O272" s="50">
        <f t="shared" si="163"/>
        <v>0</v>
      </c>
      <c r="P272" s="50">
        <f t="shared" si="164"/>
        <v>0</v>
      </c>
      <c r="Q272" s="50"/>
      <c r="R272" s="50">
        <f t="shared" si="165"/>
        <v>0</v>
      </c>
      <c r="S272" s="50">
        <f t="shared" si="166"/>
        <v>0</v>
      </c>
      <c r="T272" s="50"/>
      <c r="U272" s="50">
        <f t="shared" si="167"/>
        <v>0</v>
      </c>
      <c r="V272" s="50"/>
      <c r="W272" s="50">
        <f t="shared" si="168"/>
        <v>0</v>
      </c>
      <c r="X272" s="50"/>
      <c r="Y272" s="50">
        <f t="shared" si="169"/>
        <v>0</v>
      </c>
      <c r="Z272" s="50"/>
      <c r="AA272" s="50">
        <f t="shared" si="170"/>
        <v>0</v>
      </c>
      <c r="AB272" s="50">
        <f t="shared" si="157"/>
        <v>0</v>
      </c>
      <c r="AC272" s="30" t="str">
        <f t="shared" si="158"/>
        <v>ok</v>
      </c>
    </row>
    <row r="273" spans="1:29" x14ac:dyDescent="0.2">
      <c r="A273" s="14">
        <v>925</v>
      </c>
      <c r="B273" s="14" t="s">
        <v>168</v>
      </c>
      <c r="C273" s="14" t="s">
        <v>169</v>
      </c>
      <c r="D273" s="14" t="s">
        <v>516</v>
      </c>
      <c r="F273" s="50">
        <v>0</v>
      </c>
      <c r="G273" s="50"/>
      <c r="H273" s="50">
        <f t="shared" si="159"/>
        <v>0</v>
      </c>
      <c r="I273" s="50">
        <f t="shared" si="160"/>
        <v>0</v>
      </c>
      <c r="J273" s="50"/>
      <c r="K273" s="50">
        <f t="shared" si="161"/>
        <v>0</v>
      </c>
      <c r="L273" s="50"/>
      <c r="M273" s="50">
        <f t="shared" si="162"/>
        <v>0</v>
      </c>
      <c r="N273" s="50"/>
      <c r="O273" s="50">
        <f t="shared" si="163"/>
        <v>0</v>
      </c>
      <c r="P273" s="50">
        <f t="shared" si="164"/>
        <v>0</v>
      </c>
      <c r="Q273" s="50"/>
      <c r="R273" s="50">
        <f t="shared" si="165"/>
        <v>0</v>
      </c>
      <c r="S273" s="50">
        <f t="shared" si="166"/>
        <v>0</v>
      </c>
      <c r="T273" s="50"/>
      <c r="U273" s="50">
        <f t="shared" si="167"/>
        <v>0</v>
      </c>
      <c r="V273" s="50"/>
      <c r="W273" s="50">
        <f t="shared" si="168"/>
        <v>0</v>
      </c>
      <c r="X273" s="50"/>
      <c r="Y273" s="50">
        <f t="shared" si="169"/>
        <v>0</v>
      </c>
      <c r="Z273" s="50"/>
      <c r="AA273" s="50">
        <f t="shared" si="170"/>
        <v>0</v>
      </c>
      <c r="AB273" s="50">
        <f t="shared" si="157"/>
        <v>0</v>
      </c>
      <c r="AC273" s="30" t="str">
        <f t="shared" si="158"/>
        <v>ok</v>
      </c>
    </row>
    <row r="274" spans="1:29" x14ac:dyDescent="0.2">
      <c r="A274" s="14">
        <v>926</v>
      </c>
      <c r="B274" s="14" t="s">
        <v>170</v>
      </c>
      <c r="C274" s="14" t="s">
        <v>171</v>
      </c>
      <c r="D274" s="14" t="s">
        <v>516</v>
      </c>
      <c r="F274" s="50">
        <v>0</v>
      </c>
      <c r="G274" s="50"/>
      <c r="H274" s="50">
        <f t="shared" si="159"/>
        <v>0</v>
      </c>
      <c r="I274" s="50">
        <f t="shared" si="160"/>
        <v>0</v>
      </c>
      <c r="J274" s="50"/>
      <c r="K274" s="50">
        <f t="shared" si="161"/>
        <v>0</v>
      </c>
      <c r="L274" s="50"/>
      <c r="M274" s="50">
        <f t="shared" si="162"/>
        <v>0</v>
      </c>
      <c r="N274" s="50"/>
      <c r="O274" s="50">
        <f t="shared" si="163"/>
        <v>0</v>
      </c>
      <c r="P274" s="50">
        <f t="shared" si="164"/>
        <v>0</v>
      </c>
      <c r="Q274" s="50"/>
      <c r="R274" s="50">
        <f t="shared" si="165"/>
        <v>0</v>
      </c>
      <c r="S274" s="50">
        <f t="shared" si="166"/>
        <v>0</v>
      </c>
      <c r="T274" s="50"/>
      <c r="U274" s="50">
        <f t="shared" si="167"/>
        <v>0</v>
      </c>
      <c r="V274" s="50"/>
      <c r="W274" s="50">
        <f t="shared" si="168"/>
        <v>0</v>
      </c>
      <c r="X274" s="50"/>
      <c r="Y274" s="50">
        <f t="shared" si="169"/>
        <v>0</v>
      </c>
      <c r="Z274" s="50"/>
      <c r="AA274" s="50">
        <f t="shared" si="170"/>
        <v>0</v>
      </c>
      <c r="AB274" s="50">
        <f t="shared" si="157"/>
        <v>0</v>
      </c>
      <c r="AC274" s="30" t="str">
        <f t="shared" si="158"/>
        <v>ok</v>
      </c>
    </row>
    <row r="275" spans="1:29" x14ac:dyDescent="0.2">
      <c r="A275" s="14">
        <v>928</v>
      </c>
      <c r="B275" s="14" t="s">
        <v>578</v>
      </c>
      <c r="C275" s="14" t="s">
        <v>173</v>
      </c>
      <c r="D275" s="14" t="s">
        <v>411</v>
      </c>
      <c r="F275" s="50">
        <v>0</v>
      </c>
      <c r="G275" s="50"/>
      <c r="H275" s="50">
        <f t="shared" si="159"/>
        <v>0</v>
      </c>
      <c r="I275" s="50">
        <f t="shared" si="160"/>
        <v>0</v>
      </c>
      <c r="J275" s="50"/>
      <c r="K275" s="50">
        <f t="shared" si="161"/>
        <v>0</v>
      </c>
      <c r="L275" s="50"/>
      <c r="M275" s="50">
        <f t="shared" si="162"/>
        <v>0</v>
      </c>
      <c r="N275" s="50"/>
      <c r="O275" s="50">
        <f t="shared" si="163"/>
        <v>0</v>
      </c>
      <c r="P275" s="50">
        <f t="shared" si="164"/>
        <v>0</v>
      </c>
      <c r="Q275" s="50"/>
      <c r="R275" s="50">
        <f t="shared" si="165"/>
        <v>0</v>
      </c>
      <c r="S275" s="50">
        <f t="shared" si="166"/>
        <v>0</v>
      </c>
      <c r="T275" s="50"/>
      <c r="U275" s="50">
        <f t="shared" si="167"/>
        <v>0</v>
      </c>
      <c r="V275" s="50"/>
      <c r="W275" s="50">
        <f t="shared" si="168"/>
        <v>0</v>
      </c>
      <c r="X275" s="50"/>
      <c r="Y275" s="50">
        <f t="shared" si="169"/>
        <v>0</v>
      </c>
      <c r="Z275" s="50"/>
      <c r="AA275" s="50">
        <f t="shared" si="170"/>
        <v>0</v>
      </c>
      <c r="AB275" s="50">
        <f t="shared" si="157"/>
        <v>0</v>
      </c>
      <c r="AC275" s="30" t="str">
        <f t="shared" si="158"/>
        <v>ok</v>
      </c>
    </row>
    <row r="276" spans="1:29" x14ac:dyDescent="0.2">
      <c r="A276" s="14">
        <v>929</v>
      </c>
      <c r="B276" s="14" t="s">
        <v>932</v>
      </c>
      <c r="C276" s="14" t="s">
        <v>387</v>
      </c>
      <c r="D276" s="14" t="s">
        <v>411</v>
      </c>
      <c r="F276" s="50">
        <v>-37175.68</v>
      </c>
      <c r="G276" s="50"/>
      <c r="H276" s="50">
        <f t="shared" si="159"/>
        <v>0</v>
      </c>
      <c r="I276" s="50">
        <f t="shared" si="160"/>
        <v>0</v>
      </c>
      <c r="J276" s="50"/>
      <c r="K276" s="50">
        <f t="shared" si="161"/>
        <v>0</v>
      </c>
      <c r="L276" s="50"/>
      <c r="M276" s="50">
        <f t="shared" si="162"/>
        <v>-0.10448547802618746</v>
      </c>
      <c r="N276" s="50"/>
      <c r="O276" s="50">
        <f t="shared" si="163"/>
        <v>-17806.955371700624</v>
      </c>
      <c r="P276" s="50">
        <f t="shared" si="164"/>
        <v>-6446.3332777511387</v>
      </c>
      <c r="Q276" s="50"/>
      <c r="R276" s="50">
        <f t="shared" si="165"/>
        <v>0</v>
      </c>
      <c r="S276" s="50">
        <f t="shared" si="166"/>
        <v>-1027.0263832541505</v>
      </c>
      <c r="T276" s="50"/>
      <c r="U276" s="50">
        <f t="shared" si="167"/>
        <v>-2435.910428056477</v>
      </c>
      <c r="V276" s="50"/>
      <c r="W276" s="50">
        <f t="shared" si="168"/>
        <v>-140.86259231547805</v>
      </c>
      <c r="X276" s="50"/>
      <c r="Y276" s="50">
        <f t="shared" si="169"/>
        <v>-9318.4874614441032</v>
      </c>
      <c r="Z276" s="50"/>
      <c r="AA276" s="50">
        <f t="shared" si="170"/>
        <v>0</v>
      </c>
      <c r="AB276" s="50">
        <f t="shared" si="157"/>
        <v>-37175.68</v>
      </c>
      <c r="AC276" s="30" t="str">
        <f t="shared" si="158"/>
        <v>ok</v>
      </c>
    </row>
    <row r="277" spans="1:29" x14ac:dyDescent="0.2">
      <c r="A277" s="14">
        <v>930</v>
      </c>
      <c r="B277" s="14" t="s">
        <v>174</v>
      </c>
      <c r="C277" s="14" t="s">
        <v>175</v>
      </c>
      <c r="D277" s="14" t="s">
        <v>411</v>
      </c>
      <c r="F277" s="50">
        <f>87363.64+1540.5+88468.68+122194.28+0.28+11242.17</f>
        <v>310809.55</v>
      </c>
      <c r="G277" s="50"/>
      <c r="H277" s="50">
        <f t="shared" si="159"/>
        <v>0</v>
      </c>
      <c r="I277" s="50">
        <f t="shared" si="160"/>
        <v>0</v>
      </c>
      <c r="J277" s="50"/>
      <c r="K277" s="50">
        <f t="shared" si="161"/>
        <v>0</v>
      </c>
      <c r="L277" s="50"/>
      <c r="M277" s="50">
        <f t="shared" si="162"/>
        <v>0.87355723975605049</v>
      </c>
      <c r="N277" s="50"/>
      <c r="O277" s="50">
        <f t="shared" si="163"/>
        <v>148876.14122857613</v>
      </c>
      <c r="P277" s="50">
        <f t="shared" si="164"/>
        <v>53894.96426717296</v>
      </c>
      <c r="Q277" s="50"/>
      <c r="R277" s="50">
        <f t="shared" si="165"/>
        <v>0</v>
      </c>
      <c r="S277" s="50">
        <f t="shared" si="166"/>
        <v>8586.5169922204532</v>
      </c>
      <c r="T277" s="50"/>
      <c r="U277" s="50">
        <f t="shared" si="167"/>
        <v>20365.57835618719</v>
      </c>
      <c r="V277" s="50"/>
      <c r="W277" s="50">
        <f t="shared" si="168"/>
        <v>1177.6903322120052</v>
      </c>
      <c r="X277" s="50"/>
      <c r="Y277" s="50">
        <f t="shared" si="169"/>
        <v>77907.785266391467</v>
      </c>
      <c r="Z277" s="50"/>
      <c r="AA277" s="50">
        <f t="shared" si="170"/>
        <v>0</v>
      </c>
      <c r="AB277" s="50">
        <f t="shared" si="157"/>
        <v>310809.54999999993</v>
      </c>
      <c r="AC277" s="30" t="str">
        <f t="shared" si="158"/>
        <v>ok</v>
      </c>
    </row>
    <row r="278" spans="1:29" x14ac:dyDescent="0.2">
      <c r="A278" s="14">
        <v>931</v>
      </c>
      <c r="B278" s="14" t="s">
        <v>176</v>
      </c>
      <c r="C278" s="14" t="s">
        <v>177</v>
      </c>
      <c r="D278" s="14" t="s">
        <v>84</v>
      </c>
      <c r="F278" s="50">
        <v>0</v>
      </c>
      <c r="G278" s="50"/>
      <c r="H278" s="50">
        <f t="shared" si="159"/>
        <v>0</v>
      </c>
      <c r="I278" s="50">
        <f t="shared" si="160"/>
        <v>0</v>
      </c>
      <c r="J278" s="50"/>
      <c r="K278" s="50">
        <f t="shared" si="161"/>
        <v>0</v>
      </c>
      <c r="L278" s="50"/>
      <c r="M278" s="50">
        <f t="shared" si="162"/>
        <v>0</v>
      </c>
      <c r="N278" s="50"/>
      <c r="O278" s="50">
        <f t="shared" si="163"/>
        <v>0</v>
      </c>
      <c r="P278" s="50">
        <f t="shared" si="164"/>
        <v>0</v>
      </c>
      <c r="Q278" s="50"/>
      <c r="R278" s="50">
        <f t="shared" si="165"/>
        <v>0</v>
      </c>
      <c r="S278" s="50">
        <f t="shared" si="166"/>
        <v>0</v>
      </c>
      <c r="T278" s="50"/>
      <c r="U278" s="50">
        <f t="shared" si="167"/>
        <v>0</v>
      </c>
      <c r="V278" s="50"/>
      <c r="W278" s="50">
        <f t="shared" si="168"/>
        <v>0</v>
      </c>
      <c r="X278" s="50"/>
      <c r="Y278" s="50">
        <f t="shared" si="169"/>
        <v>0</v>
      </c>
      <c r="Z278" s="50"/>
      <c r="AA278" s="50">
        <f t="shared" si="170"/>
        <v>0</v>
      </c>
      <c r="AB278" s="50">
        <f t="shared" si="157"/>
        <v>0</v>
      </c>
      <c r="AC278" s="30" t="str">
        <f t="shared" si="158"/>
        <v>ok</v>
      </c>
    </row>
    <row r="279" spans="1:29" x14ac:dyDescent="0.2">
      <c r="A279" s="14">
        <v>932</v>
      </c>
      <c r="B279" s="14" t="s">
        <v>178</v>
      </c>
      <c r="C279" s="14" t="s">
        <v>927</v>
      </c>
      <c r="D279" s="14" t="s">
        <v>70</v>
      </c>
      <c r="F279" s="50">
        <v>144011.07999999999</v>
      </c>
      <c r="G279" s="50"/>
      <c r="H279" s="50"/>
      <c r="I279" s="50">
        <f t="shared" si="160"/>
        <v>0</v>
      </c>
      <c r="J279" s="50"/>
      <c r="K279" s="50">
        <f t="shared" si="161"/>
        <v>0</v>
      </c>
      <c r="L279" s="50"/>
      <c r="M279" s="50">
        <f t="shared" si="162"/>
        <v>6.9817973189766347</v>
      </c>
      <c r="N279" s="50"/>
      <c r="O279" s="50">
        <f t="shared" si="163"/>
        <v>76021.674221476511</v>
      </c>
      <c r="P279" s="50">
        <f t="shared" si="164"/>
        <v>39077.190235377042</v>
      </c>
      <c r="Q279" s="50"/>
      <c r="R279" s="50">
        <f t="shared" si="165"/>
        <v>0</v>
      </c>
      <c r="S279" s="50">
        <f t="shared" si="166"/>
        <v>12254.277800250984</v>
      </c>
      <c r="T279" s="50"/>
      <c r="U279" s="50">
        <f t="shared" si="167"/>
        <v>7238.4128060809162</v>
      </c>
      <c r="V279" s="50"/>
      <c r="W279" s="50">
        <f t="shared" si="168"/>
        <v>9412.5431394955467</v>
      </c>
      <c r="X279" s="50"/>
      <c r="Y279" s="50">
        <f t="shared" si="169"/>
        <v>0</v>
      </c>
      <c r="Z279" s="50"/>
      <c r="AA279" s="50">
        <f t="shared" si="170"/>
        <v>0</v>
      </c>
      <c r="AB279" s="50">
        <f>SUM(H279:AA279)</f>
        <v>144011.07999999996</v>
      </c>
      <c r="AC279" s="30" t="str">
        <f>IF(ABS(AB279-F279)&lt;1,"ok","err")</f>
        <v>ok</v>
      </c>
    </row>
    <row r="280" spans="1:29" x14ac:dyDescent="0.2">
      <c r="A280" s="14">
        <v>933</v>
      </c>
      <c r="B280" s="14" t="s">
        <v>925</v>
      </c>
      <c r="C280" s="14" t="s">
        <v>926</v>
      </c>
      <c r="D280" s="14" t="s">
        <v>70</v>
      </c>
      <c r="F280" s="50">
        <v>0</v>
      </c>
      <c r="G280" s="50"/>
      <c r="H280" s="50">
        <f>IF((VLOOKUP($D280,$C$5:$AA$494,6,)=0),0,((VLOOKUP($D280,$C$5:$AA$494,6,)/VLOOKUP($D280,$C$5:$AA$494,4,))*$F280))</f>
        <v>0</v>
      </c>
      <c r="I280" s="50">
        <f t="shared" si="160"/>
        <v>0</v>
      </c>
      <c r="J280" s="50"/>
      <c r="K280" s="50">
        <f t="shared" si="161"/>
        <v>0</v>
      </c>
      <c r="L280" s="50"/>
      <c r="M280" s="50">
        <f t="shared" si="162"/>
        <v>0</v>
      </c>
      <c r="N280" s="50"/>
      <c r="O280" s="50">
        <f t="shared" si="163"/>
        <v>0</v>
      </c>
      <c r="P280" s="50">
        <f t="shared" si="164"/>
        <v>0</v>
      </c>
      <c r="Q280" s="50"/>
      <c r="R280" s="50">
        <f t="shared" si="165"/>
        <v>0</v>
      </c>
      <c r="S280" s="50">
        <f t="shared" si="166"/>
        <v>0</v>
      </c>
      <c r="T280" s="50"/>
      <c r="U280" s="50">
        <f t="shared" si="167"/>
        <v>0</v>
      </c>
      <c r="V280" s="50"/>
      <c r="W280" s="50">
        <f t="shared" si="168"/>
        <v>0</v>
      </c>
      <c r="X280" s="50"/>
      <c r="Y280" s="50">
        <f t="shared" si="169"/>
        <v>0</v>
      </c>
      <c r="Z280" s="50"/>
      <c r="AA280" s="50">
        <f t="shared" si="170"/>
        <v>0</v>
      </c>
      <c r="AB280" s="50">
        <f>SUM(H280:AA280)</f>
        <v>0</v>
      </c>
      <c r="AC280" s="30" t="str">
        <f>IF(ABS(AB280-F280)&lt;1,"ok","err")</f>
        <v>ok</v>
      </c>
    </row>
    <row r="281" spans="1:29" x14ac:dyDescent="0.2">
      <c r="A281" s="14">
        <v>935</v>
      </c>
      <c r="B281" s="14" t="s">
        <v>928</v>
      </c>
      <c r="C281" s="14" t="s">
        <v>711</v>
      </c>
      <c r="D281" s="14" t="s">
        <v>84</v>
      </c>
      <c r="F281" s="50">
        <v>0</v>
      </c>
      <c r="G281" s="50"/>
      <c r="H281" s="50">
        <f>IF((VLOOKUP($D281,$C$5:$AA$494,6,)=0),0,((VLOOKUP($D281,$C$5:$AA$494,6,)/VLOOKUP($D281,$C$5:$AA$494,4,))*$F281))</f>
        <v>0</v>
      </c>
      <c r="I281" s="50">
        <f t="shared" si="160"/>
        <v>0</v>
      </c>
      <c r="J281" s="50"/>
      <c r="K281" s="50">
        <f t="shared" si="161"/>
        <v>0</v>
      </c>
      <c r="L281" s="50"/>
      <c r="M281" s="50">
        <f t="shared" si="162"/>
        <v>0</v>
      </c>
      <c r="N281" s="50"/>
      <c r="O281" s="50">
        <f t="shared" si="163"/>
        <v>0</v>
      </c>
      <c r="P281" s="50">
        <f t="shared" si="164"/>
        <v>0</v>
      </c>
      <c r="Q281" s="50"/>
      <c r="R281" s="50">
        <f t="shared" si="165"/>
        <v>0</v>
      </c>
      <c r="S281" s="50">
        <f t="shared" si="166"/>
        <v>0</v>
      </c>
      <c r="T281" s="50"/>
      <c r="U281" s="50">
        <f t="shared" si="167"/>
        <v>0</v>
      </c>
      <c r="V281" s="50"/>
      <c r="W281" s="50">
        <f t="shared" si="168"/>
        <v>0</v>
      </c>
      <c r="X281" s="50"/>
      <c r="Y281" s="50">
        <f t="shared" si="169"/>
        <v>0</v>
      </c>
      <c r="Z281" s="50"/>
      <c r="AA281" s="50">
        <f t="shared" si="170"/>
        <v>0</v>
      </c>
      <c r="AB281" s="50">
        <f t="shared" si="157"/>
        <v>0</v>
      </c>
      <c r="AC281" s="30" t="str">
        <f t="shared" si="158"/>
        <v>ok</v>
      </c>
    </row>
    <row r="282" spans="1:29" x14ac:dyDescent="0.2"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30"/>
    </row>
    <row r="283" spans="1:29" x14ac:dyDescent="0.2">
      <c r="A283" s="14" t="s">
        <v>179</v>
      </c>
      <c r="C283" s="14" t="s">
        <v>180</v>
      </c>
      <c r="D283" s="175"/>
      <c r="F283" s="66">
        <f>SUM(F269:F282)</f>
        <v>1851617.58</v>
      </c>
      <c r="G283" s="66"/>
      <c r="H283" s="66">
        <f>SUM(H269:H282)</f>
        <v>0</v>
      </c>
      <c r="I283" s="66">
        <f>SUM(I269:I282)</f>
        <v>0</v>
      </c>
      <c r="J283" s="66"/>
      <c r="K283" s="66">
        <f>SUM(K269:K282)</f>
        <v>0</v>
      </c>
      <c r="L283" s="66"/>
      <c r="M283" s="66">
        <f>SUM(M269:M282)</f>
        <v>11.774138419082064</v>
      </c>
      <c r="N283" s="66"/>
      <c r="O283" s="66">
        <f>SUM(O269:O282)</f>
        <v>888136.31872414006</v>
      </c>
      <c r="P283" s="66">
        <f>SUM(P269:P282)</f>
        <v>331296.97349479893</v>
      </c>
      <c r="Q283" s="66"/>
      <c r="R283" s="66">
        <f>SUM(R269:R282)</f>
        <v>0</v>
      </c>
      <c r="S283" s="66">
        <f>SUM(S269:S282)</f>
        <v>57476.29191470622</v>
      </c>
      <c r="T283" s="66"/>
      <c r="U283" s="66">
        <f>SUM(U269:U282)</f>
        <v>121156.03375887377</v>
      </c>
      <c r="V283" s="66"/>
      <c r="W283" s="66">
        <f>SUM(W269:W282)</f>
        <v>15873.360502571286</v>
      </c>
      <c r="X283" s="66"/>
      <c r="Y283" s="66">
        <f>SUM(Y269:Y282)</f>
        <v>437666.82746649056</v>
      </c>
      <c r="Z283" s="66"/>
      <c r="AA283" s="66">
        <f>SUM(AA269:AA282)</f>
        <v>0</v>
      </c>
      <c r="AB283" s="50">
        <f>SUM(H283:AA283)</f>
        <v>1851617.58</v>
      </c>
      <c r="AC283" s="30" t="str">
        <f>IF(ABS(AB283-F283)&lt;1,"ok","err")</f>
        <v>ok</v>
      </c>
    </row>
    <row r="284" spans="1:29" x14ac:dyDescent="0.2"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30"/>
    </row>
    <row r="285" spans="1:29" x14ac:dyDescent="0.2">
      <c r="A285" s="14" t="s">
        <v>181</v>
      </c>
      <c r="C285" s="14" t="s">
        <v>182</v>
      </c>
      <c r="F285" s="66">
        <f>F237+F246+F262+F283</f>
        <v>45208496.339999996</v>
      </c>
      <c r="G285" s="66"/>
      <c r="H285" s="66">
        <f>H237+H246+H262+H283</f>
        <v>9335078.1504406501</v>
      </c>
      <c r="I285" s="66">
        <f>I237+I246+I262+I283</f>
        <v>26478261.849559348</v>
      </c>
      <c r="J285" s="66"/>
      <c r="K285" s="66">
        <f>K237+K246+K262+K283</f>
        <v>0</v>
      </c>
      <c r="L285" s="66"/>
      <c r="M285" s="66">
        <f>M237+M246+M262+M283</f>
        <v>32.975909398057389</v>
      </c>
      <c r="N285" s="66"/>
      <c r="O285" s="66">
        <f>O237+O246+O262+O283</f>
        <v>4501451.7454766259</v>
      </c>
      <c r="P285" s="66">
        <f>P237+P246+P262+P283</f>
        <v>1639360.8728126746</v>
      </c>
      <c r="Q285" s="66"/>
      <c r="R285" s="66">
        <f>R237+R246+R262+R283</f>
        <v>0</v>
      </c>
      <c r="S285" s="66">
        <f>S237+S246+S262+S283</f>
        <v>265876.33542756998</v>
      </c>
      <c r="T285" s="66"/>
      <c r="U285" s="66">
        <f>U237+U246+U262+U283</f>
        <v>615441.1343927352</v>
      </c>
      <c r="V285" s="66"/>
      <c r="W285" s="66">
        <f>W237+W246+W262+W283</f>
        <v>44456.628514505079</v>
      </c>
      <c r="X285" s="66"/>
      <c r="Y285" s="66">
        <f>Y237+Y246+Y262+Y283</f>
        <v>2328536.6474664905</v>
      </c>
      <c r="Z285" s="66"/>
      <c r="AA285" s="66">
        <f>AA237+AA246+AA262+AA283</f>
        <v>0</v>
      </c>
      <c r="AB285" s="50">
        <f>SUM(H285:AA285)</f>
        <v>45208496.339999996</v>
      </c>
      <c r="AC285" s="30" t="str">
        <f>IF(ABS(AB285-F285)&lt;1,"ok","err")</f>
        <v>ok</v>
      </c>
    </row>
    <row r="286" spans="1:29" x14ac:dyDescent="0.2"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30"/>
    </row>
    <row r="287" spans="1:29" x14ac:dyDescent="0.2">
      <c r="A287" s="14" t="s">
        <v>412</v>
      </c>
      <c r="C287" s="14" t="s">
        <v>88</v>
      </c>
      <c r="F287" s="260">
        <f>F285-F180</f>
        <v>9395156.3399999961</v>
      </c>
      <c r="G287" s="93"/>
      <c r="H287" s="93">
        <f>H285-H180</f>
        <v>0</v>
      </c>
      <c r="I287" s="93">
        <f>I285-I180</f>
        <v>0</v>
      </c>
      <c r="J287" s="93"/>
      <c r="K287" s="93">
        <f>K285-K180</f>
        <v>0</v>
      </c>
      <c r="L287" s="93"/>
      <c r="M287" s="93">
        <f>M285-M180</f>
        <v>32.975909398057389</v>
      </c>
      <c r="N287" s="93"/>
      <c r="O287" s="93">
        <f>O285-O180</f>
        <v>4501451.7454766259</v>
      </c>
      <c r="P287" s="93">
        <f>P285-P180</f>
        <v>1639360.8728126746</v>
      </c>
      <c r="Q287" s="93">
        <f>Q285-Q180</f>
        <v>0</v>
      </c>
      <c r="R287" s="93">
        <f>R285-R180</f>
        <v>0</v>
      </c>
      <c r="S287" s="93">
        <f>S285-S180</f>
        <v>265876.33542756998</v>
      </c>
      <c r="T287" s="93"/>
      <c r="U287" s="93">
        <f>U285-U180</f>
        <v>615441.1343927352</v>
      </c>
      <c r="V287" s="93"/>
      <c r="W287" s="93">
        <f>W285-W180</f>
        <v>44456.628514505079</v>
      </c>
      <c r="X287" s="93"/>
      <c r="Y287" s="93">
        <f>Y285-Y180</f>
        <v>2328536.6474664905</v>
      </c>
      <c r="Z287" s="93"/>
      <c r="AA287" s="93">
        <f>AA285-AA180</f>
        <v>0</v>
      </c>
      <c r="AB287" s="50">
        <f>SUM(H287:AA287)</f>
        <v>9395156.3399999999</v>
      </c>
      <c r="AC287" s="30" t="str">
        <f>IF(ABS(AB287-F287)&lt;1,"ok","err")</f>
        <v>ok</v>
      </c>
    </row>
    <row r="288" spans="1:29" x14ac:dyDescent="0.2">
      <c r="Q288" s="14"/>
      <c r="AC288" s="30"/>
    </row>
    <row r="289" spans="1:29" x14ac:dyDescent="0.2">
      <c r="AC289" s="30"/>
    </row>
    <row r="290" spans="1:29" x14ac:dyDescent="0.2">
      <c r="A290" s="28" t="s">
        <v>184</v>
      </c>
      <c r="AC290" s="30"/>
    </row>
    <row r="291" spans="1:29" x14ac:dyDescent="0.2">
      <c r="AC291" s="30"/>
    </row>
    <row r="292" spans="1:29" x14ac:dyDescent="0.2">
      <c r="A292" s="13" t="s">
        <v>185</v>
      </c>
      <c r="AC292" s="30"/>
    </row>
    <row r="293" spans="1:29" x14ac:dyDescent="0.2">
      <c r="A293" s="14" t="s">
        <v>768</v>
      </c>
      <c r="C293" s="14" t="s">
        <v>829</v>
      </c>
      <c r="D293" s="14" t="s">
        <v>784</v>
      </c>
      <c r="F293" s="50">
        <v>0</v>
      </c>
      <c r="G293" s="50"/>
      <c r="H293" s="50">
        <f t="shared" ref="H293:H310" si="171">IF((VLOOKUP($D293,$C$5:$AA$494,6,)=0),0,((VLOOKUP($D293,$C$5:$AA$494,6,)/VLOOKUP($D293,$C$5:$AA$494,4,))*$F293))</f>
        <v>0</v>
      </c>
      <c r="I293" s="50">
        <f t="shared" ref="I293:I310" si="172">IF((VLOOKUP($D293,$C$5:$AA$494,7,)=0),0,((VLOOKUP($D293,$C$5:$AA$494,7,)/VLOOKUP($D293,$C$5:$AA$494,4,))*$F293))</f>
        <v>0</v>
      </c>
      <c r="J293" s="50"/>
      <c r="K293" s="50">
        <f t="shared" ref="K293:K310" si="173">IF((VLOOKUP($D293,$C$5:$AA$494,9,)=0),0,((VLOOKUP($D293,$C$5:$AA$494,9,)/VLOOKUP($D293,$C$5:$AA$494,4,))*$F293))</f>
        <v>0</v>
      </c>
      <c r="L293" s="50"/>
      <c r="M293" s="50">
        <f t="shared" ref="M293:M310" si="174">IF((VLOOKUP($D293,$C$5:$AA$494,11,)=0),0,((VLOOKUP($D293,$C$5:$AA$494,11,)/VLOOKUP($D293,$C$5:$AA$494,4,))*$F293))</f>
        <v>0</v>
      </c>
      <c r="N293" s="50"/>
      <c r="O293" s="50">
        <f t="shared" ref="O293:O310" si="175">IF((VLOOKUP($D293,$C$5:$AA$494,13,)=0),0,((VLOOKUP($D293,$C$5:$AA$494,13,)/VLOOKUP($D293,$C$5:$AA$494,4,))*$F293))</f>
        <v>0</v>
      </c>
      <c r="P293" s="50">
        <f t="shared" ref="P293:P310" si="176">IF((VLOOKUP($D293,$C$5:$AA$494,14,)=0),0,((VLOOKUP($D293,$C$5:$AA$494,14,)/VLOOKUP($D293,$C$5:$AA$494,4,))*$F293))</f>
        <v>0</v>
      </c>
      <c r="Q293" s="50"/>
      <c r="R293" s="50">
        <f t="shared" ref="R293:R310" si="177">IF((VLOOKUP($D293,$C$5:$AA$494,16,)=0),0,((VLOOKUP($D293,$C$5:$AA$494,16,)/VLOOKUP($D293,$C$5:$AA$494,4,))*$F293))</f>
        <v>0</v>
      </c>
      <c r="S293" s="50">
        <f t="shared" ref="S293:S310" si="178">IF((VLOOKUP($D293,$C$5:$AA$494,17,)=0),0,((VLOOKUP($D293,$C$5:$AA$494,17,)/VLOOKUP($D293,$C$5:$AA$494,4,))*$F293))</f>
        <v>0</v>
      </c>
      <c r="T293" s="50"/>
      <c r="U293" s="50">
        <f t="shared" ref="U293:U310" si="179">IF((VLOOKUP($D293,$C$5:$AA$494,19,)=0),0,((VLOOKUP($D293,$C$5:$AA$494,19,)/VLOOKUP($D293,$C$5:$AA$494,4,))*$F293))</f>
        <v>0</v>
      </c>
      <c r="V293" s="50"/>
      <c r="W293" s="50">
        <f t="shared" ref="W293:W310" si="180">IF((VLOOKUP($D293,$C$5:$AA$494,21,)=0),0,((VLOOKUP($D293,$C$5:$AA$494,21,)/VLOOKUP($D293,$C$5:$AA$494,4,))*$F293))</f>
        <v>0</v>
      </c>
      <c r="X293" s="50"/>
      <c r="Y293" s="50">
        <f t="shared" ref="Y293:Y310" si="181">IF((VLOOKUP($D293,$C$5:$AA$494,23,)=0),0,((VLOOKUP($D293,$C$5:$AA$494,23,)/VLOOKUP($D293,$C$5:$AA$494,4,))*$F293))</f>
        <v>0</v>
      </c>
      <c r="Z293" s="50"/>
      <c r="AA293" s="50">
        <f t="shared" ref="AA293:AA310" si="182">IF((VLOOKUP($D293,$C$5:$AA$494,25,)=0),0,((VLOOKUP($D293,$C$5:$AA$494,25,)/VLOOKUP($D293,$C$5:$AA$494,4,))*$F293))</f>
        <v>0</v>
      </c>
      <c r="AB293" s="50">
        <f>SUM(H293:AA293)</f>
        <v>0</v>
      </c>
      <c r="AC293" s="30" t="str">
        <f>IF(ABS(AB293-F293)&lt;1,"ok","err")</f>
        <v>ok</v>
      </c>
    </row>
    <row r="294" spans="1:29" x14ac:dyDescent="0.2">
      <c r="A294" s="14" t="s">
        <v>368</v>
      </c>
      <c r="C294" s="14" t="s">
        <v>414</v>
      </c>
      <c r="D294" s="14" t="s">
        <v>390</v>
      </c>
      <c r="F294" s="50">
        <v>0</v>
      </c>
      <c r="G294" s="50"/>
      <c r="H294" s="50">
        <f t="shared" si="171"/>
        <v>0</v>
      </c>
      <c r="I294" s="50">
        <f t="shared" si="172"/>
        <v>0</v>
      </c>
      <c r="J294" s="50"/>
      <c r="K294" s="50">
        <f t="shared" si="173"/>
        <v>0</v>
      </c>
      <c r="L294" s="50"/>
      <c r="M294" s="50">
        <f t="shared" si="174"/>
        <v>0</v>
      </c>
      <c r="N294" s="50"/>
      <c r="O294" s="50">
        <f t="shared" si="175"/>
        <v>0</v>
      </c>
      <c r="P294" s="50">
        <f t="shared" si="176"/>
        <v>0</v>
      </c>
      <c r="Q294" s="50"/>
      <c r="R294" s="50">
        <f t="shared" si="177"/>
        <v>0</v>
      </c>
      <c r="S294" s="50">
        <f t="shared" si="178"/>
        <v>0</v>
      </c>
      <c r="T294" s="50"/>
      <c r="U294" s="50">
        <f t="shared" si="179"/>
        <v>0</v>
      </c>
      <c r="V294" s="50"/>
      <c r="W294" s="50">
        <f t="shared" si="180"/>
        <v>0</v>
      </c>
      <c r="X294" s="50"/>
      <c r="Y294" s="50">
        <f t="shared" si="181"/>
        <v>0</v>
      </c>
      <c r="Z294" s="50"/>
      <c r="AA294" s="50">
        <f t="shared" si="182"/>
        <v>0</v>
      </c>
      <c r="AB294" s="50">
        <f>SUM(H294:AA294)</f>
        <v>0</v>
      </c>
      <c r="AC294" s="30" t="str">
        <f>IF(ABS(AB294-F294)&lt;1,"ok","err")</f>
        <v>ok</v>
      </c>
    </row>
    <row r="295" spans="1:29" x14ac:dyDescent="0.2">
      <c r="A295" s="14" t="s">
        <v>426</v>
      </c>
      <c r="C295" s="14" t="s">
        <v>458</v>
      </c>
      <c r="D295" s="14" t="s">
        <v>424</v>
      </c>
      <c r="F295" s="50">
        <v>0</v>
      </c>
      <c r="G295" s="50"/>
      <c r="H295" s="50">
        <f t="shared" si="171"/>
        <v>0</v>
      </c>
      <c r="I295" s="50">
        <f t="shared" si="172"/>
        <v>0</v>
      </c>
      <c r="J295" s="50"/>
      <c r="K295" s="50">
        <f t="shared" si="173"/>
        <v>0</v>
      </c>
      <c r="L295" s="50"/>
      <c r="M295" s="50">
        <f t="shared" si="174"/>
        <v>0</v>
      </c>
      <c r="N295" s="50"/>
      <c r="O295" s="50">
        <f t="shared" si="175"/>
        <v>0</v>
      </c>
      <c r="P295" s="50">
        <f t="shared" si="176"/>
        <v>0</v>
      </c>
      <c r="Q295" s="50"/>
      <c r="R295" s="50">
        <f t="shared" si="177"/>
        <v>0</v>
      </c>
      <c r="S295" s="50">
        <f t="shared" si="178"/>
        <v>0</v>
      </c>
      <c r="T295" s="50"/>
      <c r="U295" s="50">
        <f t="shared" si="179"/>
        <v>0</v>
      </c>
      <c r="V295" s="50"/>
      <c r="W295" s="50">
        <f t="shared" si="180"/>
        <v>0</v>
      </c>
      <c r="X295" s="50"/>
      <c r="Y295" s="50">
        <f t="shared" si="181"/>
        <v>0</v>
      </c>
      <c r="Z295" s="50"/>
      <c r="AA295" s="50">
        <f t="shared" si="182"/>
        <v>0</v>
      </c>
      <c r="AB295" s="50">
        <f t="shared" ref="AB295:AB306" si="183">SUM(H295:AA295)</f>
        <v>0</v>
      </c>
      <c r="AC295" s="30" t="str">
        <f t="shared" ref="AC295:AC306" si="184">IF(ABS(AB295-F295)&lt;1,"ok","err")</f>
        <v>ok</v>
      </c>
    </row>
    <row r="296" spans="1:29" x14ac:dyDescent="0.2">
      <c r="A296" s="14" t="s">
        <v>427</v>
      </c>
      <c r="C296" s="14" t="s">
        <v>459</v>
      </c>
      <c r="D296" s="14" t="s">
        <v>23</v>
      </c>
      <c r="F296" s="50">
        <v>0</v>
      </c>
      <c r="G296" s="50"/>
      <c r="H296" s="50">
        <f t="shared" si="171"/>
        <v>0</v>
      </c>
      <c r="I296" s="50">
        <f t="shared" si="172"/>
        <v>0</v>
      </c>
      <c r="J296" s="50"/>
      <c r="K296" s="50">
        <f t="shared" si="173"/>
        <v>0</v>
      </c>
      <c r="L296" s="50"/>
      <c r="M296" s="50">
        <f t="shared" si="174"/>
        <v>0</v>
      </c>
      <c r="N296" s="50"/>
      <c r="O296" s="50">
        <f t="shared" si="175"/>
        <v>0</v>
      </c>
      <c r="P296" s="50">
        <f t="shared" si="176"/>
        <v>0</v>
      </c>
      <c r="Q296" s="50"/>
      <c r="R296" s="50">
        <f t="shared" si="177"/>
        <v>0</v>
      </c>
      <c r="S296" s="50">
        <f t="shared" si="178"/>
        <v>0</v>
      </c>
      <c r="T296" s="50"/>
      <c r="U296" s="50">
        <f t="shared" si="179"/>
        <v>0</v>
      </c>
      <c r="V296" s="50"/>
      <c r="W296" s="50">
        <f t="shared" si="180"/>
        <v>0</v>
      </c>
      <c r="X296" s="50"/>
      <c r="Y296" s="50">
        <f t="shared" si="181"/>
        <v>0</v>
      </c>
      <c r="Z296" s="50"/>
      <c r="AA296" s="50">
        <f t="shared" si="182"/>
        <v>0</v>
      </c>
      <c r="AB296" s="50">
        <f t="shared" si="183"/>
        <v>0</v>
      </c>
      <c r="AC296" s="30" t="str">
        <f t="shared" si="184"/>
        <v>ok</v>
      </c>
    </row>
    <row r="297" spans="1:29" x14ac:dyDescent="0.2">
      <c r="A297" s="14" t="s">
        <v>428</v>
      </c>
      <c r="C297" s="14" t="s">
        <v>460</v>
      </c>
      <c r="D297" s="14" t="s">
        <v>26</v>
      </c>
      <c r="F297" s="50">
        <v>0</v>
      </c>
      <c r="G297" s="50"/>
      <c r="H297" s="50">
        <f t="shared" si="171"/>
        <v>0</v>
      </c>
      <c r="I297" s="50">
        <f t="shared" si="172"/>
        <v>0</v>
      </c>
      <c r="J297" s="50"/>
      <c r="K297" s="50">
        <f t="shared" si="173"/>
        <v>0</v>
      </c>
      <c r="L297" s="50"/>
      <c r="M297" s="50">
        <f t="shared" si="174"/>
        <v>0</v>
      </c>
      <c r="N297" s="50"/>
      <c r="O297" s="50">
        <f t="shared" si="175"/>
        <v>0</v>
      </c>
      <c r="P297" s="50">
        <f t="shared" si="176"/>
        <v>0</v>
      </c>
      <c r="Q297" s="50"/>
      <c r="R297" s="50">
        <f t="shared" si="177"/>
        <v>0</v>
      </c>
      <c r="S297" s="50">
        <f t="shared" si="178"/>
        <v>0</v>
      </c>
      <c r="T297" s="50"/>
      <c r="U297" s="50">
        <f t="shared" si="179"/>
        <v>0</v>
      </c>
      <c r="V297" s="50"/>
      <c r="W297" s="50">
        <f t="shared" si="180"/>
        <v>0</v>
      </c>
      <c r="X297" s="50"/>
      <c r="Y297" s="50">
        <f t="shared" si="181"/>
        <v>0</v>
      </c>
      <c r="Z297" s="50"/>
      <c r="AA297" s="50">
        <f t="shared" si="182"/>
        <v>0</v>
      </c>
      <c r="AB297" s="50">
        <f t="shared" si="183"/>
        <v>0</v>
      </c>
      <c r="AC297" s="30" t="str">
        <f t="shared" si="184"/>
        <v>ok</v>
      </c>
    </row>
    <row r="298" spans="1:29" x14ac:dyDescent="0.2">
      <c r="A298" s="14" t="s">
        <v>429</v>
      </c>
      <c r="C298" s="14" t="s">
        <v>461</v>
      </c>
      <c r="D298" s="14" t="s">
        <v>29</v>
      </c>
      <c r="F298" s="50">
        <v>0</v>
      </c>
      <c r="G298" s="50"/>
      <c r="H298" s="50">
        <f t="shared" si="171"/>
        <v>0</v>
      </c>
      <c r="I298" s="50">
        <f t="shared" si="172"/>
        <v>0</v>
      </c>
      <c r="J298" s="50"/>
      <c r="K298" s="50">
        <f t="shared" si="173"/>
        <v>0</v>
      </c>
      <c r="L298" s="50"/>
      <c r="M298" s="50">
        <f t="shared" si="174"/>
        <v>0</v>
      </c>
      <c r="N298" s="50"/>
      <c r="O298" s="50">
        <f t="shared" si="175"/>
        <v>0</v>
      </c>
      <c r="P298" s="50">
        <f t="shared" si="176"/>
        <v>0</v>
      </c>
      <c r="Q298" s="50"/>
      <c r="R298" s="50">
        <f t="shared" si="177"/>
        <v>0</v>
      </c>
      <c r="S298" s="50">
        <f t="shared" si="178"/>
        <v>0</v>
      </c>
      <c r="T298" s="50"/>
      <c r="U298" s="50">
        <f t="shared" si="179"/>
        <v>0</v>
      </c>
      <c r="V298" s="50"/>
      <c r="W298" s="50">
        <f t="shared" si="180"/>
        <v>0</v>
      </c>
      <c r="X298" s="50"/>
      <c r="Y298" s="50">
        <f t="shared" si="181"/>
        <v>0</v>
      </c>
      <c r="Z298" s="50"/>
      <c r="AA298" s="50">
        <f t="shared" si="182"/>
        <v>0</v>
      </c>
      <c r="AB298" s="50">
        <f t="shared" si="183"/>
        <v>0</v>
      </c>
      <c r="AC298" s="30" t="str">
        <f t="shared" si="184"/>
        <v>ok</v>
      </c>
    </row>
    <row r="299" spans="1:29" x14ac:dyDescent="0.2">
      <c r="A299" s="14" t="s">
        <v>447</v>
      </c>
      <c r="C299" s="14" t="s">
        <v>462</v>
      </c>
      <c r="D299" s="14" t="s">
        <v>32</v>
      </c>
      <c r="F299" s="50">
        <v>0</v>
      </c>
      <c r="G299" s="50"/>
      <c r="H299" s="50">
        <f t="shared" si="171"/>
        <v>0</v>
      </c>
      <c r="I299" s="50">
        <f t="shared" si="172"/>
        <v>0</v>
      </c>
      <c r="J299" s="50"/>
      <c r="K299" s="50">
        <f t="shared" si="173"/>
        <v>0</v>
      </c>
      <c r="L299" s="50"/>
      <c r="M299" s="50">
        <f t="shared" si="174"/>
        <v>0</v>
      </c>
      <c r="N299" s="50"/>
      <c r="O299" s="50">
        <f t="shared" si="175"/>
        <v>0</v>
      </c>
      <c r="P299" s="50">
        <f t="shared" si="176"/>
        <v>0</v>
      </c>
      <c r="Q299" s="50"/>
      <c r="R299" s="50">
        <f t="shared" si="177"/>
        <v>0</v>
      </c>
      <c r="S299" s="50">
        <f t="shared" si="178"/>
        <v>0</v>
      </c>
      <c r="T299" s="50"/>
      <c r="U299" s="50">
        <f t="shared" si="179"/>
        <v>0</v>
      </c>
      <c r="V299" s="50"/>
      <c r="W299" s="50">
        <f t="shared" si="180"/>
        <v>0</v>
      </c>
      <c r="X299" s="50"/>
      <c r="Y299" s="50">
        <f t="shared" si="181"/>
        <v>0</v>
      </c>
      <c r="Z299" s="50"/>
      <c r="AA299" s="50">
        <f t="shared" si="182"/>
        <v>0</v>
      </c>
      <c r="AB299" s="50">
        <f t="shared" si="183"/>
        <v>0</v>
      </c>
      <c r="AC299" s="30" t="str">
        <f t="shared" si="184"/>
        <v>ok</v>
      </c>
    </row>
    <row r="300" spans="1:29" x14ac:dyDescent="0.2">
      <c r="A300" s="14" t="s">
        <v>430</v>
      </c>
      <c r="C300" s="14" t="s">
        <v>463</v>
      </c>
      <c r="D300" s="14" t="s">
        <v>35</v>
      </c>
      <c r="F300" s="50">
        <v>0</v>
      </c>
      <c r="G300" s="50"/>
      <c r="H300" s="50">
        <f t="shared" si="171"/>
        <v>0</v>
      </c>
      <c r="I300" s="50">
        <f t="shared" si="172"/>
        <v>0</v>
      </c>
      <c r="J300" s="50"/>
      <c r="K300" s="50">
        <f t="shared" si="173"/>
        <v>0</v>
      </c>
      <c r="L300" s="50"/>
      <c r="M300" s="50">
        <f t="shared" si="174"/>
        <v>0</v>
      </c>
      <c r="N300" s="50"/>
      <c r="O300" s="50">
        <f t="shared" si="175"/>
        <v>0</v>
      </c>
      <c r="P300" s="50">
        <f t="shared" si="176"/>
        <v>0</v>
      </c>
      <c r="Q300" s="50"/>
      <c r="R300" s="50">
        <f t="shared" si="177"/>
        <v>0</v>
      </c>
      <c r="S300" s="50">
        <f t="shared" si="178"/>
        <v>0</v>
      </c>
      <c r="T300" s="50"/>
      <c r="U300" s="50">
        <f t="shared" si="179"/>
        <v>0</v>
      </c>
      <c r="V300" s="50"/>
      <c r="W300" s="50">
        <f t="shared" si="180"/>
        <v>0</v>
      </c>
      <c r="X300" s="50"/>
      <c r="Y300" s="50">
        <f t="shared" si="181"/>
        <v>0</v>
      </c>
      <c r="Z300" s="50"/>
      <c r="AA300" s="50">
        <f t="shared" si="182"/>
        <v>0</v>
      </c>
      <c r="AB300" s="50">
        <f t="shared" si="183"/>
        <v>0</v>
      </c>
      <c r="AC300" s="30" t="str">
        <f t="shared" si="184"/>
        <v>ok</v>
      </c>
    </row>
    <row r="301" spans="1:29" x14ac:dyDescent="0.2">
      <c r="A301" s="14" t="s">
        <v>431</v>
      </c>
      <c r="C301" s="14" t="s">
        <v>464</v>
      </c>
      <c r="D301" s="14" t="s">
        <v>37</v>
      </c>
      <c r="F301" s="50">
        <v>0</v>
      </c>
      <c r="G301" s="50"/>
      <c r="H301" s="50">
        <f t="shared" si="171"/>
        <v>0</v>
      </c>
      <c r="I301" s="50">
        <f t="shared" si="172"/>
        <v>0</v>
      </c>
      <c r="J301" s="50"/>
      <c r="K301" s="50">
        <f t="shared" si="173"/>
        <v>0</v>
      </c>
      <c r="L301" s="50"/>
      <c r="M301" s="50">
        <f t="shared" si="174"/>
        <v>0</v>
      </c>
      <c r="N301" s="50"/>
      <c r="O301" s="50">
        <f t="shared" si="175"/>
        <v>0</v>
      </c>
      <c r="P301" s="50">
        <f t="shared" si="176"/>
        <v>0</v>
      </c>
      <c r="Q301" s="50"/>
      <c r="R301" s="50">
        <f t="shared" si="177"/>
        <v>0</v>
      </c>
      <c r="S301" s="50">
        <f t="shared" si="178"/>
        <v>0</v>
      </c>
      <c r="T301" s="50"/>
      <c r="U301" s="50">
        <f t="shared" si="179"/>
        <v>0</v>
      </c>
      <c r="V301" s="50"/>
      <c r="W301" s="50">
        <f t="shared" si="180"/>
        <v>0</v>
      </c>
      <c r="X301" s="50"/>
      <c r="Y301" s="50">
        <f t="shared" si="181"/>
        <v>0</v>
      </c>
      <c r="Z301" s="50"/>
      <c r="AA301" s="50">
        <f t="shared" si="182"/>
        <v>0</v>
      </c>
      <c r="AB301" s="50">
        <f t="shared" si="183"/>
        <v>0</v>
      </c>
      <c r="AC301" s="30" t="str">
        <f t="shared" si="184"/>
        <v>ok</v>
      </c>
    </row>
    <row r="302" spans="1:29" x14ac:dyDescent="0.2">
      <c r="A302" s="14" t="s">
        <v>432</v>
      </c>
      <c r="C302" s="14" t="s">
        <v>465</v>
      </c>
      <c r="D302" s="14" t="s">
        <v>40</v>
      </c>
      <c r="F302" s="50">
        <v>0</v>
      </c>
      <c r="G302" s="50"/>
      <c r="H302" s="50">
        <f t="shared" si="171"/>
        <v>0</v>
      </c>
      <c r="I302" s="50">
        <f t="shared" si="172"/>
        <v>0</v>
      </c>
      <c r="J302" s="50"/>
      <c r="K302" s="50">
        <f t="shared" si="173"/>
        <v>0</v>
      </c>
      <c r="L302" s="50"/>
      <c r="M302" s="50">
        <f t="shared" si="174"/>
        <v>0</v>
      </c>
      <c r="N302" s="50"/>
      <c r="O302" s="50">
        <f t="shared" si="175"/>
        <v>0</v>
      </c>
      <c r="P302" s="50">
        <f t="shared" si="176"/>
        <v>0</v>
      </c>
      <c r="Q302" s="50"/>
      <c r="R302" s="50">
        <f t="shared" si="177"/>
        <v>0</v>
      </c>
      <c r="S302" s="50">
        <f t="shared" si="178"/>
        <v>0</v>
      </c>
      <c r="T302" s="50"/>
      <c r="U302" s="50">
        <f t="shared" si="179"/>
        <v>0</v>
      </c>
      <c r="V302" s="50"/>
      <c r="W302" s="50">
        <f t="shared" si="180"/>
        <v>0</v>
      </c>
      <c r="X302" s="50"/>
      <c r="Y302" s="50">
        <f t="shared" si="181"/>
        <v>0</v>
      </c>
      <c r="Z302" s="50"/>
      <c r="AA302" s="50">
        <f t="shared" si="182"/>
        <v>0</v>
      </c>
      <c r="AB302" s="50">
        <f t="shared" si="183"/>
        <v>0</v>
      </c>
      <c r="AC302" s="30" t="str">
        <f t="shared" si="184"/>
        <v>ok</v>
      </c>
    </row>
    <row r="303" spans="1:29" x14ac:dyDescent="0.2">
      <c r="A303" s="14" t="s">
        <v>433</v>
      </c>
      <c r="C303" s="14" t="s">
        <v>466</v>
      </c>
      <c r="D303" s="14" t="s">
        <v>43</v>
      </c>
      <c r="F303" s="50">
        <v>0</v>
      </c>
      <c r="G303" s="50"/>
      <c r="H303" s="50">
        <f t="shared" si="171"/>
        <v>0</v>
      </c>
      <c r="I303" s="50">
        <f t="shared" si="172"/>
        <v>0</v>
      </c>
      <c r="J303" s="50"/>
      <c r="K303" s="50">
        <f t="shared" si="173"/>
        <v>0</v>
      </c>
      <c r="L303" s="50"/>
      <c r="M303" s="50">
        <f t="shared" si="174"/>
        <v>0</v>
      </c>
      <c r="N303" s="50"/>
      <c r="O303" s="50">
        <f t="shared" si="175"/>
        <v>0</v>
      </c>
      <c r="P303" s="50">
        <f t="shared" si="176"/>
        <v>0</v>
      </c>
      <c r="Q303" s="50"/>
      <c r="R303" s="50">
        <f t="shared" si="177"/>
        <v>0</v>
      </c>
      <c r="S303" s="50">
        <f t="shared" si="178"/>
        <v>0</v>
      </c>
      <c r="T303" s="50"/>
      <c r="U303" s="50">
        <f t="shared" si="179"/>
        <v>0</v>
      </c>
      <c r="V303" s="50"/>
      <c r="W303" s="50">
        <f t="shared" si="180"/>
        <v>0</v>
      </c>
      <c r="X303" s="50"/>
      <c r="Y303" s="50">
        <f t="shared" si="181"/>
        <v>0</v>
      </c>
      <c r="Z303" s="50"/>
      <c r="AA303" s="50">
        <f t="shared" si="182"/>
        <v>0</v>
      </c>
      <c r="AB303" s="50">
        <f t="shared" si="183"/>
        <v>0</v>
      </c>
      <c r="AC303" s="30" t="str">
        <f t="shared" si="184"/>
        <v>ok</v>
      </c>
    </row>
    <row r="304" spans="1:29" x14ac:dyDescent="0.2">
      <c r="A304" s="14" t="s">
        <v>434</v>
      </c>
      <c r="C304" s="14" t="s">
        <v>467</v>
      </c>
      <c r="D304" s="14" t="s">
        <v>46</v>
      </c>
      <c r="F304" s="50">
        <v>0</v>
      </c>
      <c r="G304" s="50"/>
      <c r="H304" s="50">
        <f t="shared" si="171"/>
        <v>0</v>
      </c>
      <c r="I304" s="50">
        <f t="shared" si="172"/>
        <v>0</v>
      </c>
      <c r="J304" s="50"/>
      <c r="K304" s="50">
        <f t="shared" si="173"/>
        <v>0</v>
      </c>
      <c r="L304" s="50"/>
      <c r="M304" s="50">
        <f t="shared" si="174"/>
        <v>0</v>
      </c>
      <c r="N304" s="50"/>
      <c r="O304" s="50">
        <f t="shared" si="175"/>
        <v>0</v>
      </c>
      <c r="P304" s="50">
        <f t="shared" si="176"/>
        <v>0</v>
      </c>
      <c r="Q304" s="50"/>
      <c r="R304" s="50">
        <f t="shared" si="177"/>
        <v>0</v>
      </c>
      <c r="S304" s="50">
        <f t="shared" si="178"/>
        <v>0</v>
      </c>
      <c r="T304" s="50"/>
      <c r="U304" s="50">
        <f t="shared" si="179"/>
        <v>0</v>
      </c>
      <c r="V304" s="50"/>
      <c r="W304" s="50">
        <f t="shared" si="180"/>
        <v>0</v>
      </c>
      <c r="X304" s="50"/>
      <c r="Y304" s="50">
        <f t="shared" si="181"/>
        <v>0</v>
      </c>
      <c r="Z304" s="50"/>
      <c r="AA304" s="50">
        <f t="shared" si="182"/>
        <v>0</v>
      </c>
      <c r="AB304" s="50">
        <f t="shared" si="183"/>
        <v>0</v>
      </c>
      <c r="AC304" s="30" t="str">
        <f t="shared" si="184"/>
        <v>ok</v>
      </c>
    </row>
    <row r="305" spans="1:29" x14ac:dyDescent="0.2">
      <c r="A305" s="14" t="s">
        <v>435</v>
      </c>
      <c r="C305" s="14" t="s">
        <v>468</v>
      </c>
      <c r="D305" s="14" t="s">
        <v>48</v>
      </c>
      <c r="F305" s="50">
        <v>0</v>
      </c>
      <c r="G305" s="50"/>
      <c r="H305" s="50">
        <f t="shared" si="171"/>
        <v>0</v>
      </c>
      <c r="I305" s="50">
        <f t="shared" si="172"/>
        <v>0</v>
      </c>
      <c r="J305" s="50"/>
      <c r="K305" s="50">
        <f t="shared" si="173"/>
        <v>0</v>
      </c>
      <c r="L305" s="50"/>
      <c r="M305" s="50">
        <f t="shared" si="174"/>
        <v>0</v>
      </c>
      <c r="N305" s="50"/>
      <c r="O305" s="50">
        <f t="shared" si="175"/>
        <v>0</v>
      </c>
      <c r="P305" s="50">
        <f t="shared" si="176"/>
        <v>0</v>
      </c>
      <c r="Q305" s="50"/>
      <c r="R305" s="50">
        <f t="shared" si="177"/>
        <v>0</v>
      </c>
      <c r="S305" s="50">
        <f t="shared" si="178"/>
        <v>0</v>
      </c>
      <c r="T305" s="50"/>
      <c r="U305" s="50">
        <f t="shared" si="179"/>
        <v>0</v>
      </c>
      <c r="V305" s="50"/>
      <c r="W305" s="50">
        <f t="shared" si="180"/>
        <v>0</v>
      </c>
      <c r="X305" s="50"/>
      <c r="Y305" s="50">
        <f t="shared" si="181"/>
        <v>0</v>
      </c>
      <c r="Z305" s="50"/>
      <c r="AA305" s="50">
        <f t="shared" si="182"/>
        <v>0</v>
      </c>
      <c r="AB305" s="50">
        <f t="shared" si="183"/>
        <v>0</v>
      </c>
      <c r="AC305" s="30" t="str">
        <f t="shared" si="184"/>
        <v>ok</v>
      </c>
    </row>
    <row r="306" spans="1:29" x14ac:dyDescent="0.2">
      <c r="A306" s="14" t="s">
        <v>579</v>
      </c>
      <c r="C306" s="14" t="s">
        <v>469</v>
      </c>
      <c r="D306" s="14" t="s">
        <v>16</v>
      </c>
      <c r="F306" s="50">
        <v>4160949.33</v>
      </c>
      <c r="G306" s="50"/>
      <c r="H306" s="50">
        <f t="shared" si="171"/>
        <v>0</v>
      </c>
      <c r="I306" s="50">
        <f t="shared" si="172"/>
        <v>0</v>
      </c>
      <c r="J306" s="50"/>
      <c r="K306" s="50">
        <f t="shared" si="173"/>
        <v>0</v>
      </c>
      <c r="L306" s="50"/>
      <c r="M306" s="50">
        <f t="shared" si="174"/>
        <v>201.72687321414179</v>
      </c>
      <c r="N306" s="50"/>
      <c r="O306" s="50">
        <f t="shared" si="175"/>
        <v>2196513.8683588165</v>
      </c>
      <c r="P306" s="50">
        <f t="shared" si="176"/>
        <v>1129067.3504300825</v>
      </c>
      <c r="Q306" s="50"/>
      <c r="R306" s="50">
        <f t="shared" si="177"/>
        <v>0</v>
      </c>
      <c r="S306" s="50">
        <f t="shared" si="178"/>
        <v>354066.01354970888</v>
      </c>
      <c r="T306" s="50"/>
      <c r="U306" s="50">
        <f t="shared" si="179"/>
        <v>209141.33076236784</v>
      </c>
      <c r="V306" s="50"/>
      <c r="W306" s="50">
        <f t="shared" si="180"/>
        <v>271959.04002580978</v>
      </c>
      <c r="X306" s="50"/>
      <c r="Y306" s="50">
        <f t="shared" si="181"/>
        <v>0</v>
      </c>
      <c r="Z306" s="50"/>
      <c r="AA306" s="50">
        <f t="shared" si="182"/>
        <v>0</v>
      </c>
      <c r="AB306" s="50">
        <f t="shared" si="183"/>
        <v>4160949.3299999996</v>
      </c>
      <c r="AC306" s="30" t="str">
        <f t="shared" si="184"/>
        <v>ok</v>
      </c>
    </row>
    <row r="307" spans="1:29" x14ac:dyDescent="0.2">
      <c r="A307" s="14" t="s">
        <v>81</v>
      </c>
      <c r="C307" s="14" t="s">
        <v>415</v>
      </c>
      <c r="D307" s="14" t="s">
        <v>70</v>
      </c>
      <c r="F307" s="50">
        <v>183757.71</v>
      </c>
      <c r="G307" s="50"/>
      <c r="H307" s="50">
        <f t="shared" si="171"/>
        <v>0</v>
      </c>
      <c r="I307" s="50">
        <f t="shared" si="172"/>
        <v>0</v>
      </c>
      <c r="J307" s="50"/>
      <c r="K307" s="50">
        <f t="shared" si="173"/>
        <v>0</v>
      </c>
      <c r="L307" s="50"/>
      <c r="M307" s="50">
        <f t="shared" si="174"/>
        <v>8.9087526252791527</v>
      </c>
      <c r="N307" s="50"/>
      <c r="O307" s="50">
        <f t="shared" si="175"/>
        <v>97003.430328448041</v>
      </c>
      <c r="P307" s="50">
        <f t="shared" si="176"/>
        <v>49862.378581476136</v>
      </c>
      <c r="Q307" s="50"/>
      <c r="R307" s="50">
        <f t="shared" si="177"/>
        <v>0</v>
      </c>
      <c r="S307" s="50">
        <f t="shared" si="178"/>
        <v>15636.422046678341</v>
      </c>
      <c r="T307" s="50"/>
      <c r="U307" s="50">
        <f t="shared" si="179"/>
        <v>9236.1932240220904</v>
      </c>
      <c r="V307" s="50"/>
      <c r="W307" s="50">
        <f t="shared" si="180"/>
        <v>12010.377066750087</v>
      </c>
      <c r="X307" s="50"/>
      <c r="Y307" s="50">
        <f t="shared" si="181"/>
        <v>0</v>
      </c>
      <c r="Z307" s="50"/>
      <c r="AA307" s="50">
        <f t="shared" si="182"/>
        <v>0</v>
      </c>
      <c r="AB307" s="50">
        <f>SUM(H307:AA307)</f>
        <v>183757.70999999996</v>
      </c>
      <c r="AC307" s="30" t="str">
        <f>IF(ABS(AB307-F307)&lt;1,"ok","err")</f>
        <v>ok</v>
      </c>
    </row>
    <row r="308" spans="1:29" x14ac:dyDescent="0.2">
      <c r="A308" s="14" t="s">
        <v>767</v>
      </c>
      <c r="C308" s="14" t="s">
        <v>415</v>
      </c>
      <c r="D308" s="14" t="s">
        <v>70</v>
      </c>
      <c r="F308" s="50">
        <v>0</v>
      </c>
      <c r="G308" s="50"/>
      <c r="H308" s="50">
        <f t="shared" si="171"/>
        <v>0</v>
      </c>
      <c r="I308" s="50">
        <f t="shared" si="172"/>
        <v>0</v>
      </c>
      <c r="J308" s="50"/>
      <c r="K308" s="50">
        <f t="shared" si="173"/>
        <v>0</v>
      </c>
      <c r="L308" s="50"/>
      <c r="M308" s="50">
        <f t="shared" si="174"/>
        <v>0</v>
      </c>
      <c r="N308" s="50"/>
      <c r="O308" s="50">
        <f t="shared" si="175"/>
        <v>0</v>
      </c>
      <c r="P308" s="50">
        <f t="shared" si="176"/>
        <v>0</v>
      </c>
      <c r="Q308" s="50"/>
      <c r="R308" s="50">
        <f t="shared" si="177"/>
        <v>0</v>
      </c>
      <c r="S308" s="50">
        <f t="shared" si="178"/>
        <v>0</v>
      </c>
      <c r="T308" s="50"/>
      <c r="U308" s="50">
        <f t="shared" si="179"/>
        <v>0</v>
      </c>
      <c r="V308" s="50"/>
      <c r="W308" s="50">
        <f t="shared" si="180"/>
        <v>0</v>
      </c>
      <c r="X308" s="50"/>
      <c r="Y308" s="50">
        <f t="shared" si="181"/>
        <v>0</v>
      </c>
      <c r="Z308" s="50"/>
      <c r="AA308" s="50">
        <f t="shared" si="182"/>
        <v>0</v>
      </c>
      <c r="AB308" s="50">
        <f>SUM(H308:AA308)</f>
        <v>0</v>
      </c>
      <c r="AC308" s="30" t="str">
        <f>IF(ABS(AB308-F308)&lt;1,"ok","err")</f>
        <v>ok</v>
      </c>
    </row>
    <row r="309" spans="1:29" x14ac:dyDescent="0.2">
      <c r="A309" s="14" t="s">
        <v>1033</v>
      </c>
      <c r="C309" s="14" t="s">
        <v>416</v>
      </c>
      <c r="D309" s="14" t="s">
        <v>392</v>
      </c>
      <c r="F309" s="50">
        <v>0</v>
      </c>
      <c r="G309" s="50"/>
      <c r="H309" s="50">
        <f t="shared" si="171"/>
        <v>0</v>
      </c>
      <c r="I309" s="50">
        <f t="shared" si="172"/>
        <v>0</v>
      </c>
      <c r="J309" s="50"/>
      <c r="K309" s="50">
        <f t="shared" si="173"/>
        <v>0</v>
      </c>
      <c r="L309" s="50"/>
      <c r="M309" s="50">
        <f t="shared" si="174"/>
        <v>0</v>
      </c>
      <c r="N309" s="50"/>
      <c r="O309" s="50">
        <f t="shared" si="175"/>
        <v>0</v>
      </c>
      <c r="P309" s="50">
        <f t="shared" si="176"/>
        <v>0</v>
      </c>
      <c r="Q309" s="50"/>
      <c r="R309" s="50">
        <f t="shared" si="177"/>
        <v>0</v>
      </c>
      <c r="S309" s="50">
        <f t="shared" si="178"/>
        <v>0</v>
      </c>
      <c r="T309" s="50"/>
      <c r="U309" s="50">
        <f t="shared" si="179"/>
        <v>0</v>
      </c>
      <c r="V309" s="50"/>
      <c r="W309" s="50">
        <f t="shared" si="180"/>
        <v>0</v>
      </c>
      <c r="X309" s="50"/>
      <c r="Y309" s="50">
        <f t="shared" si="181"/>
        <v>0</v>
      </c>
      <c r="Z309" s="50"/>
      <c r="AA309" s="50">
        <f t="shared" si="182"/>
        <v>0</v>
      </c>
      <c r="AB309" s="50">
        <f>SUM(H309:AA309)</f>
        <v>0</v>
      </c>
      <c r="AC309" s="30" t="str">
        <f>IF(ABS(AB309-F309)&lt;1,"ok","err")</f>
        <v>ok</v>
      </c>
    </row>
    <row r="310" spans="1:29" x14ac:dyDescent="0.2">
      <c r="A310" s="14" t="s">
        <v>388</v>
      </c>
      <c r="C310" s="14" t="s">
        <v>417</v>
      </c>
      <c r="D310" s="14" t="s">
        <v>16</v>
      </c>
      <c r="F310" s="50">
        <v>0</v>
      </c>
      <c r="G310" s="50"/>
      <c r="H310" s="50">
        <f t="shared" si="171"/>
        <v>0</v>
      </c>
      <c r="I310" s="50">
        <f t="shared" si="172"/>
        <v>0</v>
      </c>
      <c r="J310" s="50"/>
      <c r="K310" s="50">
        <f t="shared" si="173"/>
        <v>0</v>
      </c>
      <c r="L310" s="50"/>
      <c r="M310" s="50">
        <f t="shared" si="174"/>
        <v>0</v>
      </c>
      <c r="N310" s="50"/>
      <c r="O310" s="50">
        <f t="shared" si="175"/>
        <v>0</v>
      </c>
      <c r="P310" s="50">
        <f t="shared" si="176"/>
        <v>0</v>
      </c>
      <c r="Q310" s="50"/>
      <c r="R310" s="50">
        <f t="shared" si="177"/>
        <v>0</v>
      </c>
      <c r="S310" s="50">
        <f t="shared" si="178"/>
        <v>0</v>
      </c>
      <c r="T310" s="50"/>
      <c r="U310" s="50">
        <f t="shared" si="179"/>
        <v>0</v>
      </c>
      <c r="V310" s="50"/>
      <c r="W310" s="50">
        <f t="shared" si="180"/>
        <v>0</v>
      </c>
      <c r="X310" s="50"/>
      <c r="Y310" s="50">
        <f t="shared" si="181"/>
        <v>0</v>
      </c>
      <c r="Z310" s="50"/>
      <c r="AA310" s="50">
        <f t="shared" si="182"/>
        <v>0</v>
      </c>
      <c r="AB310" s="50">
        <f>SUM(H310:AA310)</f>
        <v>0</v>
      </c>
      <c r="AC310" s="30" t="str">
        <f>IF(ABS(AB310-F310)&lt;1,"ok","err")</f>
        <v>ok</v>
      </c>
    </row>
    <row r="311" spans="1:29" x14ac:dyDescent="0.2">
      <c r="F311" s="50"/>
      <c r="G311" s="50"/>
      <c r="AC311" s="30"/>
    </row>
    <row r="312" spans="1:29" x14ac:dyDescent="0.2">
      <c r="A312" s="14" t="s">
        <v>186</v>
      </c>
      <c r="C312" s="14" t="s">
        <v>187</v>
      </c>
      <c r="F312" s="66">
        <f>SUM(F293:F311)</f>
        <v>4344707.04</v>
      </c>
      <c r="G312" s="66"/>
      <c r="H312" s="50">
        <f>SUM(H293:H311)</f>
        <v>0</v>
      </c>
      <c r="I312" s="50">
        <f>SUM(I293:I311)</f>
        <v>0</v>
      </c>
      <c r="J312" s="50"/>
      <c r="K312" s="50">
        <f>SUM(K293:K311)</f>
        <v>0</v>
      </c>
      <c r="M312" s="50">
        <f>SUM(M293:M311)</f>
        <v>210.63562583942095</v>
      </c>
      <c r="O312" s="50">
        <f>SUM(O293:O311)</f>
        <v>2293517.2986872643</v>
      </c>
      <c r="P312" s="50">
        <f>SUM(P293:P311)</f>
        <v>1178929.7290115587</v>
      </c>
      <c r="R312" s="50">
        <f>SUM(R293:R311)</f>
        <v>0</v>
      </c>
      <c r="S312" s="50">
        <f>SUM(S293:S311)</f>
        <v>369702.43559638719</v>
      </c>
      <c r="U312" s="50">
        <f>SUM(U293:U311)</f>
        <v>218377.52398638992</v>
      </c>
      <c r="W312" s="50">
        <f>SUM(W293:W311)</f>
        <v>283969.41709255986</v>
      </c>
      <c r="Y312" s="50">
        <f>SUM(Y293:Y311)</f>
        <v>0</v>
      </c>
      <c r="AA312" s="50">
        <f>SUM(AA293:AA311)</f>
        <v>0</v>
      </c>
      <c r="AB312" s="50">
        <f>SUM(H312:AA312)</f>
        <v>4344707.0399999991</v>
      </c>
      <c r="AC312" s="30" t="str">
        <f>IF(ABS(AB312-F312)&lt;1,"ok","err")</f>
        <v>ok</v>
      </c>
    </row>
    <row r="313" spans="1:29" x14ac:dyDescent="0.2">
      <c r="B313" s="93"/>
      <c r="F313" s="50"/>
      <c r="G313" s="50"/>
      <c r="AC313" s="30"/>
    </row>
    <row r="314" spans="1:29" x14ac:dyDescent="0.2">
      <c r="A314" s="14" t="s">
        <v>188</v>
      </c>
      <c r="C314" s="14" t="s">
        <v>189</v>
      </c>
      <c r="D314" s="14" t="s">
        <v>84</v>
      </c>
      <c r="F314" s="66">
        <v>0</v>
      </c>
      <c r="G314" s="66"/>
      <c r="H314" s="50">
        <f>IF(VLOOKUP($D314,$C$5:$AA$494,6,)=0,0,((VLOOKUP($D314,$C$5:$AA$494,6,)/VLOOKUP($D314,$C$5:$AA$494,4,))*$F314))</f>
        <v>0</v>
      </c>
      <c r="I314" s="50">
        <f>IF(VLOOKUP($D314,$C$5:$AA$494,7,)=0,0,((VLOOKUP($D314,$C$5:$AA$494,7,)/VLOOKUP($D314,$C$5:$AA$494,4,))*$F314))</f>
        <v>0</v>
      </c>
      <c r="J314" s="50"/>
      <c r="K314" s="50">
        <f>IF(VLOOKUP($D314,$C$5:$AA$494,9,)=0,0,((VLOOKUP($D314,$C$5:$AA$494,9,)/VLOOKUP($D314,$C$5:$AA$494,4,))*$F314))</f>
        <v>0</v>
      </c>
      <c r="L314" s="50"/>
      <c r="M314" s="50">
        <f>IF(VLOOKUP($D314,$C$5:$AA$494,11,)=0,0,((VLOOKUP($D314,$C$5:$AA$494,11,)/VLOOKUP($D314,$C$5:$AA$494,4,))*$F314))</f>
        <v>0</v>
      </c>
      <c r="N314" s="50"/>
      <c r="O314" s="50">
        <f>IF(VLOOKUP($D314,$C$5:$AA$494,13,)=0,0,((VLOOKUP($D314,$C$5:$AA$494,13,)/VLOOKUP($D314,$C$5:$AA$494,4,))*$F314))</f>
        <v>0</v>
      </c>
      <c r="P314" s="50">
        <f>IF(VLOOKUP($D314,$C$5:$AA$494,14,)=0,0,((VLOOKUP($D314,$C$5:$AA$494,14,)/VLOOKUP($D314,$C$5:$AA$494,4,))*$F314))</f>
        <v>0</v>
      </c>
      <c r="Q314" s="50"/>
      <c r="R314" s="50">
        <f>IF(VLOOKUP($D314,$C$5:$AA$494,16,)=0,0,((VLOOKUP($D314,$C$5:$AA$494,16,)/VLOOKUP($D314,$C$5:$AA$494,4,))*$F314))</f>
        <v>0</v>
      </c>
      <c r="S314" s="50">
        <f>IF(VLOOKUP($D314,$C$5:$AA$494,17,)=0,0,((VLOOKUP($D314,$C$5:$AA$494,17,)/VLOOKUP($D314,$C$5:$AA$494,4,))*$F314))</f>
        <v>0</v>
      </c>
      <c r="T314" s="50"/>
      <c r="U314" s="50">
        <f>IF(VLOOKUP($D314,$C$5:$AA$494,19,)=0,0,((VLOOKUP($D314,$C$5:$AA$494,19,)/VLOOKUP($D314,$C$5:$AA$494,4,))*$F314))</f>
        <v>0</v>
      </c>
      <c r="V314" s="50"/>
      <c r="W314" s="50">
        <f>IF(VLOOKUP($D314,$C$5:$AA$494,21,)=0,0,((VLOOKUP($D314,$C$5:$AA$494,21,)/VLOOKUP($D314,$C$5:$AA$494,4,))*$F314))</f>
        <v>0</v>
      </c>
      <c r="X314" s="50"/>
      <c r="Y314" s="50">
        <f>IF(VLOOKUP($D314,$C$5:$AA$494,23,)=0,0,((VLOOKUP($D314,$C$5:$AA$494,23,)/VLOOKUP($D314,$C$5:$AA$494,4,))*$F314))</f>
        <v>0</v>
      </c>
      <c r="Z314" s="50"/>
      <c r="AA314" s="50">
        <f>IF(VLOOKUP($D314,$C$5:$AA$494,25,)=0,0,((VLOOKUP($D314,$C$5:$AA$494,25,)/VLOOKUP($D314,$C$5:$AA$494,4,))*$F314))</f>
        <v>0</v>
      </c>
      <c r="AB314" s="50">
        <f>SUM(H314:AA314)</f>
        <v>0</v>
      </c>
      <c r="AC314" s="30" t="str">
        <f>IF(ABS(AB314-F314)&lt;1,"ok","err")</f>
        <v>ok</v>
      </c>
    </row>
    <row r="315" spans="1:29" x14ac:dyDescent="0.2">
      <c r="AC315" s="30"/>
    </row>
    <row r="316" spans="1:29" x14ac:dyDescent="0.2">
      <c r="A316" s="14" t="s">
        <v>310</v>
      </c>
      <c r="C316" s="14" t="s">
        <v>190</v>
      </c>
      <c r="D316" s="14" t="s">
        <v>84</v>
      </c>
      <c r="F316" s="66">
        <v>48535.16</v>
      </c>
      <c r="G316" s="66"/>
      <c r="H316" s="50">
        <f>IF(VLOOKUP($D316,$C$5:$AA$494,6,)=0,0,((VLOOKUP($D316,$C$5:$AA$494,6,)/VLOOKUP($D316,$C$5:$AA$494,4,))*$F316))</f>
        <v>0</v>
      </c>
      <c r="I316" s="50">
        <f>IF(VLOOKUP($D316,$C$5:$AA$494,7,)=0,0,((VLOOKUP($D316,$C$5:$AA$494,7,)/VLOOKUP($D316,$C$5:$AA$494,4,))*$F316))</f>
        <v>0</v>
      </c>
      <c r="J316" s="50"/>
      <c r="K316" s="50">
        <f>IF(VLOOKUP($D316,$C$5:$AA$494,9,)=0,0,((VLOOKUP($D316,$C$5:$AA$494,9,)/VLOOKUP($D316,$C$5:$AA$494,4,))*$F316))</f>
        <v>0</v>
      </c>
      <c r="L316" s="50"/>
      <c r="M316" s="50">
        <f>IF(VLOOKUP($D316,$C$5:$AA$494,11,)=0,0,((VLOOKUP($D316,$C$5:$AA$494,11,)/VLOOKUP($D316,$C$5:$AA$494,4,))*$F316))</f>
        <v>2.353031794248762</v>
      </c>
      <c r="N316" s="50"/>
      <c r="O316" s="50">
        <f>IF(VLOOKUP($D316,$C$5:$AA$494,13,)=0,0,((VLOOKUP($D316,$C$5:$AA$494,13,)/VLOOKUP($D316,$C$5:$AA$494,4,))*$F316))</f>
        <v>25621.112776928258</v>
      </c>
      <c r="P316" s="50">
        <f>IF(VLOOKUP($D316,$C$5:$AA$494,14,)=0,0,((VLOOKUP($D316,$C$5:$AA$494,14,)/VLOOKUP($D316,$C$5:$AA$494,4,))*$F316))</f>
        <v>13169.942760129725</v>
      </c>
      <c r="Q316" s="50"/>
      <c r="R316" s="50">
        <f>IF(VLOOKUP($D316,$C$5:$AA$494,16,)=0,0,((VLOOKUP($D316,$C$5:$AA$494,16,)/VLOOKUP($D316,$C$5:$AA$494,4,))*$F316))</f>
        <v>0</v>
      </c>
      <c r="S316" s="50">
        <f>IF(VLOOKUP($D316,$C$5:$AA$494,17,)=0,0,((VLOOKUP($D316,$C$5:$AA$494,17,)/VLOOKUP($D316,$C$5:$AA$494,4,))*$F316))</f>
        <v>4129.9831493495467</v>
      </c>
      <c r="T316" s="50"/>
      <c r="U316" s="50">
        <f>IF(VLOOKUP($D316,$C$5:$AA$494,19,)=0,0,((VLOOKUP($D316,$C$5:$AA$494,19,)/VLOOKUP($D316,$C$5:$AA$494,4,))*$F316))</f>
        <v>2439.5173183145789</v>
      </c>
      <c r="V316" s="50"/>
      <c r="W316" s="50">
        <f>IF(VLOOKUP($D316,$C$5:$AA$494,21,)=0,0,((VLOOKUP($D316,$C$5:$AA$494,21,)/VLOOKUP($D316,$C$5:$AA$494,4,))*$F316))</f>
        <v>3172.2509634836333</v>
      </c>
      <c r="X316" s="50"/>
      <c r="Y316" s="50">
        <f>IF(VLOOKUP($D316,$C$5:$AA$494,23,)=0,0,((VLOOKUP($D316,$C$5:$AA$494,23,)/VLOOKUP($D316,$C$5:$AA$494,4,))*$F316))</f>
        <v>0</v>
      </c>
      <c r="Z316" s="50"/>
      <c r="AA316" s="50">
        <f>IF(VLOOKUP($D316,$C$5:$AA$494,25,)=0,0,((VLOOKUP($D316,$C$5:$AA$494,25,)/VLOOKUP($D316,$C$5:$AA$494,4,))*$F316))</f>
        <v>0</v>
      </c>
      <c r="AB316" s="50">
        <f>SUM(H316:AA316)</f>
        <v>48535.159999999989</v>
      </c>
      <c r="AC316" s="30" t="str">
        <f>IF(ABS(AB316-F316)&lt;1,"ok","err")</f>
        <v>ok</v>
      </c>
    </row>
    <row r="317" spans="1:29" x14ac:dyDescent="0.2">
      <c r="Q317" s="14"/>
    </row>
    <row r="318" spans="1:29" x14ac:dyDescent="0.2">
      <c r="A318" s="14" t="s">
        <v>191</v>
      </c>
      <c r="C318" s="14" t="s">
        <v>192</v>
      </c>
      <c r="D318" s="14" t="s">
        <v>84</v>
      </c>
      <c r="F318" s="66">
        <v>1884903</v>
      </c>
      <c r="G318" s="66"/>
      <c r="H318" s="50">
        <f>IF(VLOOKUP($D318,$C$5:$AA$494,6,)=0,0,((VLOOKUP($D318,$C$5:$AA$494,6,)/VLOOKUP($D318,$C$5:$AA$494,4,))*$F318))</f>
        <v>0</v>
      </c>
      <c r="I318" s="50">
        <f>IF(VLOOKUP($D318,$C$5:$AA$494,7,)=0,0,((VLOOKUP($D318,$C$5:$AA$494,7,)/VLOOKUP($D318,$C$5:$AA$494,4,))*$F318))</f>
        <v>0</v>
      </c>
      <c r="J318" s="50"/>
      <c r="K318" s="50">
        <f>IF(VLOOKUP($D318,$C$5:$AA$494,9,)=0,0,((VLOOKUP($D318,$C$5:$AA$494,9,)/VLOOKUP($D318,$C$5:$AA$494,4,))*$F318))</f>
        <v>0</v>
      </c>
      <c r="L318" s="50"/>
      <c r="M318" s="50">
        <f>IF(VLOOKUP($D318,$C$5:$AA$494,11,)=0,0,((VLOOKUP($D318,$C$5:$AA$494,11,)/VLOOKUP($D318,$C$5:$AA$494,4,))*$F318))</f>
        <v>91.381931945312928</v>
      </c>
      <c r="N318" s="50"/>
      <c r="O318" s="50">
        <f>IF(VLOOKUP($D318,$C$5:$AA$494,13,)=0,0,((VLOOKUP($D318,$C$5:$AA$494,13,)/VLOOKUP($D318,$C$5:$AA$494,4,))*$F318))</f>
        <v>995017.06261131936</v>
      </c>
      <c r="P318" s="50">
        <f>IF(VLOOKUP($D318,$C$5:$AA$494,14,)=0,0,((VLOOKUP($D318,$C$5:$AA$494,14,)/VLOOKUP($D318,$C$5:$AA$494,4,))*$F318))</f>
        <v>511465.59769035061</v>
      </c>
      <c r="Q318" s="50"/>
      <c r="R318" s="50">
        <f>IF(VLOOKUP($D318,$C$5:$AA$494,16,)=0,0,((VLOOKUP($D318,$C$5:$AA$494,16,)/VLOOKUP($D318,$C$5:$AA$494,4,))*$F318))</f>
        <v>0</v>
      </c>
      <c r="S318" s="50">
        <f>IF(VLOOKUP($D318,$C$5:$AA$494,17,)=0,0,((VLOOKUP($D318,$C$5:$AA$494,17,)/VLOOKUP($D318,$C$5:$AA$494,4,))*$F318))</f>
        <v>160391.30453383501</v>
      </c>
      <c r="T318" s="50"/>
      <c r="U318" s="50">
        <f>IF(VLOOKUP($D318,$C$5:$AA$494,19,)=0,0,((VLOOKUP($D318,$C$5:$AA$494,19,)/VLOOKUP($D318,$C$5:$AA$494,4,))*$F318))</f>
        <v>94740.66865841391</v>
      </c>
      <c r="V318" s="50"/>
      <c r="W318" s="50">
        <f>IF(VLOOKUP($D318,$C$5:$AA$494,21,)=0,0,((VLOOKUP($D318,$C$5:$AA$494,21,)/VLOOKUP($D318,$C$5:$AA$494,4,))*$F318))</f>
        <v>123196.98457413535</v>
      </c>
      <c r="X318" s="50"/>
      <c r="Y318" s="50">
        <f>IF(VLOOKUP($D318,$C$5:$AA$494,23,)=0,0,((VLOOKUP($D318,$C$5:$AA$494,23,)/VLOOKUP($D318,$C$5:$AA$494,4,))*$F318))</f>
        <v>0</v>
      </c>
      <c r="Z318" s="50"/>
      <c r="AA318" s="50">
        <f>IF(VLOOKUP($D318,$C$5:$AA$494,25,)=0,0,((VLOOKUP($D318,$C$5:$AA$494,25,)/VLOOKUP($D318,$C$5:$AA$494,4,))*$F318))</f>
        <v>0</v>
      </c>
      <c r="AB318" s="50">
        <f>SUM(H318:AA318)</f>
        <v>1884902.9999999995</v>
      </c>
      <c r="AC318" s="30" t="str">
        <f>IF(ABS(AB318-F318)&lt;1,"ok","err")</f>
        <v>ok</v>
      </c>
    </row>
    <row r="319" spans="1:29" x14ac:dyDescent="0.2">
      <c r="AC319" s="30"/>
    </row>
    <row r="320" spans="1:29" x14ac:dyDescent="0.2">
      <c r="A320" s="14" t="s">
        <v>193</v>
      </c>
      <c r="C320" s="14" t="s">
        <v>194</v>
      </c>
      <c r="D320" s="14" t="s">
        <v>84</v>
      </c>
      <c r="F320" s="66">
        <v>142967</v>
      </c>
      <c r="G320" s="66"/>
      <c r="H320" s="50">
        <f>IF(VLOOKUP($D320,$C$5:$AA$494,6,)=0,0,((VLOOKUP($D320,$C$5:$AA$494,6,)/VLOOKUP($D320,$C$5:$AA$494,4,))*$F320))</f>
        <v>0</v>
      </c>
      <c r="I320" s="50">
        <f>IF(VLOOKUP($D320,$C$5:$AA$494,7,)=0,0,((VLOOKUP($D320,$C$5:$AA$494,7,)/VLOOKUP($D320,$C$5:$AA$494,4,))*$F320))</f>
        <v>0</v>
      </c>
      <c r="J320" s="50"/>
      <c r="K320" s="50">
        <f>IF(VLOOKUP($D320,$C$5:$AA$494,9,)=0,0,((VLOOKUP($D320,$C$5:$AA$494,9,)/VLOOKUP($D320,$C$5:$AA$494,4,))*$F320))</f>
        <v>0</v>
      </c>
      <c r="L320" s="50"/>
      <c r="M320" s="50">
        <f>IF(VLOOKUP($D320,$C$5:$AA$494,11,)=0,0,((VLOOKUP($D320,$C$5:$AA$494,11,)/VLOOKUP($D320,$C$5:$AA$494,4,))*$F320))</f>
        <v>6.9311793044127752</v>
      </c>
      <c r="N320" s="50"/>
      <c r="O320" s="50">
        <f>IF(VLOOKUP($D320,$C$5:$AA$494,13,)=0,0,((VLOOKUP($D320,$C$5:$AA$494,13,)/VLOOKUP($D320,$C$5:$AA$494,4,))*$F320))</f>
        <v>75470.517257573723</v>
      </c>
      <c r="P320" s="50">
        <f>IF(VLOOKUP($D320,$C$5:$AA$494,14,)=0,0,((VLOOKUP($D320,$C$5:$AA$494,14,)/VLOOKUP($D320,$C$5:$AA$494,4,))*$F320))</f>
        <v>38793.880695715568</v>
      </c>
      <c r="Q320" s="50"/>
      <c r="R320" s="50">
        <f>IF(VLOOKUP($D320,$C$5:$AA$494,16,)=0,0,((VLOOKUP($D320,$C$5:$AA$494,16,)/VLOOKUP($D320,$C$5:$AA$494,4,))*$F320))</f>
        <v>0</v>
      </c>
      <c r="S320" s="50">
        <f>IF(VLOOKUP($D320,$C$5:$AA$494,17,)=0,0,((VLOOKUP($D320,$C$5:$AA$494,17,)/VLOOKUP($D320,$C$5:$AA$494,4,))*$F320))</f>
        <v>12165.434314279722</v>
      </c>
      <c r="T320" s="50"/>
      <c r="U320" s="50">
        <f>IF(VLOOKUP($D320,$C$5:$AA$494,19,)=0,0,((VLOOKUP($D320,$C$5:$AA$494,19,)/VLOOKUP($D320,$C$5:$AA$494,4,))*$F320))</f>
        <v>7185.9343298235835</v>
      </c>
      <c r="V320" s="50"/>
      <c r="W320" s="50">
        <f>IF(VLOOKUP($D320,$C$5:$AA$494,21,)=0,0,((VLOOKUP($D320,$C$5:$AA$494,21,)/VLOOKUP($D320,$C$5:$AA$494,4,))*$F320))</f>
        <v>9344.3022233029533</v>
      </c>
      <c r="X320" s="50"/>
      <c r="Y320" s="50">
        <f>IF(VLOOKUP($D320,$C$5:$AA$494,23,)=0,0,((VLOOKUP($D320,$C$5:$AA$494,23,)/VLOOKUP($D320,$C$5:$AA$494,4,))*$F320))</f>
        <v>0</v>
      </c>
      <c r="Z320" s="50"/>
      <c r="AA320" s="50">
        <f>IF(VLOOKUP($D320,$C$5:$AA$494,25,)=0,0,((VLOOKUP($D320,$C$5:$AA$494,25,)/VLOOKUP($D320,$C$5:$AA$494,4,))*$F320))</f>
        <v>0</v>
      </c>
      <c r="AB320" s="50">
        <f>SUM(H320:AA320)</f>
        <v>142966.99999999997</v>
      </c>
      <c r="AC320" s="30" t="str">
        <f>IF(ABS(AB320-F320)&lt;1,"ok","err")</f>
        <v>ok</v>
      </c>
    </row>
    <row r="321" spans="1:29" x14ac:dyDescent="0.2"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30"/>
    </row>
    <row r="322" spans="1:29" x14ac:dyDescent="0.2">
      <c r="A322" s="14" t="s">
        <v>859</v>
      </c>
      <c r="C322" s="14" t="s">
        <v>860</v>
      </c>
      <c r="D322" s="14" t="s">
        <v>84</v>
      </c>
      <c r="F322" s="66">
        <v>0</v>
      </c>
      <c r="G322" s="66"/>
      <c r="H322" s="50">
        <f>IF(VLOOKUP($D322,$C$5:$AA$494,6,)=0,0,((VLOOKUP($D322,$C$5:$AA$494,6,)/VLOOKUP($D322,$C$5:$AA$494,4,))*$F322))</f>
        <v>0</v>
      </c>
      <c r="I322" s="50">
        <f>IF(VLOOKUP($D322,$C$5:$AA$494,7,)=0,0,((VLOOKUP($D322,$C$5:$AA$494,7,)/VLOOKUP($D322,$C$5:$AA$494,4,))*$F322))</f>
        <v>0</v>
      </c>
      <c r="J322" s="50"/>
      <c r="K322" s="50">
        <f>IF(VLOOKUP($D322,$C$5:$AA$494,9,)=0,0,((VLOOKUP($D322,$C$5:$AA$494,9,)/VLOOKUP($D322,$C$5:$AA$494,4,))*$F322))</f>
        <v>0</v>
      </c>
      <c r="L322" s="50"/>
      <c r="M322" s="50">
        <f>IF(VLOOKUP($D322,$C$5:$AA$494,11,)=0,0,((VLOOKUP($D322,$C$5:$AA$494,11,)/VLOOKUP($D322,$C$5:$AA$494,4,))*$F322))</f>
        <v>0</v>
      </c>
      <c r="N322" s="50"/>
      <c r="O322" s="50">
        <f>IF(VLOOKUP($D322,$C$5:$AA$494,13,)=0,0,((VLOOKUP($D322,$C$5:$AA$494,13,)/VLOOKUP($D322,$C$5:$AA$494,4,))*$F322))</f>
        <v>0</v>
      </c>
      <c r="P322" s="50">
        <f>IF(VLOOKUP($D322,$C$5:$AA$494,14,)=0,0,((VLOOKUP($D322,$C$5:$AA$494,14,)/VLOOKUP($D322,$C$5:$AA$494,4,))*$F322))</f>
        <v>0</v>
      </c>
      <c r="Q322" s="50"/>
      <c r="R322" s="50">
        <f>IF(VLOOKUP($D322,$C$5:$AA$494,16,)=0,0,((VLOOKUP($D322,$C$5:$AA$494,16,)/VLOOKUP($D322,$C$5:$AA$494,4,))*$F322))</f>
        <v>0</v>
      </c>
      <c r="S322" s="50">
        <f>IF(VLOOKUP($D322,$C$5:$AA$494,17,)=0,0,((VLOOKUP($D322,$C$5:$AA$494,17,)/VLOOKUP($D322,$C$5:$AA$494,4,))*$F322))</f>
        <v>0</v>
      </c>
      <c r="T322" s="50"/>
      <c r="U322" s="50">
        <f>IF(VLOOKUP($D322,$C$5:$AA$494,19,)=0,0,((VLOOKUP($D322,$C$5:$AA$494,19,)/VLOOKUP($D322,$C$5:$AA$494,4,))*$F322))</f>
        <v>0</v>
      </c>
      <c r="V322" s="50"/>
      <c r="W322" s="50">
        <f>IF(VLOOKUP($D322,$C$5:$AA$494,21,)=0,0,((VLOOKUP($D322,$C$5:$AA$494,21,)/VLOOKUP($D322,$C$5:$AA$494,4,))*$F322))</f>
        <v>0</v>
      </c>
      <c r="X322" s="50"/>
      <c r="Y322" s="50">
        <f>IF(VLOOKUP($D322,$C$5:$AA$494,23,)=0,0,((VLOOKUP($D322,$C$5:$AA$494,23,)/VLOOKUP($D322,$C$5:$AA$494,4,))*$F322))</f>
        <v>0</v>
      </c>
      <c r="Z322" s="50"/>
      <c r="AA322" s="50">
        <f>IF(VLOOKUP($D322,$C$5:$AA$494,25,)=0,0,((VLOOKUP($D322,$C$5:$AA$494,25,)/VLOOKUP($D322,$C$5:$AA$494,4,))*$F322))</f>
        <v>0</v>
      </c>
      <c r="AB322" s="50">
        <f>SUM(H322:AA322)</f>
        <v>0</v>
      </c>
      <c r="AC322" s="30" t="str">
        <f>IF(ABS(AB322-F322)&lt;1,"ok","err")</f>
        <v>ok</v>
      </c>
    </row>
    <row r="323" spans="1:29" x14ac:dyDescent="0.2">
      <c r="AC323" s="30"/>
    </row>
    <row r="324" spans="1:29" x14ac:dyDescent="0.2">
      <c r="A324" s="14" t="s">
        <v>195</v>
      </c>
      <c r="C324" s="14" t="s">
        <v>196</v>
      </c>
      <c r="D324" s="14" t="s">
        <v>84</v>
      </c>
      <c r="F324" s="66">
        <v>11207</v>
      </c>
      <c r="G324" s="66"/>
      <c r="H324" s="50">
        <f>IF(VLOOKUP($D324,$C$5:$AA$494,6,)=0,0,((VLOOKUP($D324,$C$5:$AA$494,6,)/VLOOKUP($D324,$C$5:$AA$494,4,))*$F324))</f>
        <v>0</v>
      </c>
      <c r="I324" s="50">
        <f>IF(VLOOKUP($D324,$C$5:$AA$494,7,)=0,0,((VLOOKUP($D324,$C$5:$AA$494,7,)/VLOOKUP($D324,$C$5:$AA$494,4,))*$F324))</f>
        <v>0</v>
      </c>
      <c r="J324" s="50"/>
      <c r="K324" s="50">
        <f>IF(VLOOKUP($D324,$C$5:$AA$494,9,)=0,0,((VLOOKUP($D324,$C$5:$AA$494,9,)/VLOOKUP($D324,$C$5:$AA$494,4,))*$F324))</f>
        <v>0</v>
      </c>
      <c r="L324" s="50"/>
      <c r="M324" s="50">
        <f>IF(VLOOKUP($D324,$C$5:$AA$494,11,)=0,0,((VLOOKUP($D324,$C$5:$AA$494,11,)/VLOOKUP($D324,$C$5:$AA$494,4,))*$F324))</f>
        <v>0.54332626735228395</v>
      </c>
      <c r="N324" s="50"/>
      <c r="O324" s="50">
        <f>IF(VLOOKUP($D324,$C$5:$AA$494,13,)=0,0,((VLOOKUP($D324,$C$5:$AA$494,13,)/VLOOKUP($D324,$C$5:$AA$494,4,))*$F324))</f>
        <v>5916.0371757512485</v>
      </c>
      <c r="P324" s="50">
        <f>IF(VLOOKUP($D324,$C$5:$AA$494,14,)=0,0,((VLOOKUP($D324,$C$5:$AA$494,14,)/VLOOKUP($D324,$C$5:$AA$494,4,))*$F324))</f>
        <v>3041.0026156867275</v>
      </c>
      <c r="Q324" s="50"/>
      <c r="R324" s="50">
        <f>IF(VLOOKUP($D324,$C$5:$AA$494,16,)=0,0,((VLOOKUP($D324,$C$5:$AA$494,16,)/VLOOKUP($D324,$C$5:$AA$494,4,))*$F324))</f>
        <v>0</v>
      </c>
      <c r="S324" s="50">
        <f>IF(VLOOKUP($D324,$C$5:$AA$494,17,)=0,0,((VLOOKUP($D324,$C$5:$AA$494,17,)/VLOOKUP($D324,$C$5:$AA$494,4,))*$F324))</f>
        <v>953.63281288781923</v>
      </c>
      <c r="T324" s="50"/>
      <c r="U324" s="50">
        <f>IF(VLOOKUP($D324,$C$5:$AA$494,19,)=0,0,((VLOOKUP($D324,$C$5:$AA$494,19,)/VLOOKUP($D324,$C$5:$AA$494,4,))*$F324))</f>
        <v>563.29618747216421</v>
      </c>
      <c r="V324" s="50"/>
      <c r="W324" s="50">
        <f>IF(VLOOKUP($D324,$C$5:$AA$494,21,)=0,0,((VLOOKUP($D324,$C$5:$AA$494,21,)/VLOOKUP($D324,$C$5:$AA$494,4,))*$F324))</f>
        <v>732.48788193468567</v>
      </c>
      <c r="X324" s="50"/>
      <c r="Y324" s="50">
        <f>IF(VLOOKUP($D324,$C$5:$AA$494,23,)=0,0,((VLOOKUP($D324,$C$5:$AA$494,23,)/VLOOKUP($D324,$C$5:$AA$494,4,))*$F324))</f>
        <v>0</v>
      </c>
      <c r="Z324" s="50"/>
      <c r="AA324" s="50">
        <f>IF(VLOOKUP($D324,$C$5:$AA$494,25,)=0,0,((VLOOKUP($D324,$C$5:$AA$494,25,)/VLOOKUP($D324,$C$5:$AA$494,4,))*$F324))</f>
        <v>0</v>
      </c>
      <c r="AB324" s="50">
        <f>SUM(H324:AA324)</f>
        <v>11206.999999999996</v>
      </c>
      <c r="AC324" s="30" t="str">
        <f>IF(ABS(AB324-F324)&lt;1,"ok","err")</f>
        <v>ok</v>
      </c>
    </row>
    <row r="325" spans="1:29" x14ac:dyDescent="0.2">
      <c r="AB325" s="50"/>
      <c r="AC325" s="30"/>
    </row>
    <row r="326" spans="1:29" x14ac:dyDescent="0.2">
      <c r="A326" s="13" t="s">
        <v>197</v>
      </c>
      <c r="C326" s="14" t="s">
        <v>198</v>
      </c>
      <c r="F326" s="260">
        <f>SUM(F312:F324)</f>
        <v>6432319.2000000002</v>
      </c>
      <c r="G326" s="93"/>
      <c r="H326" s="93">
        <f>SUM(H312:H324)</f>
        <v>0</v>
      </c>
      <c r="I326" s="93">
        <f>SUM(I312:I324)</f>
        <v>0</v>
      </c>
      <c r="J326" s="93"/>
      <c r="K326" s="93">
        <f>SUM(K312:K324)</f>
        <v>0</v>
      </c>
      <c r="L326" s="93"/>
      <c r="M326" s="93">
        <f>SUM(M312:M324)</f>
        <v>311.84509515074762</v>
      </c>
      <c r="N326" s="93"/>
      <c r="O326" s="93">
        <f>SUM(O312:O324)</f>
        <v>3395542.0285088369</v>
      </c>
      <c r="P326" s="93">
        <f>SUM(P312:P324)</f>
        <v>1745400.1527734413</v>
      </c>
      <c r="Q326" s="93">
        <f>SUM(Q312:Q324)</f>
        <v>0</v>
      </c>
      <c r="R326" s="93">
        <f>SUM(R312:R324)</f>
        <v>0</v>
      </c>
      <c r="S326" s="93">
        <f>SUM(S312:S324)</f>
        <v>547342.79040673922</v>
      </c>
      <c r="T326" s="93"/>
      <c r="U326" s="93">
        <f>SUM(U312:U324)</f>
        <v>323306.9404804142</v>
      </c>
      <c r="V326" s="93"/>
      <c r="W326" s="93">
        <f>SUM(W312:W324)</f>
        <v>420415.44273541647</v>
      </c>
      <c r="X326" s="93"/>
      <c r="Y326" s="93">
        <f>SUM(Y312:Y324)</f>
        <v>0</v>
      </c>
      <c r="Z326" s="93"/>
      <c r="AA326" s="93">
        <f>SUM(AA312:AA324)</f>
        <v>0</v>
      </c>
      <c r="AB326" s="50">
        <f>SUM(H326:AA326)</f>
        <v>6432319.1999999983</v>
      </c>
      <c r="AC326" s="30" t="str">
        <f>IF(ABS(AB326-F326)&lt;1,"ok","err")</f>
        <v>ok</v>
      </c>
    </row>
    <row r="327" spans="1:29" x14ac:dyDescent="0.2">
      <c r="AC327" s="30"/>
    </row>
    <row r="328" spans="1:29" x14ac:dyDescent="0.2">
      <c r="A328" s="13" t="s">
        <v>389</v>
      </c>
      <c r="F328" s="260">
        <f>F285+F326</f>
        <v>51640815.539999999</v>
      </c>
      <c r="G328" s="93"/>
      <c r="H328" s="93">
        <f>H285+H326</f>
        <v>9335078.1504406501</v>
      </c>
      <c r="I328" s="93">
        <f>I285+I326</f>
        <v>26478261.849559348</v>
      </c>
      <c r="J328" s="93"/>
      <c r="K328" s="93">
        <f>K285+K326</f>
        <v>0</v>
      </c>
      <c r="L328" s="93"/>
      <c r="M328" s="93">
        <f>M285+M326</f>
        <v>344.82100454880504</v>
      </c>
      <c r="N328" s="93"/>
      <c r="O328" s="93">
        <f t="shared" ref="O328:AA328" si="185">O285+O326</f>
        <v>7896993.7739854623</v>
      </c>
      <c r="P328" s="93">
        <f t="shared" si="185"/>
        <v>3384761.0255861161</v>
      </c>
      <c r="Q328" s="93">
        <f t="shared" si="185"/>
        <v>0</v>
      </c>
      <c r="R328" s="93">
        <f t="shared" si="185"/>
        <v>0</v>
      </c>
      <c r="S328" s="93">
        <f t="shared" si="185"/>
        <v>813219.12583430926</v>
      </c>
      <c r="T328" s="93"/>
      <c r="U328" s="93">
        <f t="shared" si="185"/>
        <v>938748.07487314939</v>
      </c>
      <c r="V328" s="93"/>
      <c r="W328" s="93">
        <f t="shared" si="185"/>
        <v>464872.07124992157</v>
      </c>
      <c r="X328" s="93"/>
      <c r="Y328" s="93">
        <f t="shared" si="185"/>
        <v>2328536.6474664905</v>
      </c>
      <c r="Z328" s="93"/>
      <c r="AA328" s="93">
        <f t="shared" si="185"/>
        <v>0</v>
      </c>
      <c r="AB328" s="50">
        <f>SUM(H328:AA328)</f>
        <v>51640815.539999992</v>
      </c>
      <c r="AC328" s="30" t="str">
        <f>IF(ABS(AB328-F328)&lt;1,"ok","err")</f>
        <v>ok</v>
      </c>
    </row>
    <row r="329" spans="1:29" x14ac:dyDescent="0.2">
      <c r="F329" s="260"/>
      <c r="G329" s="93"/>
      <c r="AC329" s="30"/>
    </row>
    <row r="330" spans="1:29" x14ac:dyDescent="0.2">
      <c r="AC330" s="30"/>
    </row>
    <row r="331" spans="1:29" x14ac:dyDescent="0.2">
      <c r="AC331" s="30"/>
    </row>
    <row r="332" spans="1:29" x14ac:dyDescent="0.2">
      <c r="A332" s="28" t="s">
        <v>1122</v>
      </c>
      <c r="Q332" s="14"/>
      <c r="AC332" s="30"/>
    </row>
    <row r="333" spans="1:29" x14ac:dyDescent="0.2">
      <c r="A333" s="28"/>
      <c r="Q333" s="14"/>
      <c r="AC333" s="30"/>
    </row>
    <row r="334" spans="1:29" x14ac:dyDescent="0.2">
      <c r="A334" s="13" t="s">
        <v>790</v>
      </c>
      <c r="Q334" s="14"/>
      <c r="AC334" s="30"/>
    </row>
    <row r="335" spans="1:29" x14ac:dyDescent="0.2">
      <c r="A335" s="14">
        <v>500</v>
      </c>
      <c r="B335" s="14" t="s">
        <v>795</v>
      </c>
      <c r="C335" s="14" t="s">
        <v>842</v>
      </c>
      <c r="D335" s="14" t="s">
        <v>784</v>
      </c>
      <c r="F335" s="66">
        <v>0</v>
      </c>
      <c r="G335" s="66"/>
      <c r="H335" s="50">
        <f t="shared" ref="H335:H343" si="186">IF(VLOOKUP($D335,$C$5:$AA$494,6,)=0,0,((VLOOKUP($D335,$C$5:$AA$494,6,)/VLOOKUP($D335,$C$5:$AA$494,4,))*$F335))</f>
        <v>0</v>
      </c>
      <c r="I335" s="50">
        <f t="shared" ref="I335:I343" si="187">IF(VLOOKUP($D335,$C$5:$AA$494,7,)=0,0,((VLOOKUP($D335,$C$5:$AA$494,7,)/VLOOKUP($D335,$C$5:$AA$494,4,))*$F335))</f>
        <v>0</v>
      </c>
      <c r="J335" s="50"/>
      <c r="K335" s="50">
        <f t="shared" ref="K335:K343" si="188">IF(VLOOKUP($D335,$C$5:$AA$494,9,)=0,0,((VLOOKUP($D335,$C$5:$AA$494,9,)/VLOOKUP($D335,$C$5:$AA$494,4,))*$F335))</f>
        <v>0</v>
      </c>
      <c r="L335" s="50"/>
      <c r="M335" s="50">
        <f t="shared" ref="M335:M343" si="189">IF(VLOOKUP($D335,$C$5:$AA$494,11,)=0,0,((VLOOKUP($D335,$C$5:$AA$494,11,)/VLOOKUP($D335,$C$5:$AA$494,4,))*$F335))</f>
        <v>0</v>
      </c>
      <c r="N335" s="50"/>
      <c r="O335" s="50">
        <f t="shared" ref="O335:O343" si="190">IF(VLOOKUP($D335,$C$5:$AA$494,13,)=0,0,((VLOOKUP($D335,$C$5:$AA$494,13,)/VLOOKUP($D335,$C$5:$AA$494,4,))*$F335))</f>
        <v>0</v>
      </c>
      <c r="P335" s="50">
        <f t="shared" ref="P335:P343" si="191">IF(VLOOKUP($D335,$C$5:$AA$494,14,)=0,0,((VLOOKUP($D335,$C$5:$AA$494,14,)/VLOOKUP($D335,$C$5:$AA$494,4,))*$F335))</f>
        <v>0</v>
      </c>
      <c r="Q335" s="50"/>
      <c r="R335" s="50">
        <f t="shared" ref="R335:R343" si="192">IF(VLOOKUP($D335,$C$5:$AA$494,16,)=0,0,((VLOOKUP($D335,$C$5:$AA$494,16,)/VLOOKUP($D335,$C$5:$AA$494,4,))*$F335))</f>
        <v>0</v>
      </c>
      <c r="S335" s="50">
        <f t="shared" ref="S335:S343" si="193">IF(VLOOKUP($D335,$C$5:$AA$494,17,)=0,0,((VLOOKUP($D335,$C$5:$AA$494,17,)/VLOOKUP($D335,$C$5:$AA$494,4,))*$F335))</f>
        <v>0</v>
      </c>
      <c r="T335" s="50"/>
      <c r="U335" s="50">
        <f t="shared" ref="U335:U343" si="194">IF(VLOOKUP($D335,$C$5:$AA$494,19,)=0,0,((VLOOKUP($D335,$C$5:$AA$494,19,)/VLOOKUP($D335,$C$5:$AA$494,4,))*$F335))</f>
        <v>0</v>
      </c>
      <c r="V335" s="50"/>
      <c r="W335" s="50">
        <f t="shared" ref="W335:W343" si="195">IF(VLOOKUP($D335,$C$5:$AA$494,21,)=0,0,((VLOOKUP($D335,$C$5:$AA$494,21,)/VLOOKUP($D335,$C$5:$AA$494,4,))*$F335))</f>
        <v>0</v>
      </c>
      <c r="X335" s="50"/>
      <c r="Y335" s="50">
        <f t="shared" ref="Y335:Y343" si="196">IF(VLOOKUP($D335,$C$5:$AA$494,23,)=0,0,((VLOOKUP($D335,$C$5:$AA$494,23,)/VLOOKUP($D335,$C$5:$AA$494,4,))*$F335))</f>
        <v>0</v>
      </c>
      <c r="Z335" s="50"/>
      <c r="AA335" s="50">
        <f t="shared" ref="AA335:AA343" si="197">IF(VLOOKUP($D335,$C$5:$AA$494,25,)=0,0,((VLOOKUP($D335,$C$5:$AA$494,25,)/VLOOKUP($D335,$C$5:$AA$494,4,))*$F335))</f>
        <v>0</v>
      </c>
      <c r="AB335" s="50">
        <f t="shared" ref="AB335:AB343" si="198">SUM(H335:AA335)</f>
        <v>0</v>
      </c>
      <c r="AC335" s="30" t="str">
        <f t="shared" ref="AC335:AC343" si="199">IF(ABS(AB335-F335)&lt;1,"ok","err")</f>
        <v>ok</v>
      </c>
    </row>
    <row r="336" spans="1:29" x14ac:dyDescent="0.2">
      <c r="A336" s="14">
        <v>501</v>
      </c>
      <c r="B336" s="14" t="s">
        <v>796</v>
      </c>
      <c r="C336" s="14" t="s">
        <v>843</v>
      </c>
      <c r="D336" s="14" t="s">
        <v>788</v>
      </c>
      <c r="F336" s="50">
        <v>0</v>
      </c>
      <c r="G336" s="50"/>
      <c r="H336" s="50">
        <f t="shared" si="186"/>
        <v>0</v>
      </c>
      <c r="I336" s="50">
        <f t="shared" si="187"/>
        <v>0</v>
      </c>
      <c r="J336" s="50"/>
      <c r="K336" s="50">
        <f t="shared" si="188"/>
        <v>0</v>
      </c>
      <c r="L336" s="50"/>
      <c r="M336" s="50">
        <f t="shared" si="189"/>
        <v>0</v>
      </c>
      <c r="N336" s="50"/>
      <c r="O336" s="50">
        <f t="shared" si="190"/>
        <v>0</v>
      </c>
      <c r="P336" s="50">
        <f t="shared" si="191"/>
        <v>0</v>
      </c>
      <c r="Q336" s="50"/>
      <c r="R336" s="50">
        <f t="shared" si="192"/>
        <v>0</v>
      </c>
      <c r="S336" s="50">
        <f t="shared" si="193"/>
        <v>0</v>
      </c>
      <c r="T336" s="50"/>
      <c r="U336" s="50">
        <f t="shared" si="194"/>
        <v>0</v>
      </c>
      <c r="V336" s="50"/>
      <c r="W336" s="50">
        <f t="shared" si="195"/>
        <v>0</v>
      </c>
      <c r="X336" s="50"/>
      <c r="Y336" s="50">
        <f t="shared" si="196"/>
        <v>0</v>
      </c>
      <c r="Z336" s="50"/>
      <c r="AA336" s="50">
        <f t="shared" si="197"/>
        <v>0</v>
      </c>
      <c r="AB336" s="50">
        <f t="shared" si="198"/>
        <v>0</v>
      </c>
      <c r="AC336" s="30" t="str">
        <f t="shared" si="199"/>
        <v>ok</v>
      </c>
    </row>
    <row r="337" spans="1:29" x14ac:dyDescent="0.2">
      <c r="A337" s="14">
        <v>502</v>
      </c>
      <c r="B337" s="14" t="s">
        <v>797</v>
      </c>
      <c r="C337" s="14" t="s">
        <v>844</v>
      </c>
      <c r="D337" s="14" t="s">
        <v>552</v>
      </c>
      <c r="F337" s="50">
        <v>0</v>
      </c>
      <c r="G337" s="50"/>
      <c r="H337" s="50">
        <f t="shared" si="186"/>
        <v>0</v>
      </c>
      <c r="I337" s="50">
        <f t="shared" si="187"/>
        <v>0</v>
      </c>
      <c r="J337" s="50"/>
      <c r="K337" s="50">
        <f t="shared" si="188"/>
        <v>0</v>
      </c>
      <c r="L337" s="50"/>
      <c r="M337" s="50">
        <f t="shared" si="189"/>
        <v>0</v>
      </c>
      <c r="N337" s="50"/>
      <c r="O337" s="50">
        <f t="shared" si="190"/>
        <v>0</v>
      </c>
      <c r="P337" s="50">
        <f t="shared" si="191"/>
        <v>0</v>
      </c>
      <c r="Q337" s="50"/>
      <c r="R337" s="50">
        <f t="shared" si="192"/>
        <v>0</v>
      </c>
      <c r="S337" s="50">
        <f t="shared" si="193"/>
        <v>0</v>
      </c>
      <c r="T337" s="50"/>
      <c r="U337" s="50">
        <f t="shared" si="194"/>
        <v>0</v>
      </c>
      <c r="V337" s="50"/>
      <c r="W337" s="50">
        <f t="shared" si="195"/>
        <v>0</v>
      </c>
      <c r="X337" s="50"/>
      <c r="Y337" s="50">
        <f t="shared" si="196"/>
        <v>0</v>
      </c>
      <c r="Z337" s="50"/>
      <c r="AA337" s="50">
        <f t="shared" si="197"/>
        <v>0</v>
      </c>
      <c r="AB337" s="50">
        <f t="shared" si="198"/>
        <v>0</v>
      </c>
      <c r="AC337" s="30" t="str">
        <f t="shared" si="199"/>
        <v>ok</v>
      </c>
    </row>
    <row r="338" spans="1:29" x14ac:dyDescent="0.2">
      <c r="A338" s="14">
        <v>503</v>
      </c>
      <c r="B338" s="14" t="s">
        <v>798</v>
      </c>
      <c r="C338" s="14" t="s">
        <v>845</v>
      </c>
      <c r="D338" s="14" t="s">
        <v>552</v>
      </c>
      <c r="F338" s="50">
        <v>0</v>
      </c>
      <c r="G338" s="50"/>
      <c r="H338" s="50">
        <f t="shared" si="186"/>
        <v>0</v>
      </c>
      <c r="I338" s="50">
        <f t="shared" si="187"/>
        <v>0</v>
      </c>
      <c r="J338" s="50"/>
      <c r="K338" s="50">
        <f t="shared" si="188"/>
        <v>0</v>
      </c>
      <c r="L338" s="50"/>
      <c r="M338" s="50">
        <f t="shared" si="189"/>
        <v>0</v>
      </c>
      <c r="N338" s="50"/>
      <c r="O338" s="50">
        <f t="shared" si="190"/>
        <v>0</v>
      </c>
      <c r="P338" s="50">
        <f t="shared" si="191"/>
        <v>0</v>
      </c>
      <c r="Q338" s="50"/>
      <c r="R338" s="50">
        <f t="shared" si="192"/>
        <v>0</v>
      </c>
      <c r="S338" s="50">
        <f t="shared" si="193"/>
        <v>0</v>
      </c>
      <c r="T338" s="50"/>
      <c r="U338" s="50">
        <f t="shared" si="194"/>
        <v>0</v>
      </c>
      <c r="V338" s="50"/>
      <c r="W338" s="50">
        <f t="shared" si="195"/>
        <v>0</v>
      </c>
      <c r="X338" s="50"/>
      <c r="Y338" s="50">
        <f t="shared" si="196"/>
        <v>0</v>
      </c>
      <c r="Z338" s="50"/>
      <c r="AA338" s="50">
        <f t="shared" si="197"/>
        <v>0</v>
      </c>
      <c r="AB338" s="50">
        <f t="shared" si="198"/>
        <v>0</v>
      </c>
      <c r="AC338" s="30" t="str">
        <f t="shared" si="199"/>
        <v>ok</v>
      </c>
    </row>
    <row r="339" spans="1:29" x14ac:dyDescent="0.2">
      <c r="A339" s="14">
        <v>504</v>
      </c>
      <c r="B339" s="14" t="s">
        <v>799</v>
      </c>
      <c r="C339" s="14" t="s">
        <v>846</v>
      </c>
      <c r="D339" s="14" t="s">
        <v>552</v>
      </c>
      <c r="F339" s="50">
        <v>0</v>
      </c>
      <c r="G339" s="50"/>
      <c r="H339" s="50">
        <f t="shared" si="186"/>
        <v>0</v>
      </c>
      <c r="I339" s="50">
        <f t="shared" si="187"/>
        <v>0</v>
      </c>
      <c r="J339" s="50"/>
      <c r="K339" s="50">
        <f t="shared" si="188"/>
        <v>0</v>
      </c>
      <c r="L339" s="50"/>
      <c r="M339" s="50">
        <f t="shared" si="189"/>
        <v>0</v>
      </c>
      <c r="N339" s="50"/>
      <c r="O339" s="50">
        <f t="shared" si="190"/>
        <v>0</v>
      </c>
      <c r="P339" s="50">
        <f t="shared" si="191"/>
        <v>0</v>
      </c>
      <c r="Q339" s="50"/>
      <c r="R339" s="50">
        <f t="shared" si="192"/>
        <v>0</v>
      </c>
      <c r="S339" s="50">
        <f t="shared" si="193"/>
        <v>0</v>
      </c>
      <c r="T339" s="50"/>
      <c r="U339" s="50">
        <f t="shared" si="194"/>
        <v>0</v>
      </c>
      <c r="V339" s="50"/>
      <c r="W339" s="50">
        <f t="shared" si="195"/>
        <v>0</v>
      </c>
      <c r="X339" s="50"/>
      <c r="Y339" s="50">
        <f t="shared" si="196"/>
        <v>0</v>
      </c>
      <c r="Z339" s="50"/>
      <c r="AA339" s="50">
        <f t="shared" si="197"/>
        <v>0</v>
      </c>
      <c r="AB339" s="50">
        <f t="shared" si="198"/>
        <v>0</v>
      </c>
      <c r="AC339" s="30" t="str">
        <f t="shared" si="199"/>
        <v>ok</v>
      </c>
    </row>
    <row r="340" spans="1:29" x14ac:dyDescent="0.2">
      <c r="A340" s="14">
        <v>505</v>
      </c>
      <c r="B340" s="14" t="s">
        <v>800</v>
      </c>
      <c r="C340" s="14" t="s">
        <v>847</v>
      </c>
      <c r="D340" s="14" t="s">
        <v>552</v>
      </c>
      <c r="F340" s="50">
        <v>0</v>
      </c>
      <c r="G340" s="50"/>
      <c r="H340" s="50">
        <f t="shared" si="186"/>
        <v>0</v>
      </c>
      <c r="I340" s="50">
        <f t="shared" si="187"/>
        <v>0</v>
      </c>
      <c r="J340" s="50"/>
      <c r="K340" s="50">
        <f t="shared" si="188"/>
        <v>0</v>
      </c>
      <c r="L340" s="50"/>
      <c r="M340" s="50">
        <f t="shared" si="189"/>
        <v>0</v>
      </c>
      <c r="N340" s="50"/>
      <c r="O340" s="50">
        <f t="shared" si="190"/>
        <v>0</v>
      </c>
      <c r="P340" s="50">
        <f t="shared" si="191"/>
        <v>0</v>
      </c>
      <c r="Q340" s="50"/>
      <c r="R340" s="50">
        <f t="shared" si="192"/>
        <v>0</v>
      </c>
      <c r="S340" s="50">
        <f t="shared" si="193"/>
        <v>0</v>
      </c>
      <c r="T340" s="50"/>
      <c r="U340" s="50">
        <f t="shared" si="194"/>
        <v>0</v>
      </c>
      <c r="V340" s="50"/>
      <c r="W340" s="50">
        <f t="shared" si="195"/>
        <v>0</v>
      </c>
      <c r="X340" s="50"/>
      <c r="Y340" s="50">
        <f t="shared" si="196"/>
        <v>0</v>
      </c>
      <c r="Z340" s="50"/>
      <c r="AA340" s="50">
        <f t="shared" si="197"/>
        <v>0</v>
      </c>
      <c r="AB340" s="50">
        <f t="shared" si="198"/>
        <v>0</v>
      </c>
      <c r="AC340" s="30" t="str">
        <f t="shared" si="199"/>
        <v>ok</v>
      </c>
    </row>
    <row r="341" spans="1:29" x14ac:dyDescent="0.2">
      <c r="A341" s="14">
        <v>506</v>
      </c>
      <c r="B341" s="14" t="s">
        <v>801</v>
      </c>
      <c r="C341" s="14" t="s">
        <v>848</v>
      </c>
      <c r="D341" s="14" t="s">
        <v>552</v>
      </c>
      <c r="F341" s="50">
        <v>0</v>
      </c>
      <c r="G341" s="50"/>
      <c r="H341" s="50">
        <f t="shared" si="186"/>
        <v>0</v>
      </c>
      <c r="I341" s="50">
        <f t="shared" si="187"/>
        <v>0</v>
      </c>
      <c r="J341" s="50"/>
      <c r="K341" s="50">
        <f t="shared" si="188"/>
        <v>0</v>
      </c>
      <c r="L341" s="50"/>
      <c r="M341" s="50">
        <f t="shared" si="189"/>
        <v>0</v>
      </c>
      <c r="N341" s="50"/>
      <c r="O341" s="50">
        <f t="shared" si="190"/>
        <v>0</v>
      </c>
      <c r="P341" s="50">
        <f t="shared" si="191"/>
        <v>0</v>
      </c>
      <c r="Q341" s="50"/>
      <c r="R341" s="50">
        <f t="shared" si="192"/>
        <v>0</v>
      </c>
      <c r="S341" s="50">
        <f t="shared" si="193"/>
        <v>0</v>
      </c>
      <c r="T341" s="50"/>
      <c r="U341" s="50">
        <f t="shared" si="194"/>
        <v>0</v>
      </c>
      <c r="V341" s="50"/>
      <c r="W341" s="50">
        <f t="shared" si="195"/>
        <v>0</v>
      </c>
      <c r="X341" s="50"/>
      <c r="Y341" s="50">
        <f t="shared" si="196"/>
        <v>0</v>
      </c>
      <c r="Z341" s="50"/>
      <c r="AA341" s="50">
        <f t="shared" si="197"/>
        <v>0</v>
      </c>
      <c r="AB341" s="50">
        <f t="shared" si="198"/>
        <v>0</v>
      </c>
      <c r="AC341" s="30" t="str">
        <f t="shared" si="199"/>
        <v>ok</v>
      </c>
    </row>
    <row r="342" spans="1:29" x14ac:dyDescent="0.2">
      <c r="A342" s="14">
        <v>507</v>
      </c>
      <c r="B342" s="14" t="s">
        <v>115</v>
      </c>
      <c r="C342" s="14" t="s">
        <v>849</v>
      </c>
      <c r="D342" s="14" t="s">
        <v>552</v>
      </c>
      <c r="F342" s="50">
        <v>0</v>
      </c>
      <c r="G342" s="50"/>
      <c r="H342" s="50">
        <f t="shared" si="186"/>
        <v>0</v>
      </c>
      <c r="I342" s="50">
        <f t="shared" si="187"/>
        <v>0</v>
      </c>
      <c r="J342" s="50"/>
      <c r="K342" s="50">
        <f t="shared" si="188"/>
        <v>0</v>
      </c>
      <c r="L342" s="50"/>
      <c r="M342" s="50">
        <f t="shared" si="189"/>
        <v>0</v>
      </c>
      <c r="N342" s="50"/>
      <c r="O342" s="50">
        <f t="shared" si="190"/>
        <v>0</v>
      </c>
      <c r="P342" s="50">
        <f t="shared" si="191"/>
        <v>0</v>
      </c>
      <c r="Q342" s="50"/>
      <c r="R342" s="50">
        <f t="shared" si="192"/>
        <v>0</v>
      </c>
      <c r="S342" s="50">
        <f t="shared" si="193"/>
        <v>0</v>
      </c>
      <c r="T342" s="50"/>
      <c r="U342" s="50">
        <f t="shared" si="194"/>
        <v>0</v>
      </c>
      <c r="V342" s="50"/>
      <c r="W342" s="50">
        <f t="shared" si="195"/>
        <v>0</v>
      </c>
      <c r="X342" s="50"/>
      <c r="Y342" s="50">
        <f t="shared" si="196"/>
        <v>0</v>
      </c>
      <c r="Z342" s="50"/>
      <c r="AA342" s="50">
        <f t="shared" si="197"/>
        <v>0</v>
      </c>
      <c r="AB342" s="50">
        <f t="shared" si="198"/>
        <v>0</v>
      </c>
      <c r="AC342" s="30" t="str">
        <f t="shared" si="199"/>
        <v>ok</v>
      </c>
    </row>
    <row r="343" spans="1:29" x14ac:dyDescent="0.2">
      <c r="A343" s="14">
        <v>509</v>
      </c>
      <c r="B343" s="14" t="s">
        <v>802</v>
      </c>
      <c r="C343" s="14" t="s">
        <v>850</v>
      </c>
      <c r="D343" s="14" t="s">
        <v>788</v>
      </c>
      <c r="F343" s="50">
        <v>0</v>
      </c>
      <c r="G343" s="50"/>
      <c r="H343" s="50">
        <f t="shared" si="186"/>
        <v>0</v>
      </c>
      <c r="I343" s="50">
        <f t="shared" si="187"/>
        <v>0</v>
      </c>
      <c r="J343" s="50"/>
      <c r="K343" s="50">
        <f t="shared" si="188"/>
        <v>0</v>
      </c>
      <c r="L343" s="50"/>
      <c r="M343" s="50">
        <f t="shared" si="189"/>
        <v>0</v>
      </c>
      <c r="N343" s="50"/>
      <c r="O343" s="50">
        <f t="shared" si="190"/>
        <v>0</v>
      </c>
      <c r="P343" s="50">
        <f t="shared" si="191"/>
        <v>0</v>
      </c>
      <c r="Q343" s="50"/>
      <c r="R343" s="50">
        <f t="shared" si="192"/>
        <v>0</v>
      </c>
      <c r="S343" s="50">
        <f t="shared" si="193"/>
        <v>0</v>
      </c>
      <c r="T343" s="50"/>
      <c r="U343" s="50">
        <f t="shared" si="194"/>
        <v>0</v>
      </c>
      <c r="V343" s="50"/>
      <c r="W343" s="50">
        <f t="shared" si="195"/>
        <v>0</v>
      </c>
      <c r="X343" s="50"/>
      <c r="Y343" s="50">
        <f t="shared" si="196"/>
        <v>0</v>
      </c>
      <c r="Z343" s="50"/>
      <c r="AA343" s="50">
        <f t="shared" si="197"/>
        <v>0</v>
      </c>
      <c r="AB343" s="50">
        <f t="shared" si="198"/>
        <v>0</v>
      </c>
      <c r="AC343" s="30" t="str">
        <f t="shared" si="199"/>
        <v>ok</v>
      </c>
    </row>
    <row r="344" spans="1:29" x14ac:dyDescent="0.2"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C344" s="30"/>
    </row>
    <row r="345" spans="1:29" x14ac:dyDescent="0.2">
      <c r="A345" s="14" t="s">
        <v>794</v>
      </c>
      <c r="C345" s="14" t="s">
        <v>851</v>
      </c>
      <c r="F345" s="66">
        <f>SUM(F335:F344)</f>
        <v>0</v>
      </c>
      <c r="G345" s="66"/>
      <c r="H345" s="66">
        <f>SUM(H335:H344)</f>
        <v>0</v>
      </c>
      <c r="I345" s="66">
        <f>SUM(I335:I344)</f>
        <v>0</v>
      </c>
      <c r="J345" s="66"/>
      <c r="K345" s="66">
        <f>SUM(K335:K344)</f>
        <v>0</v>
      </c>
      <c r="L345" s="66"/>
      <c r="M345" s="66">
        <f>SUM(M335:M344)</f>
        <v>0</v>
      </c>
      <c r="N345" s="66"/>
      <c r="O345" s="66">
        <f>SUM(O335:O344)</f>
        <v>0</v>
      </c>
      <c r="P345" s="66">
        <f>SUM(P335:P344)</f>
        <v>0</v>
      </c>
      <c r="Q345" s="66"/>
      <c r="R345" s="66">
        <f>SUM(R335:R344)</f>
        <v>0</v>
      </c>
      <c r="S345" s="66">
        <f>SUM(S335:S344)</f>
        <v>0</v>
      </c>
      <c r="T345" s="66"/>
      <c r="U345" s="66">
        <f>SUM(U335:U344)</f>
        <v>0</v>
      </c>
      <c r="V345" s="66"/>
      <c r="W345" s="66">
        <f>SUM(W335:W344)</f>
        <v>0</v>
      </c>
      <c r="X345" s="66"/>
      <c r="Y345" s="66">
        <f>SUM(Y335:Y344)</f>
        <v>0</v>
      </c>
      <c r="Z345" s="66"/>
      <c r="AA345" s="66">
        <f>SUM(AA335:AA344)</f>
        <v>0</v>
      </c>
      <c r="AB345" s="50">
        <f>SUM(H345:AA345)</f>
        <v>0</v>
      </c>
      <c r="AC345" s="30" t="str">
        <f>IF(ABS(AB345-F345)&lt;1,"ok","err")</f>
        <v>ok</v>
      </c>
    </row>
    <row r="346" spans="1:29" x14ac:dyDescent="0.2">
      <c r="A346" s="13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C346" s="30"/>
    </row>
    <row r="347" spans="1:29" x14ac:dyDescent="0.2">
      <c r="A347" s="13" t="s">
        <v>791</v>
      </c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C347" s="30"/>
    </row>
    <row r="348" spans="1:29" x14ac:dyDescent="0.2">
      <c r="A348" s="14">
        <v>510</v>
      </c>
      <c r="B348" s="14" t="s">
        <v>803</v>
      </c>
      <c r="C348" s="14" t="s">
        <v>852</v>
      </c>
      <c r="D348" s="14" t="s">
        <v>788</v>
      </c>
      <c r="F348" s="66">
        <v>0</v>
      </c>
      <c r="G348" s="66"/>
      <c r="H348" s="50">
        <f>IF(VLOOKUP($D348,$C$5:$AA$494,6,)=0,0,((VLOOKUP($D348,$C$5:$AA$494,6,)/VLOOKUP($D348,$C$5:$AA$494,4,))*$F348))</f>
        <v>0</v>
      </c>
      <c r="I348" s="50">
        <f>IF(VLOOKUP($D348,$C$5:$AA$494,7,)=0,0,((VLOOKUP($D348,$C$5:$AA$494,7,)/VLOOKUP($D348,$C$5:$AA$494,4,))*$F348))</f>
        <v>0</v>
      </c>
      <c r="J348" s="50"/>
      <c r="K348" s="50">
        <f>IF(VLOOKUP($D348,$C$5:$AA$494,9,)=0,0,((VLOOKUP($D348,$C$5:$AA$494,9,)/VLOOKUP($D348,$C$5:$AA$494,4,))*$F348))</f>
        <v>0</v>
      </c>
      <c r="L348" s="50"/>
      <c r="M348" s="50">
        <f>IF(VLOOKUP($D348,$C$5:$AA$494,11,)=0,0,((VLOOKUP($D348,$C$5:$AA$494,11,)/VLOOKUP($D348,$C$5:$AA$494,4,))*$F348))</f>
        <v>0</v>
      </c>
      <c r="N348" s="50"/>
      <c r="O348" s="50">
        <f>IF(VLOOKUP($D348,$C$5:$AA$494,13,)=0,0,((VLOOKUP($D348,$C$5:$AA$494,13,)/VLOOKUP($D348,$C$5:$AA$494,4,))*$F348))</f>
        <v>0</v>
      </c>
      <c r="P348" s="50">
        <f>IF(VLOOKUP($D348,$C$5:$AA$494,14,)=0,0,((VLOOKUP($D348,$C$5:$AA$494,14,)/VLOOKUP($D348,$C$5:$AA$494,4,))*$F348))</f>
        <v>0</v>
      </c>
      <c r="Q348" s="50"/>
      <c r="R348" s="50">
        <f>IF(VLOOKUP($D348,$C$5:$AA$494,16,)=0,0,((VLOOKUP($D348,$C$5:$AA$494,16,)/VLOOKUP($D348,$C$5:$AA$494,4,))*$F348))</f>
        <v>0</v>
      </c>
      <c r="S348" s="50">
        <f>IF(VLOOKUP($D348,$C$5:$AA$494,17,)=0,0,((VLOOKUP($D348,$C$5:$AA$494,17,)/VLOOKUP($D348,$C$5:$AA$494,4,))*$F348))</f>
        <v>0</v>
      </c>
      <c r="T348" s="50"/>
      <c r="U348" s="50">
        <f>IF(VLOOKUP($D348,$C$5:$AA$494,19,)=0,0,((VLOOKUP($D348,$C$5:$AA$494,19,)/VLOOKUP($D348,$C$5:$AA$494,4,))*$F348))</f>
        <v>0</v>
      </c>
      <c r="V348" s="50"/>
      <c r="W348" s="50">
        <f>IF(VLOOKUP($D348,$C$5:$AA$494,21,)=0,0,((VLOOKUP($D348,$C$5:$AA$494,21,)/VLOOKUP($D348,$C$5:$AA$494,4,))*$F348))</f>
        <v>0</v>
      </c>
      <c r="X348" s="50"/>
      <c r="Y348" s="50">
        <f>IF(VLOOKUP($D348,$C$5:$AA$494,23,)=0,0,((VLOOKUP($D348,$C$5:$AA$494,23,)/VLOOKUP($D348,$C$5:$AA$494,4,))*$F348))</f>
        <v>0</v>
      </c>
      <c r="Z348" s="50"/>
      <c r="AA348" s="50">
        <f>IF(VLOOKUP($D348,$C$5:$AA$494,25,)=0,0,((VLOOKUP($D348,$C$5:$AA$494,25,)/VLOOKUP($D348,$C$5:$AA$494,4,))*$F348))</f>
        <v>0</v>
      </c>
      <c r="AB348" s="50">
        <f>SUM(H348:AA348)</f>
        <v>0</v>
      </c>
      <c r="AC348" s="30" t="str">
        <f>IF(ABS(AB348-F348)&lt;1,"ok","err")</f>
        <v>ok</v>
      </c>
    </row>
    <row r="349" spans="1:29" x14ac:dyDescent="0.2">
      <c r="A349" s="14">
        <v>511</v>
      </c>
      <c r="B349" s="14" t="s">
        <v>804</v>
      </c>
      <c r="C349" s="14" t="s">
        <v>853</v>
      </c>
      <c r="D349" s="14" t="s">
        <v>552</v>
      </c>
      <c r="F349" s="50">
        <v>0</v>
      </c>
      <c r="G349" s="50"/>
      <c r="H349" s="50">
        <f>IF(VLOOKUP($D349,$C$5:$AA$494,6,)=0,0,((VLOOKUP($D349,$C$5:$AA$494,6,)/VLOOKUP($D349,$C$5:$AA$494,4,))*$F349))</f>
        <v>0</v>
      </c>
      <c r="I349" s="50">
        <f>IF(VLOOKUP($D349,$C$5:$AA$494,7,)=0,0,((VLOOKUP($D349,$C$5:$AA$494,7,)/VLOOKUP($D349,$C$5:$AA$494,4,))*$F349))</f>
        <v>0</v>
      </c>
      <c r="J349" s="50"/>
      <c r="K349" s="50">
        <f>IF(VLOOKUP($D349,$C$5:$AA$494,9,)=0,0,((VLOOKUP($D349,$C$5:$AA$494,9,)/VLOOKUP($D349,$C$5:$AA$494,4,))*$F349))</f>
        <v>0</v>
      </c>
      <c r="L349" s="50"/>
      <c r="M349" s="50">
        <f>IF(VLOOKUP($D349,$C$5:$AA$494,11,)=0,0,((VLOOKUP($D349,$C$5:$AA$494,11,)/VLOOKUP($D349,$C$5:$AA$494,4,))*$F349))</f>
        <v>0</v>
      </c>
      <c r="N349" s="50"/>
      <c r="O349" s="50">
        <f>IF(VLOOKUP($D349,$C$5:$AA$494,13,)=0,0,((VLOOKUP($D349,$C$5:$AA$494,13,)/VLOOKUP($D349,$C$5:$AA$494,4,))*$F349))</f>
        <v>0</v>
      </c>
      <c r="P349" s="50">
        <f>IF(VLOOKUP($D349,$C$5:$AA$494,14,)=0,0,((VLOOKUP($D349,$C$5:$AA$494,14,)/VLOOKUP($D349,$C$5:$AA$494,4,))*$F349))</f>
        <v>0</v>
      </c>
      <c r="Q349" s="50"/>
      <c r="R349" s="50">
        <f>IF(VLOOKUP($D349,$C$5:$AA$494,16,)=0,0,((VLOOKUP($D349,$C$5:$AA$494,16,)/VLOOKUP($D349,$C$5:$AA$494,4,))*$F349))</f>
        <v>0</v>
      </c>
      <c r="S349" s="50">
        <f>IF(VLOOKUP($D349,$C$5:$AA$494,17,)=0,0,((VLOOKUP($D349,$C$5:$AA$494,17,)/VLOOKUP($D349,$C$5:$AA$494,4,))*$F349))</f>
        <v>0</v>
      </c>
      <c r="T349" s="50"/>
      <c r="U349" s="50">
        <f>IF(VLOOKUP($D349,$C$5:$AA$494,19,)=0,0,((VLOOKUP($D349,$C$5:$AA$494,19,)/VLOOKUP($D349,$C$5:$AA$494,4,))*$F349))</f>
        <v>0</v>
      </c>
      <c r="V349" s="50"/>
      <c r="W349" s="50">
        <f>IF(VLOOKUP($D349,$C$5:$AA$494,21,)=0,0,((VLOOKUP($D349,$C$5:$AA$494,21,)/VLOOKUP($D349,$C$5:$AA$494,4,))*$F349))</f>
        <v>0</v>
      </c>
      <c r="X349" s="50"/>
      <c r="Y349" s="50">
        <f>IF(VLOOKUP($D349,$C$5:$AA$494,23,)=0,0,((VLOOKUP($D349,$C$5:$AA$494,23,)/VLOOKUP($D349,$C$5:$AA$494,4,))*$F349))</f>
        <v>0</v>
      </c>
      <c r="Z349" s="50"/>
      <c r="AA349" s="50">
        <f>IF(VLOOKUP($D349,$C$5:$AA$494,25,)=0,0,((VLOOKUP($D349,$C$5:$AA$494,25,)/VLOOKUP($D349,$C$5:$AA$494,4,))*$F349))</f>
        <v>0</v>
      </c>
      <c r="AB349" s="50">
        <f>SUM(H349:AA349)</f>
        <v>0</v>
      </c>
      <c r="AC349" s="30" t="str">
        <f>IF(ABS(AB349-F349)&lt;1,"ok","err")</f>
        <v>ok</v>
      </c>
    </row>
    <row r="350" spans="1:29" x14ac:dyDescent="0.2">
      <c r="A350" s="14">
        <v>512</v>
      </c>
      <c r="B350" s="14" t="s">
        <v>805</v>
      </c>
      <c r="C350" s="14" t="s">
        <v>854</v>
      </c>
      <c r="D350" s="14" t="s">
        <v>788</v>
      </c>
      <c r="F350" s="50">
        <v>0</v>
      </c>
      <c r="G350" s="50"/>
      <c r="H350" s="50">
        <f>IF(VLOOKUP($D350,$C$5:$AA$494,6,)=0,0,((VLOOKUP($D350,$C$5:$AA$494,6,)/VLOOKUP($D350,$C$5:$AA$494,4,))*$F350))</f>
        <v>0</v>
      </c>
      <c r="I350" s="50">
        <f>IF(VLOOKUP($D350,$C$5:$AA$494,7,)=0,0,((VLOOKUP($D350,$C$5:$AA$494,7,)/VLOOKUP($D350,$C$5:$AA$494,4,))*$F350))</f>
        <v>0</v>
      </c>
      <c r="J350" s="50"/>
      <c r="K350" s="50">
        <f>IF(VLOOKUP($D350,$C$5:$AA$494,9,)=0,0,((VLOOKUP($D350,$C$5:$AA$494,9,)/VLOOKUP($D350,$C$5:$AA$494,4,))*$F350))</f>
        <v>0</v>
      </c>
      <c r="L350" s="50"/>
      <c r="M350" s="50">
        <f>IF(VLOOKUP($D350,$C$5:$AA$494,11,)=0,0,((VLOOKUP($D350,$C$5:$AA$494,11,)/VLOOKUP($D350,$C$5:$AA$494,4,))*$F350))</f>
        <v>0</v>
      </c>
      <c r="N350" s="50"/>
      <c r="O350" s="50">
        <f>IF(VLOOKUP($D350,$C$5:$AA$494,13,)=0,0,((VLOOKUP($D350,$C$5:$AA$494,13,)/VLOOKUP($D350,$C$5:$AA$494,4,))*$F350))</f>
        <v>0</v>
      </c>
      <c r="P350" s="50">
        <f>IF(VLOOKUP($D350,$C$5:$AA$494,14,)=0,0,((VLOOKUP($D350,$C$5:$AA$494,14,)/VLOOKUP($D350,$C$5:$AA$494,4,))*$F350))</f>
        <v>0</v>
      </c>
      <c r="Q350" s="50"/>
      <c r="R350" s="50">
        <f>IF(VLOOKUP($D350,$C$5:$AA$494,16,)=0,0,((VLOOKUP($D350,$C$5:$AA$494,16,)/VLOOKUP($D350,$C$5:$AA$494,4,))*$F350))</f>
        <v>0</v>
      </c>
      <c r="S350" s="50">
        <f>IF(VLOOKUP($D350,$C$5:$AA$494,17,)=0,0,((VLOOKUP($D350,$C$5:$AA$494,17,)/VLOOKUP($D350,$C$5:$AA$494,4,))*$F350))</f>
        <v>0</v>
      </c>
      <c r="T350" s="50"/>
      <c r="U350" s="50">
        <f>IF(VLOOKUP($D350,$C$5:$AA$494,19,)=0,0,((VLOOKUP($D350,$C$5:$AA$494,19,)/VLOOKUP($D350,$C$5:$AA$494,4,))*$F350))</f>
        <v>0</v>
      </c>
      <c r="V350" s="50"/>
      <c r="W350" s="50">
        <f>IF(VLOOKUP($D350,$C$5:$AA$494,21,)=0,0,((VLOOKUP($D350,$C$5:$AA$494,21,)/VLOOKUP($D350,$C$5:$AA$494,4,))*$F350))</f>
        <v>0</v>
      </c>
      <c r="X350" s="50"/>
      <c r="Y350" s="50">
        <f>IF(VLOOKUP($D350,$C$5:$AA$494,23,)=0,0,((VLOOKUP($D350,$C$5:$AA$494,23,)/VLOOKUP($D350,$C$5:$AA$494,4,))*$F350))</f>
        <v>0</v>
      </c>
      <c r="Z350" s="50"/>
      <c r="AA350" s="50">
        <f>IF(VLOOKUP($D350,$C$5:$AA$494,25,)=0,0,((VLOOKUP($D350,$C$5:$AA$494,25,)/VLOOKUP($D350,$C$5:$AA$494,4,))*$F350))</f>
        <v>0</v>
      </c>
      <c r="AB350" s="50">
        <f>SUM(H350:AA350)</f>
        <v>0</v>
      </c>
      <c r="AC350" s="30" t="str">
        <f>IF(ABS(AB350-F350)&lt;1,"ok","err")</f>
        <v>ok</v>
      </c>
    </row>
    <row r="351" spans="1:29" x14ac:dyDescent="0.2">
      <c r="A351" s="14">
        <v>513</v>
      </c>
      <c r="B351" s="14" t="s">
        <v>806</v>
      </c>
      <c r="C351" s="14" t="s">
        <v>855</v>
      </c>
      <c r="D351" s="14" t="s">
        <v>788</v>
      </c>
      <c r="F351" s="50">
        <v>0</v>
      </c>
      <c r="G351" s="50"/>
      <c r="H351" s="50">
        <f>IF(VLOOKUP($D351,$C$5:$AA$494,6,)=0,0,((VLOOKUP($D351,$C$5:$AA$494,6,)/VLOOKUP($D351,$C$5:$AA$494,4,))*$F351))</f>
        <v>0</v>
      </c>
      <c r="I351" s="50">
        <f>IF(VLOOKUP($D351,$C$5:$AA$494,7,)=0,0,((VLOOKUP($D351,$C$5:$AA$494,7,)/VLOOKUP($D351,$C$5:$AA$494,4,))*$F351))</f>
        <v>0</v>
      </c>
      <c r="J351" s="50"/>
      <c r="K351" s="50">
        <f>IF(VLOOKUP($D351,$C$5:$AA$494,9,)=0,0,((VLOOKUP($D351,$C$5:$AA$494,9,)/VLOOKUP($D351,$C$5:$AA$494,4,))*$F351))</f>
        <v>0</v>
      </c>
      <c r="L351" s="50"/>
      <c r="M351" s="50">
        <f>IF(VLOOKUP($D351,$C$5:$AA$494,11,)=0,0,((VLOOKUP($D351,$C$5:$AA$494,11,)/VLOOKUP($D351,$C$5:$AA$494,4,))*$F351))</f>
        <v>0</v>
      </c>
      <c r="N351" s="50"/>
      <c r="O351" s="50">
        <f>IF(VLOOKUP($D351,$C$5:$AA$494,13,)=0,0,((VLOOKUP($D351,$C$5:$AA$494,13,)/VLOOKUP($D351,$C$5:$AA$494,4,))*$F351))</f>
        <v>0</v>
      </c>
      <c r="P351" s="50">
        <f>IF(VLOOKUP($D351,$C$5:$AA$494,14,)=0,0,((VLOOKUP($D351,$C$5:$AA$494,14,)/VLOOKUP($D351,$C$5:$AA$494,4,))*$F351))</f>
        <v>0</v>
      </c>
      <c r="Q351" s="50"/>
      <c r="R351" s="50">
        <f>IF(VLOOKUP($D351,$C$5:$AA$494,16,)=0,0,((VLOOKUP($D351,$C$5:$AA$494,16,)/VLOOKUP($D351,$C$5:$AA$494,4,))*$F351))</f>
        <v>0</v>
      </c>
      <c r="S351" s="50">
        <f>IF(VLOOKUP($D351,$C$5:$AA$494,17,)=0,0,((VLOOKUP($D351,$C$5:$AA$494,17,)/VLOOKUP($D351,$C$5:$AA$494,4,))*$F351))</f>
        <v>0</v>
      </c>
      <c r="T351" s="50"/>
      <c r="U351" s="50">
        <f>IF(VLOOKUP($D351,$C$5:$AA$494,19,)=0,0,((VLOOKUP($D351,$C$5:$AA$494,19,)/VLOOKUP($D351,$C$5:$AA$494,4,))*$F351))</f>
        <v>0</v>
      </c>
      <c r="V351" s="50"/>
      <c r="W351" s="50">
        <f>IF(VLOOKUP($D351,$C$5:$AA$494,21,)=0,0,((VLOOKUP($D351,$C$5:$AA$494,21,)/VLOOKUP($D351,$C$5:$AA$494,4,))*$F351))</f>
        <v>0</v>
      </c>
      <c r="X351" s="50"/>
      <c r="Y351" s="50">
        <f>IF(VLOOKUP($D351,$C$5:$AA$494,23,)=0,0,((VLOOKUP($D351,$C$5:$AA$494,23,)/VLOOKUP($D351,$C$5:$AA$494,4,))*$F351))</f>
        <v>0</v>
      </c>
      <c r="Z351" s="50"/>
      <c r="AA351" s="50">
        <f>IF(VLOOKUP($D351,$C$5:$AA$494,25,)=0,0,((VLOOKUP($D351,$C$5:$AA$494,25,)/VLOOKUP($D351,$C$5:$AA$494,4,))*$F351))</f>
        <v>0</v>
      </c>
      <c r="AB351" s="50">
        <f>SUM(H351:AA351)</f>
        <v>0</v>
      </c>
      <c r="AC351" s="30" t="str">
        <f>IF(ABS(AB351-F351)&lt;1,"ok","err")</f>
        <v>ok</v>
      </c>
    </row>
    <row r="352" spans="1:29" x14ac:dyDescent="0.2">
      <c r="A352" s="14">
        <v>514</v>
      </c>
      <c r="B352" s="14" t="s">
        <v>807</v>
      </c>
      <c r="C352" s="14" t="s">
        <v>856</v>
      </c>
      <c r="D352" s="14" t="s">
        <v>552</v>
      </c>
      <c r="F352" s="50">
        <v>0</v>
      </c>
      <c r="G352" s="50"/>
      <c r="H352" s="50">
        <f>IF(VLOOKUP($D352,$C$5:$AA$494,6,)=0,0,((VLOOKUP($D352,$C$5:$AA$494,6,)/VLOOKUP($D352,$C$5:$AA$494,4,))*$F352))</f>
        <v>0</v>
      </c>
      <c r="I352" s="50">
        <f>IF(VLOOKUP($D352,$C$5:$AA$494,7,)=0,0,((VLOOKUP($D352,$C$5:$AA$494,7,)/VLOOKUP($D352,$C$5:$AA$494,4,))*$F352))</f>
        <v>0</v>
      </c>
      <c r="J352" s="50"/>
      <c r="K352" s="50">
        <f>IF(VLOOKUP($D352,$C$5:$AA$494,9,)=0,0,((VLOOKUP($D352,$C$5:$AA$494,9,)/VLOOKUP($D352,$C$5:$AA$494,4,))*$F352))</f>
        <v>0</v>
      </c>
      <c r="L352" s="50"/>
      <c r="M352" s="50">
        <f>IF(VLOOKUP($D352,$C$5:$AA$494,11,)=0,0,((VLOOKUP($D352,$C$5:$AA$494,11,)/VLOOKUP($D352,$C$5:$AA$494,4,))*$F352))</f>
        <v>0</v>
      </c>
      <c r="N352" s="50"/>
      <c r="O352" s="50">
        <f>IF(VLOOKUP($D352,$C$5:$AA$494,13,)=0,0,((VLOOKUP($D352,$C$5:$AA$494,13,)/VLOOKUP($D352,$C$5:$AA$494,4,))*$F352))</f>
        <v>0</v>
      </c>
      <c r="P352" s="50">
        <f>IF(VLOOKUP($D352,$C$5:$AA$494,14,)=0,0,((VLOOKUP($D352,$C$5:$AA$494,14,)/VLOOKUP($D352,$C$5:$AA$494,4,))*$F352))</f>
        <v>0</v>
      </c>
      <c r="Q352" s="50"/>
      <c r="R352" s="50">
        <f>IF(VLOOKUP($D352,$C$5:$AA$494,16,)=0,0,((VLOOKUP($D352,$C$5:$AA$494,16,)/VLOOKUP($D352,$C$5:$AA$494,4,))*$F352))</f>
        <v>0</v>
      </c>
      <c r="S352" s="50">
        <f>IF(VLOOKUP($D352,$C$5:$AA$494,17,)=0,0,((VLOOKUP($D352,$C$5:$AA$494,17,)/VLOOKUP($D352,$C$5:$AA$494,4,))*$F352))</f>
        <v>0</v>
      </c>
      <c r="T352" s="50"/>
      <c r="U352" s="50">
        <f>IF(VLOOKUP($D352,$C$5:$AA$494,19,)=0,0,((VLOOKUP($D352,$C$5:$AA$494,19,)/VLOOKUP($D352,$C$5:$AA$494,4,))*$F352))</f>
        <v>0</v>
      </c>
      <c r="V352" s="50"/>
      <c r="W352" s="50">
        <f>IF(VLOOKUP($D352,$C$5:$AA$494,21,)=0,0,((VLOOKUP($D352,$C$5:$AA$494,21,)/VLOOKUP($D352,$C$5:$AA$494,4,))*$F352))</f>
        <v>0</v>
      </c>
      <c r="X352" s="50"/>
      <c r="Y352" s="50">
        <f>IF(VLOOKUP($D352,$C$5:$AA$494,23,)=0,0,((VLOOKUP($D352,$C$5:$AA$494,23,)/VLOOKUP($D352,$C$5:$AA$494,4,))*$F352))</f>
        <v>0</v>
      </c>
      <c r="Z352" s="50"/>
      <c r="AA352" s="50">
        <f>IF(VLOOKUP($D352,$C$5:$AA$494,25,)=0,0,((VLOOKUP($D352,$C$5:$AA$494,25,)/VLOOKUP($D352,$C$5:$AA$494,4,))*$F352))</f>
        <v>0</v>
      </c>
      <c r="AB352" s="50">
        <f>SUM(H352:AA352)</f>
        <v>0</v>
      </c>
      <c r="AC352" s="30" t="str">
        <f>IF(ABS(AB352-F352)&lt;1,"ok","err")</f>
        <v>ok</v>
      </c>
    </row>
    <row r="353" spans="1:29" x14ac:dyDescent="0.2"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30"/>
    </row>
    <row r="354" spans="1:29" x14ac:dyDescent="0.2">
      <c r="A354" s="14" t="s">
        <v>792</v>
      </c>
      <c r="C354" s="14" t="s">
        <v>857</v>
      </c>
      <c r="F354" s="66">
        <f>SUM(F348:F353)</f>
        <v>0</v>
      </c>
      <c r="G354" s="66"/>
      <c r="H354" s="66">
        <f>SUM(H348:H353)</f>
        <v>0</v>
      </c>
      <c r="I354" s="66">
        <f>SUM(I348:I353)</f>
        <v>0</v>
      </c>
      <c r="J354" s="66"/>
      <c r="K354" s="66">
        <f>SUM(K348:K353)</f>
        <v>0</v>
      </c>
      <c r="L354" s="66"/>
      <c r="M354" s="66">
        <f>SUM(M348:M353)</f>
        <v>0</v>
      </c>
      <c r="N354" s="66"/>
      <c r="O354" s="66">
        <f>SUM(O348:O353)</f>
        <v>0</v>
      </c>
      <c r="P354" s="66">
        <f>SUM(P348:P353)</f>
        <v>0</v>
      </c>
      <c r="Q354" s="66"/>
      <c r="R354" s="66">
        <f>SUM(R348:R353)</f>
        <v>0</v>
      </c>
      <c r="S354" s="66">
        <f>SUM(S348:S353)</f>
        <v>0</v>
      </c>
      <c r="T354" s="66"/>
      <c r="U354" s="66">
        <f>SUM(U348:U353)</f>
        <v>0</v>
      </c>
      <c r="V354" s="66"/>
      <c r="W354" s="66">
        <f>SUM(W348:W353)</f>
        <v>0</v>
      </c>
      <c r="X354" s="66"/>
      <c r="Y354" s="66">
        <f>SUM(Y348:Y353)</f>
        <v>0</v>
      </c>
      <c r="Z354" s="66"/>
      <c r="AA354" s="66">
        <f>SUM(AA348:AA353)</f>
        <v>0</v>
      </c>
      <c r="AB354" s="50">
        <f>SUM(H354:AA354)</f>
        <v>0</v>
      </c>
      <c r="AC354" s="30" t="str">
        <f>IF(ABS(AB354-F354)&lt;1,"ok","err")</f>
        <v>ok</v>
      </c>
    </row>
    <row r="355" spans="1:29" x14ac:dyDescent="0.2"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C355" s="30"/>
    </row>
    <row r="356" spans="1:29" x14ac:dyDescent="0.2">
      <c r="A356" s="14" t="s">
        <v>793</v>
      </c>
      <c r="C356" s="14" t="s">
        <v>858</v>
      </c>
      <c r="F356" s="50">
        <f>F345+F354</f>
        <v>0</v>
      </c>
      <c r="G356" s="50"/>
      <c r="H356" s="50">
        <f>H345+H354</f>
        <v>0</v>
      </c>
      <c r="I356" s="50">
        <f>I345+I354</f>
        <v>0</v>
      </c>
      <c r="J356" s="50"/>
      <c r="K356" s="50">
        <f>K345+K354</f>
        <v>0</v>
      </c>
      <c r="L356" s="50"/>
      <c r="M356" s="50">
        <f>M345+M354</f>
        <v>0</v>
      </c>
      <c r="N356" s="50"/>
      <c r="O356" s="50">
        <f>O345+O354</f>
        <v>0</v>
      </c>
      <c r="P356" s="50">
        <f>P345+P354</f>
        <v>0</v>
      </c>
      <c r="Q356" s="50"/>
      <c r="R356" s="50">
        <f>R345+R354</f>
        <v>0</v>
      </c>
      <c r="S356" s="50">
        <f>S345+S354</f>
        <v>0</v>
      </c>
      <c r="T356" s="50"/>
      <c r="U356" s="50">
        <f>U345+U354</f>
        <v>0</v>
      </c>
      <c r="V356" s="50"/>
      <c r="W356" s="50">
        <f>W345+W354</f>
        <v>0</v>
      </c>
      <c r="X356" s="50"/>
      <c r="Y356" s="50">
        <f>Y345+Y354</f>
        <v>0</v>
      </c>
      <c r="Z356" s="50"/>
      <c r="AA356" s="50">
        <f>AA345+AA354</f>
        <v>0</v>
      </c>
      <c r="AB356" s="50">
        <f>SUM(H356:AA356)</f>
        <v>0</v>
      </c>
      <c r="AC356" s="30" t="str">
        <f>IF(ABS(AB356-F356)&lt;1,"ok","err")</f>
        <v>ok</v>
      </c>
    </row>
    <row r="357" spans="1:29" x14ac:dyDescent="0.2">
      <c r="A357" s="28"/>
      <c r="Q357" s="14"/>
      <c r="AC357" s="30"/>
    </row>
    <row r="358" spans="1:29" x14ac:dyDescent="0.2">
      <c r="A358" s="28"/>
      <c r="Q358" s="14"/>
      <c r="AC358" s="30"/>
    </row>
    <row r="359" spans="1:29" x14ac:dyDescent="0.2">
      <c r="A359" s="28" t="s">
        <v>473</v>
      </c>
      <c r="Q359" s="14"/>
      <c r="AC359" s="30"/>
    </row>
    <row r="360" spans="1:29" x14ac:dyDescent="0.2">
      <c r="A360" s="28"/>
      <c r="Q360" s="14"/>
      <c r="AC360" s="30"/>
    </row>
    <row r="361" spans="1:29" x14ac:dyDescent="0.2">
      <c r="A361" s="13" t="s">
        <v>96</v>
      </c>
      <c r="Q361" s="14"/>
      <c r="AC361" s="30"/>
    </row>
    <row r="362" spans="1:29" x14ac:dyDescent="0.2">
      <c r="A362" s="14">
        <v>555</v>
      </c>
      <c r="B362" s="14" t="s">
        <v>379</v>
      </c>
      <c r="C362" s="14" t="s">
        <v>530</v>
      </c>
      <c r="D362" s="14" t="s">
        <v>97</v>
      </c>
      <c r="F362" s="66">
        <v>0</v>
      </c>
      <c r="G362" s="66"/>
      <c r="H362" s="50">
        <f>IF(VLOOKUP($D362,$C$5:$AA$494,6,)=0,0,((VLOOKUP($D362,$C$5:$AA$494,6,)/VLOOKUP($D362,$C$5:$AA$494,4,))*$F362))</f>
        <v>0</v>
      </c>
      <c r="I362" s="50">
        <f>IF(VLOOKUP($D362,$C$5:$AA$494,7,)=0,0,((VLOOKUP($D362,$C$5:$AA$494,7,)/VLOOKUP($D362,$C$5:$AA$494,4,))*$F362))</f>
        <v>0</v>
      </c>
      <c r="J362" s="50"/>
      <c r="K362" s="50">
        <f>IF(VLOOKUP($D362,$C$5:$AA$494,9,)=0,0,((VLOOKUP($D362,$C$5:$AA$494,9,)/VLOOKUP($D362,$C$5:$AA$494,4,))*$F362))</f>
        <v>0</v>
      </c>
      <c r="L362" s="50"/>
      <c r="M362" s="50">
        <f>IF(VLOOKUP($D362,$C$5:$AA$494,11,)=0,0,((VLOOKUP($D362,$C$5:$AA$494,11,)/VLOOKUP($D362,$C$5:$AA$494,4,))*$F362))</f>
        <v>0</v>
      </c>
      <c r="N362" s="50"/>
      <c r="O362" s="50">
        <f>IF(VLOOKUP($D362,$C$5:$AA$494,13,)=0,0,((VLOOKUP($D362,$C$5:$AA$494,13,)/VLOOKUP($D362,$C$5:$AA$494,4,))*$F362))</f>
        <v>0</v>
      </c>
      <c r="P362" s="50">
        <f>IF(VLOOKUP($D362,$C$5:$AA$494,14,)=0,0,((VLOOKUP($D362,$C$5:$AA$494,14,)/VLOOKUP($D362,$C$5:$AA$494,4,))*$F362))</f>
        <v>0</v>
      </c>
      <c r="Q362" s="50"/>
      <c r="R362" s="50">
        <f>IF(VLOOKUP($D362,$C$5:$AA$494,16,)=0,0,((VLOOKUP($D362,$C$5:$AA$494,16,)/VLOOKUP($D362,$C$5:$AA$494,4,))*$F362))</f>
        <v>0</v>
      </c>
      <c r="S362" s="50">
        <f>IF(VLOOKUP($D362,$C$5:$AA$494,17,)=0,0,((VLOOKUP($D362,$C$5:$AA$494,17,)/VLOOKUP($D362,$C$5:$AA$494,4,))*$F362))</f>
        <v>0</v>
      </c>
      <c r="T362" s="50"/>
      <c r="U362" s="50">
        <f>IF(VLOOKUP($D362,$C$5:$AA$494,19,)=0,0,((VLOOKUP($D362,$C$5:$AA$494,19,)/VLOOKUP($D362,$C$5:$AA$494,4,))*$F362))</f>
        <v>0</v>
      </c>
      <c r="V362" s="50"/>
      <c r="W362" s="50">
        <f>IF(VLOOKUP($D362,$C$5:$AA$494,21,)=0,0,((VLOOKUP($D362,$C$5:$AA$494,21,)/VLOOKUP($D362,$C$5:$AA$494,4,))*$F362))</f>
        <v>0</v>
      </c>
      <c r="X362" s="50"/>
      <c r="Y362" s="50">
        <f>IF(VLOOKUP($D362,$C$5:$AA$494,23,)=0,0,((VLOOKUP($D362,$C$5:$AA$494,23,)/VLOOKUP($D362,$C$5:$AA$494,4,))*$F362))</f>
        <v>0</v>
      </c>
      <c r="Z362" s="50"/>
      <c r="AA362" s="50">
        <f>IF(VLOOKUP($D362,$C$5:$AA$494,25,)=0,0,((VLOOKUP($D362,$C$5:$AA$494,25,)/VLOOKUP($D362,$C$5:$AA$494,4,))*$F362))</f>
        <v>0</v>
      </c>
      <c r="AB362" s="50">
        <f>SUM(H362:AA362)</f>
        <v>0</v>
      </c>
      <c r="AC362" s="30" t="str">
        <f>IF(ABS(AB362-F362)&lt;1,"ok","err")</f>
        <v>ok</v>
      </c>
    </row>
    <row r="363" spans="1:29" x14ac:dyDescent="0.2">
      <c r="A363" s="14">
        <v>557</v>
      </c>
      <c r="B363" s="14" t="s">
        <v>398</v>
      </c>
      <c r="C363" s="14" t="s">
        <v>475</v>
      </c>
      <c r="D363" s="14" t="s">
        <v>97</v>
      </c>
      <c r="F363" s="50"/>
      <c r="G363" s="50"/>
      <c r="H363" s="50">
        <f>IF(VLOOKUP($D363,$C$5:$AA$494,6,)=0,0,((VLOOKUP($D363,$C$5:$AA$494,6,)/VLOOKUP($D363,$C$5:$AA$494,4,))*$F363))</f>
        <v>0</v>
      </c>
      <c r="I363" s="50">
        <f>IF(VLOOKUP($D363,$C$5:$AA$494,7,)=0,0,((VLOOKUP($D363,$C$5:$AA$494,7,)/VLOOKUP($D363,$C$5:$AA$494,4,))*$F363))</f>
        <v>0</v>
      </c>
      <c r="J363" s="50"/>
      <c r="K363" s="50">
        <f>IF(VLOOKUP($D363,$C$5:$AA$494,9,)=0,0,((VLOOKUP($D363,$C$5:$AA$494,9,)/VLOOKUP($D363,$C$5:$AA$494,4,))*$F363))</f>
        <v>0</v>
      </c>
      <c r="L363" s="50"/>
      <c r="M363" s="50">
        <f>IF(VLOOKUP($D363,$C$5:$AA$494,11,)=0,0,((VLOOKUP($D363,$C$5:$AA$494,11,)/VLOOKUP($D363,$C$5:$AA$494,4,))*$F363))</f>
        <v>0</v>
      </c>
      <c r="N363" s="50"/>
      <c r="O363" s="50">
        <f>IF(VLOOKUP($D363,$C$5:$AA$494,13,)=0,0,((VLOOKUP($D363,$C$5:$AA$494,13,)/VLOOKUP($D363,$C$5:$AA$494,4,))*$F363))</f>
        <v>0</v>
      </c>
      <c r="P363" s="50">
        <f>IF(VLOOKUP($D363,$C$5:$AA$494,14,)=0,0,((VLOOKUP($D363,$C$5:$AA$494,14,)/VLOOKUP($D363,$C$5:$AA$494,4,))*$F363))</f>
        <v>0</v>
      </c>
      <c r="Q363" s="50"/>
      <c r="R363" s="50">
        <f>IF(VLOOKUP($D363,$C$5:$AA$494,16,)=0,0,((VLOOKUP($D363,$C$5:$AA$494,16,)/VLOOKUP($D363,$C$5:$AA$494,4,))*$F363))</f>
        <v>0</v>
      </c>
      <c r="S363" s="50">
        <f>IF(VLOOKUP($D363,$C$5:$AA$494,17,)=0,0,((VLOOKUP($D363,$C$5:$AA$494,17,)/VLOOKUP($D363,$C$5:$AA$494,4,))*$F363))</f>
        <v>0</v>
      </c>
      <c r="T363" s="50"/>
      <c r="U363" s="50">
        <f>IF(VLOOKUP($D363,$C$5:$AA$494,19,)=0,0,((VLOOKUP($D363,$C$5:$AA$494,19,)/VLOOKUP($D363,$C$5:$AA$494,4,))*$F363))</f>
        <v>0</v>
      </c>
      <c r="V363" s="50"/>
      <c r="W363" s="50">
        <f>IF(VLOOKUP($D363,$C$5:$AA$494,21,)=0,0,((VLOOKUP($D363,$C$5:$AA$494,21,)/VLOOKUP($D363,$C$5:$AA$494,4,))*$F363))</f>
        <v>0</v>
      </c>
      <c r="X363" s="50"/>
      <c r="Y363" s="50">
        <f>IF(VLOOKUP($D363,$C$5:$AA$494,23,)=0,0,((VLOOKUP($D363,$C$5:$AA$494,23,)/VLOOKUP($D363,$C$5:$AA$494,4,))*$F363))</f>
        <v>0</v>
      </c>
      <c r="Z363" s="50"/>
      <c r="AA363" s="50">
        <f>IF(VLOOKUP($D363,$C$5:$AA$494,25,)=0,0,((VLOOKUP($D363,$C$5:$AA$494,25,)/VLOOKUP($D363,$C$5:$AA$494,4,))*$F363))</f>
        <v>0</v>
      </c>
      <c r="AB363" s="50">
        <f>SUM(H363:AA363)</f>
        <v>0</v>
      </c>
      <c r="AC363" s="30" t="str">
        <f>IF(ABS(AB363-F363)&lt;1,"ok","err")</f>
        <v>ok</v>
      </c>
    </row>
    <row r="364" spans="1:29" x14ac:dyDescent="0.2">
      <c r="F364" s="50"/>
      <c r="G364" s="50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  <c r="AA364" s="66"/>
      <c r="AB364" s="50"/>
      <c r="AC364" s="30"/>
    </row>
    <row r="365" spans="1:29" x14ac:dyDescent="0.2">
      <c r="B365" s="14" t="s">
        <v>532</v>
      </c>
      <c r="C365" s="14" t="s">
        <v>474</v>
      </c>
      <c r="F365" s="66">
        <f>SUM(F362:F364)</f>
        <v>0</v>
      </c>
      <c r="G365" s="66"/>
      <c r="H365" s="66">
        <f>SUM(H362:H364)</f>
        <v>0</v>
      </c>
      <c r="I365" s="66">
        <f>SUM(I362:I364)</f>
        <v>0</v>
      </c>
      <c r="J365" s="66"/>
      <c r="K365" s="66">
        <f>SUM(K362:K364)</f>
        <v>0</v>
      </c>
      <c r="L365" s="66"/>
      <c r="M365" s="66">
        <f>SUM(M362:M364)</f>
        <v>0</v>
      </c>
      <c r="N365" s="66"/>
      <c r="O365" s="66">
        <f>SUM(O362:O364)</f>
        <v>0</v>
      </c>
      <c r="P365" s="66">
        <f>SUM(P362:P364)</f>
        <v>0</v>
      </c>
      <c r="Q365" s="66"/>
      <c r="R365" s="66">
        <f>SUM(R362:R364)</f>
        <v>0</v>
      </c>
      <c r="S365" s="66">
        <f>SUM(S362:S364)</f>
        <v>0</v>
      </c>
      <c r="T365" s="66"/>
      <c r="U365" s="66">
        <f>SUM(U362:U364)</f>
        <v>0</v>
      </c>
      <c r="V365" s="66"/>
      <c r="W365" s="66">
        <f>SUM(W362:W364)</f>
        <v>0</v>
      </c>
      <c r="X365" s="66"/>
      <c r="Y365" s="66">
        <f>SUM(Y362:Y364)</f>
        <v>0</v>
      </c>
      <c r="Z365" s="66"/>
      <c r="AA365" s="66">
        <f>SUM(AA362:AA364)</f>
        <v>0</v>
      </c>
      <c r="AB365" s="50">
        <f>SUM(H365:AA365)</f>
        <v>0</v>
      </c>
      <c r="AC365" s="30" t="str">
        <f>IF(ABS(AB365-F365)&lt;1,"ok","err")</f>
        <v>ok</v>
      </c>
    </row>
    <row r="366" spans="1:29" x14ac:dyDescent="0.2"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  <c r="AA366" s="66"/>
      <c r="AB366" s="50"/>
      <c r="AC366" s="30"/>
    </row>
    <row r="367" spans="1:29" x14ac:dyDescent="0.2">
      <c r="A367" s="13" t="s">
        <v>534</v>
      </c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  <c r="AA367" s="66"/>
      <c r="AB367" s="50"/>
      <c r="AC367" s="30"/>
    </row>
    <row r="368" spans="1:29" x14ac:dyDescent="0.2">
      <c r="A368" s="14">
        <v>560</v>
      </c>
      <c r="B368" s="14" t="s">
        <v>374</v>
      </c>
      <c r="C368" s="14" t="s">
        <v>531</v>
      </c>
      <c r="D368" s="14" t="s">
        <v>390</v>
      </c>
      <c r="F368" s="66">
        <v>0</v>
      </c>
      <c r="G368" s="66"/>
      <c r="H368" s="50">
        <f t="shared" ref="H368:H375" si="200">IF((VLOOKUP($D368,$C$5:$AA$494,6,)=0),0,((VLOOKUP($D368,$C$5:$AA$494,6,)/VLOOKUP($D368,$C$5:$AA$494,4,))*$F368))</f>
        <v>0</v>
      </c>
      <c r="I368" s="50">
        <f t="shared" ref="I368:I375" si="201">IF((VLOOKUP($D368,$C$5:$AA$494,7,)=0),0,((VLOOKUP($D368,$C$5:$AA$494,7,)/VLOOKUP($D368,$C$5:$AA$494,4,))*$F368))</f>
        <v>0</v>
      </c>
      <c r="J368" s="50"/>
      <c r="K368" s="50">
        <f t="shared" ref="K368:K375" si="202">IF((VLOOKUP($D368,$C$5:$AA$494,9,)=0),0,((VLOOKUP($D368,$C$5:$AA$494,9,)/VLOOKUP($D368,$C$5:$AA$494,4,))*$F368))</f>
        <v>0</v>
      </c>
      <c r="L368" s="50"/>
      <c r="M368" s="50">
        <f t="shared" ref="M368:M375" si="203">IF((VLOOKUP($D368,$C$5:$AA$494,11,)=0),0,((VLOOKUP($D368,$C$5:$AA$494,11,)/VLOOKUP($D368,$C$5:$AA$494,4,))*$F368))</f>
        <v>0</v>
      </c>
      <c r="N368" s="50"/>
      <c r="O368" s="50">
        <f t="shared" ref="O368:O375" si="204">IF((VLOOKUP($D368,$C$5:$AA$494,13,)=0),0,((VLOOKUP($D368,$C$5:$AA$494,13,)/VLOOKUP($D368,$C$5:$AA$494,4,))*$F368))</f>
        <v>0</v>
      </c>
      <c r="P368" s="50">
        <f t="shared" ref="P368:P375" si="205">IF((VLOOKUP($D368,$C$5:$AA$494,14,)=0),0,((VLOOKUP($D368,$C$5:$AA$494,14,)/VLOOKUP($D368,$C$5:$AA$494,4,))*$F368))</f>
        <v>0</v>
      </c>
      <c r="Q368" s="50"/>
      <c r="R368" s="50">
        <f t="shared" ref="R368:R375" si="206">IF((VLOOKUP($D368,$C$5:$AA$494,16,)=0),0,((VLOOKUP($D368,$C$5:$AA$494,16,)/VLOOKUP($D368,$C$5:$AA$494,4,))*$F368))</f>
        <v>0</v>
      </c>
      <c r="S368" s="50">
        <f t="shared" ref="S368:S375" si="207">IF((VLOOKUP($D368,$C$5:$AA$494,17,)=0),0,((VLOOKUP($D368,$C$5:$AA$494,17,)/VLOOKUP($D368,$C$5:$AA$494,4,))*$F368))</f>
        <v>0</v>
      </c>
      <c r="T368" s="50"/>
      <c r="U368" s="50">
        <f t="shared" ref="U368:U375" si="208">IF((VLOOKUP($D368,$C$5:$AA$494,19,)=0),0,((VLOOKUP($D368,$C$5:$AA$494,19,)/VLOOKUP($D368,$C$5:$AA$494,4,))*$F368))</f>
        <v>0</v>
      </c>
      <c r="V368" s="50"/>
      <c r="W368" s="50">
        <f t="shared" ref="W368:W375" si="209">IF((VLOOKUP($D368,$C$5:$AA$494,21,)=0),0,((VLOOKUP($D368,$C$5:$AA$494,21,)/VLOOKUP($D368,$C$5:$AA$494,4,))*$F368))</f>
        <v>0</v>
      </c>
      <c r="X368" s="50"/>
      <c r="Y368" s="50">
        <f t="shared" ref="Y368:Y375" si="210">IF((VLOOKUP($D368,$C$5:$AA$494,23,)=0),0,((VLOOKUP($D368,$C$5:$AA$494,23,)/VLOOKUP($D368,$C$5:$AA$494,4,))*$F368))</f>
        <v>0</v>
      </c>
      <c r="Z368" s="50"/>
      <c r="AA368" s="50">
        <f t="shared" ref="AA368:AA375" si="211">IF((VLOOKUP($D368,$C$5:$AA$494,25,)=0),0,((VLOOKUP($D368,$C$5:$AA$494,25,)/VLOOKUP($D368,$C$5:$AA$494,4,))*$F368))</f>
        <v>0</v>
      </c>
      <c r="AB368" s="50">
        <f t="shared" ref="AB368:AB375" si="212">SUM(H368:AA368)</f>
        <v>0</v>
      </c>
      <c r="AC368" s="30" t="str">
        <f t="shared" ref="AC368:AC375" si="213">IF(ABS(AB368-F368)&lt;1,"ok","err")</f>
        <v>ok</v>
      </c>
    </row>
    <row r="369" spans="1:29" x14ac:dyDescent="0.2">
      <c r="A369" s="14">
        <v>561</v>
      </c>
      <c r="B369" s="14" t="s">
        <v>101</v>
      </c>
      <c r="C369" s="14" t="s">
        <v>476</v>
      </c>
      <c r="D369" s="14" t="s">
        <v>390</v>
      </c>
      <c r="F369" s="50">
        <v>0</v>
      </c>
      <c r="G369" s="50"/>
      <c r="H369" s="50">
        <f t="shared" si="200"/>
        <v>0</v>
      </c>
      <c r="I369" s="50">
        <f t="shared" si="201"/>
        <v>0</v>
      </c>
      <c r="J369" s="50"/>
      <c r="K369" s="50">
        <f t="shared" si="202"/>
        <v>0</v>
      </c>
      <c r="L369" s="50"/>
      <c r="M369" s="50">
        <f t="shared" si="203"/>
        <v>0</v>
      </c>
      <c r="N369" s="50"/>
      <c r="O369" s="50">
        <f t="shared" si="204"/>
        <v>0</v>
      </c>
      <c r="P369" s="50">
        <f t="shared" si="205"/>
        <v>0</v>
      </c>
      <c r="Q369" s="50"/>
      <c r="R369" s="50">
        <f t="shared" si="206"/>
        <v>0</v>
      </c>
      <c r="S369" s="50">
        <f t="shared" si="207"/>
        <v>0</v>
      </c>
      <c r="T369" s="50"/>
      <c r="U369" s="50">
        <f t="shared" si="208"/>
        <v>0</v>
      </c>
      <c r="V369" s="50"/>
      <c r="W369" s="50">
        <f t="shared" si="209"/>
        <v>0</v>
      </c>
      <c r="X369" s="50"/>
      <c r="Y369" s="50">
        <f t="shared" si="210"/>
        <v>0</v>
      </c>
      <c r="Z369" s="50"/>
      <c r="AA369" s="50">
        <f t="shared" si="211"/>
        <v>0</v>
      </c>
      <c r="AB369" s="50">
        <f t="shared" si="212"/>
        <v>0</v>
      </c>
      <c r="AC369" s="30" t="str">
        <f t="shared" si="213"/>
        <v>ok</v>
      </c>
    </row>
    <row r="370" spans="1:29" x14ac:dyDescent="0.2">
      <c r="A370" s="14">
        <v>562</v>
      </c>
      <c r="B370" s="14" t="s">
        <v>372</v>
      </c>
      <c r="C370" s="14" t="s">
        <v>477</v>
      </c>
      <c r="D370" s="14" t="s">
        <v>390</v>
      </c>
      <c r="F370" s="50">
        <v>0</v>
      </c>
      <c r="G370" s="50"/>
      <c r="H370" s="50">
        <f t="shared" si="200"/>
        <v>0</v>
      </c>
      <c r="I370" s="50">
        <f t="shared" si="201"/>
        <v>0</v>
      </c>
      <c r="J370" s="50"/>
      <c r="K370" s="50">
        <f t="shared" si="202"/>
        <v>0</v>
      </c>
      <c r="L370" s="50"/>
      <c r="M370" s="50">
        <f t="shared" si="203"/>
        <v>0</v>
      </c>
      <c r="N370" s="50"/>
      <c r="O370" s="50">
        <f t="shared" si="204"/>
        <v>0</v>
      </c>
      <c r="P370" s="50">
        <f t="shared" si="205"/>
        <v>0</v>
      </c>
      <c r="Q370" s="50"/>
      <c r="R370" s="50">
        <f t="shared" si="206"/>
        <v>0</v>
      </c>
      <c r="S370" s="50">
        <f t="shared" si="207"/>
        <v>0</v>
      </c>
      <c r="T370" s="50"/>
      <c r="U370" s="50">
        <f t="shared" si="208"/>
        <v>0</v>
      </c>
      <c r="V370" s="50"/>
      <c r="W370" s="50">
        <f t="shared" si="209"/>
        <v>0</v>
      </c>
      <c r="X370" s="50"/>
      <c r="Y370" s="50">
        <f t="shared" si="210"/>
        <v>0</v>
      </c>
      <c r="Z370" s="50"/>
      <c r="AA370" s="50">
        <f t="shared" si="211"/>
        <v>0</v>
      </c>
      <c r="AB370" s="50">
        <f t="shared" si="212"/>
        <v>0</v>
      </c>
      <c r="AC370" s="30" t="str">
        <f t="shared" si="213"/>
        <v>ok</v>
      </c>
    </row>
    <row r="371" spans="1:29" x14ac:dyDescent="0.2">
      <c r="A371" s="14">
        <v>563</v>
      </c>
      <c r="B371" s="14" t="s">
        <v>103</v>
      </c>
      <c r="C371" s="14" t="s">
        <v>478</v>
      </c>
      <c r="D371" s="14" t="s">
        <v>390</v>
      </c>
      <c r="F371" s="50">
        <v>0</v>
      </c>
      <c r="G371" s="50"/>
      <c r="H371" s="50">
        <f t="shared" si="200"/>
        <v>0</v>
      </c>
      <c r="I371" s="50">
        <f t="shared" si="201"/>
        <v>0</v>
      </c>
      <c r="J371" s="50"/>
      <c r="K371" s="50">
        <f t="shared" si="202"/>
        <v>0</v>
      </c>
      <c r="L371" s="50"/>
      <c r="M371" s="50">
        <f t="shared" si="203"/>
        <v>0</v>
      </c>
      <c r="N371" s="50"/>
      <c r="O371" s="50">
        <f t="shared" si="204"/>
        <v>0</v>
      </c>
      <c r="P371" s="50">
        <f t="shared" si="205"/>
        <v>0</v>
      </c>
      <c r="Q371" s="50"/>
      <c r="R371" s="50">
        <f t="shared" si="206"/>
        <v>0</v>
      </c>
      <c r="S371" s="50">
        <f t="shared" si="207"/>
        <v>0</v>
      </c>
      <c r="T371" s="50"/>
      <c r="U371" s="50">
        <f t="shared" si="208"/>
        <v>0</v>
      </c>
      <c r="V371" s="50"/>
      <c r="W371" s="50">
        <f t="shared" si="209"/>
        <v>0</v>
      </c>
      <c r="X371" s="50"/>
      <c r="Y371" s="50">
        <f t="shared" si="210"/>
        <v>0</v>
      </c>
      <c r="Z371" s="50"/>
      <c r="AA371" s="50">
        <f t="shared" si="211"/>
        <v>0</v>
      </c>
      <c r="AB371" s="50">
        <f t="shared" si="212"/>
        <v>0</v>
      </c>
      <c r="AC371" s="30" t="str">
        <f t="shared" si="213"/>
        <v>ok</v>
      </c>
    </row>
    <row r="372" spans="1:29" x14ac:dyDescent="0.2">
      <c r="A372" s="14">
        <v>566</v>
      </c>
      <c r="B372" s="14" t="s">
        <v>585</v>
      </c>
      <c r="C372" s="14" t="s">
        <v>589</v>
      </c>
      <c r="D372" s="14" t="s">
        <v>390</v>
      </c>
      <c r="F372" s="50">
        <v>0</v>
      </c>
      <c r="G372" s="50"/>
      <c r="H372" s="50">
        <f t="shared" si="200"/>
        <v>0</v>
      </c>
      <c r="I372" s="50">
        <f t="shared" si="201"/>
        <v>0</v>
      </c>
      <c r="J372" s="50"/>
      <c r="K372" s="50">
        <f t="shared" si="202"/>
        <v>0</v>
      </c>
      <c r="L372" s="50"/>
      <c r="M372" s="50">
        <f t="shared" si="203"/>
        <v>0</v>
      </c>
      <c r="N372" s="50"/>
      <c r="O372" s="50">
        <f t="shared" si="204"/>
        <v>0</v>
      </c>
      <c r="P372" s="50">
        <f t="shared" si="205"/>
        <v>0</v>
      </c>
      <c r="Q372" s="50"/>
      <c r="R372" s="50">
        <f t="shared" si="206"/>
        <v>0</v>
      </c>
      <c r="S372" s="50">
        <f t="shared" si="207"/>
        <v>0</v>
      </c>
      <c r="T372" s="50"/>
      <c r="U372" s="50">
        <f t="shared" si="208"/>
        <v>0</v>
      </c>
      <c r="V372" s="50"/>
      <c r="W372" s="50">
        <f t="shared" si="209"/>
        <v>0</v>
      </c>
      <c r="X372" s="50"/>
      <c r="Y372" s="50">
        <f t="shared" si="210"/>
        <v>0</v>
      </c>
      <c r="Z372" s="50"/>
      <c r="AA372" s="50">
        <f t="shared" si="211"/>
        <v>0</v>
      </c>
      <c r="AB372" s="50">
        <f>SUM(H372:AA372)</f>
        <v>0</v>
      </c>
      <c r="AC372" s="30" t="str">
        <f>IF(ABS(AB372-F372)&lt;1,"ok","err")</f>
        <v>ok</v>
      </c>
    </row>
    <row r="373" spans="1:29" x14ac:dyDescent="0.2">
      <c r="A373" s="14">
        <v>568</v>
      </c>
      <c r="B373" s="14" t="s">
        <v>373</v>
      </c>
      <c r="C373" s="14" t="s">
        <v>479</v>
      </c>
      <c r="D373" s="14" t="s">
        <v>390</v>
      </c>
      <c r="F373" s="50">
        <v>0</v>
      </c>
      <c r="G373" s="50"/>
      <c r="H373" s="50">
        <f t="shared" si="200"/>
        <v>0</v>
      </c>
      <c r="I373" s="50">
        <f t="shared" si="201"/>
        <v>0</v>
      </c>
      <c r="J373" s="50"/>
      <c r="K373" s="50">
        <f t="shared" si="202"/>
        <v>0</v>
      </c>
      <c r="L373" s="50"/>
      <c r="M373" s="50">
        <f t="shared" si="203"/>
        <v>0</v>
      </c>
      <c r="N373" s="50"/>
      <c r="O373" s="50">
        <f t="shared" si="204"/>
        <v>0</v>
      </c>
      <c r="P373" s="50">
        <f t="shared" si="205"/>
        <v>0</v>
      </c>
      <c r="Q373" s="50"/>
      <c r="R373" s="50">
        <f t="shared" si="206"/>
        <v>0</v>
      </c>
      <c r="S373" s="50">
        <f t="shared" si="207"/>
        <v>0</v>
      </c>
      <c r="T373" s="50"/>
      <c r="U373" s="50">
        <f t="shared" si="208"/>
        <v>0</v>
      </c>
      <c r="V373" s="50"/>
      <c r="W373" s="50">
        <f t="shared" si="209"/>
        <v>0</v>
      </c>
      <c r="X373" s="50"/>
      <c r="Y373" s="50">
        <f t="shared" si="210"/>
        <v>0</v>
      </c>
      <c r="Z373" s="50"/>
      <c r="AA373" s="50">
        <f t="shared" si="211"/>
        <v>0</v>
      </c>
      <c r="AB373" s="50">
        <f t="shared" si="212"/>
        <v>0</v>
      </c>
      <c r="AC373" s="30" t="str">
        <f t="shared" si="213"/>
        <v>ok</v>
      </c>
    </row>
    <row r="374" spans="1:29" x14ac:dyDescent="0.2">
      <c r="A374" s="14">
        <v>570</v>
      </c>
      <c r="B374" s="14" t="s">
        <v>375</v>
      </c>
      <c r="C374" s="14" t="s">
        <v>480</v>
      </c>
      <c r="D374" s="14" t="s">
        <v>390</v>
      </c>
      <c r="F374" s="50">
        <v>0</v>
      </c>
      <c r="G374" s="50"/>
      <c r="H374" s="50">
        <f t="shared" si="200"/>
        <v>0</v>
      </c>
      <c r="I374" s="50">
        <f t="shared" si="201"/>
        <v>0</v>
      </c>
      <c r="J374" s="50"/>
      <c r="K374" s="50">
        <f t="shared" si="202"/>
        <v>0</v>
      </c>
      <c r="L374" s="50"/>
      <c r="M374" s="50">
        <f t="shared" si="203"/>
        <v>0</v>
      </c>
      <c r="N374" s="50"/>
      <c r="O374" s="50">
        <f t="shared" si="204"/>
        <v>0</v>
      </c>
      <c r="P374" s="50">
        <f t="shared" si="205"/>
        <v>0</v>
      </c>
      <c r="Q374" s="50"/>
      <c r="R374" s="50">
        <f t="shared" si="206"/>
        <v>0</v>
      </c>
      <c r="S374" s="50">
        <f t="shared" si="207"/>
        <v>0</v>
      </c>
      <c r="T374" s="50"/>
      <c r="U374" s="50">
        <f t="shared" si="208"/>
        <v>0</v>
      </c>
      <c r="V374" s="50"/>
      <c r="W374" s="50">
        <f t="shared" si="209"/>
        <v>0</v>
      </c>
      <c r="X374" s="50"/>
      <c r="Y374" s="50">
        <f t="shared" si="210"/>
        <v>0</v>
      </c>
      <c r="Z374" s="50"/>
      <c r="AA374" s="50">
        <f t="shared" si="211"/>
        <v>0</v>
      </c>
      <c r="AB374" s="50">
        <f t="shared" si="212"/>
        <v>0</v>
      </c>
      <c r="AC374" s="30" t="str">
        <f t="shared" si="213"/>
        <v>ok</v>
      </c>
    </row>
    <row r="375" spans="1:29" x14ac:dyDescent="0.2">
      <c r="A375" s="14">
        <v>571</v>
      </c>
      <c r="B375" s="14" t="s">
        <v>376</v>
      </c>
      <c r="C375" s="14" t="s">
        <v>481</v>
      </c>
      <c r="D375" s="14" t="s">
        <v>390</v>
      </c>
      <c r="F375" s="50">
        <v>0</v>
      </c>
      <c r="G375" s="50"/>
      <c r="H375" s="50">
        <f t="shared" si="200"/>
        <v>0</v>
      </c>
      <c r="I375" s="50">
        <f t="shared" si="201"/>
        <v>0</v>
      </c>
      <c r="J375" s="50"/>
      <c r="K375" s="50">
        <f t="shared" si="202"/>
        <v>0</v>
      </c>
      <c r="L375" s="50"/>
      <c r="M375" s="50">
        <f t="shared" si="203"/>
        <v>0</v>
      </c>
      <c r="N375" s="50"/>
      <c r="O375" s="50">
        <f t="shared" si="204"/>
        <v>0</v>
      </c>
      <c r="P375" s="50">
        <f t="shared" si="205"/>
        <v>0</v>
      </c>
      <c r="Q375" s="50"/>
      <c r="R375" s="50">
        <f t="shared" si="206"/>
        <v>0</v>
      </c>
      <c r="S375" s="50">
        <f t="shared" si="207"/>
        <v>0</v>
      </c>
      <c r="T375" s="50"/>
      <c r="U375" s="50">
        <f t="shared" si="208"/>
        <v>0</v>
      </c>
      <c r="V375" s="50"/>
      <c r="W375" s="50">
        <f t="shared" si="209"/>
        <v>0</v>
      </c>
      <c r="X375" s="50"/>
      <c r="Y375" s="50">
        <f t="shared" si="210"/>
        <v>0</v>
      </c>
      <c r="Z375" s="50"/>
      <c r="AA375" s="50">
        <f t="shared" si="211"/>
        <v>0</v>
      </c>
      <c r="AB375" s="50">
        <f t="shared" si="212"/>
        <v>0</v>
      </c>
      <c r="AC375" s="30" t="str">
        <f t="shared" si="213"/>
        <v>ok</v>
      </c>
    </row>
    <row r="376" spans="1:29" x14ac:dyDescent="0.2"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  <c r="AA376" s="66"/>
      <c r="AB376" s="50"/>
      <c r="AC376" s="30"/>
    </row>
    <row r="377" spans="1:29" x14ac:dyDescent="0.2">
      <c r="A377" s="14" t="s">
        <v>533</v>
      </c>
      <c r="F377" s="260">
        <f>SUM(F368:F375)</f>
        <v>0</v>
      </c>
      <c r="G377" s="93"/>
      <c r="H377" s="93">
        <f>SUM(H368:H375)</f>
        <v>0</v>
      </c>
      <c r="I377" s="93">
        <f>SUM(I368:I375)</f>
        <v>0</v>
      </c>
      <c r="J377" s="93"/>
      <c r="K377" s="93">
        <f>SUM(K368:K375)</f>
        <v>0</v>
      </c>
      <c r="L377" s="93"/>
      <c r="M377" s="93">
        <f>SUM(M368:M375)</f>
        <v>0</v>
      </c>
      <c r="N377" s="93"/>
      <c r="O377" s="93">
        <f>SUM(O368:O375)</f>
        <v>0</v>
      </c>
      <c r="P377" s="93">
        <f>SUM(P368:P375)</f>
        <v>0</v>
      </c>
      <c r="Q377" s="93"/>
      <c r="R377" s="93">
        <f>SUM(R368:R375)</f>
        <v>0</v>
      </c>
      <c r="S377" s="93">
        <f>SUM(S368:S375)</f>
        <v>0</v>
      </c>
      <c r="T377" s="93"/>
      <c r="U377" s="93">
        <f>SUM(U368:U375)</f>
        <v>0</v>
      </c>
      <c r="V377" s="93"/>
      <c r="W377" s="93">
        <f>SUM(W368:W375)</f>
        <v>0</v>
      </c>
      <c r="X377" s="93"/>
      <c r="Y377" s="93">
        <f>SUM(Y368:Y375)</f>
        <v>0</v>
      </c>
      <c r="Z377" s="93"/>
      <c r="AA377" s="93">
        <f>SUM(AA368:AA375)</f>
        <v>0</v>
      </c>
      <c r="AB377" s="66">
        <f>SUM(H377:AA377)</f>
        <v>0</v>
      </c>
      <c r="AC377" s="30" t="str">
        <f>IF(ABS(AB377-F377)&lt;1,"ok","err")</f>
        <v>ok</v>
      </c>
    </row>
    <row r="378" spans="1:29" x14ac:dyDescent="0.2">
      <c r="Q378" s="14"/>
      <c r="AC378" s="30"/>
    </row>
    <row r="379" spans="1:29" x14ac:dyDescent="0.2">
      <c r="A379" s="13" t="s">
        <v>535</v>
      </c>
      <c r="Q379" s="14"/>
      <c r="AC379" s="30"/>
    </row>
    <row r="380" spans="1:29" x14ac:dyDescent="0.2">
      <c r="A380" s="14">
        <v>580</v>
      </c>
      <c r="B380" s="14" t="s">
        <v>99</v>
      </c>
      <c r="C380" s="14" t="s">
        <v>482</v>
      </c>
      <c r="D380" s="14" t="s">
        <v>16</v>
      </c>
      <c r="F380" s="66">
        <v>0</v>
      </c>
      <c r="G380" s="66"/>
      <c r="H380" s="50">
        <f t="shared" ref="H380:H390" si="214">IF(VLOOKUP($D380,$C$5:$AA$494,6,)=0,0,((VLOOKUP($D380,$C$5:$AA$494,6,)/VLOOKUP($D380,$C$5:$AA$494,4,))*$F380))</f>
        <v>0</v>
      </c>
      <c r="I380" s="50">
        <f t="shared" ref="I380:I390" si="215">IF(VLOOKUP($D380,$C$5:$AA$494,7,)=0,0,((VLOOKUP($D380,$C$5:$AA$494,7,)/VLOOKUP($D380,$C$5:$AA$494,4,))*$F380))</f>
        <v>0</v>
      </c>
      <c r="J380" s="50"/>
      <c r="K380" s="50">
        <f t="shared" ref="K380:K390" si="216">IF(VLOOKUP($D380,$C$5:$AA$494,9,)=0,0,((VLOOKUP($D380,$C$5:$AA$494,9,)/VLOOKUP($D380,$C$5:$AA$494,4,))*$F380))</f>
        <v>0</v>
      </c>
      <c r="L380" s="50"/>
      <c r="M380" s="50">
        <f t="shared" ref="M380:M390" si="217">IF(VLOOKUP($D380,$C$5:$AA$494,11,)=0,0,((VLOOKUP($D380,$C$5:$AA$494,11,)/VLOOKUP($D380,$C$5:$AA$494,4,))*$F380))</f>
        <v>0</v>
      </c>
      <c r="N380" s="50"/>
      <c r="O380" s="50">
        <f t="shared" ref="O380:O390" si="218">IF(VLOOKUP($D380,$C$5:$AA$494,13,)=0,0,((VLOOKUP($D380,$C$5:$AA$494,13,)/VLOOKUP($D380,$C$5:$AA$494,4,))*$F380))</f>
        <v>0</v>
      </c>
      <c r="P380" s="50">
        <f t="shared" ref="P380:P390" si="219">IF(VLOOKUP($D380,$C$5:$AA$494,14,)=0,0,((VLOOKUP($D380,$C$5:$AA$494,14,)/VLOOKUP($D380,$C$5:$AA$494,4,))*$F380))</f>
        <v>0</v>
      </c>
      <c r="Q380" s="50"/>
      <c r="R380" s="50">
        <f t="shared" ref="R380:R390" si="220">IF(VLOOKUP($D380,$C$5:$AA$494,16,)=0,0,((VLOOKUP($D380,$C$5:$AA$494,16,)/VLOOKUP($D380,$C$5:$AA$494,4,))*$F380))</f>
        <v>0</v>
      </c>
      <c r="S380" s="50">
        <f t="shared" ref="S380:S390" si="221">IF(VLOOKUP($D380,$C$5:$AA$494,17,)=0,0,((VLOOKUP($D380,$C$5:$AA$494,17,)/VLOOKUP($D380,$C$5:$AA$494,4,))*$F380))</f>
        <v>0</v>
      </c>
      <c r="T380" s="50"/>
      <c r="U380" s="50">
        <f t="shared" ref="U380:U390" si="222">IF(VLOOKUP($D380,$C$5:$AA$494,19,)=0,0,((VLOOKUP($D380,$C$5:$AA$494,19,)/VLOOKUP($D380,$C$5:$AA$494,4,))*$F380))</f>
        <v>0</v>
      </c>
      <c r="V380" s="50"/>
      <c r="W380" s="50">
        <f t="shared" ref="W380:W390" si="223">IF(VLOOKUP($D380,$C$5:$AA$494,21,)=0,0,((VLOOKUP($D380,$C$5:$AA$494,21,)/VLOOKUP($D380,$C$5:$AA$494,4,))*$F380))</f>
        <v>0</v>
      </c>
      <c r="X380" s="50"/>
      <c r="Y380" s="50">
        <f t="shared" ref="Y380:Y390" si="224">IF(VLOOKUP($D380,$C$5:$AA$494,23,)=0,0,((VLOOKUP($D380,$C$5:$AA$494,23,)/VLOOKUP($D380,$C$5:$AA$494,4,))*$F380))</f>
        <v>0</v>
      </c>
      <c r="Z380" s="50"/>
      <c r="AA380" s="50">
        <f t="shared" ref="AA380:AA390" si="225">IF(VLOOKUP($D380,$C$5:$AA$494,25,)=0,0,((VLOOKUP($D380,$C$5:$AA$494,25,)/VLOOKUP($D380,$C$5:$AA$494,4,))*$F380))</f>
        <v>0</v>
      </c>
      <c r="AB380" s="50">
        <f t="shared" ref="AB380:AB390" si="226">SUM(H380:AA380)</f>
        <v>0</v>
      </c>
      <c r="AC380" s="30" t="str">
        <f t="shared" ref="AC380:AC390" si="227">IF(ABS(AB380-F380)&lt;1,"ok","err")</f>
        <v>ok</v>
      </c>
    </row>
    <row r="381" spans="1:29" x14ac:dyDescent="0.2">
      <c r="A381" s="14">
        <v>581</v>
      </c>
      <c r="B381" s="14" t="s">
        <v>101</v>
      </c>
      <c r="C381" s="14" t="s">
        <v>483</v>
      </c>
      <c r="D381" s="14" t="s">
        <v>23</v>
      </c>
      <c r="F381" s="50">
        <v>0</v>
      </c>
      <c r="G381" s="50"/>
      <c r="H381" s="50">
        <f t="shared" si="214"/>
        <v>0</v>
      </c>
      <c r="I381" s="50">
        <f t="shared" si="215"/>
        <v>0</v>
      </c>
      <c r="J381" s="50"/>
      <c r="K381" s="50">
        <f t="shared" si="216"/>
        <v>0</v>
      </c>
      <c r="L381" s="50"/>
      <c r="M381" s="50">
        <f t="shared" si="217"/>
        <v>0</v>
      </c>
      <c r="N381" s="50"/>
      <c r="O381" s="50">
        <f t="shared" si="218"/>
        <v>0</v>
      </c>
      <c r="P381" s="50">
        <f t="shared" si="219"/>
        <v>0</v>
      </c>
      <c r="Q381" s="50"/>
      <c r="R381" s="50">
        <f t="shared" si="220"/>
        <v>0</v>
      </c>
      <c r="S381" s="50">
        <f t="shared" si="221"/>
        <v>0</v>
      </c>
      <c r="T381" s="50"/>
      <c r="U381" s="50">
        <f t="shared" si="222"/>
        <v>0</v>
      </c>
      <c r="V381" s="50"/>
      <c r="W381" s="50">
        <f t="shared" si="223"/>
        <v>0</v>
      </c>
      <c r="X381" s="50"/>
      <c r="Y381" s="50">
        <f t="shared" si="224"/>
        <v>0</v>
      </c>
      <c r="Z381" s="50"/>
      <c r="AA381" s="50">
        <f t="shared" si="225"/>
        <v>0</v>
      </c>
      <c r="AB381" s="50">
        <f t="shared" si="226"/>
        <v>0</v>
      </c>
      <c r="AC381" s="30" t="str">
        <f t="shared" si="227"/>
        <v>ok</v>
      </c>
    </row>
    <row r="382" spans="1:29" x14ac:dyDescent="0.2">
      <c r="A382" s="14">
        <v>582</v>
      </c>
      <c r="B382" s="14" t="s">
        <v>372</v>
      </c>
      <c r="C382" s="14" t="s">
        <v>484</v>
      </c>
      <c r="D382" s="14" t="s">
        <v>23</v>
      </c>
      <c r="F382" s="50">
        <v>0</v>
      </c>
      <c r="G382" s="50"/>
      <c r="H382" s="50">
        <f t="shared" si="214"/>
        <v>0</v>
      </c>
      <c r="I382" s="50">
        <f t="shared" si="215"/>
        <v>0</v>
      </c>
      <c r="J382" s="50"/>
      <c r="K382" s="50">
        <f t="shared" si="216"/>
        <v>0</v>
      </c>
      <c r="L382" s="50"/>
      <c r="M382" s="50">
        <f t="shared" si="217"/>
        <v>0</v>
      </c>
      <c r="N382" s="50"/>
      <c r="O382" s="50">
        <f t="shared" si="218"/>
        <v>0</v>
      </c>
      <c r="P382" s="50">
        <f t="shared" si="219"/>
        <v>0</v>
      </c>
      <c r="Q382" s="50"/>
      <c r="R382" s="50">
        <f t="shared" si="220"/>
        <v>0</v>
      </c>
      <c r="S382" s="50">
        <f t="shared" si="221"/>
        <v>0</v>
      </c>
      <c r="T382" s="50"/>
      <c r="U382" s="50">
        <f t="shared" si="222"/>
        <v>0</v>
      </c>
      <c r="V382" s="50"/>
      <c r="W382" s="50">
        <f t="shared" si="223"/>
        <v>0</v>
      </c>
      <c r="X382" s="50"/>
      <c r="Y382" s="50">
        <f t="shared" si="224"/>
        <v>0</v>
      </c>
      <c r="Z382" s="50"/>
      <c r="AA382" s="50">
        <f t="shared" si="225"/>
        <v>0</v>
      </c>
      <c r="AB382" s="50">
        <f t="shared" si="226"/>
        <v>0</v>
      </c>
      <c r="AC382" s="30" t="str">
        <f t="shared" si="227"/>
        <v>ok</v>
      </c>
    </row>
    <row r="383" spans="1:29" x14ac:dyDescent="0.2">
      <c r="A383" s="14">
        <v>583</v>
      </c>
      <c r="B383" s="14" t="s">
        <v>103</v>
      </c>
      <c r="C383" s="14" t="s">
        <v>485</v>
      </c>
      <c r="D383" s="14" t="s">
        <v>29</v>
      </c>
      <c r="F383" s="50">
        <f>229302+4217</f>
        <v>233519</v>
      </c>
      <c r="G383" s="50"/>
      <c r="H383" s="50">
        <f t="shared" si="214"/>
        <v>0</v>
      </c>
      <c r="I383" s="50">
        <f t="shared" si="215"/>
        <v>0</v>
      </c>
      <c r="J383" s="50"/>
      <c r="K383" s="50">
        <f t="shared" si="216"/>
        <v>0</v>
      </c>
      <c r="L383" s="50"/>
      <c r="M383" s="50">
        <f t="shared" si="217"/>
        <v>0</v>
      </c>
      <c r="N383" s="50"/>
      <c r="O383" s="50">
        <f t="shared" si="218"/>
        <v>178736.89176127617</v>
      </c>
      <c r="P383" s="50">
        <f t="shared" si="219"/>
        <v>54782.108238723813</v>
      </c>
      <c r="Q383" s="50"/>
      <c r="R383" s="50">
        <f t="shared" si="220"/>
        <v>0</v>
      </c>
      <c r="S383" s="50">
        <f t="shared" si="221"/>
        <v>0</v>
      </c>
      <c r="T383" s="50"/>
      <c r="U383" s="50">
        <f t="shared" si="222"/>
        <v>0</v>
      </c>
      <c r="V383" s="50"/>
      <c r="W383" s="50">
        <f t="shared" si="223"/>
        <v>0</v>
      </c>
      <c r="X383" s="50"/>
      <c r="Y383" s="50">
        <f t="shared" si="224"/>
        <v>0</v>
      </c>
      <c r="Z383" s="50"/>
      <c r="AA383" s="50">
        <f t="shared" si="225"/>
        <v>0</v>
      </c>
      <c r="AB383" s="50">
        <f t="shared" si="226"/>
        <v>233519</v>
      </c>
      <c r="AC383" s="30" t="str">
        <f t="shared" si="227"/>
        <v>ok</v>
      </c>
    </row>
    <row r="384" spans="1:29" x14ac:dyDescent="0.2">
      <c r="A384" s="14">
        <v>584</v>
      </c>
      <c r="B384" s="14" t="s">
        <v>105</v>
      </c>
      <c r="C384" s="14" t="s">
        <v>486</v>
      </c>
      <c r="D384" s="14" t="s">
        <v>35</v>
      </c>
      <c r="F384" s="50">
        <v>0</v>
      </c>
      <c r="G384" s="50"/>
      <c r="H384" s="50">
        <f t="shared" si="214"/>
        <v>0</v>
      </c>
      <c r="I384" s="50">
        <f t="shared" si="215"/>
        <v>0</v>
      </c>
      <c r="J384" s="50"/>
      <c r="K384" s="50">
        <f t="shared" si="216"/>
        <v>0</v>
      </c>
      <c r="L384" s="50"/>
      <c r="M384" s="50">
        <f t="shared" si="217"/>
        <v>0</v>
      </c>
      <c r="N384" s="50"/>
      <c r="O384" s="50">
        <f t="shared" si="218"/>
        <v>0</v>
      </c>
      <c r="P384" s="50">
        <f t="shared" si="219"/>
        <v>0</v>
      </c>
      <c r="Q384" s="50"/>
      <c r="R384" s="50">
        <f t="shared" si="220"/>
        <v>0</v>
      </c>
      <c r="S384" s="50">
        <f t="shared" si="221"/>
        <v>0</v>
      </c>
      <c r="T384" s="50"/>
      <c r="U384" s="50">
        <f t="shared" si="222"/>
        <v>0</v>
      </c>
      <c r="V384" s="50"/>
      <c r="W384" s="50">
        <f t="shared" si="223"/>
        <v>0</v>
      </c>
      <c r="X384" s="50"/>
      <c r="Y384" s="50">
        <f t="shared" si="224"/>
        <v>0</v>
      </c>
      <c r="Z384" s="50"/>
      <c r="AA384" s="50">
        <f t="shared" si="225"/>
        <v>0</v>
      </c>
      <c r="AB384" s="50">
        <f t="shared" si="226"/>
        <v>0</v>
      </c>
      <c r="AC384" s="30" t="str">
        <f t="shared" si="227"/>
        <v>ok</v>
      </c>
    </row>
    <row r="385" spans="1:29" x14ac:dyDescent="0.2">
      <c r="A385" s="14">
        <v>585</v>
      </c>
      <c r="B385" s="14" t="s">
        <v>107</v>
      </c>
      <c r="C385" s="14" t="s">
        <v>487</v>
      </c>
      <c r="D385" s="14" t="s">
        <v>46</v>
      </c>
      <c r="F385" s="50">
        <v>0</v>
      </c>
      <c r="G385" s="50"/>
      <c r="H385" s="50">
        <f t="shared" si="214"/>
        <v>0</v>
      </c>
      <c r="I385" s="50">
        <f t="shared" si="215"/>
        <v>0</v>
      </c>
      <c r="J385" s="50"/>
      <c r="K385" s="50">
        <f t="shared" si="216"/>
        <v>0</v>
      </c>
      <c r="L385" s="50"/>
      <c r="M385" s="50">
        <f t="shared" si="217"/>
        <v>0</v>
      </c>
      <c r="N385" s="50"/>
      <c r="O385" s="50">
        <f t="shared" si="218"/>
        <v>0</v>
      </c>
      <c r="P385" s="50">
        <f t="shared" si="219"/>
        <v>0</v>
      </c>
      <c r="Q385" s="50"/>
      <c r="R385" s="50">
        <f t="shared" si="220"/>
        <v>0</v>
      </c>
      <c r="S385" s="50">
        <f t="shared" si="221"/>
        <v>0</v>
      </c>
      <c r="T385" s="50"/>
      <c r="U385" s="50">
        <f t="shared" si="222"/>
        <v>0</v>
      </c>
      <c r="V385" s="50"/>
      <c r="W385" s="50">
        <f t="shared" si="223"/>
        <v>0</v>
      </c>
      <c r="X385" s="50"/>
      <c r="Y385" s="50">
        <f t="shared" si="224"/>
        <v>0</v>
      </c>
      <c r="Z385" s="50"/>
      <c r="AA385" s="50">
        <f t="shared" si="225"/>
        <v>0</v>
      </c>
      <c r="AB385" s="50">
        <f t="shared" si="226"/>
        <v>0</v>
      </c>
      <c r="AC385" s="30" t="str">
        <f t="shared" si="227"/>
        <v>ok</v>
      </c>
    </row>
    <row r="386" spans="1:29" x14ac:dyDescent="0.2">
      <c r="A386" s="14">
        <v>586</v>
      </c>
      <c r="B386" s="14" t="s">
        <v>109</v>
      </c>
      <c r="C386" s="14" t="s">
        <v>488</v>
      </c>
      <c r="D386" s="14" t="s">
        <v>43</v>
      </c>
      <c r="F386" s="50">
        <v>273943</v>
      </c>
      <c r="G386" s="50"/>
      <c r="H386" s="50">
        <f t="shared" si="214"/>
        <v>0</v>
      </c>
      <c r="I386" s="50">
        <f t="shared" si="215"/>
        <v>0</v>
      </c>
      <c r="J386" s="50"/>
      <c r="K386" s="50">
        <f t="shared" si="216"/>
        <v>0</v>
      </c>
      <c r="L386" s="50"/>
      <c r="M386" s="50">
        <f t="shared" si="217"/>
        <v>0</v>
      </c>
      <c r="N386" s="50"/>
      <c r="O386" s="50">
        <f t="shared" si="218"/>
        <v>0</v>
      </c>
      <c r="P386" s="50">
        <f t="shared" si="219"/>
        <v>0</v>
      </c>
      <c r="Q386" s="50"/>
      <c r="R386" s="50">
        <f t="shared" si="220"/>
        <v>0</v>
      </c>
      <c r="S386" s="50">
        <f t="shared" si="221"/>
        <v>0</v>
      </c>
      <c r="T386" s="50"/>
      <c r="U386" s="50">
        <f t="shared" si="222"/>
        <v>273943</v>
      </c>
      <c r="V386" s="50"/>
      <c r="W386" s="50">
        <f t="shared" si="223"/>
        <v>0</v>
      </c>
      <c r="X386" s="50"/>
      <c r="Y386" s="50">
        <f t="shared" si="224"/>
        <v>0</v>
      </c>
      <c r="Z386" s="50"/>
      <c r="AA386" s="50">
        <f t="shared" si="225"/>
        <v>0</v>
      </c>
      <c r="AB386" s="50">
        <f t="shared" si="226"/>
        <v>273943</v>
      </c>
      <c r="AC386" s="30" t="str">
        <f t="shared" si="227"/>
        <v>ok</v>
      </c>
    </row>
    <row r="387" spans="1:29" x14ac:dyDescent="0.2">
      <c r="A387" s="14">
        <v>586</v>
      </c>
      <c r="B387" s="14" t="s">
        <v>450</v>
      </c>
      <c r="C387" s="14" t="s">
        <v>489</v>
      </c>
      <c r="D387" s="14" t="s">
        <v>471</v>
      </c>
      <c r="F387" s="50">
        <v>0</v>
      </c>
      <c r="G387" s="50"/>
      <c r="H387" s="50">
        <f t="shared" si="214"/>
        <v>0</v>
      </c>
      <c r="I387" s="50">
        <f t="shared" si="215"/>
        <v>0</v>
      </c>
      <c r="J387" s="50"/>
      <c r="K387" s="50">
        <f t="shared" si="216"/>
        <v>0</v>
      </c>
      <c r="L387" s="50"/>
      <c r="M387" s="50">
        <f t="shared" si="217"/>
        <v>0</v>
      </c>
      <c r="N387" s="50"/>
      <c r="O387" s="50">
        <f t="shared" si="218"/>
        <v>0</v>
      </c>
      <c r="P387" s="50">
        <f t="shared" si="219"/>
        <v>0</v>
      </c>
      <c r="Q387" s="50"/>
      <c r="R387" s="50">
        <f t="shared" si="220"/>
        <v>0</v>
      </c>
      <c r="S387" s="50">
        <f t="shared" si="221"/>
        <v>0</v>
      </c>
      <c r="T387" s="50"/>
      <c r="U387" s="50">
        <f t="shared" si="222"/>
        <v>0</v>
      </c>
      <c r="V387" s="50"/>
      <c r="W387" s="50">
        <f t="shared" si="223"/>
        <v>0</v>
      </c>
      <c r="X387" s="50"/>
      <c r="Y387" s="50">
        <f t="shared" si="224"/>
        <v>0</v>
      </c>
      <c r="Z387" s="50"/>
      <c r="AA387" s="50">
        <f t="shared" si="225"/>
        <v>0</v>
      </c>
      <c r="AB387" s="50">
        <f t="shared" si="226"/>
        <v>0</v>
      </c>
      <c r="AC387" s="30" t="str">
        <f t="shared" si="227"/>
        <v>ok</v>
      </c>
    </row>
    <row r="388" spans="1:29" x14ac:dyDescent="0.2">
      <c r="A388" s="14">
        <v>587</v>
      </c>
      <c r="B388" s="14" t="s">
        <v>111</v>
      </c>
      <c r="C388" s="14" t="s">
        <v>490</v>
      </c>
      <c r="D388" s="14" t="s">
        <v>40</v>
      </c>
      <c r="F388" s="50">
        <v>13636</v>
      </c>
      <c r="G388" s="50"/>
      <c r="H388" s="50">
        <f t="shared" si="214"/>
        <v>0</v>
      </c>
      <c r="I388" s="50">
        <f t="shared" si="215"/>
        <v>0</v>
      </c>
      <c r="J388" s="50"/>
      <c r="K388" s="50">
        <f t="shared" si="216"/>
        <v>0</v>
      </c>
      <c r="L388" s="50"/>
      <c r="M388" s="50">
        <f t="shared" si="217"/>
        <v>0</v>
      </c>
      <c r="N388" s="50"/>
      <c r="O388" s="50">
        <f t="shared" si="218"/>
        <v>0</v>
      </c>
      <c r="P388" s="50">
        <f t="shared" si="219"/>
        <v>0</v>
      </c>
      <c r="Q388" s="50"/>
      <c r="R388" s="50">
        <f t="shared" si="220"/>
        <v>0</v>
      </c>
      <c r="S388" s="50">
        <f t="shared" si="221"/>
        <v>13636</v>
      </c>
      <c r="T388" s="50"/>
      <c r="U388" s="50">
        <f t="shared" si="222"/>
        <v>0</v>
      </c>
      <c r="V388" s="50"/>
      <c r="W388" s="50">
        <f t="shared" si="223"/>
        <v>0</v>
      </c>
      <c r="X388" s="50"/>
      <c r="Y388" s="50">
        <f t="shared" si="224"/>
        <v>0</v>
      </c>
      <c r="Z388" s="50"/>
      <c r="AA388" s="50">
        <f t="shared" si="225"/>
        <v>0</v>
      </c>
      <c r="AB388" s="50">
        <f t="shared" si="226"/>
        <v>13636</v>
      </c>
      <c r="AC388" s="30" t="str">
        <f t="shared" si="227"/>
        <v>ok</v>
      </c>
    </row>
    <row r="389" spans="1:29" x14ac:dyDescent="0.2">
      <c r="A389" s="14">
        <v>588</v>
      </c>
      <c r="B389" s="14" t="s">
        <v>113</v>
      </c>
      <c r="C389" s="14" t="s">
        <v>491</v>
      </c>
      <c r="D389" s="14" t="s">
        <v>16</v>
      </c>
      <c r="F389" s="50">
        <v>0</v>
      </c>
      <c r="G389" s="50"/>
      <c r="H389" s="50">
        <f t="shared" si="214"/>
        <v>0</v>
      </c>
      <c r="I389" s="50">
        <f t="shared" si="215"/>
        <v>0</v>
      </c>
      <c r="J389" s="50"/>
      <c r="K389" s="50">
        <f t="shared" si="216"/>
        <v>0</v>
      </c>
      <c r="L389" s="50"/>
      <c r="M389" s="50">
        <f t="shared" si="217"/>
        <v>0</v>
      </c>
      <c r="N389" s="50"/>
      <c r="O389" s="50">
        <f t="shared" si="218"/>
        <v>0</v>
      </c>
      <c r="P389" s="50">
        <f t="shared" si="219"/>
        <v>0</v>
      </c>
      <c r="Q389" s="50"/>
      <c r="R389" s="50">
        <f t="shared" si="220"/>
        <v>0</v>
      </c>
      <c r="S389" s="50">
        <f t="shared" si="221"/>
        <v>0</v>
      </c>
      <c r="T389" s="50"/>
      <c r="U389" s="50">
        <f t="shared" si="222"/>
        <v>0</v>
      </c>
      <c r="V389" s="50"/>
      <c r="W389" s="50">
        <f t="shared" si="223"/>
        <v>0</v>
      </c>
      <c r="X389" s="50"/>
      <c r="Y389" s="50">
        <f t="shared" si="224"/>
        <v>0</v>
      </c>
      <c r="Z389" s="50"/>
      <c r="AA389" s="50">
        <f t="shared" si="225"/>
        <v>0</v>
      </c>
      <c r="AB389" s="50">
        <f t="shared" si="226"/>
        <v>0</v>
      </c>
      <c r="AC389" s="30" t="str">
        <f t="shared" si="227"/>
        <v>ok</v>
      </c>
    </row>
    <row r="390" spans="1:29" x14ac:dyDescent="0.2">
      <c r="A390" s="14">
        <v>589</v>
      </c>
      <c r="B390" s="14" t="s">
        <v>115</v>
      </c>
      <c r="C390" s="14" t="s">
        <v>492</v>
      </c>
      <c r="D390" s="14" t="s">
        <v>16</v>
      </c>
      <c r="F390" s="50">
        <v>0</v>
      </c>
      <c r="G390" s="50"/>
      <c r="H390" s="50">
        <f t="shared" si="214"/>
        <v>0</v>
      </c>
      <c r="I390" s="50">
        <f t="shared" si="215"/>
        <v>0</v>
      </c>
      <c r="J390" s="50"/>
      <c r="K390" s="50">
        <f t="shared" si="216"/>
        <v>0</v>
      </c>
      <c r="L390" s="50"/>
      <c r="M390" s="50">
        <f t="shared" si="217"/>
        <v>0</v>
      </c>
      <c r="N390" s="50"/>
      <c r="O390" s="50">
        <f t="shared" si="218"/>
        <v>0</v>
      </c>
      <c r="P390" s="50">
        <f t="shared" si="219"/>
        <v>0</v>
      </c>
      <c r="Q390" s="50"/>
      <c r="R390" s="50">
        <f t="shared" si="220"/>
        <v>0</v>
      </c>
      <c r="S390" s="50">
        <f t="shared" si="221"/>
        <v>0</v>
      </c>
      <c r="T390" s="50"/>
      <c r="U390" s="50">
        <f t="shared" si="222"/>
        <v>0</v>
      </c>
      <c r="V390" s="50"/>
      <c r="W390" s="50">
        <f t="shared" si="223"/>
        <v>0</v>
      </c>
      <c r="X390" s="50"/>
      <c r="Y390" s="50">
        <f t="shared" si="224"/>
        <v>0</v>
      </c>
      <c r="Z390" s="50"/>
      <c r="AA390" s="50">
        <f t="shared" si="225"/>
        <v>0</v>
      </c>
      <c r="AB390" s="50">
        <f t="shared" si="226"/>
        <v>0</v>
      </c>
      <c r="AC390" s="30" t="str">
        <f t="shared" si="227"/>
        <v>ok</v>
      </c>
    </row>
    <row r="391" spans="1:29" x14ac:dyDescent="0.2"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C391" s="30"/>
    </row>
    <row r="392" spans="1:29" x14ac:dyDescent="0.2">
      <c r="A392" s="14" t="s">
        <v>536</v>
      </c>
      <c r="C392" s="14" t="s">
        <v>493</v>
      </c>
      <c r="F392" s="66">
        <f>SUM(F380:F391)</f>
        <v>521098</v>
      </c>
      <c r="G392" s="66"/>
      <c r="H392" s="66">
        <f>SUM(H380:H391)</f>
        <v>0</v>
      </c>
      <c r="I392" s="66">
        <f>SUM(I380:I391)</f>
        <v>0</v>
      </c>
      <c r="J392" s="66"/>
      <c r="K392" s="66">
        <f>SUM(K380:K391)</f>
        <v>0</v>
      </c>
      <c r="L392" s="66"/>
      <c r="M392" s="66">
        <f>SUM(M380:M391)</f>
        <v>0</v>
      </c>
      <c r="N392" s="66"/>
      <c r="O392" s="66">
        <f>SUM(O380:O391)</f>
        <v>178736.89176127617</v>
      </c>
      <c r="P392" s="66">
        <f>SUM(P380:P391)</f>
        <v>54782.108238723813</v>
      </c>
      <c r="Q392" s="66"/>
      <c r="R392" s="66">
        <f>SUM(R380:R391)</f>
        <v>0</v>
      </c>
      <c r="S392" s="66">
        <f>SUM(S380:S391)</f>
        <v>13636</v>
      </c>
      <c r="T392" s="66"/>
      <c r="U392" s="66">
        <f>SUM(U380:U391)</f>
        <v>273943</v>
      </c>
      <c r="V392" s="66"/>
      <c r="W392" s="66">
        <f>SUM(W380:W391)</f>
        <v>0</v>
      </c>
      <c r="X392" s="66"/>
      <c r="Y392" s="66">
        <f>SUM(Y380:Y391)</f>
        <v>0</v>
      </c>
      <c r="Z392" s="66"/>
      <c r="AA392" s="66">
        <f>SUM(AA380:AA391)</f>
        <v>0</v>
      </c>
      <c r="AB392" s="50">
        <f>SUM(H392:AA392)</f>
        <v>521098</v>
      </c>
      <c r="AC392" s="30" t="str">
        <f>IF(ABS(AB392-F392)&lt;1,"ok","err")</f>
        <v>ok</v>
      </c>
    </row>
    <row r="393" spans="1:29" x14ac:dyDescent="0.2"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50"/>
      <c r="AC393" s="30"/>
    </row>
    <row r="394" spans="1:29" x14ac:dyDescent="0.2"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  <c r="AB394" s="50"/>
      <c r="AC394" s="30"/>
    </row>
    <row r="395" spans="1:29" x14ac:dyDescent="0.2">
      <c r="A395" s="13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C395" s="30"/>
    </row>
    <row r="396" spans="1:29" x14ac:dyDescent="0.2">
      <c r="A396" s="28" t="s">
        <v>473</v>
      </c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C396" s="30"/>
    </row>
    <row r="397" spans="1:29" x14ac:dyDescent="0.2"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C397" s="30"/>
    </row>
    <row r="398" spans="1:29" x14ac:dyDescent="0.2">
      <c r="A398" s="13" t="s">
        <v>537</v>
      </c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C398" s="30"/>
    </row>
    <row r="399" spans="1:29" x14ac:dyDescent="0.2">
      <c r="A399" s="14">
        <v>590</v>
      </c>
      <c r="B399" s="14" t="s">
        <v>120</v>
      </c>
      <c r="C399" s="14" t="s">
        <v>494</v>
      </c>
      <c r="D399" s="14" t="s">
        <v>16</v>
      </c>
      <c r="F399" s="66">
        <v>0</v>
      </c>
      <c r="G399" s="66"/>
      <c r="H399" s="50">
        <f t="shared" ref="H399:H406" si="228">IF(VLOOKUP($D399,$C$5:$AA$494,6,)=0,0,((VLOOKUP($D399,$C$5:$AA$494,6,)/VLOOKUP($D399,$C$5:$AA$494,4,))*$F399))</f>
        <v>0</v>
      </c>
      <c r="I399" s="50">
        <f t="shared" ref="I399:I406" si="229">IF(VLOOKUP($D399,$C$5:$AA$494,7,)=0,0,((VLOOKUP($D399,$C$5:$AA$494,7,)/VLOOKUP($D399,$C$5:$AA$494,4,))*$F399))</f>
        <v>0</v>
      </c>
      <c r="J399" s="50"/>
      <c r="K399" s="50">
        <f t="shared" ref="K399:K406" si="230">IF(VLOOKUP($D399,$C$5:$AA$494,9,)=0,0,((VLOOKUP($D399,$C$5:$AA$494,9,)/VLOOKUP($D399,$C$5:$AA$494,4,))*$F399))</f>
        <v>0</v>
      </c>
      <c r="L399" s="50"/>
      <c r="M399" s="50">
        <f t="shared" ref="M399:M406" si="231">IF(VLOOKUP($D399,$C$5:$AA$494,11,)=0,0,((VLOOKUP($D399,$C$5:$AA$494,11,)/VLOOKUP($D399,$C$5:$AA$494,4,))*$F399))</f>
        <v>0</v>
      </c>
      <c r="N399" s="50"/>
      <c r="O399" s="50">
        <f t="shared" ref="O399:O406" si="232">IF(VLOOKUP($D399,$C$5:$AA$494,13,)=0,0,((VLOOKUP($D399,$C$5:$AA$494,13,)/VLOOKUP($D399,$C$5:$AA$494,4,))*$F399))</f>
        <v>0</v>
      </c>
      <c r="P399" s="50">
        <f t="shared" ref="P399:P406" si="233">IF(VLOOKUP($D399,$C$5:$AA$494,14,)=0,0,((VLOOKUP($D399,$C$5:$AA$494,14,)/VLOOKUP($D399,$C$5:$AA$494,4,))*$F399))</f>
        <v>0</v>
      </c>
      <c r="Q399" s="50"/>
      <c r="R399" s="50">
        <f t="shared" ref="R399:R406" si="234">IF(VLOOKUP($D399,$C$5:$AA$494,16,)=0,0,((VLOOKUP($D399,$C$5:$AA$494,16,)/VLOOKUP($D399,$C$5:$AA$494,4,))*$F399))</f>
        <v>0</v>
      </c>
      <c r="S399" s="50">
        <f t="shared" ref="S399:S406" si="235">IF(VLOOKUP($D399,$C$5:$AA$494,17,)=0,0,((VLOOKUP($D399,$C$5:$AA$494,17,)/VLOOKUP($D399,$C$5:$AA$494,4,))*$F399))</f>
        <v>0</v>
      </c>
      <c r="T399" s="50"/>
      <c r="U399" s="50">
        <f t="shared" ref="U399:U406" si="236">IF(VLOOKUP($D399,$C$5:$AA$494,19,)=0,0,((VLOOKUP($D399,$C$5:$AA$494,19,)/VLOOKUP($D399,$C$5:$AA$494,4,))*$F399))</f>
        <v>0</v>
      </c>
      <c r="V399" s="50"/>
      <c r="W399" s="50">
        <f t="shared" ref="W399:W406" si="237">IF(VLOOKUP($D399,$C$5:$AA$494,21,)=0,0,((VLOOKUP($D399,$C$5:$AA$494,21,)/VLOOKUP($D399,$C$5:$AA$494,4,))*$F399))</f>
        <v>0</v>
      </c>
      <c r="X399" s="50"/>
      <c r="Y399" s="50">
        <f t="shared" ref="Y399:Y406" si="238">IF(VLOOKUP($D399,$C$5:$AA$494,23,)=0,0,((VLOOKUP($D399,$C$5:$AA$494,23,)/VLOOKUP($D399,$C$5:$AA$494,4,))*$F399))</f>
        <v>0</v>
      </c>
      <c r="Z399" s="50"/>
      <c r="AA399" s="50">
        <f t="shared" ref="AA399:AA406" si="239">IF(VLOOKUP($D399,$C$5:$AA$494,25,)=0,0,((VLOOKUP($D399,$C$5:$AA$494,25,)/VLOOKUP($D399,$C$5:$AA$494,4,))*$F399))</f>
        <v>0</v>
      </c>
      <c r="AB399" s="50">
        <f t="shared" ref="AB399:AB406" si="240">SUM(H399:AA399)</f>
        <v>0</v>
      </c>
      <c r="AC399" s="30" t="str">
        <f t="shared" ref="AC399:AC406" si="241">IF(ABS(AB399-F399)&lt;1,"ok","err")</f>
        <v>ok</v>
      </c>
    </row>
    <row r="400" spans="1:29" x14ac:dyDescent="0.2">
      <c r="A400" s="14">
        <v>592</v>
      </c>
      <c r="B400" s="14" t="s">
        <v>122</v>
      </c>
      <c r="C400" s="14" t="s">
        <v>495</v>
      </c>
      <c r="D400" s="14" t="s">
        <v>23</v>
      </c>
      <c r="F400" s="50">
        <v>0</v>
      </c>
      <c r="G400" s="50"/>
      <c r="H400" s="50">
        <f t="shared" si="228"/>
        <v>0</v>
      </c>
      <c r="I400" s="50">
        <f t="shared" si="229"/>
        <v>0</v>
      </c>
      <c r="J400" s="50"/>
      <c r="K400" s="50">
        <f t="shared" si="230"/>
        <v>0</v>
      </c>
      <c r="L400" s="50"/>
      <c r="M400" s="50">
        <f t="shared" si="231"/>
        <v>0</v>
      </c>
      <c r="N400" s="50"/>
      <c r="O400" s="50">
        <f t="shared" si="232"/>
        <v>0</v>
      </c>
      <c r="P400" s="50">
        <f t="shared" si="233"/>
        <v>0</v>
      </c>
      <c r="Q400" s="50"/>
      <c r="R400" s="50">
        <f t="shared" si="234"/>
        <v>0</v>
      </c>
      <c r="S400" s="50">
        <f t="shared" si="235"/>
        <v>0</v>
      </c>
      <c r="T400" s="50"/>
      <c r="U400" s="50">
        <f t="shared" si="236"/>
        <v>0</v>
      </c>
      <c r="V400" s="50"/>
      <c r="W400" s="50">
        <f t="shared" si="237"/>
        <v>0</v>
      </c>
      <c r="X400" s="50"/>
      <c r="Y400" s="50">
        <f t="shared" si="238"/>
        <v>0</v>
      </c>
      <c r="Z400" s="50"/>
      <c r="AA400" s="50">
        <f t="shared" si="239"/>
        <v>0</v>
      </c>
      <c r="AB400" s="50">
        <f t="shared" si="240"/>
        <v>0</v>
      </c>
      <c r="AC400" s="30" t="str">
        <f t="shared" si="241"/>
        <v>ok</v>
      </c>
    </row>
    <row r="401" spans="1:29" x14ac:dyDescent="0.2">
      <c r="A401" s="14">
        <v>593</v>
      </c>
      <c r="B401" s="14" t="s">
        <v>124</v>
      </c>
      <c r="C401" s="14" t="s">
        <v>496</v>
      </c>
      <c r="D401" s="14" t="s">
        <v>29</v>
      </c>
      <c r="F401" s="50">
        <f>1288575+1717+74810+31236+193894</f>
        <v>1590232</v>
      </c>
      <c r="G401" s="50"/>
      <c r="H401" s="50">
        <f t="shared" si="228"/>
        <v>0</v>
      </c>
      <c r="I401" s="50">
        <f t="shared" si="229"/>
        <v>0</v>
      </c>
      <c r="J401" s="50"/>
      <c r="K401" s="50">
        <f t="shared" si="230"/>
        <v>0</v>
      </c>
      <c r="L401" s="50"/>
      <c r="M401" s="50">
        <f t="shared" si="231"/>
        <v>0</v>
      </c>
      <c r="N401" s="50"/>
      <c r="O401" s="50">
        <f t="shared" si="232"/>
        <v>1217173.4413872864</v>
      </c>
      <c r="P401" s="50">
        <f t="shared" si="233"/>
        <v>373058.55861271353</v>
      </c>
      <c r="Q401" s="50"/>
      <c r="R401" s="50">
        <f t="shared" si="234"/>
        <v>0</v>
      </c>
      <c r="S401" s="50">
        <f t="shared" si="235"/>
        <v>0</v>
      </c>
      <c r="T401" s="50"/>
      <c r="U401" s="50">
        <f t="shared" si="236"/>
        <v>0</v>
      </c>
      <c r="V401" s="50"/>
      <c r="W401" s="50">
        <f t="shared" si="237"/>
        <v>0</v>
      </c>
      <c r="X401" s="50"/>
      <c r="Y401" s="50">
        <f t="shared" si="238"/>
        <v>0</v>
      </c>
      <c r="Z401" s="50"/>
      <c r="AA401" s="50">
        <f t="shared" si="239"/>
        <v>0</v>
      </c>
      <c r="AB401" s="50">
        <f t="shared" si="240"/>
        <v>1590232</v>
      </c>
      <c r="AC401" s="30" t="str">
        <f t="shared" si="241"/>
        <v>ok</v>
      </c>
    </row>
    <row r="402" spans="1:29" x14ac:dyDescent="0.2">
      <c r="A402" s="14">
        <v>594</v>
      </c>
      <c r="B402" s="14" t="s">
        <v>126</v>
      </c>
      <c r="C402" s="14" t="s">
        <v>497</v>
      </c>
      <c r="D402" s="14" t="s">
        <v>35</v>
      </c>
      <c r="F402" s="50">
        <v>0</v>
      </c>
      <c r="G402" s="50"/>
      <c r="H402" s="50">
        <f t="shared" si="228"/>
        <v>0</v>
      </c>
      <c r="I402" s="50">
        <f t="shared" si="229"/>
        <v>0</v>
      </c>
      <c r="J402" s="50"/>
      <c r="K402" s="50">
        <f t="shared" si="230"/>
        <v>0</v>
      </c>
      <c r="L402" s="50"/>
      <c r="M402" s="50">
        <f t="shared" si="231"/>
        <v>0</v>
      </c>
      <c r="N402" s="50"/>
      <c r="O402" s="50">
        <f t="shared" si="232"/>
        <v>0</v>
      </c>
      <c r="P402" s="50">
        <f t="shared" si="233"/>
        <v>0</v>
      </c>
      <c r="Q402" s="50"/>
      <c r="R402" s="50">
        <f t="shared" si="234"/>
        <v>0</v>
      </c>
      <c r="S402" s="50">
        <f t="shared" si="235"/>
        <v>0</v>
      </c>
      <c r="T402" s="50"/>
      <c r="U402" s="50">
        <f t="shared" si="236"/>
        <v>0</v>
      </c>
      <c r="V402" s="50"/>
      <c r="W402" s="50">
        <f t="shared" si="237"/>
        <v>0</v>
      </c>
      <c r="X402" s="50"/>
      <c r="Y402" s="50">
        <f t="shared" si="238"/>
        <v>0</v>
      </c>
      <c r="Z402" s="50"/>
      <c r="AA402" s="50">
        <f t="shared" si="239"/>
        <v>0</v>
      </c>
      <c r="AB402" s="50">
        <f t="shared" si="240"/>
        <v>0</v>
      </c>
      <c r="AC402" s="30" t="str">
        <f t="shared" si="241"/>
        <v>ok</v>
      </c>
    </row>
    <row r="403" spans="1:29" x14ac:dyDescent="0.2">
      <c r="A403" s="14">
        <v>595</v>
      </c>
      <c r="B403" s="14" t="s">
        <v>128</v>
      </c>
      <c r="C403" s="14" t="s">
        <v>498</v>
      </c>
      <c r="D403" s="14" t="s">
        <v>37</v>
      </c>
      <c r="F403" s="50">
        <v>0</v>
      </c>
      <c r="G403" s="50"/>
      <c r="H403" s="50">
        <f t="shared" si="228"/>
        <v>0</v>
      </c>
      <c r="I403" s="50">
        <f t="shared" si="229"/>
        <v>0</v>
      </c>
      <c r="J403" s="50"/>
      <c r="K403" s="50">
        <f t="shared" si="230"/>
        <v>0</v>
      </c>
      <c r="L403" s="50"/>
      <c r="M403" s="50">
        <f t="shared" si="231"/>
        <v>0</v>
      </c>
      <c r="N403" s="50"/>
      <c r="O403" s="50">
        <f t="shared" si="232"/>
        <v>0</v>
      </c>
      <c r="P403" s="50">
        <f t="shared" si="233"/>
        <v>0</v>
      </c>
      <c r="Q403" s="50"/>
      <c r="R403" s="50">
        <f t="shared" si="234"/>
        <v>0</v>
      </c>
      <c r="S403" s="50">
        <f t="shared" si="235"/>
        <v>0</v>
      </c>
      <c r="T403" s="50"/>
      <c r="U403" s="50">
        <f t="shared" si="236"/>
        <v>0</v>
      </c>
      <c r="V403" s="50"/>
      <c r="W403" s="50">
        <f t="shared" si="237"/>
        <v>0</v>
      </c>
      <c r="X403" s="50"/>
      <c r="Y403" s="50">
        <f t="shared" si="238"/>
        <v>0</v>
      </c>
      <c r="Z403" s="50"/>
      <c r="AA403" s="50">
        <f t="shared" si="239"/>
        <v>0</v>
      </c>
      <c r="AB403" s="50">
        <f t="shared" si="240"/>
        <v>0</v>
      </c>
      <c r="AC403" s="30" t="str">
        <f t="shared" si="241"/>
        <v>ok</v>
      </c>
    </row>
    <row r="404" spans="1:29" x14ac:dyDescent="0.2">
      <c r="A404" s="14">
        <v>596</v>
      </c>
      <c r="B404" s="14" t="s">
        <v>380</v>
      </c>
      <c r="C404" s="14" t="s">
        <v>499</v>
      </c>
      <c r="D404" s="14" t="s">
        <v>48</v>
      </c>
      <c r="F404" s="50">
        <v>0</v>
      </c>
      <c r="G404" s="50"/>
      <c r="H404" s="50">
        <f t="shared" si="228"/>
        <v>0</v>
      </c>
      <c r="I404" s="50">
        <f t="shared" si="229"/>
        <v>0</v>
      </c>
      <c r="J404" s="50"/>
      <c r="K404" s="50">
        <f t="shared" si="230"/>
        <v>0</v>
      </c>
      <c r="L404" s="50"/>
      <c r="M404" s="50">
        <f t="shared" si="231"/>
        <v>0</v>
      </c>
      <c r="N404" s="50"/>
      <c r="O404" s="50">
        <f t="shared" si="232"/>
        <v>0</v>
      </c>
      <c r="P404" s="50">
        <f t="shared" si="233"/>
        <v>0</v>
      </c>
      <c r="Q404" s="50"/>
      <c r="R404" s="50">
        <f t="shared" si="234"/>
        <v>0</v>
      </c>
      <c r="S404" s="50">
        <f t="shared" si="235"/>
        <v>0</v>
      </c>
      <c r="T404" s="50"/>
      <c r="U404" s="50">
        <f t="shared" si="236"/>
        <v>0</v>
      </c>
      <c r="V404" s="50"/>
      <c r="W404" s="50">
        <f t="shared" si="237"/>
        <v>0</v>
      </c>
      <c r="X404" s="50"/>
      <c r="Y404" s="50">
        <f t="shared" si="238"/>
        <v>0</v>
      </c>
      <c r="Z404" s="50"/>
      <c r="AA404" s="50">
        <f t="shared" si="239"/>
        <v>0</v>
      </c>
      <c r="AB404" s="50">
        <f t="shared" si="240"/>
        <v>0</v>
      </c>
      <c r="AC404" s="30" t="str">
        <f t="shared" si="241"/>
        <v>ok</v>
      </c>
    </row>
    <row r="405" spans="1:29" x14ac:dyDescent="0.2">
      <c r="A405" s="14">
        <v>597</v>
      </c>
      <c r="B405" s="14" t="s">
        <v>130</v>
      </c>
      <c r="C405" s="14" t="s">
        <v>500</v>
      </c>
      <c r="D405" s="14" t="s">
        <v>43</v>
      </c>
      <c r="F405" s="50">
        <f>17888+1126</f>
        <v>19014</v>
      </c>
      <c r="G405" s="50"/>
      <c r="H405" s="50">
        <f t="shared" si="228"/>
        <v>0</v>
      </c>
      <c r="I405" s="50">
        <f t="shared" si="229"/>
        <v>0</v>
      </c>
      <c r="J405" s="50"/>
      <c r="K405" s="50">
        <f t="shared" si="230"/>
        <v>0</v>
      </c>
      <c r="L405" s="50"/>
      <c r="M405" s="50">
        <f t="shared" si="231"/>
        <v>0</v>
      </c>
      <c r="N405" s="50"/>
      <c r="O405" s="50">
        <f t="shared" si="232"/>
        <v>0</v>
      </c>
      <c r="P405" s="50">
        <f t="shared" si="233"/>
        <v>0</v>
      </c>
      <c r="Q405" s="50"/>
      <c r="R405" s="50">
        <f t="shared" si="234"/>
        <v>0</v>
      </c>
      <c r="S405" s="50">
        <f t="shared" si="235"/>
        <v>0</v>
      </c>
      <c r="T405" s="50"/>
      <c r="U405" s="50">
        <f t="shared" si="236"/>
        <v>19014</v>
      </c>
      <c r="V405" s="50"/>
      <c r="W405" s="50">
        <f t="shared" si="237"/>
        <v>0</v>
      </c>
      <c r="X405" s="50"/>
      <c r="Y405" s="50">
        <f t="shared" si="238"/>
        <v>0</v>
      </c>
      <c r="Z405" s="50"/>
      <c r="AA405" s="50">
        <f t="shared" si="239"/>
        <v>0</v>
      </c>
      <c r="AB405" s="50">
        <f t="shared" si="240"/>
        <v>19014</v>
      </c>
      <c r="AC405" s="30" t="str">
        <f t="shared" si="241"/>
        <v>ok</v>
      </c>
    </row>
    <row r="406" spans="1:29" x14ac:dyDescent="0.2">
      <c r="A406" s="14">
        <v>598</v>
      </c>
      <c r="B406" s="14" t="s">
        <v>384</v>
      </c>
      <c r="C406" s="14" t="s">
        <v>501</v>
      </c>
      <c r="D406" s="14" t="s">
        <v>16</v>
      </c>
      <c r="F406" s="50">
        <v>201124</v>
      </c>
      <c r="G406" s="50"/>
      <c r="H406" s="50">
        <f t="shared" si="228"/>
        <v>0</v>
      </c>
      <c r="I406" s="50">
        <f t="shared" si="229"/>
        <v>0</v>
      </c>
      <c r="J406" s="50"/>
      <c r="K406" s="50">
        <f t="shared" si="230"/>
        <v>0</v>
      </c>
      <c r="L406" s="50"/>
      <c r="M406" s="50">
        <f t="shared" si="231"/>
        <v>9.7506872664371169</v>
      </c>
      <c r="N406" s="50"/>
      <c r="O406" s="50">
        <f t="shared" si="232"/>
        <v>106170.88078306365</v>
      </c>
      <c r="P406" s="50">
        <f t="shared" si="233"/>
        <v>54574.695286640257</v>
      </c>
      <c r="Q406" s="50"/>
      <c r="R406" s="50">
        <f t="shared" si="234"/>
        <v>0</v>
      </c>
      <c r="S406" s="50">
        <f t="shared" si="235"/>
        <v>17114.16488438028</v>
      </c>
      <c r="T406" s="50"/>
      <c r="U406" s="50">
        <f t="shared" si="236"/>
        <v>10109.073115833993</v>
      </c>
      <c r="V406" s="50"/>
      <c r="W406" s="50">
        <f t="shared" si="237"/>
        <v>13145.435242815362</v>
      </c>
      <c r="X406" s="50"/>
      <c r="Y406" s="50">
        <f t="shared" si="238"/>
        <v>0</v>
      </c>
      <c r="Z406" s="50"/>
      <c r="AA406" s="50">
        <f t="shared" si="239"/>
        <v>0</v>
      </c>
      <c r="AB406" s="50">
        <f t="shared" si="240"/>
        <v>201123.99999999997</v>
      </c>
      <c r="AC406" s="30" t="str">
        <f t="shared" si="241"/>
        <v>ok</v>
      </c>
    </row>
    <row r="407" spans="1:29" x14ac:dyDescent="0.2"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30"/>
    </row>
    <row r="408" spans="1:29" x14ac:dyDescent="0.2">
      <c r="A408" s="14" t="s">
        <v>538</v>
      </c>
      <c r="C408" s="14" t="s">
        <v>502</v>
      </c>
      <c r="F408" s="66">
        <f>SUM(F399:F407)</f>
        <v>1810370</v>
      </c>
      <c r="G408" s="66"/>
      <c r="H408" s="66">
        <f>SUM(H399:H407)</f>
        <v>0</v>
      </c>
      <c r="I408" s="66">
        <f>SUM(I399:I407)</f>
        <v>0</v>
      </c>
      <c r="J408" s="66"/>
      <c r="K408" s="66">
        <f>SUM(K399:K407)</f>
        <v>0</v>
      </c>
      <c r="L408" s="66"/>
      <c r="M408" s="66">
        <f>SUM(M399:M407)</f>
        <v>9.7506872664371169</v>
      </c>
      <c r="N408" s="66"/>
      <c r="O408" s="66">
        <f>SUM(O399:O407)</f>
        <v>1323344.32217035</v>
      </c>
      <c r="P408" s="66">
        <f>SUM(P399:P407)</f>
        <v>427633.25389935379</v>
      </c>
      <c r="Q408" s="66"/>
      <c r="R408" s="66">
        <f>SUM(R399:R407)</f>
        <v>0</v>
      </c>
      <c r="S408" s="66">
        <f>SUM(S399:S407)</f>
        <v>17114.16488438028</v>
      </c>
      <c r="T408" s="66"/>
      <c r="U408" s="66">
        <f>SUM(U399:U407)</f>
        <v>29123.073115833991</v>
      </c>
      <c r="V408" s="66"/>
      <c r="W408" s="66">
        <f>SUM(W399:W407)</f>
        <v>13145.435242815362</v>
      </c>
      <c r="X408" s="66"/>
      <c r="Y408" s="66">
        <f>SUM(Y399:Y407)</f>
        <v>0</v>
      </c>
      <c r="Z408" s="66"/>
      <c r="AA408" s="66">
        <f>SUM(AA399:AA407)</f>
        <v>0</v>
      </c>
      <c r="AB408" s="50">
        <f>SUM(H408:AA408)</f>
        <v>1810370</v>
      </c>
      <c r="AC408" s="30" t="str">
        <f>IF(ABS(AB408-F408)&lt;1,"ok","err")</f>
        <v>ok</v>
      </c>
    </row>
    <row r="409" spans="1:29" x14ac:dyDescent="0.2"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C409" s="30"/>
    </row>
    <row r="410" spans="1:29" x14ac:dyDescent="0.2">
      <c r="A410" s="14" t="s">
        <v>539</v>
      </c>
      <c r="F410" s="50">
        <f>F392+F408</f>
        <v>2331468</v>
      </c>
      <c r="G410" s="50"/>
      <c r="H410" s="50">
        <f>H392+H408</f>
        <v>0</v>
      </c>
      <c r="I410" s="50">
        <f>I392+I408</f>
        <v>0</v>
      </c>
      <c r="J410" s="50"/>
      <c r="K410" s="50">
        <f>K392+K408</f>
        <v>0</v>
      </c>
      <c r="L410" s="50"/>
      <c r="M410" s="50">
        <f>M392+M408</f>
        <v>9.7506872664371169</v>
      </c>
      <c r="N410" s="50"/>
      <c r="O410" s="50">
        <f>O392+O408</f>
        <v>1502081.2139316262</v>
      </c>
      <c r="P410" s="50">
        <f>P392+P408</f>
        <v>482415.36213807762</v>
      </c>
      <c r="Q410" s="50"/>
      <c r="R410" s="50">
        <f>R392+R408</f>
        <v>0</v>
      </c>
      <c r="S410" s="50">
        <f>S392+S408</f>
        <v>30750.16488438028</v>
      </c>
      <c r="T410" s="50"/>
      <c r="U410" s="50">
        <f>U392+U408</f>
        <v>303066.07311583398</v>
      </c>
      <c r="V410" s="50"/>
      <c r="W410" s="50">
        <f>W392+W408</f>
        <v>13145.435242815362</v>
      </c>
      <c r="X410" s="50"/>
      <c r="Y410" s="50">
        <f>Y392+Y408</f>
        <v>0</v>
      </c>
      <c r="Z410" s="50"/>
      <c r="AA410" s="50">
        <f>AA392+AA408</f>
        <v>0</v>
      </c>
      <c r="AB410" s="50">
        <f>SUM(H410:AA410)</f>
        <v>2331468</v>
      </c>
      <c r="AC410" s="30" t="str">
        <f>IF(ABS(AB410-F410)&lt;1,"ok","err")</f>
        <v>ok</v>
      </c>
    </row>
    <row r="411" spans="1:29" x14ac:dyDescent="0.2"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C411" s="30"/>
    </row>
    <row r="412" spans="1:29" x14ac:dyDescent="0.2">
      <c r="A412" s="14" t="s">
        <v>540</v>
      </c>
      <c r="F412" s="50">
        <f>F410+F377</f>
        <v>2331468</v>
      </c>
      <c r="G412" s="50"/>
      <c r="H412" s="50">
        <f>H410+H377</f>
        <v>0</v>
      </c>
      <c r="I412" s="50">
        <f>I410+I377</f>
        <v>0</v>
      </c>
      <c r="J412" s="50"/>
      <c r="K412" s="50">
        <f>K410+K377</f>
        <v>0</v>
      </c>
      <c r="L412" s="50"/>
      <c r="M412" s="50">
        <f>M410+M377</f>
        <v>9.7506872664371169</v>
      </c>
      <c r="N412" s="50"/>
      <c r="O412" s="50">
        <f>O410+O377</f>
        <v>1502081.2139316262</v>
      </c>
      <c r="P412" s="50">
        <f>P410+P377</f>
        <v>482415.36213807762</v>
      </c>
      <c r="Q412" s="50"/>
      <c r="R412" s="50">
        <f>R410+R377</f>
        <v>0</v>
      </c>
      <c r="S412" s="50">
        <f>S410+S377</f>
        <v>30750.16488438028</v>
      </c>
      <c r="T412" s="50"/>
      <c r="U412" s="50">
        <f>U410+U377</f>
        <v>303066.07311583398</v>
      </c>
      <c r="V412" s="50"/>
      <c r="W412" s="50">
        <f>W410+W377</f>
        <v>13145.435242815362</v>
      </c>
      <c r="X412" s="50"/>
      <c r="Y412" s="50">
        <f>Y410+Y377</f>
        <v>0</v>
      </c>
      <c r="Z412" s="50"/>
      <c r="AA412" s="50">
        <f>AA410+AA377</f>
        <v>0</v>
      </c>
      <c r="AB412" s="50">
        <f>SUM(H412:AA412)</f>
        <v>2331468</v>
      </c>
      <c r="AC412" s="30" t="str">
        <f>IF(ABS(AB412-F412)&lt;1,"ok","err")</f>
        <v>ok</v>
      </c>
    </row>
    <row r="413" spans="1:29" x14ac:dyDescent="0.2"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C413" s="30"/>
    </row>
    <row r="414" spans="1:29" x14ac:dyDescent="0.2">
      <c r="A414" s="14" t="s">
        <v>541</v>
      </c>
      <c r="C414" s="14" t="s">
        <v>503</v>
      </c>
      <c r="F414" s="66">
        <f>F412+F365</f>
        <v>2331468</v>
      </c>
      <c r="G414" s="66"/>
      <c r="H414" s="66">
        <f>H412+H365</f>
        <v>0</v>
      </c>
      <c r="I414" s="66">
        <f>I412+I365</f>
        <v>0</v>
      </c>
      <c r="J414" s="66"/>
      <c r="K414" s="66">
        <f>K412+K365</f>
        <v>0</v>
      </c>
      <c r="L414" s="66"/>
      <c r="M414" s="66">
        <f>M412+M365</f>
        <v>9.7506872664371169</v>
      </c>
      <c r="N414" s="66"/>
      <c r="O414" s="66">
        <f>O412+O365</f>
        <v>1502081.2139316262</v>
      </c>
      <c r="P414" s="66">
        <f>P412+P365</f>
        <v>482415.36213807762</v>
      </c>
      <c r="Q414" s="66"/>
      <c r="R414" s="66">
        <f>R412+R365</f>
        <v>0</v>
      </c>
      <c r="S414" s="66">
        <f>S412+S365</f>
        <v>30750.16488438028</v>
      </c>
      <c r="T414" s="66"/>
      <c r="U414" s="66">
        <f>U412+U365</f>
        <v>303066.07311583398</v>
      </c>
      <c r="V414" s="66"/>
      <c r="W414" s="66">
        <f>W412+W365</f>
        <v>13145.435242815362</v>
      </c>
      <c r="X414" s="66"/>
      <c r="Y414" s="66">
        <f>Y412+Y365</f>
        <v>0</v>
      </c>
      <c r="Z414" s="66"/>
      <c r="AA414" s="66">
        <f>AA412+AA365</f>
        <v>0</v>
      </c>
      <c r="AB414" s="50">
        <f>SUM(H414:AA414)</f>
        <v>2331468</v>
      </c>
      <c r="AC414" s="30" t="str">
        <f>IF(ABS(AB414-F414)&lt;1,"ok","err")</f>
        <v>ok</v>
      </c>
    </row>
    <row r="415" spans="1:29" x14ac:dyDescent="0.2">
      <c r="A415" s="13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C415" s="30"/>
    </row>
    <row r="416" spans="1:29" x14ac:dyDescent="0.2">
      <c r="A416" s="13" t="s">
        <v>137</v>
      </c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C416" s="30"/>
    </row>
    <row r="417" spans="1:29" x14ac:dyDescent="0.2">
      <c r="A417" s="14">
        <v>901</v>
      </c>
      <c r="B417" s="14" t="s">
        <v>138</v>
      </c>
      <c r="C417" s="14" t="s">
        <v>504</v>
      </c>
      <c r="D417" s="14" t="s">
        <v>140</v>
      </c>
      <c r="F417" s="66">
        <v>0</v>
      </c>
      <c r="G417" s="66"/>
      <c r="H417" s="50">
        <f>IF(VLOOKUP($D417,$C$5:$AA$494,6,)=0,0,((VLOOKUP($D417,$C$5:$AA$494,6,)/VLOOKUP($D417,$C$5:$AA$494,4,))*$F417))</f>
        <v>0</v>
      </c>
      <c r="I417" s="50">
        <f>IF(VLOOKUP($D417,$C$5:$AA$494,7,)=0,0,((VLOOKUP($D417,$C$5:$AA$494,7,)/VLOOKUP($D417,$C$5:$AA$494,4,))*$F417))</f>
        <v>0</v>
      </c>
      <c r="J417" s="50"/>
      <c r="K417" s="50">
        <f>IF(VLOOKUP($D417,$C$5:$AA$494,9,)=0,0,((VLOOKUP($D417,$C$5:$AA$494,9,)/VLOOKUP($D417,$C$5:$AA$494,4,))*$F417))</f>
        <v>0</v>
      </c>
      <c r="L417" s="50"/>
      <c r="M417" s="50">
        <f>IF(VLOOKUP($D417,$C$5:$AA$494,11,)=0,0,((VLOOKUP($D417,$C$5:$AA$494,11,)/VLOOKUP($D417,$C$5:$AA$494,4,))*$F417))</f>
        <v>0</v>
      </c>
      <c r="N417" s="50"/>
      <c r="O417" s="50">
        <f>IF(VLOOKUP($D417,$C$5:$AA$494,13,)=0,0,((VLOOKUP($D417,$C$5:$AA$494,13,)/VLOOKUP($D417,$C$5:$AA$494,4,))*$F417))</f>
        <v>0</v>
      </c>
      <c r="P417" s="50">
        <f>IF(VLOOKUP($D417,$C$5:$AA$494,14,)=0,0,((VLOOKUP($D417,$C$5:$AA$494,14,)/VLOOKUP($D417,$C$5:$AA$494,4,))*$F417))</f>
        <v>0</v>
      </c>
      <c r="Q417" s="50"/>
      <c r="R417" s="50">
        <f>IF(VLOOKUP($D417,$C$5:$AA$494,16,)=0,0,((VLOOKUP($D417,$C$5:$AA$494,16,)/VLOOKUP($D417,$C$5:$AA$494,4,))*$F417))</f>
        <v>0</v>
      </c>
      <c r="S417" s="50">
        <f>IF(VLOOKUP($D417,$C$5:$AA$494,17,)=0,0,((VLOOKUP($D417,$C$5:$AA$494,17,)/VLOOKUP($D417,$C$5:$AA$494,4,))*$F417))</f>
        <v>0</v>
      </c>
      <c r="T417" s="50"/>
      <c r="U417" s="50">
        <f>IF(VLOOKUP($D417,$C$5:$AA$494,19,)=0,0,((VLOOKUP($D417,$C$5:$AA$494,19,)/VLOOKUP($D417,$C$5:$AA$494,4,))*$F417))</f>
        <v>0</v>
      </c>
      <c r="V417" s="50"/>
      <c r="W417" s="50">
        <f>IF(VLOOKUP($D417,$C$5:$AA$494,21,)=0,0,((VLOOKUP($D417,$C$5:$AA$494,21,)/VLOOKUP($D417,$C$5:$AA$494,4,))*$F417))</f>
        <v>0</v>
      </c>
      <c r="X417" s="50"/>
      <c r="Y417" s="50">
        <f>IF(VLOOKUP($D417,$C$5:$AA$494,23,)=0,0,((VLOOKUP($D417,$C$5:$AA$494,23,)/VLOOKUP($D417,$C$5:$AA$494,4,))*$F417))</f>
        <v>0</v>
      </c>
      <c r="Z417" s="50"/>
      <c r="AA417" s="50">
        <f>IF(VLOOKUP($D417,$C$5:$AA$494,25,)=0,0,((VLOOKUP($D417,$C$5:$AA$494,25,)/VLOOKUP($D417,$C$5:$AA$494,4,))*$F417))</f>
        <v>0</v>
      </c>
      <c r="AB417" s="50">
        <f>SUM(H417:AA417)</f>
        <v>0</v>
      </c>
      <c r="AC417" s="30" t="str">
        <f>IF(ABS(AB417-F417)&lt;1,"ok","err")</f>
        <v>ok</v>
      </c>
    </row>
    <row r="418" spans="1:29" x14ac:dyDescent="0.2">
      <c r="A418" s="14">
        <v>902</v>
      </c>
      <c r="B418" s="14" t="s">
        <v>141</v>
      </c>
      <c r="C418" s="14" t="s">
        <v>505</v>
      </c>
      <c r="D418" s="14" t="s">
        <v>140</v>
      </c>
      <c r="F418" s="50">
        <v>38467.46</v>
      </c>
      <c r="G418" s="50"/>
      <c r="H418" s="50">
        <f>IF(VLOOKUP($D418,$C$5:$AA$494,6,)=0,0,((VLOOKUP($D418,$C$5:$AA$494,6,)/VLOOKUP($D418,$C$5:$AA$494,4,))*$F418))</f>
        <v>0</v>
      </c>
      <c r="I418" s="50">
        <f>IF(VLOOKUP($D418,$C$5:$AA$494,7,)=0,0,((VLOOKUP($D418,$C$5:$AA$494,7,)/VLOOKUP($D418,$C$5:$AA$494,4,))*$F418))</f>
        <v>0</v>
      </c>
      <c r="J418" s="50"/>
      <c r="K418" s="50">
        <f>IF(VLOOKUP($D418,$C$5:$AA$494,9,)=0,0,((VLOOKUP($D418,$C$5:$AA$494,9,)/VLOOKUP($D418,$C$5:$AA$494,4,))*$F418))</f>
        <v>0</v>
      </c>
      <c r="L418" s="50"/>
      <c r="M418" s="50">
        <f>IF(VLOOKUP($D418,$C$5:$AA$494,11,)=0,0,((VLOOKUP($D418,$C$5:$AA$494,11,)/VLOOKUP($D418,$C$5:$AA$494,4,))*$F418))</f>
        <v>0</v>
      </c>
      <c r="N418" s="50"/>
      <c r="O418" s="50">
        <f>IF(VLOOKUP($D418,$C$5:$AA$494,13,)=0,0,((VLOOKUP($D418,$C$5:$AA$494,13,)/VLOOKUP($D418,$C$5:$AA$494,4,))*$F418))</f>
        <v>0</v>
      </c>
      <c r="P418" s="50">
        <f>IF(VLOOKUP($D418,$C$5:$AA$494,14,)=0,0,((VLOOKUP($D418,$C$5:$AA$494,14,)/VLOOKUP($D418,$C$5:$AA$494,4,))*$F418))</f>
        <v>0</v>
      </c>
      <c r="Q418" s="50"/>
      <c r="R418" s="50">
        <f>IF(VLOOKUP($D418,$C$5:$AA$494,16,)=0,0,((VLOOKUP($D418,$C$5:$AA$494,16,)/VLOOKUP($D418,$C$5:$AA$494,4,))*$F418))</f>
        <v>0</v>
      </c>
      <c r="S418" s="50">
        <f>IF(VLOOKUP($D418,$C$5:$AA$494,17,)=0,0,((VLOOKUP($D418,$C$5:$AA$494,17,)/VLOOKUP($D418,$C$5:$AA$494,4,))*$F418))</f>
        <v>0</v>
      </c>
      <c r="T418" s="50"/>
      <c r="U418" s="50">
        <f>IF(VLOOKUP($D418,$C$5:$AA$494,19,)=0,0,((VLOOKUP($D418,$C$5:$AA$494,19,)/VLOOKUP($D418,$C$5:$AA$494,4,))*$F418))</f>
        <v>0</v>
      </c>
      <c r="V418" s="50"/>
      <c r="W418" s="50">
        <f>IF(VLOOKUP($D418,$C$5:$AA$494,21,)=0,0,((VLOOKUP($D418,$C$5:$AA$494,21,)/VLOOKUP($D418,$C$5:$AA$494,4,))*$F418))</f>
        <v>0</v>
      </c>
      <c r="X418" s="50"/>
      <c r="Y418" s="50">
        <f>IF(VLOOKUP($D418,$C$5:$AA$494,23,)=0,0,((VLOOKUP($D418,$C$5:$AA$494,23,)/VLOOKUP($D418,$C$5:$AA$494,4,))*$F418))</f>
        <v>38467.46</v>
      </c>
      <c r="Z418" s="50"/>
      <c r="AA418" s="50">
        <f>IF(VLOOKUP($D418,$C$5:$AA$494,25,)=0,0,((VLOOKUP($D418,$C$5:$AA$494,25,)/VLOOKUP($D418,$C$5:$AA$494,4,))*$F418))</f>
        <v>0</v>
      </c>
      <c r="AB418" s="50">
        <f>SUM(H418:AA418)</f>
        <v>38467.46</v>
      </c>
      <c r="AC418" s="30" t="str">
        <f>IF(ABS(AB418-F418)&lt;1,"ok","err")</f>
        <v>ok</v>
      </c>
    </row>
    <row r="419" spans="1:29" x14ac:dyDescent="0.2">
      <c r="A419" s="14">
        <v>903</v>
      </c>
      <c r="B419" s="14" t="s">
        <v>452</v>
      </c>
      <c r="C419" s="14" t="s">
        <v>506</v>
      </c>
      <c r="D419" s="14" t="s">
        <v>140</v>
      </c>
      <c r="F419" s="50">
        <f>1012616.63+12258.15+5229.2</f>
        <v>1030103.98</v>
      </c>
      <c r="G419" s="50"/>
      <c r="H419" s="50">
        <f>IF(VLOOKUP($D419,$C$5:$AA$494,6,)=0,0,((VLOOKUP($D419,$C$5:$AA$494,6,)/VLOOKUP($D419,$C$5:$AA$494,4,))*$F419))</f>
        <v>0</v>
      </c>
      <c r="I419" s="50">
        <f>IF(VLOOKUP($D419,$C$5:$AA$494,7,)=0,0,((VLOOKUP($D419,$C$5:$AA$494,7,)/VLOOKUP($D419,$C$5:$AA$494,4,))*$F419))</f>
        <v>0</v>
      </c>
      <c r="J419" s="50"/>
      <c r="K419" s="50">
        <f>IF(VLOOKUP($D419,$C$5:$AA$494,9,)=0,0,((VLOOKUP($D419,$C$5:$AA$494,9,)/VLOOKUP($D419,$C$5:$AA$494,4,))*$F419))</f>
        <v>0</v>
      </c>
      <c r="L419" s="50"/>
      <c r="M419" s="50">
        <f>IF(VLOOKUP($D419,$C$5:$AA$494,11,)=0,0,((VLOOKUP($D419,$C$5:$AA$494,11,)/VLOOKUP($D419,$C$5:$AA$494,4,))*$F419))</f>
        <v>0</v>
      </c>
      <c r="N419" s="50"/>
      <c r="O419" s="50">
        <f>IF(VLOOKUP($D419,$C$5:$AA$494,13,)=0,0,((VLOOKUP($D419,$C$5:$AA$494,13,)/VLOOKUP($D419,$C$5:$AA$494,4,))*$F419))</f>
        <v>0</v>
      </c>
      <c r="P419" s="50">
        <f>IF(VLOOKUP($D419,$C$5:$AA$494,14,)=0,0,((VLOOKUP($D419,$C$5:$AA$494,14,)/VLOOKUP($D419,$C$5:$AA$494,4,))*$F419))</f>
        <v>0</v>
      </c>
      <c r="Q419" s="50"/>
      <c r="R419" s="50">
        <f>IF(VLOOKUP($D419,$C$5:$AA$494,16,)=0,0,((VLOOKUP($D419,$C$5:$AA$494,16,)/VLOOKUP($D419,$C$5:$AA$494,4,))*$F419))</f>
        <v>0</v>
      </c>
      <c r="S419" s="50">
        <f>IF(VLOOKUP($D419,$C$5:$AA$494,17,)=0,0,((VLOOKUP($D419,$C$5:$AA$494,17,)/VLOOKUP($D419,$C$5:$AA$494,4,))*$F419))</f>
        <v>0</v>
      </c>
      <c r="T419" s="50"/>
      <c r="U419" s="50">
        <f>IF(VLOOKUP($D419,$C$5:$AA$494,19,)=0,0,((VLOOKUP($D419,$C$5:$AA$494,19,)/VLOOKUP($D419,$C$5:$AA$494,4,))*$F419))</f>
        <v>0</v>
      </c>
      <c r="V419" s="50"/>
      <c r="W419" s="50">
        <f>IF(VLOOKUP($D419,$C$5:$AA$494,21,)=0,0,((VLOOKUP($D419,$C$5:$AA$494,21,)/VLOOKUP($D419,$C$5:$AA$494,4,))*$F419))</f>
        <v>0</v>
      </c>
      <c r="X419" s="50"/>
      <c r="Y419" s="50">
        <f>IF(VLOOKUP($D419,$C$5:$AA$494,23,)=0,0,((VLOOKUP($D419,$C$5:$AA$494,23,)/VLOOKUP($D419,$C$5:$AA$494,4,))*$F419))</f>
        <v>1030103.98</v>
      </c>
      <c r="Z419" s="50"/>
      <c r="AA419" s="50">
        <f>IF(VLOOKUP($D419,$C$5:$AA$494,25,)=0,0,((VLOOKUP($D419,$C$5:$AA$494,25,)/VLOOKUP($D419,$C$5:$AA$494,4,))*$F419))</f>
        <v>0</v>
      </c>
      <c r="AB419" s="50">
        <f>SUM(H419:AA419)</f>
        <v>1030103.98</v>
      </c>
      <c r="AC419" s="30" t="str">
        <f>IF(ABS(AB419-F419)&lt;1,"ok","err")</f>
        <v>ok</v>
      </c>
    </row>
    <row r="420" spans="1:29" x14ac:dyDescent="0.2">
      <c r="A420" s="14">
        <v>904</v>
      </c>
      <c r="B420" s="14" t="s">
        <v>144</v>
      </c>
      <c r="C420" s="14" t="s">
        <v>507</v>
      </c>
      <c r="D420" s="14" t="s">
        <v>140</v>
      </c>
      <c r="F420" s="50">
        <v>0</v>
      </c>
      <c r="G420" s="50"/>
      <c r="H420" s="50">
        <f>IF(VLOOKUP($D420,$C$5:$AA$494,6,)=0,0,((VLOOKUP($D420,$C$5:$AA$494,6,)/VLOOKUP($D420,$C$5:$AA$494,4,))*$F420))</f>
        <v>0</v>
      </c>
      <c r="I420" s="50">
        <f>IF(VLOOKUP($D420,$C$5:$AA$494,7,)=0,0,((VLOOKUP($D420,$C$5:$AA$494,7,)/VLOOKUP($D420,$C$5:$AA$494,4,))*$F420))</f>
        <v>0</v>
      </c>
      <c r="J420" s="50"/>
      <c r="K420" s="50">
        <f>IF(VLOOKUP($D420,$C$5:$AA$494,9,)=0,0,((VLOOKUP($D420,$C$5:$AA$494,9,)/VLOOKUP($D420,$C$5:$AA$494,4,))*$F420))</f>
        <v>0</v>
      </c>
      <c r="L420" s="50"/>
      <c r="M420" s="50">
        <f>IF(VLOOKUP($D420,$C$5:$AA$494,11,)=0,0,((VLOOKUP($D420,$C$5:$AA$494,11,)/VLOOKUP($D420,$C$5:$AA$494,4,))*$F420))</f>
        <v>0</v>
      </c>
      <c r="N420" s="50"/>
      <c r="O420" s="50">
        <f>IF(VLOOKUP($D420,$C$5:$AA$494,13,)=0,0,((VLOOKUP($D420,$C$5:$AA$494,13,)/VLOOKUP($D420,$C$5:$AA$494,4,))*$F420))</f>
        <v>0</v>
      </c>
      <c r="P420" s="50">
        <f>IF(VLOOKUP($D420,$C$5:$AA$494,14,)=0,0,((VLOOKUP($D420,$C$5:$AA$494,14,)/VLOOKUP($D420,$C$5:$AA$494,4,))*$F420))</f>
        <v>0</v>
      </c>
      <c r="Q420" s="50"/>
      <c r="R420" s="50">
        <f>IF(VLOOKUP($D420,$C$5:$AA$494,16,)=0,0,((VLOOKUP($D420,$C$5:$AA$494,16,)/VLOOKUP($D420,$C$5:$AA$494,4,))*$F420))</f>
        <v>0</v>
      </c>
      <c r="S420" s="50">
        <f>IF(VLOOKUP($D420,$C$5:$AA$494,17,)=0,0,((VLOOKUP($D420,$C$5:$AA$494,17,)/VLOOKUP($D420,$C$5:$AA$494,4,))*$F420))</f>
        <v>0</v>
      </c>
      <c r="T420" s="50"/>
      <c r="U420" s="50">
        <f>IF(VLOOKUP($D420,$C$5:$AA$494,19,)=0,0,((VLOOKUP($D420,$C$5:$AA$494,19,)/VLOOKUP($D420,$C$5:$AA$494,4,))*$F420))</f>
        <v>0</v>
      </c>
      <c r="V420" s="50"/>
      <c r="W420" s="50">
        <f>IF(VLOOKUP($D420,$C$5:$AA$494,21,)=0,0,((VLOOKUP($D420,$C$5:$AA$494,21,)/VLOOKUP($D420,$C$5:$AA$494,4,))*$F420))</f>
        <v>0</v>
      </c>
      <c r="X420" s="50"/>
      <c r="Y420" s="50">
        <f>IF(VLOOKUP($D420,$C$5:$AA$494,23,)=0,0,((VLOOKUP($D420,$C$5:$AA$494,23,)/VLOOKUP($D420,$C$5:$AA$494,4,))*$F420))</f>
        <v>0</v>
      </c>
      <c r="Z420" s="50"/>
      <c r="AA420" s="50">
        <f>IF(VLOOKUP($D420,$C$5:$AA$494,25,)=0,0,((VLOOKUP($D420,$C$5:$AA$494,25,)/VLOOKUP($D420,$C$5:$AA$494,4,))*$F420))</f>
        <v>0</v>
      </c>
      <c r="AB420" s="50">
        <f>SUM(H420:AA420)</f>
        <v>0</v>
      </c>
      <c r="AC420" s="30" t="str">
        <f>IF(ABS(AB420-F420)&lt;1,"ok","err")</f>
        <v>ok</v>
      </c>
    </row>
    <row r="421" spans="1:29" x14ac:dyDescent="0.2">
      <c r="A421" s="14">
        <v>905</v>
      </c>
      <c r="B421" s="14" t="s">
        <v>453</v>
      </c>
      <c r="C421" s="14" t="s">
        <v>506</v>
      </c>
      <c r="D421" s="14" t="s">
        <v>140</v>
      </c>
      <c r="F421" s="50">
        <v>0</v>
      </c>
      <c r="G421" s="50"/>
      <c r="H421" s="50">
        <f>IF(VLOOKUP($D421,$C$5:$AA$494,6,)=0,0,((VLOOKUP($D421,$C$5:$AA$494,6,)/VLOOKUP($D421,$C$5:$AA$494,4,))*$F421))</f>
        <v>0</v>
      </c>
      <c r="I421" s="50">
        <f>IF(VLOOKUP($D421,$C$5:$AA$494,7,)=0,0,((VLOOKUP($D421,$C$5:$AA$494,7,)/VLOOKUP($D421,$C$5:$AA$494,4,))*$F421))</f>
        <v>0</v>
      </c>
      <c r="J421" s="50"/>
      <c r="K421" s="50">
        <f>IF(VLOOKUP($D421,$C$5:$AA$494,9,)=0,0,((VLOOKUP($D421,$C$5:$AA$494,9,)/VLOOKUP($D421,$C$5:$AA$494,4,))*$F421))</f>
        <v>0</v>
      </c>
      <c r="L421" s="50"/>
      <c r="M421" s="50">
        <f>IF(VLOOKUP($D421,$C$5:$AA$494,11,)=0,0,((VLOOKUP($D421,$C$5:$AA$494,11,)/VLOOKUP($D421,$C$5:$AA$494,4,))*$F421))</f>
        <v>0</v>
      </c>
      <c r="N421" s="50"/>
      <c r="O421" s="50">
        <f>IF(VLOOKUP($D421,$C$5:$AA$494,13,)=0,0,((VLOOKUP($D421,$C$5:$AA$494,13,)/VLOOKUP($D421,$C$5:$AA$494,4,))*$F421))</f>
        <v>0</v>
      </c>
      <c r="P421" s="50">
        <f>IF(VLOOKUP($D421,$C$5:$AA$494,14,)=0,0,((VLOOKUP($D421,$C$5:$AA$494,14,)/VLOOKUP($D421,$C$5:$AA$494,4,))*$F421))</f>
        <v>0</v>
      </c>
      <c r="Q421" s="50"/>
      <c r="R421" s="50">
        <f>IF(VLOOKUP($D421,$C$5:$AA$494,16,)=0,0,((VLOOKUP($D421,$C$5:$AA$494,16,)/VLOOKUP($D421,$C$5:$AA$494,4,))*$F421))</f>
        <v>0</v>
      </c>
      <c r="S421" s="50">
        <f>IF(VLOOKUP($D421,$C$5:$AA$494,17,)=0,0,((VLOOKUP($D421,$C$5:$AA$494,17,)/VLOOKUP($D421,$C$5:$AA$494,4,))*$F421))</f>
        <v>0</v>
      </c>
      <c r="T421" s="50"/>
      <c r="U421" s="50">
        <f>IF(VLOOKUP($D421,$C$5:$AA$494,19,)=0,0,((VLOOKUP($D421,$C$5:$AA$494,19,)/VLOOKUP($D421,$C$5:$AA$494,4,))*$F421))</f>
        <v>0</v>
      </c>
      <c r="V421" s="50"/>
      <c r="W421" s="50">
        <f>IF(VLOOKUP($D421,$C$5:$AA$494,21,)=0,0,((VLOOKUP($D421,$C$5:$AA$494,21,)/VLOOKUP($D421,$C$5:$AA$494,4,))*$F421))</f>
        <v>0</v>
      </c>
      <c r="X421" s="50"/>
      <c r="Y421" s="50">
        <f>IF(VLOOKUP($D421,$C$5:$AA$494,23,)=0,0,((VLOOKUP($D421,$C$5:$AA$494,23,)/VLOOKUP($D421,$C$5:$AA$494,4,))*$F421))</f>
        <v>0</v>
      </c>
      <c r="Z421" s="50"/>
      <c r="AA421" s="50">
        <f>IF(VLOOKUP($D421,$C$5:$AA$494,25,)=0,0,((VLOOKUP($D421,$C$5:$AA$494,25,)/VLOOKUP($D421,$C$5:$AA$494,4,))*$F421))</f>
        <v>0</v>
      </c>
      <c r="AB421" s="50">
        <f>SUM(H421:AA421)</f>
        <v>0</v>
      </c>
      <c r="AC421" s="30" t="str">
        <f>IF(ABS(AB421-F421)&lt;1,"ok","err")</f>
        <v>ok</v>
      </c>
    </row>
    <row r="422" spans="1:29" x14ac:dyDescent="0.2">
      <c r="A422" s="13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30"/>
    </row>
    <row r="423" spans="1:29" x14ac:dyDescent="0.2">
      <c r="A423" s="14" t="s">
        <v>542</v>
      </c>
      <c r="C423" s="14" t="s">
        <v>508</v>
      </c>
      <c r="F423" s="66">
        <f>SUM(F417:F422)</f>
        <v>1068571.44</v>
      </c>
      <c r="G423" s="66"/>
      <c r="H423" s="66">
        <f>SUM(H417:H422)</f>
        <v>0</v>
      </c>
      <c r="I423" s="66">
        <f>SUM(I417:I422)</f>
        <v>0</v>
      </c>
      <c r="J423" s="66"/>
      <c r="K423" s="66">
        <f>SUM(K417:K422)</f>
        <v>0</v>
      </c>
      <c r="L423" s="66"/>
      <c r="M423" s="66">
        <f>SUM(M417:M422)</f>
        <v>0</v>
      </c>
      <c r="N423" s="66"/>
      <c r="O423" s="66">
        <f>SUM(O417:O422)</f>
        <v>0</v>
      </c>
      <c r="P423" s="66">
        <f>SUM(P417:P422)</f>
        <v>0</v>
      </c>
      <c r="Q423" s="66"/>
      <c r="R423" s="66">
        <f>SUM(R417:R422)</f>
        <v>0</v>
      </c>
      <c r="S423" s="66">
        <f>SUM(S417:S422)</f>
        <v>0</v>
      </c>
      <c r="T423" s="66"/>
      <c r="U423" s="66">
        <f>SUM(U417:U422)</f>
        <v>0</v>
      </c>
      <c r="V423" s="66"/>
      <c r="W423" s="66">
        <f>SUM(W417:W422)</f>
        <v>0</v>
      </c>
      <c r="X423" s="66"/>
      <c r="Y423" s="66">
        <f>SUM(Y417:Y422)</f>
        <v>1068571.44</v>
      </c>
      <c r="Z423" s="66"/>
      <c r="AA423" s="66">
        <f>SUM(AA417:AA422)</f>
        <v>0</v>
      </c>
      <c r="AB423" s="50">
        <f>SUM(H423:AA423)</f>
        <v>1068571.44</v>
      </c>
      <c r="AC423" s="30" t="str">
        <f>IF(ABS(AB423-F423)&lt;1,"ok","err")</f>
        <v>ok</v>
      </c>
    </row>
    <row r="424" spans="1:29" x14ac:dyDescent="0.2"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C424" s="30"/>
    </row>
    <row r="425" spans="1:29" x14ac:dyDescent="0.2">
      <c r="A425" s="13" t="s">
        <v>148</v>
      </c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C425" s="30"/>
    </row>
    <row r="426" spans="1:29" x14ac:dyDescent="0.2">
      <c r="A426" s="14">
        <v>907</v>
      </c>
      <c r="B426" s="14" t="s">
        <v>385</v>
      </c>
      <c r="C426" s="14" t="s">
        <v>509</v>
      </c>
      <c r="D426" s="14" t="s">
        <v>150</v>
      </c>
      <c r="F426" s="66">
        <v>0</v>
      </c>
      <c r="G426" s="66"/>
      <c r="H426" s="50">
        <f t="shared" ref="H426:H436" si="242">IF(VLOOKUP($D426,$C$5:$AA$494,6,)=0,0,((VLOOKUP($D426,$C$5:$AA$494,6,)/VLOOKUP($D426,$C$5:$AA$494,4,))*$F426))</f>
        <v>0</v>
      </c>
      <c r="I426" s="50">
        <f t="shared" ref="I426:I436" si="243">IF(VLOOKUP($D426,$C$5:$AA$494,7,)=0,0,((VLOOKUP($D426,$C$5:$AA$494,7,)/VLOOKUP($D426,$C$5:$AA$494,4,))*$F426))</f>
        <v>0</v>
      </c>
      <c r="J426" s="50"/>
      <c r="K426" s="50">
        <f t="shared" ref="K426:K436" si="244">IF(VLOOKUP($D426,$C$5:$AA$494,9,)=0,0,((VLOOKUP($D426,$C$5:$AA$494,9,)/VLOOKUP($D426,$C$5:$AA$494,4,))*$F426))</f>
        <v>0</v>
      </c>
      <c r="L426" s="50"/>
      <c r="M426" s="50">
        <f t="shared" ref="M426:M436" si="245">IF(VLOOKUP($D426,$C$5:$AA$494,11,)=0,0,((VLOOKUP($D426,$C$5:$AA$494,11,)/VLOOKUP($D426,$C$5:$AA$494,4,))*$F426))</f>
        <v>0</v>
      </c>
      <c r="N426" s="50"/>
      <c r="O426" s="50">
        <f t="shared" ref="O426:O436" si="246">IF(VLOOKUP($D426,$C$5:$AA$494,13,)=0,0,((VLOOKUP($D426,$C$5:$AA$494,13,)/VLOOKUP($D426,$C$5:$AA$494,4,))*$F426))</f>
        <v>0</v>
      </c>
      <c r="P426" s="50">
        <f t="shared" ref="P426:P436" si="247">IF(VLOOKUP($D426,$C$5:$AA$494,14,)=0,0,((VLOOKUP($D426,$C$5:$AA$494,14,)/VLOOKUP($D426,$C$5:$AA$494,4,))*$F426))</f>
        <v>0</v>
      </c>
      <c r="Q426" s="50"/>
      <c r="R426" s="50">
        <f t="shared" ref="R426:R436" si="248">IF(VLOOKUP($D426,$C$5:$AA$494,16,)=0,0,((VLOOKUP($D426,$C$5:$AA$494,16,)/VLOOKUP($D426,$C$5:$AA$494,4,))*$F426))</f>
        <v>0</v>
      </c>
      <c r="S426" s="50">
        <f t="shared" ref="S426:S436" si="249">IF(VLOOKUP($D426,$C$5:$AA$494,17,)=0,0,((VLOOKUP($D426,$C$5:$AA$494,17,)/VLOOKUP($D426,$C$5:$AA$494,4,))*$F426))</f>
        <v>0</v>
      </c>
      <c r="T426" s="50"/>
      <c r="U426" s="50">
        <f t="shared" ref="U426:U436" si="250">IF(VLOOKUP($D426,$C$5:$AA$494,19,)=0,0,((VLOOKUP($D426,$C$5:$AA$494,19,)/VLOOKUP($D426,$C$5:$AA$494,4,))*$F426))</f>
        <v>0</v>
      </c>
      <c r="V426" s="50"/>
      <c r="W426" s="50">
        <f t="shared" ref="W426:W436" si="251">IF(VLOOKUP($D426,$C$5:$AA$494,21,)=0,0,((VLOOKUP($D426,$C$5:$AA$494,21,)/VLOOKUP($D426,$C$5:$AA$494,4,))*$F426))</f>
        <v>0</v>
      </c>
      <c r="X426" s="50"/>
      <c r="Y426" s="50">
        <f t="shared" ref="Y426:Y436" si="252">IF(VLOOKUP($D426,$C$5:$AA$494,23,)=0,0,((VLOOKUP($D426,$C$5:$AA$494,23,)/VLOOKUP($D426,$C$5:$AA$494,4,))*$F426))</f>
        <v>0</v>
      </c>
      <c r="Z426" s="50"/>
      <c r="AA426" s="50">
        <f t="shared" ref="AA426:AA436" si="253">IF(VLOOKUP($D426,$C$5:$AA$494,25,)=0,0,((VLOOKUP($D426,$C$5:$AA$494,25,)/VLOOKUP($D426,$C$5:$AA$494,4,))*$F426))</f>
        <v>0</v>
      </c>
      <c r="AB426" s="50">
        <f t="shared" ref="AB426:AB436" si="254">SUM(H426:AA426)</f>
        <v>0</v>
      </c>
      <c r="AC426" s="30" t="str">
        <f t="shared" ref="AC426:AC436" si="255">IF(ABS(AB426-F426)&lt;1,"ok","err")</f>
        <v>ok</v>
      </c>
    </row>
    <row r="427" spans="1:29" x14ac:dyDescent="0.2">
      <c r="A427" s="14">
        <v>908</v>
      </c>
      <c r="B427" s="14" t="s">
        <v>151</v>
      </c>
      <c r="C427" s="14" t="s">
        <v>510</v>
      </c>
      <c r="D427" s="14" t="s">
        <v>150</v>
      </c>
      <c r="F427" s="50">
        <f>155730.89</f>
        <v>155730.89000000001</v>
      </c>
      <c r="G427" s="50"/>
      <c r="H427" s="50">
        <f t="shared" si="242"/>
        <v>0</v>
      </c>
      <c r="I427" s="50">
        <f t="shared" si="243"/>
        <v>0</v>
      </c>
      <c r="J427" s="50"/>
      <c r="K427" s="50">
        <f t="shared" si="244"/>
        <v>0</v>
      </c>
      <c r="L427" s="50"/>
      <c r="M427" s="50">
        <f t="shared" si="245"/>
        <v>0</v>
      </c>
      <c r="N427" s="50"/>
      <c r="O427" s="50">
        <f t="shared" si="246"/>
        <v>0</v>
      </c>
      <c r="P427" s="50">
        <f t="shared" si="247"/>
        <v>0</v>
      </c>
      <c r="Q427" s="50"/>
      <c r="R427" s="50">
        <f t="shared" si="248"/>
        <v>0</v>
      </c>
      <c r="S427" s="50">
        <f t="shared" si="249"/>
        <v>0</v>
      </c>
      <c r="T427" s="50"/>
      <c r="U427" s="50">
        <f t="shared" si="250"/>
        <v>0</v>
      </c>
      <c r="V427" s="50"/>
      <c r="W427" s="50">
        <f t="shared" si="251"/>
        <v>0</v>
      </c>
      <c r="X427" s="50"/>
      <c r="Y427" s="50">
        <f t="shared" si="252"/>
        <v>155730.89000000001</v>
      </c>
      <c r="Z427" s="50"/>
      <c r="AA427" s="50">
        <f t="shared" si="253"/>
        <v>0</v>
      </c>
      <c r="AB427" s="50">
        <f t="shared" si="254"/>
        <v>155730.89000000001</v>
      </c>
      <c r="AC427" s="30" t="str">
        <f t="shared" si="255"/>
        <v>ok</v>
      </c>
    </row>
    <row r="428" spans="1:29" x14ac:dyDescent="0.2">
      <c r="A428" s="14">
        <v>908</v>
      </c>
      <c r="B428" s="14" t="s">
        <v>454</v>
      </c>
      <c r="C428" s="14" t="s">
        <v>511</v>
      </c>
      <c r="D428" s="14" t="s">
        <v>471</v>
      </c>
      <c r="F428" s="50">
        <v>0</v>
      </c>
      <c r="G428" s="50"/>
      <c r="H428" s="50">
        <f t="shared" si="242"/>
        <v>0</v>
      </c>
      <c r="I428" s="50">
        <f t="shared" si="243"/>
        <v>0</v>
      </c>
      <c r="J428" s="50"/>
      <c r="K428" s="50">
        <f t="shared" si="244"/>
        <v>0</v>
      </c>
      <c r="L428" s="50"/>
      <c r="M428" s="50">
        <f t="shared" si="245"/>
        <v>0</v>
      </c>
      <c r="N428" s="50"/>
      <c r="O428" s="50">
        <f t="shared" si="246"/>
        <v>0</v>
      </c>
      <c r="P428" s="50">
        <f t="shared" si="247"/>
        <v>0</v>
      </c>
      <c r="Q428" s="50"/>
      <c r="R428" s="50">
        <f t="shared" si="248"/>
        <v>0</v>
      </c>
      <c r="S428" s="50">
        <f t="shared" si="249"/>
        <v>0</v>
      </c>
      <c r="T428" s="50"/>
      <c r="U428" s="50">
        <f t="shared" si="250"/>
        <v>0</v>
      </c>
      <c r="V428" s="50"/>
      <c r="W428" s="50">
        <f t="shared" si="251"/>
        <v>0</v>
      </c>
      <c r="X428" s="50"/>
      <c r="Y428" s="50">
        <f t="shared" si="252"/>
        <v>0</v>
      </c>
      <c r="Z428" s="50"/>
      <c r="AA428" s="50">
        <f t="shared" si="253"/>
        <v>0</v>
      </c>
      <c r="AB428" s="50">
        <f t="shared" si="254"/>
        <v>0</v>
      </c>
      <c r="AC428" s="30" t="str">
        <f t="shared" si="255"/>
        <v>ok</v>
      </c>
    </row>
    <row r="429" spans="1:29" x14ac:dyDescent="0.2">
      <c r="A429" s="14">
        <v>909</v>
      </c>
      <c r="B429" s="14" t="s">
        <v>153</v>
      </c>
      <c r="C429" s="14" t="s">
        <v>512</v>
      </c>
      <c r="D429" s="14" t="s">
        <v>150</v>
      </c>
      <c r="F429" s="50">
        <v>0</v>
      </c>
      <c r="G429" s="50"/>
      <c r="H429" s="50">
        <f t="shared" si="242"/>
        <v>0</v>
      </c>
      <c r="I429" s="50">
        <f t="shared" si="243"/>
        <v>0</v>
      </c>
      <c r="J429" s="50"/>
      <c r="K429" s="50">
        <f t="shared" si="244"/>
        <v>0</v>
      </c>
      <c r="L429" s="50"/>
      <c r="M429" s="50">
        <f t="shared" si="245"/>
        <v>0</v>
      </c>
      <c r="N429" s="50"/>
      <c r="O429" s="50">
        <f t="shared" si="246"/>
        <v>0</v>
      </c>
      <c r="P429" s="50">
        <f t="shared" si="247"/>
        <v>0</v>
      </c>
      <c r="Q429" s="50"/>
      <c r="R429" s="50">
        <f t="shared" si="248"/>
        <v>0</v>
      </c>
      <c r="S429" s="50">
        <f t="shared" si="249"/>
        <v>0</v>
      </c>
      <c r="T429" s="50"/>
      <c r="U429" s="50">
        <f t="shared" si="250"/>
        <v>0</v>
      </c>
      <c r="V429" s="50"/>
      <c r="W429" s="50">
        <f t="shared" si="251"/>
        <v>0</v>
      </c>
      <c r="X429" s="50"/>
      <c r="Y429" s="50">
        <f t="shared" si="252"/>
        <v>0</v>
      </c>
      <c r="Z429" s="50"/>
      <c r="AA429" s="50">
        <f t="shared" si="253"/>
        <v>0</v>
      </c>
      <c r="AB429" s="50">
        <f t="shared" si="254"/>
        <v>0</v>
      </c>
      <c r="AC429" s="30" t="str">
        <f t="shared" si="255"/>
        <v>ok</v>
      </c>
    </row>
    <row r="430" spans="1:29" x14ac:dyDescent="0.2">
      <c r="A430" s="14">
        <v>909</v>
      </c>
      <c r="B430" s="14" t="s">
        <v>456</v>
      </c>
      <c r="C430" s="14" t="s">
        <v>513</v>
      </c>
      <c r="D430" s="14" t="s">
        <v>471</v>
      </c>
      <c r="F430" s="50">
        <v>0</v>
      </c>
      <c r="G430" s="50"/>
      <c r="H430" s="50">
        <f t="shared" si="242"/>
        <v>0</v>
      </c>
      <c r="I430" s="50">
        <f t="shared" si="243"/>
        <v>0</v>
      </c>
      <c r="J430" s="50"/>
      <c r="K430" s="50">
        <f t="shared" si="244"/>
        <v>0</v>
      </c>
      <c r="L430" s="50"/>
      <c r="M430" s="50">
        <f t="shared" si="245"/>
        <v>0</v>
      </c>
      <c r="N430" s="50"/>
      <c r="O430" s="50">
        <f t="shared" si="246"/>
        <v>0</v>
      </c>
      <c r="P430" s="50">
        <f t="shared" si="247"/>
        <v>0</v>
      </c>
      <c r="Q430" s="50"/>
      <c r="R430" s="50">
        <f t="shared" si="248"/>
        <v>0</v>
      </c>
      <c r="S430" s="50">
        <f t="shared" si="249"/>
        <v>0</v>
      </c>
      <c r="T430" s="50"/>
      <c r="U430" s="50">
        <f t="shared" si="250"/>
        <v>0</v>
      </c>
      <c r="V430" s="50"/>
      <c r="W430" s="50">
        <f t="shared" si="251"/>
        <v>0</v>
      </c>
      <c r="X430" s="50"/>
      <c r="Y430" s="50">
        <f t="shared" si="252"/>
        <v>0</v>
      </c>
      <c r="Z430" s="50"/>
      <c r="AA430" s="50">
        <f t="shared" si="253"/>
        <v>0</v>
      </c>
      <c r="AB430" s="50">
        <f t="shared" si="254"/>
        <v>0</v>
      </c>
      <c r="AC430" s="30" t="str">
        <f t="shared" si="255"/>
        <v>ok</v>
      </c>
    </row>
    <row r="431" spans="1:29" x14ac:dyDescent="0.2">
      <c r="A431" s="14">
        <v>910</v>
      </c>
      <c r="B431" s="14" t="s">
        <v>155</v>
      </c>
      <c r="C431" s="14" t="s">
        <v>514</v>
      </c>
      <c r="D431" s="14" t="s">
        <v>150</v>
      </c>
      <c r="F431" s="50">
        <v>0</v>
      </c>
      <c r="G431" s="50"/>
      <c r="H431" s="50">
        <f t="shared" si="242"/>
        <v>0</v>
      </c>
      <c r="I431" s="50">
        <f t="shared" si="243"/>
        <v>0</v>
      </c>
      <c r="J431" s="50"/>
      <c r="K431" s="50">
        <f t="shared" si="244"/>
        <v>0</v>
      </c>
      <c r="L431" s="50"/>
      <c r="M431" s="50">
        <f t="shared" si="245"/>
        <v>0</v>
      </c>
      <c r="N431" s="50"/>
      <c r="O431" s="50">
        <f t="shared" si="246"/>
        <v>0</v>
      </c>
      <c r="P431" s="50">
        <f t="shared" si="247"/>
        <v>0</v>
      </c>
      <c r="Q431" s="50"/>
      <c r="R431" s="50">
        <f t="shared" si="248"/>
        <v>0</v>
      </c>
      <c r="S431" s="50">
        <f t="shared" si="249"/>
        <v>0</v>
      </c>
      <c r="T431" s="50"/>
      <c r="U431" s="50">
        <f t="shared" si="250"/>
        <v>0</v>
      </c>
      <c r="V431" s="50"/>
      <c r="W431" s="50">
        <f t="shared" si="251"/>
        <v>0</v>
      </c>
      <c r="X431" s="50"/>
      <c r="Y431" s="50">
        <f t="shared" si="252"/>
        <v>0</v>
      </c>
      <c r="Z431" s="50"/>
      <c r="AA431" s="50">
        <f t="shared" si="253"/>
        <v>0</v>
      </c>
      <c r="AB431" s="50">
        <f t="shared" si="254"/>
        <v>0</v>
      </c>
      <c r="AC431" s="30" t="str">
        <f t="shared" si="255"/>
        <v>ok</v>
      </c>
    </row>
    <row r="432" spans="1:29" x14ac:dyDescent="0.2">
      <c r="A432" s="14">
        <v>911</v>
      </c>
      <c r="B432" s="14" t="s">
        <v>385</v>
      </c>
      <c r="C432" s="14" t="s">
        <v>712</v>
      </c>
      <c r="D432" s="14" t="s">
        <v>150</v>
      </c>
      <c r="F432" s="50">
        <v>0</v>
      </c>
      <c r="G432" s="50"/>
      <c r="H432" s="50">
        <f t="shared" si="242"/>
        <v>0</v>
      </c>
      <c r="I432" s="50">
        <f t="shared" si="243"/>
        <v>0</v>
      </c>
      <c r="J432" s="50"/>
      <c r="K432" s="50">
        <f t="shared" si="244"/>
        <v>0</v>
      </c>
      <c r="L432" s="50"/>
      <c r="M432" s="50">
        <f t="shared" si="245"/>
        <v>0</v>
      </c>
      <c r="N432" s="50"/>
      <c r="O432" s="50">
        <f t="shared" si="246"/>
        <v>0</v>
      </c>
      <c r="P432" s="50">
        <f t="shared" si="247"/>
        <v>0</v>
      </c>
      <c r="Q432" s="50"/>
      <c r="R432" s="50">
        <f t="shared" si="248"/>
        <v>0</v>
      </c>
      <c r="S432" s="50">
        <f t="shared" si="249"/>
        <v>0</v>
      </c>
      <c r="T432" s="50"/>
      <c r="U432" s="50">
        <f t="shared" si="250"/>
        <v>0</v>
      </c>
      <c r="V432" s="50"/>
      <c r="W432" s="50">
        <f t="shared" si="251"/>
        <v>0</v>
      </c>
      <c r="X432" s="50"/>
      <c r="Y432" s="50">
        <f t="shared" si="252"/>
        <v>0</v>
      </c>
      <c r="Z432" s="50"/>
      <c r="AA432" s="50">
        <f t="shared" si="253"/>
        <v>0</v>
      </c>
      <c r="AB432" s="50">
        <f>SUM(H432:AA432)</f>
        <v>0</v>
      </c>
      <c r="AC432" s="30" t="str">
        <f>IF(ABS(AB432-F432)&lt;1,"ok","err")</f>
        <v>ok</v>
      </c>
    </row>
    <row r="433" spans="1:29" x14ac:dyDescent="0.2">
      <c r="A433" s="14">
        <v>912</v>
      </c>
      <c r="B433" s="14" t="s">
        <v>587</v>
      </c>
      <c r="C433" s="14" t="s">
        <v>590</v>
      </c>
      <c r="D433" s="14" t="s">
        <v>471</v>
      </c>
      <c r="F433" s="50">
        <v>0</v>
      </c>
      <c r="G433" s="50"/>
      <c r="H433" s="50">
        <f t="shared" si="242"/>
        <v>0</v>
      </c>
      <c r="I433" s="50">
        <f t="shared" si="243"/>
        <v>0</v>
      </c>
      <c r="J433" s="50"/>
      <c r="K433" s="50">
        <f t="shared" si="244"/>
        <v>0</v>
      </c>
      <c r="L433" s="50"/>
      <c r="M433" s="50">
        <f t="shared" si="245"/>
        <v>0</v>
      </c>
      <c r="N433" s="50"/>
      <c r="O433" s="50">
        <f t="shared" si="246"/>
        <v>0</v>
      </c>
      <c r="P433" s="50">
        <f t="shared" si="247"/>
        <v>0</v>
      </c>
      <c r="Q433" s="50"/>
      <c r="R433" s="50">
        <f t="shared" si="248"/>
        <v>0</v>
      </c>
      <c r="S433" s="50">
        <f t="shared" si="249"/>
        <v>0</v>
      </c>
      <c r="T433" s="50"/>
      <c r="U433" s="50">
        <f t="shared" si="250"/>
        <v>0</v>
      </c>
      <c r="V433" s="50"/>
      <c r="W433" s="50">
        <f t="shared" si="251"/>
        <v>0</v>
      </c>
      <c r="X433" s="50"/>
      <c r="Y433" s="50">
        <f t="shared" si="252"/>
        <v>0</v>
      </c>
      <c r="Z433" s="50"/>
      <c r="AA433" s="50">
        <f t="shared" si="253"/>
        <v>0</v>
      </c>
      <c r="AB433" s="50">
        <f t="shared" si="254"/>
        <v>0</v>
      </c>
      <c r="AC433" s="30" t="str">
        <f t="shared" si="255"/>
        <v>ok</v>
      </c>
    </row>
    <row r="434" spans="1:29" x14ac:dyDescent="0.2">
      <c r="A434" s="14">
        <v>913</v>
      </c>
      <c r="B434" s="14" t="s">
        <v>576</v>
      </c>
      <c r="C434" s="14" t="s">
        <v>591</v>
      </c>
      <c r="D434" s="14" t="s">
        <v>471</v>
      </c>
      <c r="F434" s="50">
        <v>0</v>
      </c>
      <c r="G434" s="50"/>
      <c r="H434" s="50">
        <f t="shared" si="242"/>
        <v>0</v>
      </c>
      <c r="I434" s="50">
        <f t="shared" si="243"/>
        <v>0</v>
      </c>
      <c r="J434" s="50"/>
      <c r="K434" s="50">
        <f t="shared" si="244"/>
        <v>0</v>
      </c>
      <c r="L434" s="50"/>
      <c r="M434" s="50">
        <f t="shared" si="245"/>
        <v>0</v>
      </c>
      <c r="N434" s="50"/>
      <c r="O434" s="50">
        <f t="shared" si="246"/>
        <v>0</v>
      </c>
      <c r="P434" s="50">
        <f t="shared" si="247"/>
        <v>0</v>
      </c>
      <c r="Q434" s="50"/>
      <c r="R434" s="50">
        <f t="shared" si="248"/>
        <v>0</v>
      </c>
      <c r="S434" s="50">
        <f t="shared" si="249"/>
        <v>0</v>
      </c>
      <c r="T434" s="50"/>
      <c r="U434" s="50">
        <f t="shared" si="250"/>
        <v>0</v>
      </c>
      <c r="V434" s="50"/>
      <c r="W434" s="50">
        <f t="shared" si="251"/>
        <v>0</v>
      </c>
      <c r="X434" s="50"/>
      <c r="Y434" s="50">
        <f t="shared" si="252"/>
        <v>0</v>
      </c>
      <c r="Z434" s="50"/>
      <c r="AA434" s="50">
        <f t="shared" si="253"/>
        <v>0</v>
      </c>
      <c r="AB434" s="50">
        <f t="shared" si="254"/>
        <v>0</v>
      </c>
      <c r="AC434" s="30" t="str">
        <f t="shared" si="255"/>
        <v>ok</v>
      </c>
    </row>
    <row r="435" spans="1:29" x14ac:dyDescent="0.2">
      <c r="A435" s="14">
        <v>915</v>
      </c>
      <c r="B435" s="14" t="s">
        <v>639</v>
      </c>
      <c r="C435" s="14" t="s">
        <v>642</v>
      </c>
      <c r="D435" s="14" t="s">
        <v>471</v>
      </c>
      <c r="F435" s="50">
        <v>0</v>
      </c>
      <c r="G435" s="50"/>
      <c r="H435" s="50">
        <f t="shared" si="242"/>
        <v>0</v>
      </c>
      <c r="I435" s="50">
        <f t="shared" si="243"/>
        <v>0</v>
      </c>
      <c r="J435" s="50"/>
      <c r="K435" s="50">
        <f t="shared" si="244"/>
        <v>0</v>
      </c>
      <c r="L435" s="50"/>
      <c r="M435" s="50">
        <f t="shared" si="245"/>
        <v>0</v>
      </c>
      <c r="N435" s="50"/>
      <c r="O435" s="50">
        <f t="shared" si="246"/>
        <v>0</v>
      </c>
      <c r="P435" s="50">
        <f t="shared" si="247"/>
        <v>0</v>
      </c>
      <c r="Q435" s="50"/>
      <c r="R435" s="50">
        <f t="shared" si="248"/>
        <v>0</v>
      </c>
      <c r="S435" s="50">
        <f t="shared" si="249"/>
        <v>0</v>
      </c>
      <c r="T435" s="50"/>
      <c r="U435" s="50">
        <f t="shared" si="250"/>
        <v>0</v>
      </c>
      <c r="V435" s="50"/>
      <c r="W435" s="50">
        <f t="shared" si="251"/>
        <v>0</v>
      </c>
      <c r="X435" s="50"/>
      <c r="Y435" s="50">
        <f t="shared" si="252"/>
        <v>0</v>
      </c>
      <c r="Z435" s="50"/>
      <c r="AA435" s="50">
        <f t="shared" si="253"/>
        <v>0</v>
      </c>
      <c r="AB435" s="50">
        <f t="shared" si="254"/>
        <v>0</v>
      </c>
      <c r="AC435" s="30" t="str">
        <f t="shared" si="255"/>
        <v>ok</v>
      </c>
    </row>
    <row r="436" spans="1:29" x14ac:dyDescent="0.2">
      <c r="A436" s="14">
        <v>916</v>
      </c>
      <c r="B436" s="14" t="s">
        <v>640</v>
      </c>
      <c r="C436" s="14" t="s">
        <v>643</v>
      </c>
      <c r="D436" s="14" t="s">
        <v>471</v>
      </c>
      <c r="F436" s="50">
        <v>0</v>
      </c>
      <c r="G436" s="50"/>
      <c r="H436" s="50">
        <f t="shared" si="242"/>
        <v>0</v>
      </c>
      <c r="I436" s="50">
        <f t="shared" si="243"/>
        <v>0</v>
      </c>
      <c r="J436" s="50"/>
      <c r="K436" s="50">
        <f t="shared" si="244"/>
        <v>0</v>
      </c>
      <c r="L436" s="50"/>
      <c r="M436" s="50">
        <f t="shared" si="245"/>
        <v>0</v>
      </c>
      <c r="N436" s="50"/>
      <c r="O436" s="50">
        <f t="shared" si="246"/>
        <v>0</v>
      </c>
      <c r="P436" s="50">
        <f t="shared" si="247"/>
        <v>0</v>
      </c>
      <c r="Q436" s="50"/>
      <c r="R436" s="50">
        <f t="shared" si="248"/>
        <v>0</v>
      </c>
      <c r="S436" s="50">
        <f t="shared" si="249"/>
        <v>0</v>
      </c>
      <c r="T436" s="50"/>
      <c r="U436" s="50">
        <f t="shared" si="250"/>
        <v>0</v>
      </c>
      <c r="V436" s="50"/>
      <c r="W436" s="50">
        <f t="shared" si="251"/>
        <v>0</v>
      </c>
      <c r="X436" s="50"/>
      <c r="Y436" s="50">
        <f t="shared" si="252"/>
        <v>0</v>
      </c>
      <c r="Z436" s="50"/>
      <c r="AA436" s="50">
        <f t="shared" si="253"/>
        <v>0</v>
      </c>
      <c r="AB436" s="50">
        <f t="shared" si="254"/>
        <v>0</v>
      </c>
      <c r="AC436" s="30" t="str">
        <f t="shared" si="255"/>
        <v>ok</v>
      </c>
    </row>
    <row r="437" spans="1:29" x14ac:dyDescent="0.2"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30"/>
    </row>
    <row r="438" spans="1:29" x14ac:dyDescent="0.2">
      <c r="A438" s="14" t="s">
        <v>543</v>
      </c>
      <c r="C438" s="14" t="s">
        <v>515</v>
      </c>
      <c r="F438" s="66">
        <f>SUM(F426:F437)</f>
        <v>155730.89000000001</v>
      </c>
      <c r="G438" s="66"/>
      <c r="H438" s="66">
        <f>SUM(H426:H437)</f>
        <v>0</v>
      </c>
      <c r="I438" s="66">
        <f>SUM(I426:I437)</f>
        <v>0</v>
      </c>
      <c r="J438" s="66"/>
      <c r="K438" s="66">
        <f>SUM(K426:K437)</f>
        <v>0</v>
      </c>
      <c r="L438" s="66"/>
      <c r="M438" s="66">
        <f>SUM(M426:M437)</f>
        <v>0</v>
      </c>
      <c r="N438" s="66"/>
      <c r="O438" s="66">
        <f>SUM(O426:O437)</f>
        <v>0</v>
      </c>
      <c r="P438" s="66">
        <f>SUM(P426:P437)</f>
        <v>0</v>
      </c>
      <c r="Q438" s="66"/>
      <c r="R438" s="66">
        <f>SUM(R426:R437)</f>
        <v>0</v>
      </c>
      <c r="S438" s="66">
        <f>SUM(S426:S437)</f>
        <v>0</v>
      </c>
      <c r="T438" s="66"/>
      <c r="U438" s="66">
        <f>SUM(U426:U437)</f>
        <v>0</v>
      </c>
      <c r="V438" s="66"/>
      <c r="W438" s="66">
        <f>SUM(W426:W437)</f>
        <v>0</v>
      </c>
      <c r="X438" s="66"/>
      <c r="Y438" s="66">
        <f>SUM(Y426:Y437)</f>
        <v>155730.89000000001</v>
      </c>
      <c r="Z438" s="66"/>
      <c r="AA438" s="66">
        <f>SUM(AA426:AA437)</f>
        <v>0</v>
      </c>
      <c r="AB438" s="50">
        <f>SUM(H438:AA438)</f>
        <v>155730.89000000001</v>
      </c>
      <c r="AC438" s="30" t="str">
        <f>IF(ABS(AB438-F438)&lt;1,"ok","err")</f>
        <v>ok</v>
      </c>
    </row>
    <row r="439" spans="1:29" x14ac:dyDescent="0.2"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C439" s="30"/>
    </row>
    <row r="440" spans="1:29" x14ac:dyDescent="0.2">
      <c r="A440" s="14" t="s">
        <v>544</v>
      </c>
      <c r="C440" s="14" t="s">
        <v>516</v>
      </c>
      <c r="F440" s="50">
        <f>F412+F423+F438</f>
        <v>3555770.33</v>
      </c>
      <c r="G440" s="50"/>
      <c r="H440" s="50">
        <f>H412+H423+H438</f>
        <v>0</v>
      </c>
      <c r="I440" s="50">
        <f>I412+I423+I438</f>
        <v>0</v>
      </c>
      <c r="J440" s="50"/>
      <c r="K440" s="50">
        <f>K412+K423+K438</f>
        <v>0</v>
      </c>
      <c r="L440" s="50"/>
      <c r="M440" s="50">
        <f>M412+M423+M438</f>
        <v>9.7506872664371169</v>
      </c>
      <c r="N440" s="50"/>
      <c r="O440" s="50">
        <f>O412+O423+O438</f>
        <v>1502081.2139316262</v>
      </c>
      <c r="P440" s="50">
        <f>P412+P423+P438</f>
        <v>482415.36213807762</v>
      </c>
      <c r="Q440" s="50"/>
      <c r="R440" s="50">
        <f>R412+R423+R438</f>
        <v>0</v>
      </c>
      <c r="S440" s="50">
        <f>S412+S423+S438</f>
        <v>30750.16488438028</v>
      </c>
      <c r="T440" s="50"/>
      <c r="U440" s="50">
        <f>U412+U423+U438</f>
        <v>303066.07311583398</v>
      </c>
      <c r="V440" s="50"/>
      <c r="W440" s="50">
        <f>W412+W423+W438</f>
        <v>13145.435242815362</v>
      </c>
      <c r="X440" s="50"/>
      <c r="Y440" s="50">
        <f>Y412+Y423+Y438</f>
        <v>1224302.33</v>
      </c>
      <c r="Z440" s="50"/>
      <c r="AA440" s="50">
        <f>AA412+AA423+AA438</f>
        <v>0</v>
      </c>
      <c r="AB440" s="50">
        <f>SUM(H440:AA440)</f>
        <v>3555770.33</v>
      </c>
      <c r="AC440" s="30" t="str">
        <f>IF(ABS(AB440-F440)&lt;1,"ok","err")</f>
        <v>ok</v>
      </c>
    </row>
    <row r="441" spans="1:29" x14ac:dyDescent="0.2"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C441" s="30"/>
    </row>
    <row r="442" spans="1:29" x14ac:dyDescent="0.2"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C442" s="30"/>
    </row>
    <row r="443" spans="1:29" x14ac:dyDescent="0.2">
      <c r="A443" s="28" t="s">
        <v>473</v>
      </c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C443" s="30"/>
    </row>
    <row r="444" spans="1:29" x14ac:dyDescent="0.2"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C444" s="30"/>
    </row>
    <row r="445" spans="1:29" x14ac:dyDescent="0.2">
      <c r="A445" s="13" t="s">
        <v>159</v>
      </c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C445" s="30"/>
    </row>
    <row r="446" spans="1:29" x14ac:dyDescent="0.2">
      <c r="A446" s="14">
        <v>920</v>
      </c>
      <c r="B446" s="14" t="s">
        <v>160</v>
      </c>
      <c r="C446" s="14" t="s">
        <v>517</v>
      </c>
      <c r="D446" s="14" t="s">
        <v>411</v>
      </c>
      <c r="F446" s="66">
        <v>1213573.17</v>
      </c>
      <c r="G446" s="66"/>
      <c r="H446" s="50">
        <f t="shared" ref="H446:H457" si="256">IF(VLOOKUP($D446,$C$5:$AA$494,6,)=0,0,((VLOOKUP($D446,$C$5:$AA$494,6,)/VLOOKUP($D446,$C$5:$AA$494,4,))*$F446))</f>
        <v>0</v>
      </c>
      <c r="I446" s="50">
        <f t="shared" ref="I446:I457" si="257">IF(VLOOKUP($D446,$C$5:$AA$494,7,)=0,0,((VLOOKUP($D446,$C$5:$AA$494,7,)/VLOOKUP($D446,$C$5:$AA$494,4,))*$F446))</f>
        <v>0</v>
      </c>
      <c r="J446" s="50"/>
      <c r="K446" s="50">
        <f t="shared" ref="K446:K457" si="258">IF(VLOOKUP($D446,$C$5:$AA$494,9,)=0,0,((VLOOKUP($D446,$C$5:$AA$494,9,)/VLOOKUP($D446,$C$5:$AA$494,4,))*$F446))</f>
        <v>0</v>
      </c>
      <c r="L446" s="50"/>
      <c r="M446" s="50">
        <f t="shared" ref="M446:M457" si="259">IF(VLOOKUP($D446,$C$5:$AA$494,11,)=0,0,((VLOOKUP($D446,$C$5:$AA$494,11,)/VLOOKUP($D446,$C$5:$AA$494,4,))*$F446))</f>
        <v>3.4108528152600206</v>
      </c>
      <c r="N446" s="50"/>
      <c r="O446" s="50">
        <f t="shared" ref="O446:O457" si="260">IF(VLOOKUP($D446,$C$5:$AA$494,13,)=0,0,((VLOOKUP($D446,$C$5:$AA$494,13,)/VLOOKUP($D446,$C$5:$AA$494,4,))*$F446))</f>
        <v>581295.17142613803</v>
      </c>
      <c r="P446" s="50">
        <f t="shared" ref="P446:P457" si="261">IF(VLOOKUP($D446,$C$5:$AA$494,14,)=0,0,((VLOOKUP($D446,$C$5:$AA$494,14,)/VLOOKUP($D446,$C$5:$AA$494,4,))*$F446))</f>
        <v>210435.88471702306</v>
      </c>
      <c r="Q446" s="50"/>
      <c r="R446" s="50">
        <f t="shared" ref="R446:R457" si="262">IF(VLOOKUP($D446,$C$5:$AA$494,16,)=0,0,((VLOOKUP($D446,$C$5:$AA$494,16,)/VLOOKUP($D446,$C$5:$AA$494,4,))*$F446))</f>
        <v>0</v>
      </c>
      <c r="S446" s="50">
        <f t="shared" ref="S446:S457" si="263">IF(VLOOKUP($D446,$C$5:$AA$494,17,)=0,0,((VLOOKUP($D446,$C$5:$AA$494,17,)/VLOOKUP($D446,$C$5:$AA$494,4,))*$F446))</f>
        <v>33526.533034483145</v>
      </c>
      <c r="T446" s="50"/>
      <c r="U446" s="50">
        <f t="shared" ref="U446:U457" si="264">IF(VLOOKUP($D446,$C$5:$AA$494,19,)=0,0,((VLOOKUP($D446,$C$5:$AA$494,19,)/VLOOKUP($D446,$C$5:$AA$494,4,))*$F446))</f>
        <v>79518.533084332434</v>
      </c>
      <c r="V446" s="50"/>
      <c r="W446" s="50">
        <f t="shared" ref="W446:W457" si="265">IF(VLOOKUP($D446,$C$5:$AA$494,21,)=0,0,((VLOOKUP($D446,$C$5:$AA$494,21,)/VLOOKUP($D446,$C$5:$AA$494,4,))*$F446))</f>
        <v>4598.3573855464738</v>
      </c>
      <c r="X446" s="50"/>
      <c r="Y446" s="50">
        <f t="shared" ref="Y446:Y457" si="266">IF(VLOOKUP($D446,$C$5:$AA$494,23,)=0,0,((VLOOKUP($D446,$C$5:$AA$494,23,)/VLOOKUP($D446,$C$5:$AA$494,4,))*$F446))</f>
        <v>304195.27949966135</v>
      </c>
      <c r="Z446" s="50"/>
      <c r="AA446" s="50">
        <f t="shared" ref="AA446:AA457" si="267">IF(VLOOKUP($D446,$C$5:$AA$494,25,)=0,0,((VLOOKUP($D446,$C$5:$AA$494,25,)/VLOOKUP($D446,$C$5:$AA$494,4,))*$F446))</f>
        <v>0</v>
      </c>
      <c r="AB446" s="50">
        <f t="shared" ref="AB446:AB457" si="268">SUM(H446:AA446)</f>
        <v>1213573.17</v>
      </c>
      <c r="AC446" s="30" t="str">
        <f t="shared" ref="AC446:AC457" si="269">IF(ABS(AB446-F446)&lt;1,"ok","err")</f>
        <v>ok</v>
      </c>
    </row>
    <row r="447" spans="1:29" x14ac:dyDescent="0.2">
      <c r="A447" s="14">
        <v>921</v>
      </c>
      <c r="B447" s="14" t="s">
        <v>162</v>
      </c>
      <c r="C447" s="14" t="s">
        <v>518</v>
      </c>
      <c r="D447" s="14" t="s">
        <v>516</v>
      </c>
      <c r="F447" s="50">
        <v>7253.47</v>
      </c>
      <c r="G447" s="50"/>
      <c r="H447" s="50">
        <f t="shared" si="256"/>
        <v>0</v>
      </c>
      <c r="I447" s="50">
        <f t="shared" si="257"/>
        <v>0</v>
      </c>
      <c r="J447" s="50"/>
      <c r="K447" s="50">
        <f t="shared" si="258"/>
        <v>0</v>
      </c>
      <c r="L447" s="50"/>
      <c r="M447" s="50">
        <f t="shared" si="259"/>
        <v>1.9890575319155564E-2</v>
      </c>
      <c r="N447" s="50"/>
      <c r="O447" s="50">
        <f t="shared" si="260"/>
        <v>3064.1183236423012</v>
      </c>
      <c r="P447" s="50">
        <f t="shared" si="261"/>
        <v>984.086437553373</v>
      </c>
      <c r="Q447" s="50"/>
      <c r="R447" s="50">
        <f t="shared" si="262"/>
        <v>0</v>
      </c>
      <c r="S447" s="50">
        <f t="shared" si="263"/>
        <v>62.727729235511624</v>
      </c>
      <c r="T447" s="50"/>
      <c r="U447" s="50">
        <f t="shared" si="264"/>
        <v>618.22909393687087</v>
      </c>
      <c r="V447" s="50"/>
      <c r="W447" s="50">
        <f t="shared" si="265"/>
        <v>26.815573369921207</v>
      </c>
      <c r="X447" s="50"/>
      <c r="Y447" s="50">
        <f t="shared" si="266"/>
        <v>2497.4729516867028</v>
      </c>
      <c r="Z447" s="50"/>
      <c r="AA447" s="50">
        <f t="shared" si="267"/>
        <v>0</v>
      </c>
      <c r="AB447" s="50">
        <f t="shared" si="268"/>
        <v>7253.47</v>
      </c>
      <c r="AC447" s="30" t="str">
        <f t="shared" si="269"/>
        <v>ok</v>
      </c>
    </row>
    <row r="448" spans="1:29" x14ac:dyDescent="0.2">
      <c r="A448" s="14">
        <v>923</v>
      </c>
      <c r="B448" s="14" t="s">
        <v>164</v>
      </c>
      <c r="C448" s="14" t="s">
        <v>519</v>
      </c>
      <c r="D448" s="14" t="s">
        <v>411</v>
      </c>
      <c r="F448" s="50">
        <v>0</v>
      </c>
      <c r="G448" s="50"/>
      <c r="H448" s="50">
        <f t="shared" si="256"/>
        <v>0</v>
      </c>
      <c r="I448" s="50">
        <f t="shared" si="257"/>
        <v>0</v>
      </c>
      <c r="J448" s="50"/>
      <c r="K448" s="50">
        <f t="shared" si="258"/>
        <v>0</v>
      </c>
      <c r="L448" s="50"/>
      <c r="M448" s="50">
        <f t="shared" si="259"/>
        <v>0</v>
      </c>
      <c r="N448" s="50"/>
      <c r="O448" s="50">
        <f t="shared" si="260"/>
        <v>0</v>
      </c>
      <c r="P448" s="50">
        <f t="shared" si="261"/>
        <v>0</v>
      </c>
      <c r="Q448" s="50"/>
      <c r="R448" s="50">
        <f t="shared" si="262"/>
        <v>0</v>
      </c>
      <c r="S448" s="50">
        <f t="shared" si="263"/>
        <v>0</v>
      </c>
      <c r="T448" s="50"/>
      <c r="U448" s="50">
        <f t="shared" si="264"/>
        <v>0</v>
      </c>
      <c r="V448" s="50"/>
      <c r="W448" s="50">
        <f t="shared" si="265"/>
        <v>0</v>
      </c>
      <c r="X448" s="50"/>
      <c r="Y448" s="50">
        <f t="shared" si="266"/>
        <v>0</v>
      </c>
      <c r="Z448" s="50"/>
      <c r="AA448" s="50">
        <f t="shared" si="267"/>
        <v>0</v>
      </c>
      <c r="AB448" s="50">
        <f t="shared" si="268"/>
        <v>0</v>
      </c>
      <c r="AC448" s="30" t="str">
        <f t="shared" si="269"/>
        <v>ok</v>
      </c>
    </row>
    <row r="449" spans="1:29" x14ac:dyDescent="0.2">
      <c r="A449" s="14">
        <v>924</v>
      </c>
      <c r="B449" s="14" t="s">
        <v>166</v>
      </c>
      <c r="C449" s="14" t="s">
        <v>520</v>
      </c>
      <c r="D449" s="14" t="s">
        <v>84</v>
      </c>
      <c r="F449" s="50">
        <v>0</v>
      </c>
      <c r="G449" s="50"/>
      <c r="H449" s="50">
        <f t="shared" si="256"/>
        <v>0</v>
      </c>
      <c r="I449" s="50">
        <f t="shared" si="257"/>
        <v>0</v>
      </c>
      <c r="J449" s="50"/>
      <c r="K449" s="50">
        <f t="shared" si="258"/>
        <v>0</v>
      </c>
      <c r="L449" s="50"/>
      <c r="M449" s="50">
        <f t="shared" si="259"/>
        <v>0</v>
      </c>
      <c r="N449" s="50"/>
      <c r="O449" s="50">
        <f t="shared" si="260"/>
        <v>0</v>
      </c>
      <c r="P449" s="50">
        <f t="shared" si="261"/>
        <v>0</v>
      </c>
      <c r="Q449" s="50"/>
      <c r="R449" s="50">
        <f t="shared" si="262"/>
        <v>0</v>
      </c>
      <c r="S449" s="50">
        <f t="shared" si="263"/>
        <v>0</v>
      </c>
      <c r="T449" s="50"/>
      <c r="U449" s="50">
        <f t="shared" si="264"/>
        <v>0</v>
      </c>
      <c r="V449" s="50"/>
      <c r="W449" s="50">
        <f t="shared" si="265"/>
        <v>0</v>
      </c>
      <c r="X449" s="50"/>
      <c r="Y449" s="50">
        <f t="shared" si="266"/>
        <v>0</v>
      </c>
      <c r="Z449" s="50"/>
      <c r="AA449" s="50">
        <f t="shared" si="267"/>
        <v>0</v>
      </c>
      <c r="AB449" s="50">
        <f t="shared" si="268"/>
        <v>0</v>
      </c>
      <c r="AC449" s="30" t="str">
        <f t="shared" si="269"/>
        <v>ok</v>
      </c>
    </row>
    <row r="450" spans="1:29" x14ac:dyDescent="0.2">
      <c r="A450" s="14">
        <v>925</v>
      </c>
      <c r="B450" s="14" t="s">
        <v>168</v>
      </c>
      <c r="C450" s="14" t="s">
        <v>521</v>
      </c>
      <c r="D450" s="14" t="s">
        <v>516</v>
      </c>
      <c r="F450" s="50">
        <v>0</v>
      </c>
      <c r="G450" s="50"/>
      <c r="H450" s="50">
        <f t="shared" si="256"/>
        <v>0</v>
      </c>
      <c r="I450" s="50">
        <f t="shared" si="257"/>
        <v>0</v>
      </c>
      <c r="J450" s="50"/>
      <c r="K450" s="50">
        <f t="shared" si="258"/>
        <v>0</v>
      </c>
      <c r="L450" s="50"/>
      <c r="M450" s="50">
        <f t="shared" si="259"/>
        <v>0</v>
      </c>
      <c r="N450" s="50"/>
      <c r="O450" s="50">
        <f t="shared" si="260"/>
        <v>0</v>
      </c>
      <c r="P450" s="50">
        <f t="shared" si="261"/>
        <v>0</v>
      </c>
      <c r="Q450" s="50"/>
      <c r="R450" s="50">
        <f t="shared" si="262"/>
        <v>0</v>
      </c>
      <c r="S450" s="50">
        <f t="shared" si="263"/>
        <v>0</v>
      </c>
      <c r="T450" s="50"/>
      <c r="U450" s="50">
        <f t="shared" si="264"/>
        <v>0</v>
      </c>
      <c r="V450" s="50"/>
      <c r="W450" s="50">
        <f t="shared" si="265"/>
        <v>0</v>
      </c>
      <c r="X450" s="50"/>
      <c r="Y450" s="50">
        <f t="shared" si="266"/>
        <v>0</v>
      </c>
      <c r="Z450" s="50"/>
      <c r="AA450" s="50">
        <f t="shared" si="267"/>
        <v>0</v>
      </c>
      <c r="AB450" s="50">
        <f t="shared" si="268"/>
        <v>0</v>
      </c>
      <c r="AC450" s="30" t="str">
        <f t="shared" si="269"/>
        <v>ok</v>
      </c>
    </row>
    <row r="451" spans="1:29" x14ac:dyDescent="0.2">
      <c r="A451" s="14">
        <v>926</v>
      </c>
      <c r="B451" s="14" t="s">
        <v>170</v>
      </c>
      <c r="C451" s="14" t="s">
        <v>522</v>
      </c>
      <c r="D451" s="14" t="s">
        <v>516</v>
      </c>
      <c r="F451" s="50">
        <v>0</v>
      </c>
      <c r="G451" s="50"/>
      <c r="H451" s="50">
        <f t="shared" si="256"/>
        <v>0</v>
      </c>
      <c r="I451" s="50">
        <f t="shared" si="257"/>
        <v>0</v>
      </c>
      <c r="J451" s="50"/>
      <c r="K451" s="50">
        <f t="shared" si="258"/>
        <v>0</v>
      </c>
      <c r="L451" s="50"/>
      <c r="M451" s="50">
        <f t="shared" si="259"/>
        <v>0</v>
      </c>
      <c r="N451" s="50"/>
      <c r="O451" s="50">
        <f t="shared" si="260"/>
        <v>0</v>
      </c>
      <c r="P451" s="50">
        <f t="shared" si="261"/>
        <v>0</v>
      </c>
      <c r="Q451" s="50"/>
      <c r="R451" s="50">
        <f t="shared" si="262"/>
        <v>0</v>
      </c>
      <c r="S451" s="50">
        <f t="shared" si="263"/>
        <v>0</v>
      </c>
      <c r="T451" s="50"/>
      <c r="U451" s="50">
        <f t="shared" si="264"/>
        <v>0</v>
      </c>
      <c r="V451" s="50"/>
      <c r="W451" s="50">
        <f t="shared" si="265"/>
        <v>0</v>
      </c>
      <c r="X451" s="50"/>
      <c r="Y451" s="50">
        <f t="shared" si="266"/>
        <v>0</v>
      </c>
      <c r="Z451" s="50"/>
      <c r="AA451" s="50">
        <f t="shared" si="267"/>
        <v>0</v>
      </c>
      <c r="AB451" s="50">
        <f t="shared" si="268"/>
        <v>0</v>
      </c>
      <c r="AC451" s="30" t="str">
        <f t="shared" si="269"/>
        <v>ok</v>
      </c>
    </row>
    <row r="452" spans="1:29" x14ac:dyDescent="0.2">
      <c r="A452" s="14">
        <v>928</v>
      </c>
      <c r="B452" s="14" t="s">
        <v>172</v>
      </c>
      <c r="C452" s="14" t="s">
        <v>523</v>
      </c>
      <c r="D452" s="14" t="s">
        <v>411</v>
      </c>
      <c r="F452" s="50">
        <v>0</v>
      </c>
      <c r="G452" s="50"/>
      <c r="H452" s="50">
        <f t="shared" si="256"/>
        <v>0</v>
      </c>
      <c r="I452" s="50">
        <f t="shared" si="257"/>
        <v>0</v>
      </c>
      <c r="J452" s="50"/>
      <c r="K452" s="50">
        <f t="shared" si="258"/>
        <v>0</v>
      </c>
      <c r="L452" s="50"/>
      <c r="M452" s="50">
        <f t="shared" si="259"/>
        <v>0</v>
      </c>
      <c r="N452" s="50"/>
      <c r="O452" s="50">
        <f t="shared" si="260"/>
        <v>0</v>
      </c>
      <c r="P452" s="50">
        <f t="shared" si="261"/>
        <v>0</v>
      </c>
      <c r="Q452" s="50"/>
      <c r="R452" s="50">
        <f t="shared" si="262"/>
        <v>0</v>
      </c>
      <c r="S452" s="50">
        <f t="shared" si="263"/>
        <v>0</v>
      </c>
      <c r="T452" s="50"/>
      <c r="U452" s="50">
        <f t="shared" si="264"/>
        <v>0</v>
      </c>
      <c r="V452" s="50"/>
      <c r="W452" s="50">
        <f t="shared" si="265"/>
        <v>0</v>
      </c>
      <c r="X452" s="50"/>
      <c r="Y452" s="50">
        <f t="shared" si="266"/>
        <v>0</v>
      </c>
      <c r="Z452" s="50"/>
      <c r="AA452" s="50">
        <f t="shared" si="267"/>
        <v>0</v>
      </c>
      <c r="AB452" s="50">
        <f t="shared" si="268"/>
        <v>0</v>
      </c>
      <c r="AC452" s="30" t="str">
        <f t="shared" si="269"/>
        <v>ok</v>
      </c>
    </row>
    <row r="453" spans="1:29" x14ac:dyDescent="0.2">
      <c r="A453" s="14">
        <v>929</v>
      </c>
      <c r="B453" s="14" t="s">
        <v>386</v>
      </c>
      <c r="C453" s="14" t="s">
        <v>524</v>
      </c>
      <c r="D453" s="14" t="s">
        <v>411</v>
      </c>
      <c r="F453" s="50">
        <v>0</v>
      </c>
      <c r="G453" s="50"/>
      <c r="H453" s="50">
        <f t="shared" si="256"/>
        <v>0</v>
      </c>
      <c r="I453" s="50">
        <f t="shared" si="257"/>
        <v>0</v>
      </c>
      <c r="J453" s="50"/>
      <c r="K453" s="50">
        <f t="shared" si="258"/>
        <v>0</v>
      </c>
      <c r="L453" s="50"/>
      <c r="M453" s="50">
        <f t="shared" si="259"/>
        <v>0</v>
      </c>
      <c r="N453" s="50"/>
      <c r="O453" s="50">
        <f t="shared" si="260"/>
        <v>0</v>
      </c>
      <c r="P453" s="50">
        <f t="shared" si="261"/>
        <v>0</v>
      </c>
      <c r="Q453" s="50"/>
      <c r="R453" s="50">
        <f t="shared" si="262"/>
        <v>0</v>
      </c>
      <c r="S453" s="50">
        <f t="shared" si="263"/>
        <v>0</v>
      </c>
      <c r="T453" s="50"/>
      <c r="U453" s="50">
        <f t="shared" si="264"/>
        <v>0</v>
      </c>
      <c r="V453" s="50"/>
      <c r="W453" s="50">
        <f t="shared" si="265"/>
        <v>0</v>
      </c>
      <c r="X453" s="50"/>
      <c r="Y453" s="50">
        <f t="shared" si="266"/>
        <v>0</v>
      </c>
      <c r="Z453" s="50"/>
      <c r="AA453" s="50">
        <f t="shared" si="267"/>
        <v>0</v>
      </c>
      <c r="AB453" s="50">
        <f t="shared" si="268"/>
        <v>0</v>
      </c>
      <c r="AC453" s="30" t="str">
        <f t="shared" si="269"/>
        <v>ok</v>
      </c>
    </row>
    <row r="454" spans="1:29" x14ac:dyDescent="0.2">
      <c r="A454" s="14">
        <v>930</v>
      </c>
      <c r="B454" s="14" t="s">
        <v>174</v>
      </c>
      <c r="C454" s="14" t="s">
        <v>525</v>
      </c>
      <c r="D454" s="14" t="s">
        <v>411</v>
      </c>
      <c r="F454" s="50">
        <v>0</v>
      </c>
      <c r="G454" s="50"/>
      <c r="H454" s="50">
        <f t="shared" si="256"/>
        <v>0</v>
      </c>
      <c r="I454" s="50">
        <f t="shared" si="257"/>
        <v>0</v>
      </c>
      <c r="J454" s="50"/>
      <c r="K454" s="50">
        <f t="shared" si="258"/>
        <v>0</v>
      </c>
      <c r="L454" s="50"/>
      <c r="M454" s="50">
        <f t="shared" si="259"/>
        <v>0</v>
      </c>
      <c r="N454" s="50"/>
      <c r="O454" s="50">
        <f t="shared" si="260"/>
        <v>0</v>
      </c>
      <c r="P454" s="50">
        <f t="shared" si="261"/>
        <v>0</v>
      </c>
      <c r="Q454" s="50"/>
      <c r="R454" s="50">
        <f t="shared" si="262"/>
        <v>0</v>
      </c>
      <c r="S454" s="50">
        <f t="shared" si="263"/>
        <v>0</v>
      </c>
      <c r="T454" s="50"/>
      <c r="U454" s="50">
        <f t="shared" si="264"/>
        <v>0</v>
      </c>
      <c r="V454" s="50"/>
      <c r="W454" s="50">
        <f t="shared" si="265"/>
        <v>0</v>
      </c>
      <c r="X454" s="50"/>
      <c r="Y454" s="50">
        <f t="shared" si="266"/>
        <v>0</v>
      </c>
      <c r="Z454" s="50"/>
      <c r="AA454" s="50">
        <f t="shared" si="267"/>
        <v>0</v>
      </c>
      <c r="AB454" s="50">
        <f t="shared" si="268"/>
        <v>0</v>
      </c>
      <c r="AC454" s="30" t="str">
        <f t="shared" si="269"/>
        <v>ok</v>
      </c>
    </row>
    <row r="455" spans="1:29" x14ac:dyDescent="0.2">
      <c r="A455" s="14">
        <v>931</v>
      </c>
      <c r="B455" s="14" t="s">
        <v>176</v>
      </c>
      <c r="C455" s="14" t="s">
        <v>526</v>
      </c>
      <c r="D455" s="14" t="s">
        <v>84</v>
      </c>
      <c r="F455" s="50">
        <v>0</v>
      </c>
      <c r="G455" s="50"/>
      <c r="H455" s="50">
        <f t="shared" si="256"/>
        <v>0</v>
      </c>
      <c r="I455" s="50">
        <f t="shared" si="257"/>
        <v>0</v>
      </c>
      <c r="J455" s="50"/>
      <c r="K455" s="50">
        <f t="shared" si="258"/>
        <v>0</v>
      </c>
      <c r="L455" s="50"/>
      <c r="M455" s="50">
        <f t="shared" si="259"/>
        <v>0</v>
      </c>
      <c r="N455" s="50"/>
      <c r="O455" s="50">
        <f t="shared" si="260"/>
        <v>0</v>
      </c>
      <c r="P455" s="50">
        <f t="shared" si="261"/>
        <v>0</v>
      </c>
      <c r="Q455" s="50"/>
      <c r="R455" s="50">
        <f t="shared" si="262"/>
        <v>0</v>
      </c>
      <c r="S455" s="50">
        <f t="shared" si="263"/>
        <v>0</v>
      </c>
      <c r="T455" s="50"/>
      <c r="U455" s="50">
        <f t="shared" si="264"/>
        <v>0</v>
      </c>
      <c r="V455" s="50"/>
      <c r="W455" s="50">
        <f t="shared" si="265"/>
        <v>0</v>
      </c>
      <c r="X455" s="50"/>
      <c r="Y455" s="50">
        <f t="shared" si="266"/>
        <v>0</v>
      </c>
      <c r="Z455" s="50"/>
      <c r="AA455" s="50">
        <f t="shared" si="267"/>
        <v>0</v>
      </c>
      <c r="AB455" s="50">
        <f t="shared" si="268"/>
        <v>0</v>
      </c>
      <c r="AC455" s="30" t="str">
        <f t="shared" si="269"/>
        <v>ok</v>
      </c>
    </row>
    <row r="456" spans="1:29" x14ac:dyDescent="0.2">
      <c r="A456" s="14">
        <v>932</v>
      </c>
      <c r="B456" s="14" t="s">
        <v>178</v>
      </c>
      <c r="C456" s="14" t="s">
        <v>713</v>
      </c>
      <c r="D456" s="14" t="s">
        <v>70</v>
      </c>
      <c r="F456" s="50">
        <v>30896.45</v>
      </c>
      <c r="G456" s="50"/>
      <c r="H456" s="50">
        <f t="shared" si="256"/>
        <v>0</v>
      </c>
      <c r="I456" s="50">
        <f t="shared" si="257"/>
        <v>0</v>
      </c>
      <c r="J456" s="50"/>
      <c r="K456" s="50">
        <f t="shared" si="258"/>
        <v>0</v>
      </c>
      <c r="L456" s="50"/>
      <c r="M456" s="50">
        <f t="shared" si="259"/>
        <v>1.4978899663546421</v>
      </c>
      <c r="N456" s="50"/>
      <c r="O456" s="50">
        <f t="shared" si="260"/>
        <v>16309.855161839894</v>
      </c>
      <c r="P456" s="50">
        <f t="shared" si="261"/>
        <v>8383.7052971744615</v>
      </c>
      <c r="Q456" s="50"/>
      <c r="R456" s="50">
        <f t="shared" si="262"/>
        <v>0</v>
      </c>
      <c r="S456" s="50">
        <f t="shared" si="263"/>
        <v>2629.0593844693376</v>
      </c>
      <c r="T456" s="50"/>
      <c r="U456" s="50">
        <f t="shared" si="264"/>
        <v>1552.9448105134602</v>
      </c>
      <c r="V456" s="50"/>
      <c r="W456" s="50">
        <f t="shared" si="265"/>
        <v>2019.3874560364882</v>
      </c>
      <c r="X456" s="50"/>
      <c r="Y456" s="50">
        <f t="shared" si="266"/>
        <v>0</v>
      </c>
      <c r="Z456" s="50"/>
      <c r="AA456" s="50">
        <f t="shared" si="267"/>
        <v>0</v>
      </c>
      <c r="AB456" s="50">
        <f t="shared" si="268"/>
        <v>30896.449999999997</v>
      </c>
      <c r="AC456" s="30" t="str">
        <f t="shared" si="269"/>
        <v>ok</v>
      </c>
    </row>
    <row r="457" spans="1:29" x14ac:dyDescent="0.2">
      <c r="A457" s="14">
        <v>950</v>
      </c>
      <c r="B457" s="14" t="s">
        <v>592</v>
      </c>
      <c r="C457" s="14" t="s">
        <v>593</v>
      </c>
      <c r="D457" s="14" t="s">
        <v>70</v>
      </c>
      <c r="F457" s="50">
        <v>0</v>
      </c>
      <c r="G457" s="50"/>
      <c r="H457" s="50">
        <f t="shared" si="256"/>
        <v>0</v>
      </c>
      <c r="I457" s="50">
        <f t="shared" si="257"/>
        <v>0</v>
      </c>
      <c r="J457" s="50"/>
      <c r="K457" s="50">
        <f t="shared" si="258"/>
        <v>0</v>
      </c>
      <c r="L457" s="50"/>
      <c r="M457" s="50">
        <f t="shared" si="259"/>
        <v>0</v>
      </c>
      <c r="N457" s="50"/>
      <c r="O457" s="50">
        <f t="shared" si="260"/>
        <v>0</v>
      </c>
      <c r="P457" s="50">
        <f t="shared" si="261"/>
        <v>0</v>
      </c>
      <c r="Q457" s="50"/>
      <c r="R457" s="50">
        <f t="shared" si="262"/>
        <v>0</v>
      </c>
      <c r="S457" s="50">
        <f t="shared" si="263"/>
        <v>0</v>
      </c>
      <c r="T457" s="50"/>
      <c r="U457" s="50">
        <f t="shared" si="264"/>
        <v>0</v>
      </c>
      <c r="V457" s="50"/>
      <c r="W457" s="50">
        <f t="shared" si="265"/>
        <v>0</v>
      </c>
      <c r="X457" s="50"/>
      <c r="Y457" s="50">
        <f t="shared" si="266"/>
        <v>0</v>
      </c>
      <c r="Z457" s="50"/>
      <c r="AA457" s="50">
        <f t="shared" si="267"/>
        <v>0</v>
      </c>
      <c r="AB457" s="50">
        <f t="shared" si="268"/>
        <v>0</v>
      </c>
      <c r="AC457" s="30" t="str">
        <f t="shared" si="269"/>
        <v>ok</v>
      </c>
    </row>
    <row r="458" spans="1:29" x14ac:dyDescent="0.2"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30"/>
    </row>
    <row r="459" spans="1:29" x14ac:dyDescent="0.2">
      <c r="A459" s="14" t="s">
        <v>179</v>
      </c>
      <c r="C459" s="14" t="s">
        <v>527</v>
      </c>
      <c r="F459" s="66">
        <f>SUM(F446:F458)</f>
        <v>1251723.0899999999</v>
      </c>
      <c r="G459" s="66"/>
      <c r="H459" s="66">
        <f>SUM(H446:H458)</f>
        <v>0</v>
      </c>
      <c r="I459" s="66">
        <f>SUM(I446:I458)</f>
        <v>0</v>
      </c>
      <c r="J459" s="66"/>
      <c r="K459" s="66">
        <f>SUM(K446:K458)</f>
        <v>0</v>
      </c>
      <c r="L459" s="66"/>
      <c r="M459" s="66">
        <f>SUM(M446:M458)</f>
        <v>4.9286333569338181</v>
      </c>
      <c r="N459" s="66"/>
      <c r="O459" s="66">
        <f>SUM(O446:O458)</f>
        <v>600669.14491162018</v>
      </c>
      <c r="P459" s="66">
        <f>SUM(P446:P458)</f>
        <v>219803.67645175089</v>
      </c>
      <c r="Q459" s="66"/>
      <c r="R459" s="66">
        <f>SUM(R446:R458)</f>
        <v>0</v>
      </c>
      <c r="S459" s="66">
        <f>SUM(S446:S458)</f>
        <v>36218.320148187995</v>
      </c>
      <c r="T459" s="66"/>
      <c r="U459" s="66">
        <f>SUM(U446:U458)</f>
        <v>81689.706988782767</v>
      </c>
      <c r="V459" s="66"/>
      <c r="W459" s="66">
        <f>SUM(W446:W458)</f>
        <v>6644.5604149528835</v>
      </c>
      <c r="X459" s="66"/>
      <c r="Y459" s="66">
        <f>SUM(Y446:Y458)</f>
        <v>306692.75245134806</v>
      </c>
      <c r="Z459" s="66"/>
      <c r="AA459" s="66">
        <f>SUM(AA446:AA458)</f>
        <v>0</v>
      </c>
      <c r="AB459" s="50">
        <f>SUM(H459:AA459)</f>
        <v>1251723.0899999999</v>
      </c>
      <c r="AC459" s="30" t="str">
        <f>IF(ABS(AB459-F459)&lt;1,"ok","err")</f>
        <v>ok</v>
      </c>
    </row>
    <row r="460" spans="1:29" x14ac:dyDescent="0.2">
      <c r="D460" s="93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30"/>
    </row>
    <row r="461" spans="1:29" x14ac:dyDescent="0.2">
      <c r="A461" s="14" t="s">
        <v>181</v>
      </c>
      <c r="C461" s="14" t="s">
        <v>528</v>
      </c>
      <c r="F461" s="66">
        <f>F356+F414+F423+F438+F459</f>
        <v>4807493.42</v>
      </c>
      <c r="G461" s="66"/>
      <c r="H461" s="66">
        <f>H356+H414+H423+H438+H459</f>
        <v>0</v>
      </c>
      <c r="I461" s="66">
        <f>I356+I414+I423+I438+I459</f>
        <v>0</v>
      </c>
      <c r="J461" s="66"/>
      <c r="K461" s="66">
        <f>K356+K414+K423+K438+K459</f>
        <v>0</v>
      </c>
      <c r="L461" s="66"/>
      <c r="M461" s="66">
        <f>M356+M414+M423+M438+M459</f>
        <v>14.679320623370934</v>
      </c>
      <c r="N461" s="66"/>
      <c r="O461" s="66">
        <f>O356+O414+O423+O438+O459</f>
        <v>2102750.3588432465</v>
      </c>
      <c r="P461" s="66">
        <f>P356+P414+P423+P438+P459</f>
        <v>702219.03858982853</v>
      </c>
      <c r="Q461" s="66"/>
      <c r="R461" s="66">
        <f>R356+R414+R423+R438+R459</f>
        <v>0</v>
      </c>
      <c r="S461" s="66">
        <f>S356+S414+S423+S438+S459</f>
        <v>66968.485032568278</v>
      </c>
      <c r="T461" s="66"/>
      <c r="U461" s="66">
        <f>U356+U414+U423+U438+U459</f>
        <v>384755.78010461677</v>
      </c>
      <c r="V461" s="66"/>
      <c r="W461" s="66">
        <f>W356+W414+W423+W438+W459</f>
        <v>19789.995657768246</v>
      </c>
      <c r="X461" s="66"/>
      <c r="Y461" s="66">
        <f>Y356+Y414+Y423+Y438+Y459</f>
        <v>1530995.0824513482</v>
      </c>
      <c r="Z461" s="66"/>
      <c r="AA461" s="66">
        <f>AA356+AA414+AA423+AA438+AA459</f>
        <v>0</v>
      </c>
      <c r="AB461" s="50">
        <f>SUM(H461:AA461)</f>
        <v>4807493.42</v>
      </c>
      <c r="AC461" s="30" t="str">
        <f>IF(ABS(AB461-F461)&lt;1,"ok","err")</f>
        <v>ok</v>
      </c>
    </row>
    <row r="462" spans="1:29" x14ac:dyDescent="0.2"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30"/>
    </row>
    <row r="463" spans="1:29" x14ac:dyDescent="0.2">
      <c r="A463" s="14" t="s">
        <v>412</v>
      </c>
      <c r="C463" s="14" t="s">
        <v>529</v>
      </c>
      <c r="F463" s="260">
        <f>F461-F362</f>
        <v>4807493.42</v>
      </c>
      <c r="G463" s="93"/>
      <c r="H463" s="93">
        <f>H461-H362</f>
        <v>0</v>
      </c>
      <c r="I463" s="93">
        <f>I461-I362</f>
        <v>0</v>
      </c>
      <c r="J463" s="93"/>
      <c r="K463" s="93">
        <f>K461-K362</f>
        <v>0</v>
      </c>
      <c r="L463" s="93"/>
      <c r="M463" s="93">
        <f>M461-M362</f>
        <v>14.679320623370934</v>
      </c>
      <c r="N463" s="93"/>
      <c r="O463" s="93">
        <f>O461-O362</f>
        <v>2102750.3588432465</v>
      </c>
      <c r="P463" s="93">
        <f>P461-P362</f>
        <v>702219.03858982853</v>
      </c>
      <c r="Q463" s="93"/>
      <c r="R463" s="93">
        <f>R461-R362</f>
        <v>0</v>
      </c>
      <c r="S463" s="93">
        <f>S461-S362</f>
        <v>66968.485032568278</v>
      </c>
      <c r="T463" s="93"/>
      <c r="U463" s="93">
        <f>U461-U362</f>
        <v>384755.78010461677</v>
      </c>
      <c r="V463" s="93"/>
      <c r="W463" s="93">
        <f>W461-W362</f>
        <v>19789.995657768246</v>
      </c>
      <c r="X463" s="93"/>
      <c r="Y463" s="93">
        <f>Y461-Y362</f>
        <v>1530995.0824513482</v>
      </c>
      <c r="Z463" s="93"/>
      <c r="AA463" s="93">
        <f>AA461-AA362</f>
        <v>0</v>
      </c>
      <c r="AB463" s="50">
        <f>SUM(H463:AA463)</f>
        <v>4807493.42</v>
      </c>
      <c r="AC463" s="30" t="str">
        <f>IF(ABS(AB463-F463)&lt;1,"ok","err")</f>
        <v>ok</v>
      </c>
    </row>
    <row r="464" spans="1:29" x14ac:dyDescent="0.2">
      <c r="F464" s="260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  <c r="Z464" s="93"/>
      <c r="AA464" s="93"/>
      <c r="AB464" s="50"/>
      <c r="AC464" s="30"/>
    </row>
    <row r="465" spans="1:29" x14ac:dyDescent="0.2">
      <c r="A465" s="28" t="s">
        <v>199</v>
      </c>
      <c r="AC465" s="30"/>
    </row>
    <row r="466" spans="1:29" x14ac:dyDescent="0.2">
      <c r="AC466" s="30"/>
    </row>
    <row r="467" spans="1:29" x14ac:dyDescent="0.2">
      <c r="A467" s="14" t="s">
        <v>1</v>
      </c>
      <c r="C467" s="14" t="s">
        <v>24</v>
      </c>
      <c r="F467" s="262">
        <v>1</v>
      </c>
      <c r="G467" s="97"/>
      <c r="H467" s="98">
        <v>0</v>
      </c>
      <c r="I467" s="98">
        <v>0</v>
      </c>
      <c r="J467" s="98"/>
      <c r="K467" s="98">
        <v>0</v>
      </c>
      <c r="L467" s="97"/>
      <c r="M467" s="98">
        <v>1</v>
      </c>
      <c r="N467" s="97"/>
      <c r="O467" s="98">
        <v>0</v>
      </c>
      <c r="P467" s="98">
        <v>0</v>
      </c>
      <c r="Q467" s="99"/>
      <c r="R467" s="97">
        <v>0</v>
      </c>
      <c r="S467" s="97">
        <v>0</v>
      </c>
      <c r="T467" s="97"/>
      <c r="U467" s="97">
        <v>0</v>
      </c>
      <c r="V467" s="97"/>
      <c r="W467" s="97">
        <v>0</v>
      </c>
      <c r="X467" s="97"/>
      <c r="Y467" s="97">
        <v>0</v>
      </c>
      <c r="Z467" s="97"/>
      <c r="AA467" s="97">
        <v>0</v>
      </c>
      <c r="AB467" s="98">
        <f>SUM(H467:AA467)</f>
        <v>1</v>
      </c>
      <c r="AC467" s="30" t="str">
        <f t="shared" ref="AC467:AC477" si="270">IF(ABS(AB467-F467)&lt;0.0000001,"ok","err")</f>
        <v>ok</v>
      </c>
    </row>
    <row r="468" spans="1:29" x14ac:dyDescent="0.2">
      <c r="A468" s="14" t="s">
        <v>200</v>
      </c>
      <c r="C468" s="14" t="s">
        <v>27</v>
      </c>
      <c r="F468" s="262">
        <v>1</v>
      </c>
      <c r="G468" s="97"/>
      <c r="H468" s="98">
        <v>0</v>
      </c>
      <c r="I468" s="98">
        <v>0</v>
      </c>
      <c r="J468" s="98"/>
      <c r="K468" s="98">
        <v>0</v>
      </c>
      <c r="L468" s="97"/>
      <c r="M468" s="98">
        <v>0</v>
      </c>
      <c r="N468" s="97"/>
      <c r="O468" s="98">
        <f>O469</f>
        <v>0.76540620575317719</v>
      </c>
      <c r="P468" s="98">
        <f>P469</f>
        <v>0.23459379424682281</v>
      </c>
      <c r="Q468" s="99"/>
      <c r="R468" s="97">
        <v>0</v>
      </c>
      <c r="S468" s="97">
        <v>0</v>
      </c>
      <c r="T468" s="97"/>
      <c r="U468" s="97">
        <v>0</v>
      </c>
      <c r="V468" s="97"/>
      <c r="W468" s="97">
        <v>0</v>
      </c>
      <c r="X468" s="97"/>
      <c r="Y468" s="97">
        <v>0</v>
      </c>
      <c r="Z468" s="97"/>
      <c r="AA468" s="97">
        <v>0</v>
      </c>
      <c r="AB468" s="98">
        <f t="shared" ref="AB468:AB476" si="271">SUM(H468:AA468)</f>
        <v>1</v>
      </c>
      <c r="AC468" s="30" t="str">
        <f t="shared" si="270"/>
        <v>ok</v>
      </c>
    </row>
    <row r="469" spans="1:29" x14ac:dyDescent="0.2">
      <c r="A469" s="14" t="s">
        <v>201</v>
      </c>
      <c r="C469" s="14" t="s">
        <v>30</v>
      </c>
      <c r="F469" s="262">
        <v>1</v>
      </c>
      <c r="G469" s="97"/>
      <c r="H469" s="98">
        <v>0</v>
      </c>
      <c r="I469" s="98">
        <v>0</v>
      </c>
      <c r="J469" s="98"/>
      <c r="K469" s="98">
        <v>0</v>
      </c>
      <c r="L469" s="97"/>
      <c r="M469" s="98">
        <v>0</v>
      </c>
      <c r="N469" s="97"/>
      <c r="O469" s="98">
        <f>ZeroInt!D138</f>
        <v>0.76540620575317719</v>
      </c>
      <c r="P469" s="98">
        <f>ZeroInt!E138</f>
        <v>0.23459379424682281</v>
      </c>
      <c r="Q469" s="99"/>
      <c r="R469" s="97">
        <v>0</v>
      </c>
      <c r="S469" s="97">
        <v>0</v>
      </c>
      <c r="T469" s="97"/>
      <c r="U469" s="97">
        <v>0</v>
      </c>
      <c r="V469" s="97"/>
      <c r="W469" s="97">
        <v>0</v>
      </c>
      <c r="X469" s="97"/>
      <c r="Y469" s="97">
        <v>0</v>
      </c>
      <c r="Z469" s="97"/>
      <c r="AA469" s="97">
        <v>0</v>
      </c>
      <c r="AB469" s="98">
        <f t="shared" si="271"/>
        <v>1</v>
      </c>
      <c r="AC469" s="30" t="str">
        <f t="shared" si="270"/>
        <v>ok</v>
      </c>
    </row>
    <row r="470" spans="1:29" x14ac:dyDescent="0.2">
      <c r="A470" s="14" t="s">
        <v>202</v>
      </c>
      <c r="C470" s="14" t="s">
        <v>33</v>
      </c>
      <c r="F470" s="262">
        <v>1</v>
      </c>
      <c r="G470" s="97"/>
      <c r="H470" s="98">
        <v>0</v>
      </c>
      <c r="I470" s="98">
        <v>0</v>
      </c>
      <c r="J470" s="98"/>
      <c r="K470" s="98">
        <v>0</v>
      </c>
      <c r="L470" s="97"/>
      <c r="M470" s="98">
        <v>0</v>
      </c>
      <c r="N470" s="97"/>
      <c r="O470" s="98">
        <f>ZeroInt!D139</f>
        <v>0.1253281794067419</v>
      </c>
      <c r="P470" s="98">
        <f>ZeroInt!E139</f>
        <v>0.8746718205932581</v>
      </c>
      <c r="Q470" s="99"/>
      <c r="R470" s="97">
        <v>0</v>
      </c>
      <c r="S470" s="97">
        <v>0</v>
      </c>
      <c r="T470" s="97"/>
      <c r="U470" s="97">
        <v>0</v>
      </c>
      <c r="V470" s="97"/>
      <c r="W470" s="97">
        <v>0</v>
      </c>
      <c r="X470" s="97"/>
      <c r="Y470" s="97">
        <v>0</v>
      </c>
      <c r="Z470" s="97"/>
      <c r="AA470" s="97">
        <v>0</v>
      </c>
      <c r="AB470" s="98">
        <f t="shared" si="271"/>
        <v>1</v>
      </c>
      <c r="AC470" s="30" t="str">
        <f t="shared" si="270"/>
        <v>ok</v>
      </c>
    </row>
    <row r="471" spans="1:29" x14ac:dyDescent="0.2">
      <c r="A471" s="14" t="s">
        <v>203</v>
      </c>
      <c r="C471" s="14" t="s">
        <v>38</v>
      </c>
      <c r="F471" s="262">
        <v>1</v>
      </c>
      <c r="G471" s="97"/>
      <c r="H471" s="98">
        <v>0</v>
      </c>
      <c r="I471" s="98">
        <v>0</v>
      </c>
      <c r="J471" s="98"/>
      <c r="K471" s="98">
        <v>0</v>
      </c>
      <c r="L471" s="97"/>
      <c r="M471" s="98">
        <v>0</v>
      </c>
      <c r="N471" s="97"/>
      <c r="O471" s="98">
        <f>ZeroInt!D140</f>
        <v>0.27012433439641326</v>
      </c>
      <c r="P471" s="98">
        <f>ZeroInt!E140</f>
        <v>0.72987566560358674</v>
      </c>
      <c r="Q471" s="99"/>
      <c r="R471" s="97">
        <v>0</v>
      </c>
      <c r="S471" s="97">
        <v>0</v>
      </c>
      <c r="T471" s="97"/>
      <c r="U471" s="97">
        <v>0</v>
      </c>
      <c r="V471" s="97"/>
      <c r="W471" s="97">
        <v>0</v>
      </c>
      <c r="X471" s="97"/>
      <c r="Y471" s="97">
        <v>0</v>
      </c>
      <c r="Z471" s="97"/>
      <c r="AA471" s="97">
        <v>0</v>
      </c>
      <c r="AB471" s="98">
        <f t="shared" si="271"/>
        <v>1</v>
      </c>
      <c r="AC471" s="30" t="str">
        <f t="shared" si="270"/>
        <v>ok</v>
      </c>
    </row>
    <row r="472" spans="1:29" x14ac:dyDescent="0.2">
      <c r="A472" s="14" t="s">
        <v>204</v>
      </c>
      <c r="C472" s="14" t="s">
        <v>41</v>
      </c>
      <c r="F472" s="262">
        <v>1</v>
      </c>
      <c r="G472" s="97"/>
      <c r="H472" s="98">
        <v>0</v>
      </c>
      <c r="I472" s="98">
        <v>0</v>
      </c>
      <c r="J472" s="98"/>
      <c r="K472" s="98">
        <v>0</v>
      </c>
      <c r="L472" s="97"/>
      <c r="M472" s="98">
        <v>0</v>
      </c>
      <c r="N472" s="97"/>
      <c r="O472" s="98">
        <v>0</v>
      </c>
      <c r="P472" s="98">
        <v>0</v>
      </c>
      <c r="Q472" s="99"/>
      <c r="R472" s="97">
        <v>0</v>
      </c>
      <c r="S472" s="97">
        <v>1</v>
      </c>
      <c r="T472" s="97"/>
      <c r="U472" s="97">
        <v>0</v>
      </c>
      <c r="V472" s="97"/>
      <c r="W472" s="97">
        <v>0</v>
      </c>
      <c r="X472" s="97"/>
      <c r="Y472" s="97">
        <v>0</v>
      </c>
      <c r="Z472" s="97"/>
      <c r="AA472" s="97">
        <v>0</v>
      </c>
      <c r="AB472" s="98">
        <f t="shared" si="271"/>
        <v>1</v>
      </c>
      <c r="AC472" s="30" t="str">
        <f t="shared" si="270"/>
        <v>ok</v>
      </c>
    </row>
    <row r="473" spans="1:29" x14ac:dyDescent="0.2">
      <c r="A473" s="14" t="s">
        <v>4</v>
      </c>
      <c r="C473" s="14" t="s">
        <v>44</v>
      </c>
      <c r="F473" s="262">
        <v>1</v>
      </c>
      <c r="G473" s="97"/>
      <c r="H473" s="98">
        <v>0</v>
      </c>
      <c r="I473" s="98">
        <v>0</v>
      </c>
      <c r="J473" s="98"/>
      <c r="K473" s="98">
        <v>0</v>
      </c>
      <c r="L473" s="97"/>
      <c r="M473" s="98">
        <v>0</v>
      </c>
      <c r="N473" s="97"/>
      <c r="O473" s="98">
        <v>0</v>
      </c>
      <c r="P473" s="98">
        <v>0</v>
      </c>
      <c r="Q473" s="99"/>
      <c r="R473" s="97">
        <v>0</v>
      </c>
      <c r="S473" s="97">
        <v>0</v>
      </c>
      <c r="T473" s="97"/>
      <c r="U473" s="97">
        <v>1</v>
      </c>
      <c r="V473" s="97"/>
      <c r="W473" s="97">
        <v>0</v>
      </c>
      <c r="X473" s="97"/>
      <c r="Y473" s="97">
        <v>0</v>
      </c>
      <c r="Z473" s="97"/>
      <c r="AA473" s="97">
        <v>0</v>
      </c>
      <c r="AB473" s="98">
        <f t="shared" si="271"/>
        <v>1</v>
      </c>
      <c r="AC473" s="30" t="str">
        <f t="shared" si="270"/>
        <v>ok</v>
      </c>
    </row>
    <row r="474" spans="1:29" x14ac:dyDescent="0.2">
      <c r="A474" s="14" t="s">
        <v>205</v>
      </c>
      <c r="C474" s="14" t="s">
        <v>49</v>
      </c>
      <c r="F474" s="262">
        <v>1</v>
      </c>
      <c r="G474" s="97"/>
      <c r="H474" s="98">
        <v>0</v>
      </c>
      <c r="I474" s="98">
        <v>0</v>
      </c>
      <c r="J474" s="98"/>
      <c r="K474" s="98">
        <v>0</v>
      </c>
      <c r="L474" s="97"/>
      <c r="M474" s="98">
        <v>0</v>
      </c>
      <c r="N474" s="97"/>
      <c r="O474" s="98">
        <v>0</v>
      </c>
      <c r="P474" s="98">
        <v>0</v>
      </c>
      <c r="Q474" s="99"/>
      <c r="R474" s="97">
        <v>0</v>
      </c>
      <c r="S474" s="97">
        <v>0</v>
      </c>
      <c r="T474" s="97"/>
      <c r="U474" s="97">
        <v>0</v>
      </c>
      <c r="V474" s="97"/>
      <c r="W474" s="97">
        <v>1</v>
      </c>
      <c r="X474" s="97"/>
      <c r="Y474" s="97">
        <v>0</v>
      </c>
      <c r="Z474" s="97"/>
      <c r="AA474" s="97">
        <v>0</v>
      </c>
      <c r="AB474" s="98">
        <f t="shared" si="271"/>
        <v>1</v>
      </c>
      <c r="AC474" s="30" t="str">
        <f t="shared" si="270"/>
        <v>ok</v>
      </c>
    </row>
    <row r="475" spans="1:29" x14ac:dyDescent="0.2">
      <c r="A475" s="14" t="s">
        <v>206</v>
      </c>
      <c r="C475" s="14" t="s">
        <v>140</v>
      </c>
      <c r="F475" s="262">
        <v>1</v>
      </c>
      <c r="G475" s="97"/>
      <c r="H475" s="98">
        <v>0</v>
      </c>
      <c r="I475" s="98">
        <v>0</v>
      </c>
      <c r="J475" s="98"/>
      <c r="K475" s="98">
        <v>0</v>
      </c>
      <c r="L475" s="97"/>
      <c r="M475" s="98">
        <v>0</v>
      </c>
      <c r="N475" s="97"/>
      <c r="O475" s="98">
        <v>0</v>
      </c>
      <c r="P475" s="98">
        <v>0</v>
      </c>
      <c r="Q475" s="99"/>
      <c r="R475" s="97">
        <v>0</v>
      </c>
      <c r="S475" s="97">
        <v>0</v>
      </c>
      <c r="T475" s="97"/>
      <c r="U475" s="97">
        <v>0</v>
      </c>
      <c r="V475" s="97"/>
      <c r="W475" s="97">
        <v>0</v>
      </c>
      <c r="X475" s="97"/>
      <c r="Y475" s="97">
        <v>1</v>
      </c>
      <c r="Z475" s="97"/>
      <c r="AA475" s="97">
        <v>0</v>
      </c>
      <c r="AB475" s="98">
        <f t="shared" si="271"/>
        <v>1</v>
      </c>
      <c r="AC475" s="30" t="str">
        <f t="shared" si="270"/>
        <v>ok</v>
      </c>
    </row>
    <row r="476" spans="1:29" x14ac:dyDescent="0.2">
      <c r="A476" s="14" t="s">
        <v>207</v>
      </c>
      <c r="C476" s="14" t="s">
        <v>150</v>
      </c>
      <c r="F476" s="262">
        <v>1</v>
      </c>
      <c r="G476" s="97"/>
      <c r="H476" s="98">
        <v>0</v>
      </c>
      <c r="I476" s="98">
        <v>0</v>
      </c>
      <c r="J476" s="98"/>
      <c r="K476" s="98">
        <v>0</v>
      </c>
      <c r="L476" s="97"/>
      <c r="M476" s="98">
        <v>0</v>
      </c>
      <c r="N476" s="97"/>
      <c r="O476" s="98">
        <v>0</v>
      </c>
      <c r="P476" s="98">
        <v>0</v>
      </c>
      <c r="Q476" s="99"/>
      <c r="R476" s="97">
        <v>0</v>
      </c>
      <c r="S476" s="97">
        <v>0</v>
      </c>
      <c r="T476" s="97"/>
      <c r="U476" s="97">
        <v>0</v>
      </c>
      <c r="V476" s="97"/>
      <c r="W476" s="97">
        <v>0</v>
      </c>
      <c r="X476" s="97"/>
      <c r="Y476" s="97">
        <v>1</v>
      </c>
      <c r="Z476" s="97"/>
      <c r="AA476" s="97">
        <v>0</v>
      </c>
      <c r="AB476" s="98">
        <f t="shared" si="271"/>
        <v>1</v>
      </c>
      <c r="AC476" s="30" t="str">
        <f t="shared" si="270"/>
        <v>ok</v>
      </c>
    </row>
    <row r="477" spans="1:29" x14ac:dyDescent="0.2">
      <c r="A477" s="14" t="s">
        <v>350</v>
      </c>
      <c r="C477" s="14" t="s">
        <v>391</v>
      </c>
      <c r="F477" s="262">
        <v>1</v>
      </c>
      <c r="G477" s="97"/>
      <c r="H477" s="98">
        <v>0</v>
      </c>
      <c r="I477" s="98">
        <v>0</v>
      </c>
      <c r="J477" s="98"/>
      <c r="K477" s="98">
        <v>1</v>
      </c>
      <c r="L477" s="97"/>
      <c r="M477" s="98">
        <v>0</v>
      </c>
      <c r="N477" s="97"/>
      <c r="O477" s="98">
        <v>0</v>
      </c>
      <c r="P477" s="98">
        <v>0</v>
      </c>
      <c r="Q477" s="99"/>
      <c r="R477" s="97">
        <v>0</v>
      </c>
      <c r="S477" s="97">
        <v>0</v>
      </c>
      <c r="T477" s="97"/>
      <c r="U477" s="97">
        <v>0</v>
      </c>
      <c r="V477" s="97"/>
      <c r="W477" s="97">
        <v>0</v>
      </c>
      <c r="X477" s="97"/>
      <c r="Y477" s="97">
        <v>0</v>
      </c>
      <c r="Z477" s="97"/>
      <c r="AA477" s="97">
        <v>0</v>
      </c>
      <c r="AB477" s="98">
        <f>SUM(H477:AA477)</f>
        <v>1</v>
      </c>
      <c r="AC477" s="30" t="str">
        <f t="shared" si="270"/>
        <v>ok</v>
      </c>
    </row>
    <row r="478" spans="1:29" x14ac:dyDescent="0.2">
      <c r="A478" s="14" t="s">
        <v>470</v>
      </c>
      <c r="C478" s="14" t="s">
        <v>471</v>
      </c>
      <c r="F478" s="262">
        <v>1</v>
      </c>
      <c r="G478" s="97"/>
      <c r="H478" s="98">
        <v>0</v>
      </c>
      <c r="I478" s="98">
        <v>0</v>
      </c>
      <c r="J478" s="98"/>
      <c r="K478" s="98">
        <v>0</v>
      </c>
      <c r="L478" s="97"/>
      <c r="M478" s="98">
        <v>0</v>
      </c>
      <c r="N478" s="97"/>
      <c r="O478" s="98">
        <v>0</v>
      </c>
      <c r="P478" s="98">
        <v>0</v>
      </c>
      <c r="Q478" s="99"/>
      <c r="R478" s="97">
        <v>0</v>
      </c>
      <c r="S478" s="97">
        <v>0</v>
      </c>
      <c r="T478" s="97"/>
      <c r="U478" s="97">
        <v>0</v>
      </c>
      <c r="V478" s="97"/>
      <c r="W478" s="97">
        <v>0</v>
      </c>
      <c r="X478" s="97"/>
      <c r="Y478" s="97">
        <v>0</v>
      </c>
      <c r="Z478" s="97"/>
      <c r="AA478" s="97">
        <v>1</v>
      </c>
      <c r="AB478" s="98">
        <f>SUM(H478:AA478)</f>
        <v>1</v>
      </c>
      <c r="AC478" s="30" t="str">
        <f>IF(ABS(AB478-F478)&lt;0.0000001,"ok","err")</f>
        <v>ok</v>
      </c>
    </row>
    <row r="479" spans="1:29" x14ac:dyDescent="0.2">
      <c r="F479" s="262"/>
      <c r="G479" s="97"/>
      <c r="H479" s="98"/>
      <c r="I479" s="98"/>
      <c r="J479" s="98"/>
      <c r="K479" s="98"/>
      <c r="L479" s="98"/>
      <c r="M479" s="98"/>
      <c r="O479" s="98"/>
      <c r="P479" s="98"/>
      <c r="Q479" s="98"/>
      <c r="R479" s="98"/>
      <c r="S479" s="98"/>
      <c r="T479" s="98"/>
      <c r="U479" s="98"/>
      <c r="V479" s="98"/>
      <c r="W479" s="98"/>
      <c r="X479" s="98"/>
      <c r="Y479" s="98"/>
      <c r="Z479" s="98"/>
      <c r="AA479" s="98"/>
      <c r="AB479" s="98"/>
      <c r="AC479" s="30"/>
    </row>
    <row r="480" spans="1:29" x14ac:dyDescent="0.2">
      <c r="AC480" s="30"/>
    </row>
    <row r="481" spans="1:29" x14ac:dyDescent="0.2">
      <c r="A481" s="13" t="s">
        <v>402</v>
      </c>
      <c r="C481" s="14" t="s">
        <v>97</v>
      </c>
      <c r="F481" s="262">
        <v>1</v>
      </c>
      <c r="G481" s="97"/>
      <c r="H481" s="98">
        <f>'Purchased Power'!O31</f>
        <v>0.26065924458429873</v>
      </c>
      <c r="I481" s="98">
        <f>'Purchased Power'!O32</f>
        <v>0.73934075541570121</v>
      </c>
      <c r="J481" s="50"/>
      <c r="K481" s="50">
        <v>0</v>
      </c>
      <c r="L481" s="50"/>
      <c r="M481" s="50">
        <v>0</v>
      </c>
      <c r="N481" s="50"/>
      <c r="O481" s="50">
        <v>0</v>
      </c>
      <c r="P481" s="50">
        <v>0</v>
      </c>
      <c r="Q481" s="100"/>
      <c r="R481" s="50">
        <v>0</v>
      </c>
      <c r="S481" s="50">
        <v>0</v>
      </c>
      <c r="T481" s="50"/>
      <c r="U481" s="50">
        <v>0</v>
      </c>
      <c r="V481" s="50"/>
      <c r="W481" s="50">
        <v>0</v>
      </c>
      <c r="X481" s="50"/>
      <c r="Y481" s="50">
        <v>0</v>
      </c>
      <c r="Z481" s="50"/>
      <c r="AA481" s="50">
        <v>0</v>
      </c>
      <c r="AB481" s="97">
        <f>SUM(H481:AA481)</f>
        <v>1</v>
      </c>
      <c r="AC481" s="30" t="str">
        <f>IF(ABS(AB481-F481)&lt;1,"ok","err")</f>
        <v>ok</v>
      </c>
    </row>
    <row r="482" spans="1:29" x14ac:dyDescent="0.2">
      <c r="AC482" s="30"/>
    </row>
    <row r="483" spans="1:29" x14ac:dyDescent="0.2">
      <c r="A483" s="14" t="s">
        <v>548</v>
      </c>
      <c r="C483" s="14" t="s">
        <v>546</v>
      </c>
      <c r="F483" s="101">
        <v>1</v>
      </c>
      <c r="G483" s="101"/>
      <c r="H483" s="50">
        <v>0</v>
      </c>
      <c r="I483" s="50">
        <v>0</v>
      </c>
      <c r="K483" s="50">
        <v>0</v>
      </c>
      <c r="M483" s="50">
        <v>0</v>
      </c>
      <c r="O483" s="50">
        <v>0</v>
      </c>
      <c r="P483" s="50">
        <v>0</v>
      </c>
      <c r="R483" s="50">
        <v>0</v>
      </c>
      <c r="S483" s="50">
        <v>0</v>
      </c>
      <c r="U483" s="50">
        <v>0</v>
      </c>
      <c r="W483" s="101">
        <v>1</v>
      </c>
      <c r="Y483" s="50">
        <v>0</v>
      </c>
      <c r="AA483" s="50">
        <v>0</v>
      </c>
      <c r="AB483" s="98">
        <f>SUM(H483:AA483)</f>
        <v>1</v>
      </c>
      <c r="AC483" s="30" t="str">
        <f>IF(ABS(AB483-F483)&lt;1,"ok","err")</f>
        <v>ok</v>
      </c>
    </row>
    <row r="484" spans="1:29" x14ac:dyDescent="0.2">
      <c r="A484" s="14" t="s">
        <v>549</v>
      </c>
      <c r="C484" s="14" t="s">
        <v>547</v>
      </c>
      <c r="F484" s="101">
        <v>1</v>
      </c>
      <c r="G484" s="101"/>
      <c r="H484" s="50">
        <v>0</v>
      </c>
      <c r="I484" s="50">
        <v>0</v>
      </c>
      <c r="K484" s="50">
        <v>0</v>
      </c>
      <c r="M484" s="50">
        <v>0</v>
      </c>
      <c r="O484" s="50">
        <v>0</v>
      </c>
      <c r="P484" s="50">
        <v>0</v>
      </c>
      <c r="R484" s="50">
        <v>0</v>
      </c>
      <c r="S484" s="50">
        <v>0</v>
      </c>
      <c r="U484" s="50">
        <v>0</v>
      </c>
      <c r="W484" s="101">
        <v>1</v>
      </c>
      <c r="Y484" s="50">
        <v>0</v>
      </c>
      <c r="AA484" s="50">
        <v>0</v>
      </c>
      <c r="AB484" s="98">
        <f>SUM(H484:AA484)</f>
        <v>1</v>
      </c>
      <c r="AC484" s="30" t="str">
        <f>IF(ABS(AB484-F484)&lt;1,"ok","err")</f>
        <v>ok</v>
      </c>
    </row>
    <row r="485" spans="1:29" x14ac:dyDescent="0.2">
      <c r="A485" s="14" t="s">
        <v>708</v>
      </c>
      <c r="C485" s="14" t="s">
        <v>551</v>
      </c>
      <c r="F485" s="262">
        <v>1</v>
      </c>
      <c r="G485" s="97"/>
      <c r="H485" s="98">
        <v>0</v>
      </c>
      <c r="I485" s="98">
        <v>0</v>
      </c>
      <c r="J485" s="98"/>
      <c r="K485" s="98">
        <v>0</v>
      </c>
      <c r="L485" s="97"/>
      <c r="M485" s="98">
        <v>0</v>
      </c>
      <c r="N485" s="97"/>
      <c r="O485" s="98">
        <v>0</v>
      </c>
      <c r="P485" s="98">
        <v>1</v>
      </c>
      <c r="Q485" s="99"/>
      <c r="R485" s="97">
        <v>0</v>
      </c>
      <c r="S485" s="97">
        <v>0</v>
      </c>
      <c r="T485" s="97"/>
      <c r="U485" s="97">
        <v>0</v>
      </c>
      <c r="V485" s="97"/>
      <c r="W485" s="97">
        <v>0</v>
      </c>
      <c r="X485" s="97"/>
      <c r="Y485" s="97">
        <v>0</v>
      </c>
      <c r="Z485" s="97"/>
      <c r="AA485" s="97">
        <v>0</v>
      </c>
      <c r="AB485" s="98">
        <f>SUM(H485:AA485)</f>
        <v>1</v>
      </c>
      <c r="AC485" s="30" t="str">
        <f>IF(ABS(AB485-F485)&lt;0.0000001,"ok","err")</f>
        <v>ok</v>
      </c>
    </row>
    <row r="486" spans="1:29" x14ac:dyDescent="0.2">
      <c r="A486" s="14" t="s">
        <v>824</v>
      </c>
      <c r="C486" s="14" t="s">
        <v>552</v>
      </c>
      <c r="F486" s="262">
        <v>1</v>
      </c>
      <c r="G486" s="97"/>
      <c r="H486" s="98">
        <v>1</v>
      </c>
      <c r="I486" s="98">
        <v>0</v>
      </c>
      <c r="J486" s="98"/>
      <c r="K486" s="98">
        <v>0</v>
      </c>
      <c r="L486" s="97"/>
      <c r="M486" s="98">
        <v>0</v>
      </c>
      <c r="N486" s="97"/>
      <c r="O486" s="98">
        <v>0</v>
      </c>
      <c r="P486" s="98">
        <v>0</v>
      </c>
      <c r="Q486" s="99"/>
      <c r="R486" s="97">
        <v>0</v>
      </c>
      <c r="S486" s="97">
        <v>0</v>
      </c>
      <c r="T486" s="97"/>
      <c r="U486" s="97">
        <v>0</v>
      </c>
      <c r="V486" s="97"/>
      <c r="W486" s="97">
        <v>0</v>
      </c>
      <c r="X486" s="97"/>
      <c r="Y486" s="97">
        <v>0</v>
      </c>
      <c r="Z486" s="97"/>
      <c r="AA486" s="97">
        <v>0</v>
      </c>
      <c r="AB486" s="98">
        <f>SUM(H486:AA486)</f>
        <v>1</v>
      </c>
      <c r="AC486" s="30" t="str">
        <f>IF(ABS(AB486-F486)&lt;0.0000001,"ok","err")</f>
        <v>ok</v>
      </c>
    </row>
    <row r="487" spans="1:29" x14ac:dyDescent="0.2">
      <c r="A487" s="14" t="s">
        <v>825</v>
      </c>
      <c r="C487" s="14" t="s">
        <v>788</v>
      </c>
      <c r="F487" s="262">
        <v>1</v>
      </c>
      <c r="G487" s="97"/>
      <c r="H487" s="98">
        <v>0</v>
      </c>
      <c r="I487" s="98">
        <v>1</v>
      </c>
      <c r="J487" s="98"/>
      <c r="K487" s="98">
        <v>0</v>
      </c>
      <c r="L487" s="97"/>
      <c r="M487" s="98">
        <v>0</v>
      </c>
      <c r="N487" s="97"/>
      <c r="O487" s="98">
        <v>0</v>
      </c>
      <c r="P487" s="98">
        <v>0</v>
      </c>
      <c r="Q487" s="99"/>
      <c r="R487" s="97">
        <v>0</v>
      </c>
      <c r="S487" s="97">
        <v>0</v>
      </c>
      <c r="T487" s="97"/>
      <c r="U487" s="97">
        <v>0</v>
      </c>
      <c r="V487" s="97"/>
      <c r="W487" s="97">
        <v>0</v>
      </c>
      <c r="X487" s="97"/>
      <c r="Y487" s="97">
        <v>0</v>
      </c>
      <c r="Z487" s="97"/>
      <c r="AA487" s="97">
        <v>0</v>
      </c>
      <c r="AB487" s="98">
        <f>SUM(H487:AA487)</f>
        <v>1</v>
      </c>
      <c r="AC487" s="30" t="str">
        <f>IF(ABS(AB487-F487)&lt;0.0000001,"ok","err")</f>
        <v>ok</v>
      </c>
    </row>
    <row r="488" spans="1:29" x14ac:dyDescent="0.2">
      <c r="F488" s="262"/>
      <c r="G488" s="97"/>
      <c r="AC488" s="30"/>
    </row>
    <row r="489" spans="1:29" x14ac:dyDescent="0.2">
      <c r="AC489" s="30"/>
    </row>
    <row r="490" spans="1:29" x14ac:dyDescent="0.2">
      <c r="F490" s="260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93"/>
      <c r="S490" s="93"/>
      <c r="T490" s="93"/>
      <c r="U490" s="93"/>
      <c r="V490" s="93"/>
      <c r="W490" s="93"/>
      <c r="X490" s="93"/>
      <c r="Y490" s="93"/>
      <c r="Z490" s="93"/>
      <c r="AA490" s="93"/>
      <c r="AB490" s="50"/>
      <c r="AC490" s="30"/>
    </row>
    <row r="491" spans="1:29" x14ac:dyDescent="0.2">
      <c r="F491" s="260"/>
      <c r="G491" s="93"/>
      <c r="H491" s="93"/>
      <c r="I491" s="93"/>
      <c r="J491" s="93"/>
      <c r="K491" s="93"/>
      <c r="L491" s="93"/>
      <c r="M491" s="93"/>
      <c r="N491" s="93"/>
      <c r="O491" s="48"/>
      <c r="P491" s="48"/>
      <c r="Q491" s="93"/>
      <c r="R491" s="93"/>
      <c r="S491" s="93"/>
      <c r="T491" s="93"/>
      <c r="U491" s="93"/>
      <c r="V491" s="93"/>
      <c r="W491" s="93"/>
      <c r="X491" s="93"/>
      <c r="Y491" s="93"/>
      <c r="Z491" s="93"/>
      <c r="AA491" s="93"/>
      <c r="AB491" s="50"/>
      <c r="AC491" s="30"/>
    </row>
    <row r="492" spans="1:29" x14ac:dyDescent="0.2">
      <c r="O492" s="48"/>
      <c r="P492" s="48"/>
      <c r="AC492" s="30"/>
    </row>
    <row r="493" spans="1:29" x14ac:dyDescent="0.2">
      <c r="F493" s="50"/>
      <c r="G493" s="50"/>
      <c r="O493" s="48"/>
      <c r="P493" s="48"/>
      <c r="AC493" s="30"/>
    </row>
    <row r="494" spans="1:29" x14ac:dyDescent="0.2">
      <c r="F494" s="50"/>
      <c r="G494" s="50"/>
      <c r="O494" s="48"/>
      <c r="P494" s="48"/>
      <c r="AC494" s="30"/>
    </row>
    <row r="495" spans="1:29" x14ac:dyDescent="0.2">
      <c r="F495" s="50"/>
      <c r="G495" s="50"/>
      <c r="AC495" s="30"/>
    </row>
    <row r="496" spans="1:29" x14ac:dyDescent="0.2">
      <c r="F496" s="50"/>
      <c r="G496" s="50"/>
      <c r="AC496" s="30"/>
    </row>
    <row r="497" spans="6:29" x14ac:dyDescent="0.2">
      <c r="F497" s="50"/>
      <c r="G497" s="50"/>
      <c r="AC497" s="30"/>
    </row>
    <row r="498" spans="6:29" x14ac:dyDescent="0.2">
      <c r="F498" s="50"/>
      <c r="G498" s="50"/>
      <c r="AC498" s="30"/>
    </row>
    <row r="499" spans="6:29" x14ac:dyDescent="0.2">
      <c r="F499" s="50"/>
      <c r="G499" s="50"/>
      <c r="AC499" s="30"/>
    </row>
    <row r="500" spans="6:29" x14ac:dyDescent="0.2">
      <c r="F500" s="50"/>
      <c r="G500" s="50"/>
      <c r="AC500" s="30"/>
    </row>
    <row r="501" spans="6:29" x14ac:dyDescent="0.2">
      <c r="F501" s="259"/>
      <c r="G501" s="36"/>
      <c r="AC501" s="30"/>
    </row>
    <row r="502" spans="6:29" x14ac:dyDescent="0.2">
      <c r="AC502" s="30"/>
    </row>
    <row r="503" spans="6:29" x14ac:dyDescent="0.2">
      <c r="F503" s="66"/>
      <c r="G503" s="66"/>
      <c r="AC503" s="30"/>
    </row>
    <row r="504" spans="6:29" x14ac:dyDescent="0.2">
      <c r="AC504" s="30"/>
    </row>
    <row r="505" spans="6:29" x14ac:dyDescent="0.2">
      <c r="AC505" s="30"/>
    </row>
    <row r="506" spans="6:29" x14ac:dyDescent="0.2">
      <c r="AC506" s="30"/>
    </row>
  </sheetData>
  <phoneticPr fontId="0" type="noConversion"/>
  <conditionalFormatting sqref="AC1:AC65534">
    <cfRule type="cellIs" dxfId="4" priority="2" operator="equal">
      <formula>"err"</formula>
    </cfRule>
  </conditionalFormatting>
  <conditionalFormatting sqref="AC8:AC491">
    <cfRule type="containsText" dxfId="3" priority="1" operator="containsText" text="err">
      <formula>NOT(ISERROR(SEARCH("err",AC8)))</formula>
    </cfRule>
  </conditionalFormatting>
  <pageMargins left="0.25" right="0.25" top="1.25" bottom="0.5" header="0.5" footer="0.2"/>
  <pageSetup scale="60" fitToWidth="3" pageOrder="overThenDown" orientation="landscape" r:id="rId1"/>
  <headerFooter alignWithMargins="0">
    <oddHeader>&amp;C&amp;"Times New Roman,Bold"CUMBERLAND VALLEY ELECTRIC
Cost of Service Study
Functionalization and Classification
12 Months Ended December 31, 2023</oddHeader>
    <oddFooter>&amp;RExhibit JW-4
Page &amp;P of &amp;N</oddFooter>
  </headerFooter>
  <rowBreaks count="13" manualBreakCount="13">
    <brk id="35" max="26" man="1"/>
    <brk id="58" max="26" man="1"/>
    <brk id="93" max="26" man="1"/>
    <brk id="144" max="26" man="1"/>
    <brk id="170" max="26" man="1"/>
    <brk id="215" max="26" man="1"/>
    <brk id="264" max="26" man="1"/>
    <brk id="288" max="26" man="1"/>
    <brk id="330" max="26" man="1"/>
    <brk id="357" max="26" man="1"/>
    <brk id="394" max="26" man="1"/>
    <brk id="441" max="26" man="1"/>
    <brk id="463" max="26" man="1"/>
  </rowBreaks>
  <colBreaks count="1" manualBreakCount="1">
    <brk id="14" max="497" man="1"/>
  </colBreaks>
  <ignoredErrors>
    <ignoredError sqref="H270:AA27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653"/>
  <sheetViews>
    <sheetView view="pageBreakPreview" zoomScale="85" zoomScaleNormal="100" zoomScaleSheetLayoutView="85" workbookViewId="0">
      <pane xSplit="2" ySplit="3" topLeftCell="C531" activePane="bottomRight" state="frozen"/>
      <selection activeCell="I54" sqref="I54"/>
      <selection pane="topRight" activeCell="I54" sqref="I54"/>
      <selection pane="bottomLeft" activeCell="I54" sqref="I54"/>
      <selection pane="bottomRight" activeCell="H384" sqref="H384"/>
    </sheetView>
  </sheetViews>
  <sheetFormatPr defaultColWidth="9.140625" defaultRowHeight="12.75" x14ac:dyDescent="0.2"/>
  <cols>
    <col min="1" max="1" width="7.7109375" style="14" customWidth="1"/>
    <col min="2" max="2" width="56.42578125" style="14" customWidth="1"/>
    <col min="3" max="3" width="14" style="14" customWidth="1"/>
    <col min="4" max="4" width="12.42578125" style="14" customWidth="1"/>
    <col min="5" max="5" width="20.7109375" style="14" customWidth="1"/>
    <col min="6" max="13" width="18.7109375" style="14" customWidth="1"/>
    <col min="14" max="15" width="20.7109375" style="14" hidden="1" customWidth="1"/>
    <col min="16" max="16" width="16.140625" style="14" hidden="1" customWidth="1"/>
    <col min="17" max="17" width="15.7109375" style="14" hidden="1" customWidth="1"/>
    <col min="18" max="18" width="20.7109375" style="14" hidden="1" customWidth="1"/>
    <col min="19" max="22" width="14.5703125" style="14" hidden="1" customWidth="1"/>
    <col min="23" max="23" width="13.5703125" style="14" hidden="1" customWidth="1"/>
    <col min="24" max="24" width="12" style="14" hidden="1" customWidth="1"/>
    <col min="25" max="30" width="17.7109375" style="14" hidden="1" customWidth="1"/>
    <col min="31" max="31" width="17.42578125" style="14" hidden="1" customWidth="1"/>
    <col min="32" max="32" width="21.85546875" style="14" hidden="1" customWidth="1"/>
    <col min="33" max="33" width="17.7109375" style="14" customWidth="1"/>
    <col min="34" max="34" width="10.7109375" style="14" customWidth="1"/>
    <col min="35" max="35" width="11.5703125" style="14" bestFit="1" customWidth="1"/>
    <col min="36" max="36" width="13.5703125" style="14" customWidth="1"/>
    <col min="37" max="37" width="17.28515625" style="50" bestFit="1" customWidth="1"/>
    <col min="38" max="38" width="11.85546875" style="14" customWidth="1"/>
    <col min="39" max="39" width="12.5703125" style="14" customWidth="1"/>
    <col min="40" max="16384" width="9.140625" style="14"/>
  </cols>
  <sheetData>
    <row r="1" spans="1:37" x14ac:dyDescent="0.2">
      <c r="A1" s="82"/>
      <c r="B1" s="82"/>
      <c r="C1" s="82"/>
      <c r="D1" s="82"/>
      <c r="AH1" s="30" t="str">
        <f>IF(COUNTIF(AH4:AH536,"err"),"err","ok")</f>
        <v>ok</v>
      </c>
    </row>
    <row r="2" spans="1:37" s="185" customFormat="1" ht="77.25" customHeight="1" x14ac:dyDescent="0.2">
      <c r="A2" s="183"/>
      <c r="B2" s="183"/>
      <c r="C2" s="85"/>
      <c r="D2" s="184" t="s">
        <v>208</v>
      </c>
      <c r="E2" s="85" t="s">
        <v>0</v>
      </c>
      <c r="F2" s="85" t="str">
        <f>'Summary of Returns'!B10</f>
        <v>Sch I - Residential, Schools &amp; Churches</v>
      </c>
      <c r="G2" s="85" t="str">
        <f>'Summary of Returns'!B11</f>
        <v>Sch I - Res TOD</v>
      </c>
      <c r="H2" s="85" t="str">
        <f>'Summary of Returns'!B12</f>
        <v>Sch II - Small Commercial  Small Power</v>
      </c>
      <c r="I2" s="85" t="str">
        <f>'Summary of Returns'!B13</f>
        <v>Sch II - Small Commercial  Small Power</v>
      </c>
      <c r="J2" s="85" t="str">
        <f>'Summary of Returns'!B14</f>
        <v>Sch VII - Inclining Block Rate</v>
      </c>
      <c r="K2" s="85" t="str">
        <f>'Summary of Returns'!B15</f>
        <v>Sch III - All 3Phase Schools &amp; Churches</v>
      </c>
      <c r="L2" s="85" t="str">
        <f>'Summary of Returns'!B16</f>
        <v>Sch IV-A - Large Power 50-2500 kW</v>
      </c>
      <c r="M2" s="85" t="str">
        <f>'Summary of Returns'!B17</f>
        <v>Sch VI - Outdoor Lighting - Security Lights</v>
      </c>
      <c r="N2" s="85">
        <f>'Summary of Returns'!B18</f>
        <v>0</v>
      </c>
      <c r="O2" s="85">
        <f>'Summary of Returns'!B19</f>
        <v>0</v>
      </c>
      <c r="P2" s="85">
        <f>'Summary of Returns'!B20</f>
        <v>0</v>
      </c>
      <c r="Q2" s="85" t="s">
        <v>703</v>
      </c>
      <c r="R2" s="85" t="s">
        <v>703</v>
      </c>
      <c r="S2" s="85" t="s">
        <v>703</v>
      </c>
      <c r="T2" s="85" t="s">
        <v>703</v>
      </c>
      <c r="U2" s="85" t="s">
        <v>703</v>
      </c>
      <c r="V2" s="85" t="s">
        <v>703</v>
      </c>
      <c r="W2" s="85" t="s">
        <v>703</v>
      </c>
      <c r="X2" s="85" t="s">
        <v>703</v>
      </c>
      <c r="Y2" s="85" t="s">
        <v>703</v>
      </c>
      <c r="Z2" s="85" t="s">
        <v>703</v>
      </c>
      <c r="AA2" s="85" t="s">
        <v>703</v>
      </c>
      <c r="AB2" s="85" t="s">
        <v>703</v>
      </c>
      <c r="AC2" s="85" t="s">
        <v>703</v>
      </c>
      <c r="AD2" s="85" t="s">
        <v>703</v>
      </c>
      <c r="AE2" s="85" t="s">
        <v>703</v>
      </c>
      <c r="AF2" s="85" t="s">
        <v>703</v>
      </c>
      <c r="AG2" s="183"/>
      <c r="AH2" s="183"/>
      <c r="AK2" s="186"/>
    </row>
    <row r="3" spans="1:37" ht="13.5" thickBot="1" x14ac:dyDescent="0.25">
      <c r="A3" s="87" t="s">
        <v>6</v>
      </c>
      <c r="B3" s="87"/>
      <c r="C3" s="88" t="s">
        <v>7</v>
      </c>
      <c r="D3" s="88" t="s">
        <v>8</v>
      </c>
      <c r="E3" s="86" t="s">
        <v>9</v>
      </c>
      <c r="F3" s="86" t="str">
        <f>'Summary of Returns'!C10</f>
        <v>R</v>
      </c>
      <c r="G3" s="86" t="str">
        <f>'Summary of Returns'!C11</f>
        <v>TOD</v>
      </c>
      <c r="H3" s="86" t="str">
        <f>'Summary of Returns'!C12</f>
        <v>C1</v>
      </c>
      <c r="I3" s="86" t="str">
        <f>'Summary of Returns'!C13</f>
        <v>C2</v>
      </c>
      <c r="J3" s="86" t="str">
        <f>'Summary of Returns'!C14</f>
        <v>IB</v>
      </c>
      <c r="K3" s="86" t="str">
        <f>'Summary of Returns'!C15</f>
        <v>E1</v>
      </c>
      <c r="L3" s="86" t="str">
        <f>'Summary of Returns'!C16</f>
        <v>L1</v>
      </c>
      <c r="M3" s="86" t="str">
        <f>'Summary of Returns'!C17</f>
        <v>S</v>
      </c>
      <c r="N3" s="86">
        <f>'Summary of Returns'!C18</f>
        <v>0</v>
      </c>
      <c r="O3" s="86">
        <f>'Summary of Returns'!C19</f>
        <v>0</v>
      </c>
      <c r="P3" s="86">
        <f>'Summary of Returns'!C20</f>
        <v>0</v>
      </c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 t="s">
        <v>13</v>
      </c>
      <c r="AH3" s="86" t="s">
        <v>14</v>
      </c>
    </row>
    <row r="5" spans="1:37" x14ac:dyDescent="0.2">
      <c r="A5" s="28" t="s">
        <v>15</v>
      </c>
    </row>
    <row r="7" spans="1:37" x14ac:dyDescent="0.2">
      <c r="A7" s="13" t="s">
        <v>895</v>
      </c>
    </row>
    <row r="8" spans="1:37" x14ac:dyDescent="0.2">
      <c r="A8" s="96" t="s">
        <v>209</v>
      </c>
      <c r="C8" s="14" t="s">
        <v>210</v>
      </c>
      <c r="D8" s="14" t="s">
        <v>657</v>
      </c>
      <c r="E8" s="66">
        <f>'Func &amp; Classif'!H82</f>
        <v>0</v>
      </c>
      <c r="F8" s="66">
        <f>IF(VLOOKUP($D8,$C$5:$AU$502,3,)=0,0,(VLOOKUP($D8,$C$5:$AU$502,4,)/VLOOKUP($D8,$C$5:$AU$502,3,))*$E8)</f>
        <v>0</v>
      </c>
      <c r="G8" s="66">
        <f>IF(VLOOKUP($D8,$C$5:$AU$502,3,)=0,0,(VLOOKUP($D8,$C$5:$AU$502,5,)/VLOOKUP($D8,$C$5:$AU$502,3,))*$E8)</f>
        <v>0</v>
      </c>
      <c r="H8" s="66">
        <f>IF(VLOOKUP($D8,$C$5:$AU$502,3,)=0,0,(VLOOKUP($D8,$C$5:$AU$502,6,)/VLOOKUP($D8,$C$5:$AU$502,3,))*$E8)</f>
        <v>0</v>
      </c>
      <c r="I8" s="66">
        <f>IF(VLOOKUP($D8,$C$5:$AU$502,3,)=0,0,(VLOOKUP($D8,$C$5:$AU$502,7,)/VLOOKUP($D8,$C$5:$AU$502,3,))*$E8)</f>
        <v>0</v>
      </c>
      <c r="J8" s="66">
        <f>IF(VLOOKUP($D8,$C$5:$AU$502,3,)=0,0,(VLOOKUP($D8,$C$5:$AU$502,8,)/VLOOKUP($D8,$C$5:$AU$502,3,))*$E8)</f>
        <v>0</v>
      </c>
      <c r="K8" s="66">
        <f>IF(VLOOKUP($D8,$C$5:$AU$502,3,)=0,0,(VLOOKUP($D8,$C$5:$AU$502,9,)/VLOOKUP($D8,$C$5:$AU$502,3,))*$E8)</f>
        <v>0</v>
      </c>
      <c r="L8" s="66">
        <f>IF(VLOOKUP($D8,$C$5:$AU$502,3,)=0,0,(VLOOKUP($D8,$C$5:$AU$502,10,)/VLOOKUP($D8,$C$5:$AU$502,3,))*$E8)</f>
        <v>0</v>
      </c>
      <c r="M8" s="66">
        <f>IF(VLOOKUP($D8,$C$5:$AU$502,3,)=0,0,(VLOOKUP($D8,$C$5:$AU$502,11,)/VLOOKUP($D8,$C$5:$AU$502,3,))*$E8)</f>
        <v>0</v>
      </c>
      <c r="N8" s="66">
        <f>IF(VLOOKUP($D8,$C$5:$AU$502,3,)=0,0,(VLOOKUP($D8,$C$5:$AU$502,12,)/VLOOKUP($D8,$C$5:$AU$502,3,))*$E8)</f>
        <v>0</v>
      </c>
      <c r="O8" s="66">
        <f>IF(VLOOKUP($D8,$C$5:$AU$502,3,)=0,0,(VLOOKUP($D8,$C$5:$AU$502,13,)/VLOOKUP($D8,$C$5:$AU$502,3,))*$E8)</f>
        <v>0</v>
      </c>
      <c r="P8" s="66">
        <f>IF(VLOOKUP($D8,$C$5:$AU$502,3,)=0,0,(VLOOKUP($D8,$C$5:$AU$502,14,)/VLOOKUP($D8,$C$5:$AU$502,3,))*$E8)</f>
        <v>0</v>
      </c>
      <c r="Q8" s="66">
        <f>IF(VLOOKUP($D8,$C$5:$AU$502,3,)=0,0,(VLOOKUP($D8,$C$5:$AU$502,15,)/VLOOKUP($D8,$C$5:$AU$502,3,))*$E8)</f>
        <v>0</v>
      </c>
      <c r="R8" s="66">
        <f>IF(VLOOKUP($D8,$C$5:$AU$502,3,)=0,0,(VLOOKUP($D8,$C$5:$AU$502,16,)/VLOOKUP($D8,$C$5:$AU$502,3,))*$E8)</f>
        <v>0</v>
      </c>
      <c r="S8" s="66">
        <f>IF(VLOOKUP($D8,$C$5:$AU$502,3,)=0,0,(VLOOKUP($D8,$C$5:$AU$502,17,)/VLOOKUP($D8,$C$5:$AU$502,3,))*$E8)</f>
        <v>0</v>
      </c>
      <c r="T8" s="66">
        <f>IF(VLOOKUP($D8,$C$5:$AU$502,3,)=0,0,(VLOOKUP($D8,$C$5:$AU$502,18,)/VLOOKUP($D8,$C$5:$AU$502,3,))*$E8)</f>
        <v>0</v>
      </c>
      <c r="U8" s="66">
        <f>IF(VLOOKUP($D8,$C$5:$AU$502,3,)=0,0,(VLOOKUP($D8,$C$5:$AU$502,19,)/VLOOKUP($D8,$C$5:$AU$502,3,))*$E8)</f>
        <v>0</v>
      </c>
      <c r="V8" s="66">
        <f>IF(VLOOKUP($D8,$C$5:$AU$502,3,)=0,0,(VLOOKUP($D8,$C$5:$AU$502,20,)/VLOOKUP($D8,$C$5:$AU$502,3,))*$E8)</f>
        <v>0</v>
      </c>
      <c r="W8" s="66">
        <f>IF(VLOOKUP($D8,$C$5:$AU$502,3,)=0,0,(VLOOKUP($D8,$C$5:$AU$502,21,)/VLOOKUP($D8,$C$5:$AU$502,3,))*$E8)</f>
        <v>0</v>
      </c>
      <c r="X8" s="66">
        <f>IF(VLOOKUP($D8,$C$5:$AU$502,3,)=0,0,(VLOOKUP($D8,$C$5:$AU$502,22,)/VLOOKUP($D8,$C$5:$AU$502,3,))*$E8)</f>
        <v>0</v>
      </c>
      <c r="Y8" s="66">
        <f>IF(VLOOKUP($D8,$C$5:$AU$502,3,)=0,0,(VLOOKUP($D8,$C$5:$AU$502,23,)/VLOOKUP($D8,$C$5:$AU$502,3,))*$E8)</f>
        <v>0</v>
      </c>
      <c r="Z8" s="66">
        <f>IF(VLOOKUP($D8,$C$5:$AU$502,3,)=0,0,(VLOOKUP($D8,$C$5:$AU$502,24,)/VLOOKUP($D8,$C$5:$AU$502,3,))*$E8)</f>
        <v>0</v>
      </c>
      <c r="AA8" s="66">
        <f>IF(VLOOKUP($D8,$C$5:$AU$502,3,)=0,0,(VLOOKUP($D8,$C$5:$AU$502,25,)/VLOOKUP($D8,$C$5:$AU$502,3,))*$E8)</f>
        <v>0</v>
      </c>
      <c r="AB8" s="66">
        <f>IF(VLOOKUP($D8,$C$5:$AU$502,3,)=0,0,(VLOOKUP($D8,$C$5:$AU$502,26,)/VLOOKUP($D8,$C$5:$AU$502,3,))*$E8)</f>
        <v>0</v>
      </c>
      <c r="AC8" s="66">
        <f>IF(VLOOKUP($D8,$C$5:$AU$502,3,)=0,0,(VLOOKUP($D8,$C$5:$AU$502,27,)/VLOOKUP($D8,$C$5:$AU$502,3,))*$E8)</f>
        <v>0</v>
      </c>
      <c r="AD8" s="66">
        <f>IF(VLOOKUP($D8,$C$5:$AU$502,3,)=0,0,(VLOOKUP($D8,$C$5:$AU$502,28,)/VLOOKUP($D8,$C$5:$AU$502,3,))*$E8)</f>
        <v>0</v>
      </c>
      <c r="AE8" s="66">
        <f>IF(VLOOKUP($D8,$C$5:$AU$502,3,)=0,0,(VLOOKUP($D8,$C$5:$AU$502,29,)/VLOOKUP($D8,$C$5:$AU$502,3,))*$E8)</f>
        <v>0</v>
      </c>
      <c r="AF8" s="66">
        <f>IF(VLOOKUP($D8,$C$5:$AU$502,3,)=0,0,(VLOOKUP($D8,$C$5:$AU$502,30,)/VLOOKUP($D8,$C$5:$AU$502,3,))*$E8)</f>
        <v>0</v>
      </c>
      <c r="AG8" s="93">
        <f>SUM(F8:AF8)</f>
        <v>0</v>
      </c>
      <c r="AH8" s="30" t="str">
        <f>IF(ABS(E8-AG8)&lt;0.01,"ok","err")</f>
        <v>ok</v>
      </c>
    </row>
    <row r="9" spans="1:37" x14ac:dyDescent="0.2">
      <c r="A9" s="96" t="s">
        <v>212</v>
      </c>
      <c r="C9" s="14" t="s">
        <v>213</v>
      </c>
      <c r="D9" s="14" t="s">
        <v>666</v>
      </c>
      <c r="E9" s="50">
        <f>'Func &amp; Classif'!I82</f>
        <v>0</v>
      </c>
      <c r="F9" s="66">
        <f>IF(VLOOKUP($D9,$C$5:$AU$502,3,)=0,0,(VLOOKUP($D9,$C$5:$AU$502,4,)/VLOOKUP($D9,$C$5:$AU$502,3,))*$E9)</f>
        <v>0</v>
      </c>
      <c r="G9" s="66">
        <f>IF(VLOOKUP($D9,$C$5:$AU$502,3,)=0,0,(VLOOKUP($D9,$C$5:$AU$502,5,)/VLOOKUP($D9,$C$5:$AU$502,3,))*$E9)</f>
        <v>0</v>
      </c>
      <c r="H9" s="66">
        <f>IF(VLOOKUP($D9,$C$5:$AU$502,3,)=0,0,(VLOOKUP($D9,$C$5:$AU$502,6,)/VLOOKUP($D9,$C$5:$AU$502,3,))*$E9)</f>
        <v>0</v>
      </c>
      <c r="I9" s="66">
        <f>IF(VLOOKUP($D9,$C$5:$AU$502,3,)=0,0,(VLOOKUP($D9,$C$5:$AU$502,7,)/VLOOKUP($D9,$C$5:$AU$502,3,))*$E9)</f>
        <v>0</v>
      </c>
      <c r="J9" s="66">
        <f>IF(VLOOKUP($D9,$C$5:$AU$502,3,)=0,0,(VLOOKUP($D9,$C$5:$AU$502,8,)/VLOOKUP($D9,$C$5:$AU$502,3,))*$E9)</f>
        <v>0</v>
      </c>
      <c r="K9" s="66">
        <f>IF(VLOOKUP($D9,$C$5:$AU$502,3,)=0,0,(VLOOKUP($D9,$C$5:$AU$502,9,)/VLOOKUP($D9,$C$5:$AU$502,3,))*$E9)</f>
        <v>0</v>
      </c>
      <c r="L9" s="66">
        <f>IF(VLOOKUP($D9,$C$5:$AU$502,3,)=0,0,(VLOOKUP($D9,$C$5:$AU$502,10,)/VLOOKUP($D9,$C$5:$AU$502,3,))*$E9)</f>
        <v>0</v>
      </c>
      <c r="M9" s="66">
        <f>IF(VLOOKUP($D9,$C$5:$AU$502,3,)=0,0,(VLOOKUP($D9,$C$5:$AU$502,11,)/VLOOKUP($D9,$C$5:$AU$502,3,))*$E9)</f>
        <v>0</v>
      </c>
      <c r="N9" s="66">
        <f>IF(VLOOKUP($D9,$C$5:$AU$502,3,)=0,0,(VLOOKUP($D9,$C$5:$AU$502,12,)/VLOOKUP($D9,$C$5:$AU$502,3,))*$E9)</f>
        <v>0</v>
      </c>
      <c r="O9" s="66">
        <f>IF(VLOOKUP($D9,$C$5:$AU$502,3,)=0,0,(VLOOKUP($D9,$C$5:$AU$502,13,)/VLOOKUP($D9,$C$5:$AU$502,3,))*$E9)</f>
        <v>0</v>
      </c>
      <c r="P9" s="66">
        <f>IF(VLOOKUP($D9,$C$5:$AU$502,3,)=0,0,(VLOOKUP($D9,$C$5:$AU$502,14,)/VLOOKUP($D9,$C$5:$AU$502,3,))*$E9)</f>
        <v>0</v>
      </c>
      <c r="Q9" s="66">
        <f>IF(VLOOKUP($D9,$C$5:$AU$502,3,)=0,0,(VLOOKUP($D9,$C$5:$AU$502,15,)/VLOOKUP($D9,$C$5:$AU$502,3,))*$E9)</f>
        <v>0</v>
      </c>
      <c r="R9" s="66">
        <f>IF(VLOOKUP($D9,$C$5:$AU$502,3,)=0,0,(VLOOKUP($D9,$C$5:$AU$502,16,)/VLOOKUP($D9,$C$5:$AU$502,3,))*$E9)</f>
        <v>0</v>
      </c>
      <c r="S9" s="66">
        <f>IF(VLOOKUP($D9,$C$5:$AU$502,3,)=0,0,(VLOOKUP($D9,$C$5:$AU$502,17,)/VLOOKUP($D9,$C$5:$AU$502,3,))*$E9)</f>
        <v>0</v>
      </c>
      <c r="T9" s="66">
        <f>IF(VLOOKUP($D9,$C$5:$AU$502,3,)=0,0,(VLOOKUP($D9,$C$5:$AU$502,18,)/VLOOKUP($D9,$C$5:$AU$502,3,))*$E9)</f>
        <v>0</v>
      </c>
      <c r="U9" s="66">
        <f>IF(VLOOKUP($D9,$C$5:$AU$502,3,)=0,0,(VLOOKUP($D9,$C$5:$AU$502,19,)/VLOOKUP($D9,$C$5:$AU$502,3,))*$E9)</f>
        <v>0</v>
      </c>
      <c r="V9" s="66">
        <f>IF(VLOOKUP($D9,$C$5:$AU$502,3,)=0,0,(VLOOKUP($D9,$C$5:$AU$502,20,)/VLOOKUP($D9,$C$5:$AU$502,3,))*$E9)</f>
        <v>0</v>
      </c>
      <c r="W9" s="66">
        <f>IF(VLOOKUP($D9,$C$5:$AU$502,3,)=0,0,(VLOOKUP($D9,$C$5:$AU$502,21,)/VLOOKUP($D9,$C$5:$AU$502,3,))*$E9)</f>
        <v>0</v>
      </c>
      <c r="X9" s="66">
        <f>IF(VLOOKUP($D9,$C$5:$AU$502,3,)=0,0,(VLOOKUP($D9,$C$5:$AU$502,22,)/VLOOKUP($D9,$C$5:$AU$502,3,))*$E9)</f>
        <v>0</v>
      </c>
      <c r="Y9" s="66">
        <f>IF(VLOOKUP($D9,$C$5:$AU$502,3,)=0,0,(VLOOKUP($D9,$C$5:$AU$502,23,)/VLOOKUP($D9,$C$5:$AU$502,3,))*$E9)</f>
        <v>0</v>
      </c>
      <c r="Z9" s="66">
        <f>IF(VLOOKUP($D9,$C$5:$AU$502,3,)=0,0,(VLOOKUP($D9,$C$5:$AU$502,24,)/VLOOKUP($D9,$C$5:$AU$502,3,))*$E9)</f>
        <v>0</v>
      </c>
      <c r="AA9" s="66">
        <f>IF(VLOOKUP($D9,$C$5:$AU$502,3,)=0,0,(VLOOKUP($D9,$C$5:$AU$502,25,)/VLOOKUP($D9,$C$5:$AU$502,3,))*$E9)</f>
        <v>0</v>
      </c>
      <c r="AB9" s="66">
        <f>IF(VLOOKUP($D9,$C$5:$AU$502,3,)=0,0,(VLOOKUP($D9,$C$5:$AU$502,26,)/VLOOKUP($D9,$C$5:$AU$502,3,))*$E9)</f>
        <v>0</v>
      </c>
      <c r="AC9" s="66">
        <f>IF(VLOOKUP($D9,$C$5:$AU$502,3,)=0,0,(VLOOKUP($D9,$C$5:$AU$502,27,)/VLOOKUP($D9,$C$5:$AU$502,3,))*$E9)</f>
        <v>0</v>
      </c>
      <c r="AD9" s="66">
        <f>IF(VLOOKUP($D9,$C$5:$AU$502,3,)=0,0,(VLOOKUP($D9,$C$5:$AU$502,28,)/VLOOKUP($D9,$C$5:$AU$502,3,))*$E9)</f>
        <v>0</v>
      </c>
      <c r="AE9" s="66">
        <f>IF(VLOOKUP($D9,$C$5:$AU$502,3,)=0,0,(VLOOKUP($D9,$C$5:$AU$502,29,)/VLOOKUP($D9,$C$5:$AU$502,3,))*$E9)</f>
        <v>0</v>
      </c>
      <c r="AF9" s="66">
        <f>IF(VLOOKUP($D9,$C$5:$AU$502,3,)=0,0,(VLOOKUP($D9,$C$5:$AU$502,30,)/VLOOKUP($D9,$C$5:$AU$502,3,))*$E9)</f>
        <v>0</v>
      </c>
      <c r="AG9" s="93">
        <f>SUM(F9:AF9)</f>
        <v>0</v>
      </c>
      <c r="AH9" s="30" t="str">
        <f>IF(ABS(E9-AG9)&lt;0.01,"ok","err")</f>
        <v>ok</v>
      </c>
    </row>
    <row r="10" spans="1:37" x14ac:dyDescent="0.2">
      <c r="A10" s="14" t="s">
        <v>215</v>
      </c>
      <c r="C10" s="14" t="s">
        <v>216</v>
      </c>
      <c r="E10" s="66">
        <f t="shared" ref="E10:T10" si="0">E8+E9</f>
        <v>0</v>
      </c>
      <c r="F10" s="66">
        <f t="shared" si="0"/>
        <v>0</v>
      </c>
      <c r="G10" s="66">
        <f t="shared" si="0"/>
        <v>0</v>
      </c>
      <c r="H10" s="66">
        <f t="shared" si="0"/>
        <v>0</v>
      </c>
      <c r="I10" s="66">
        <f t="shared" si="0"/>
        <v>0</v>
      </c>
      <c r="J10" s="66">
        <f t="shared" si="0"/>
        <v>0</v>
      </c>
      <c r="K10" s="66">
        <f t="shared" si="0"/>
        <v>0</v>
      </c>
      <c r="L10" s="66">
        <f t="shared" si="0"/>
        <v>0</v>
      </c>
      <c r="M10" s="66">
        <f t="shared" si="0"/>
        <v>0</v>
      </c>
      <c r="N10" s="66">
        <f t="shared" si="0"/>
        <v>0</v>
      </c>
      <c r="O10" s="66">
        <f t="shared" si="0"/>
        <v>0</v>
      </c>
      <c r="P10" s="66">
        <f t="shared" si="0"/>
        <v>0</v>
      </c>
      <c r="Q10" s="66">
        <f t="shared" si="0"/>
        <v>0</v>
      </c>
      <c r="R10" s="66">
        <f t="shared" si="0"/>
        <v>0</v>
      </c>
      <c r="S10" s="66">
        <f t="shared" si="0"/>
        <v>0</v>
      </c>
      <c r="T10" s="66">
        <f t="shared" si="0"/>
        <v>0</v>
      </c>
      <c r="U10" s="66">
        <f t="shared" ref="U10:AF10" si="1">U8+U9</f>
        <v>0</v>
      </c>
      <c r="V10" s="66">
        <f t="shared" si="1"/>
        <v>0</v>
      </c>
      <c r="W10" s="66">
        <f t="shared" si="1"/>
        <v>0</v>
      </c>
      <c r="X10" s="66">
        <f t="shared" si="1"/>
        <v>0</v>
      </c>
      <c r="Y10" s="66">
        <f t="shared" si="1"/>
        <v>0</v>
      </c>
      <c r="Z10" s="66">
        <f t="shared" si="1"/>
        <v>0</v>
      </c>
      <c r="AA10" s="66">
        <f t="shared" si="1"/>
        <v>0</v>
      </c>
      <c r="AB10" s="66">
        <f t="shared" si="1"/>
        <v>0</v>
      </c>
      <c r="AC10" s="66">
        <f t="shared" si="1"/>
        <v>0</v>
      </c>
      <c r="AD10" s="66">
        <f t="shared" si="1"/>
        <v>0</v>
      </c>
      <c r="AE10" s="66">
        <f t="shared" si="1"/>
        <v>0</v>
      </c>
      <c r="AF10" s="66">
        <f t="shared" si="1"/>
        <v>0</v>
      </c>
      <c r="AG10" s="93">
        <f>SUM(F10:AF10)</f>
        <v>0</v>
      </c>
      <c r="AH10" s="30" t="str">
        <f>IF(ABS(E10-AG10)&lt;0.01,"ok","err")</f>
        <v>ok</v>
      </c>
    </row>
    <row r="11" spans="1:37" x14ac:dyDescent="0.2">
      <c r="E11" s="50"/>
      <c r="F11" s="50"/>
    </row>
    <row r="12" spans="1:37" x14ac:dyDescent="0.2">
      <c r="A12" s="13" t="s">
        <v>350</v>
      </c>
      <c r="E12" s="50"/>
      <c r="F12" s="50"/>
    </row>
    <row r="13" spans="1:37" x14ac:dyDescent="0.2">
      <c r="A13" s="96" t="s">
        <v>209</v>
      </c>
      <c r="C13" s="14" t="s">
        <v>885</v>
      </c>
      <c r="D13" s="14" t="s">
        <v>599</v>
      </c>
      <c r="E13" s="66">
        <f>'Func &amp; Classif'!K82</f>
        <v>0</v>
      </c>
      <c r="F13" s="66">
        <f>IF(VLOOKUP($D13,$C$5:$AU$502,3,)=0,0,(VLOOKUP($D13,$C$5:$AU$502,4,)/VLOOKUP($D13,$C$5:$AU$502,3,))*$E13)</f>
        <v>0</v>
      </c>
      <c r="G13" s="66">
        <f>IF(VLOOKUP($D13,$C$5:$AU$502,3,)=0,0,(VLOOKUP($D13,$C$5:$AU$502,5,)/VLOOKUP($D13,$C$5:$AU$502,3,))*$E13)</f>
        <v>0</v>
      </c>
      <c r="H13" s="66">
        <f>IF(VLOOKUP($D13,$C$5:$AU$502,3,)=0,0,(VLOOKUP($D13,$C$5:$AU$502,6,)/VLOOKUP($D13,$C$5:$AU$502,3,))*$E13)</f>
        <v>0</v>
      </c>
      <c r="I13" s="66">
        <f>IF(VLOOKUP($D13,$C$5:$AU$502,3,)=0,0,(VLOOKUP($D13,$C$5:$AU$502,7,)/VLOOKUP($D13,$C$5:$AU$502,3,))*$E13)</f>
        <v>0</v>
      </c>
      <c r="J13" s="66">
        <f>IF(VLOOKUP($D13,$C$5:$AU$502,3,)=0,0,(VLOOKUP($D13,$C$5:$AU$502,8,)/VLOOKUP($D13,$C$5:$AU$502,3,))*$E13)</f>
        <v>0</v>
      </c>
      <c r="K13" s="66">
        <f>IF(VLOOKUP($D13,$C$5:$AU$502,3,)=0,0,(VLOOKUP($D13,$C$5:$AU$502,9,)/VLOOKUP($D13,$C$5:$AU$502,3,))*$E13)</f>
        <v>0</v>
      </c>
      <c r="L13" s="66">
        <f>IF(VLOOKUP($D13,$C$5:$AU$502,3,)=0,0,(VLOOKUP($D13,$C$5:$AU$502,10,)/VLOOKUP($D13,$C$5:$AU$502,3,))*$E13)</f>
        <v>0</v>
      </c>
      <c r="M13" s="66">
        <f>IF(VLOOKUP($D13,$C$5:$AU$502,3,)=0,0,(VLOOKUP($D13,$C$5:$AU$502,11,)/VLOOKUP($D13,$C$5:$AU$502,3,))*$E13)</f>
        <v>0</v>
      </c>
      <c r="N13" s="66">
        <f>IF(VLOOKUP($D13,$C$5:$AU$502,3,)=0,0,(VLOOKUP($D13,$C$5:$AU$502,12,)/VLOOKUP($D13,$C$5:$AU$502,3,))*$E13)</f>
        <v>0</v>
      </c>
      <c r="O13" s="66">
        <f>IF(VLOOKUP($D13,$C$5:$AU$502,3,)=0,0,(VLOOKUP($D13,$C$5:$AU$502,13,)/VLOOKUP($D13,$C$5:$AU$502,3,))*$E13)</f>
        <v>0</v>
      </c>
      <c r="P13" s="66">
        <f>IF(VLOOKUP($D13,$C$5:$AU$502,3,)=0,0,(VLOOKUP($D13,$C$5:$AU$502,14,)/VLOOKUP($D13,$C$5:$AU$502,3,))*$E13)</f>
        <v>0</v>
      </c>
      <c r="Q13" s="66">
        <f>IF(VLOOKUP($D13,$C$5:$AU$502,3,)=0,0,(VLOOKUP($D13,$C$5:$AU$502,15,)/VLOOKUP($D13,$C$5:$AU$502,3,))*$E13)</f>
        <v>0</v>
      </c>
      <c r="R13" s="66">
        <f>IF(VLOOKUP($D13,$C$5:$AU$502,3,)=0,0,(VLOOKUP($D13,$C$5:$AU$502,16,)/VLOOKUP($D13,$C$5:$AU$502,3,))*$E13)</f>
        <v>0</v>
      </c>
      <c r="S13" s="66">
        <f>IF(VLOOKUP($D13,$C$5:$AU$502,3,)=0,0,(VLOOKUP($D13,$C$5:$AU$502,17,)/VLOOKUP($D13,$C$5:$AU$502,3,))*$E13)</f>
        <v>0</v>
      </c>
      <c r="T13" s="66">
        <f>IF(VLOOKUP($D13,$C$5:$AU$502,3,)=0,0,(VLOOKUP($D13,$C$5:$AU$502,18,)/VLOOKUP($D13,$C$5:$AU$502,3,))*$E13)</f>
        <v>0</v>
      </c>
      <c r="U13" s="66">
        <f>IF(VLOOKUP($D13,$C$5:$AU$502,3,)=0,0,(VLOOKUP($D13,$C$5:$AU$502,19,)/VLOOKUP($D13,$C$5:$AU$502,3,))*$E13)</f>
        <v>0</v>
      </c>
      <c r="V13" s="66">
        <f>IF(VLOOKUP($D13,$C$5:$AU$502,3,)=0,0,(VLOOKUP($D13,$C$5:$AU$502,20,)/VLOOKUP($D13,$C$5:$AU$502,3,))*$E13)</f>
        <v>0</v>
      </c>
      <c r="W13" s="66">
        <f>IF(VLOOKUP($D13,$C$5:$AU$502,3,)=0,0,(VLOOKUP($D13,$C$5:$AU$502,21,)/VLOOKUP($D13,$C$5:$AU$502,3,))*$E13)</f>
        <v>0</v>
      </c>
      <c r="X13" s="66">
        <f>IF(VLOOKUP($D13,$C$5:$AU$502,3,)=0,0,(VLOOKUP($D13,$C$5:$AU$502,22,)/VLOOKUP($D13,$C$5:$AU$502,3,))*$E13)</f>
        <v>0</v>
      </c>
      <c r="Y13" s="66">
        <f>IF(VLOOKUP($D13,$C$5:$AU$502,3,)=0,0,(VLOOKUP($D13,$C$5:$AU$502,23,)/VLOOKUP($D13,$C$5:$AU$502,3,))*$E13)</f>
        <v>0</v>
      </c>
      <c r="Z13" s="66">
        <f>IF(VLOOKUP($D13,$C$5:$AU$502,3,)=0,0,(VLOOKUP($D13,$C$5:$AU$502,24,)/VLOOKUP($D13,$C$5:$AU$502,3,))*$E13)</f>
        <v>0</v>
      </c>
      <c r="AA13" s="66">
        <f>IF(VLOOKUP($D13,$C$5:$AU$502,3,)=0,0,(VLOOKUP($D13,$C$5:$AU$502,25,)/VLOOKUP($D13,$C$5:$AU$502,3,))*$E13)</f>
        <v>0</v>
      </c>
      <c r="AB13" s="66">
        <f>IF(VLOOKUP($D13,$C$5:$AU$502,3,)=0,0,(VLOOKUP($D13,$C$5:$AU$502,26,)/VLOOKUP($D13,$C$5:$AU$502,3,))*$E13)</f>
        <v>0</v>
      </c>
      <c r="AC13" s="66">
        <f>IF(VLOOKUP($D13,$C$5:$AU$502,3,)=0,0,(VLOOKUP($D13,$C$5:$AU$502,27,)/VLOOKUP($D13,$C$5:$AU$502,3,))*$E13)</f>
        <v>0</v>
      </c>
      <c r="AD13" s="66">
        <f>IF(VLOOKUP($D13,$C$5:$AU$502,3,)=0,0,(VLOOKUP($D13,$C$5:$AU$502,28,)/VLOOKUP($D13,$C$5:$AU$502,3,))*$E13)</f>
        <v>0</v>
      </c>
      <c r="AE13" s="66">
        <f>IF(VLOOKUP($D13,$C$5:$AU$502,3,)=0,0,(VLOOKUP($D13,$C$5:$AU$502,29,)/VLOOKUP($D13,$C$5:$AU$502,3,))*$E13)</f>
        <v>0</v>
      </c>
      <c r="AF13" s="66">
        <f>IF(VLOOKUP($D13,$C$5:$AU$502,3,)=0,0,(VLOOKUP($D13,$C$5:$AU$502,30,)/VLOOKUP($D13,$C$5:$AU$502,3,))*$E13)</f>
        <v>0</v>
      </c>
      <c r="AG13" s="93">
        <f>SUM(F13:AF13)</f>
        <v>0</v>
      </c>
      <c r="AH13" s="30" t="str">
        <f>IF(ABS(E13-AG13)&lt;0.01,"ok","err")</f>
        <v>ok</v>
      </c>
    </row>
    <row r="14" spans="1:37" x14ac:dyDescent="0.2">
      <c r="E14" s="50"/>
    </row>
    <row r="15" spans="1:37" x14ac:dyDescent="0.2">
      <c r="A15" s="13" t="s">
        <v>1</v>
      </c>
      <c r="E15" s="50"/>
      <c r="F15" s="50"/>
    </row>
    <row r="16" spans="1:37" x14ac:dyDescent="0.2">
      <c r="A16" s="96" t="s">
        <v>209</v>
      </c>
      <c r="C16" s="14" t="s">
        <v>217</v>
      </c>
      <c r="D16" s="14" t="s">
        <v>615</v>
      </c>
      <c r="E16" s="66">
        <f>'Func &amp; Classif'!M82</f>
        <v>5882.088370938709</v>
      </c>
      <c r="F16" s="66">
        <f>IF(VLOOKUP($D16,$C$5:$AU$502,3,)=0,0,(VLOOKUP($D16,$C$5:$AU$502,4,)/VLOOKUP($D16,$C$5:$AU$502,3,))*$E16)</f>
        <v>4030.624534226225</v>
      </c>
      <c r="G16" s="66">
        <f>IF(VLOOKUP($D16,$C$5:$AU$502,3,)=0,0,(VLOOKUP($D16,$C$5:$AU$502,5,)/VLOOKUP($D16,$C$5:$AU$502,3,))*$E16)</f>
        <v>0.79399909094397991</v>
      </c>
      <c r="H16" s="66">
        <f>IF(VLOOKUP($D16,$C$5:$AU$502,3,)=0,0,(VLOOKUP($D16,$C$5:$AU$502,6,)/VLOOKUP($D16,$C$5:$AU$502,3,))*$E16)</f>
        <v>300.50101378844687</v>
      </c>
      <c r="I16" s="66">
        <f>IF(VLOOKUP($D16,$C$5:$AU$502,3,)=0,0,(VLOOKUP($D16,$C$5:$AU$502,7,)/VLOOKUP($D16,$C$5:$AU$502,3,))*$E16)</f>
        <v>196.91455305706154</v>
      </c>
      <c r="J16" s="66">
        <f>IF(VLOOKUP($D16,$C$5:$AU$502,3,)=0,0,(VLOOKUP($D16,$C$5:$AU$502,8,)/VLOOKUP($D16,$C$5:$AU$502,3,))*$E16)</f>
        <v>10.187022238136604</v>
      </c>
      <c r="K16" s="66">
        <f>IF(VLOOKUP($D16,$C$5:$AU$502,3,)=0,0,(VLOOKUP($D16,$C$5:$AU$502,9,)/VLOOKUP($D16,$C$5:$AU$502,3,))*$E16)</f>
        <v>79.390409956130497</v>
      </c>
      <c r="L16" s="66">
        <f>IF(VLOOKUP($D16,$C$5:$AU$502,3,)=0,0,(VLOOKUP($D16,$C$5:$AU$502,10,)/VLOOKUP($D16,$C$5:$AU$502,3,))*$E16)</f>
        <v>1194.3550458032223</v>
      </c>
      <c r="M16" s="66">
        <f>IF(VLOOKUP($D16,$C$5:$AU$502,3,)=0,0,(VLOOKUP($D16,$C$5:$AU$502,11,)/VLOOKUP($D16,$C$5:$AU$502,3,))*$E16)</f>
        <v>69.321791042971356</v>
      </c>
      <c r="N16" s="66">
        <f>IF(VLOOKUP($D16,$C$5:$AU$502,3,)=0,0,(VLOOKUP($D16,$C$5:$AU$502,12,)/VLOOKUP($D16,$C$5:$AU$502,3,))*$E16)</f>
        <v>0</v>
      </c>
      <c r="O16" s="66">
        <f>IF(VLOOKUP($D16,$C$5:$AU$502,3,)=0,0,(VLOOKUP($D16,$C$5:$AU$502,13,)/VLOOKUP($D16,$C$5:$AU$502,3,))*$E16)</f>
        <v>0</v>
      </c>
      <c r="P16" s="66">
        <f>IF(VLOOKUP($D16,$C$5:$AU$502,3,)=0,0,(VLOOKUP($D16,$C$5:$AU$502,14,)/VLOOKUP($D16,$C$5:$AU$502,3,))*$E16)</f>
        <v>0</v>
      </c>
      <c r="Q16" s="66">
        <f>IF(VLOOKUP($D16,$C$5:$AU$502,3,)=0,0,(VLOOKUP($D16,$C$5:$AU$502,15,)/VLOOKUP($D16,$C$5:$AU$502,3,))*$E16)</f>
        <v>0</v>
      </c>
      <c r="R16" s="66">
        <f>IF(VLOOKUP($D16,$C$5:$AU$502,3,)=0,0,(VLOOKUP($D16,$C$5:$AU$502,16,)/VLOOKUP($D16,$C$5:$AU$502,3,))*$E16)</f>
        <v>0</v>
      </c>
      <c r="S16" s="66">
        <f>IF(VLOOKUP($D16,$C$5:$AU$502,3,)=0,0,(VLOOKUP($D16,$C$5:$AU$502,17,)/VLOOKUP($D16,$C$5:$AU$502,3,))*$E16)</f>
        <v>0</v>
      </c>
      <c r="T16" s="66">
        <f>IF(VLOOKUP($D16,$C$5:$AU$502,3,)=0,0,(VLOOKUP($D16,$C$5:$AU$502,18,)/VLOOKUP($D16,$C$5:$AU$502,3,))*$E16)</f>
        <v>0</v>
      </c>
      <c r="U16" s="66">
        <f>IF(VLOOKUP($D16,$C$5:$AU$502,3,)=0,0,(VLOOKUP($D16,$C$5:$AU$502,19,)/VLOOKUP($D16,$C$5:$AU$502,3,))*$E16)</f>
        <v>0</v>
      </c>
      <c r="V16" s="66">
        <f>IF(VLOOKUP($D16,$C$5:$AU$502,3,)=0,0,(VLOOKUP($D16,$C$5:$AU$502,20,)/VLOOKUP($D16,$C$5:$AU$502,3,))*$E16)</f>
        <v>0</v>
      </c>
      <c r="W16" s="66">
        <f>IF(VLOOKUP($D16,$C$5:$AU$502,3,)=0,0,(VLOOKUP($D16,$C$5:$AU$502,21,)/VLOOKUP($D16,$C$5:$AU$502,3,))*$E16)</f>
        <v>0</v>
      </c>
      <c r="X16" s="66">
        <f>IF(VLOOKUP($D16,$C$5:$AU$502,3,)=0,0,(VLOOKUP($D16,$C$5:$AU$502,22,)/VLOOKUP($D16,$C$5:$AU$502,3,))*$E16)</f>
        <v>0</v>
      </c>
      <c r="Y16" s="66">
        <f>IF(VLOOKUP($D16,$C$5:$AU$502,3,)=0,0,(VLOOKUP($D16,$C$5:$AU$502,23,)/VLOOKUP($D16,$C$5:$AU$502,3,))*$E16)</f>
        <v>0</v>
      </c>
      <c r="Z16" s="66">
        <f>IF(VLOOKUP($D16,$C$5:$AU$502,3,)=0,0,(VLOOKUP($D16,$C$5:$AU$502,24,)/VLOOKUP($D16,$C$5:$AU$502,3,))*$E16)</f>
        <v>0</v>
      </c>
      <c r="AA16" s="66">
        <f>IF(VLOOKUP($D16,$C$5:$AU$502,3,)=0,0,(VLOOKUP($D16,$C$5:$AU$502,25,)/VLOOKUP($D16,$C$5:$AU$502,3,))*$E16)</f>
        <v>0</v>
      </c>
      <c r="AB16" s="66">
        <f>IF(VLOOKUP($D16,$C$5:$AU$502,3,)=0,0,(VLOOKUP($D16,$C$5:$AU$502,26,)/VLOOKUP($D16,$C$5:$AU$502,3,))*$E16)</f>
        <v>0</v>
      </c>
      <c r="AC16" s="66">
        <f>IF(VLOOKUP($D16,$C$5:$AU$502,3,)=0,0,(VLOOKUP($D16,$C$5:$AU$502,27,)/VLOOKUP($D16,$C$5:$AU$502,3,))*$E16)</f>
        <v>0</v>
      </c>
      <c r="AD16" s="66">
        <f>IF(VLOOKUP($D16,$C$5:$AU$502,3,)=0,0,(VLOOKUP($D16,$C$5:$AU$502,28,)/VLOOKUP($D16,$C$5:$AU$502,3,))*$E16)</f>
        <v>0</v>
      </c>
      <c r="AE16" s="66">
        <f>IF(VLOOKUP($D16,$C$5:$AU$502,3,)=0,0,(VLOOKUP($D16,$C$5:$AU$502,29,)/VLOOKUP($D16,$C$5:$AU$502,3,))*$E16)</f>
        <v>0</v>
      </c>
      <c r="AF16" s="66">
        <f>IF(VLOOKUP($D16,$C$5:$AU$502,3,)=0,0,(VLOOKUP($D16,$C$5:$AU$502,30,)/VLOOKUP($D16,$C$5:$AU$502,3,))*$E16)</f>
        <v>0</v>
      </c>
      <c r="AG16" s="93">
        <f>SUM(F16:AF16)</f>
        <v>5882.0883692031375</v>
      </c>
      <c r="AH16" s="30" t="str">
        <f>IF(ABS(E16-AG16)&lt;0.01,"ok","err")</f>
        <v>ok</v>
      </c>
    </row>
    <row r="17" spans="1:35" x14ac:dyDescent="0.2">
      <c r="E17" s="50"/>
    </row>
    <row r="18" spans="1:35" x14ac:dyDescent="0.2">
      <c r="A18" s="13" t="s">
        <v>357</v>
      </c>
      <c r="E18" s="50"/>
    </row>
    <row r="19" spans="1:35" x14ac:dyDescent="0.2">
      <c r="A19" s="96" t="s">
        <v>209</v>
      </c>
      <c r="C19" s="14" t="s">
        <v>219</v>
      </c>
      <c r="D19" s="14" t="s">
        <v>607</v>
      </c>
      <c r="E19" s="66">
        <f>'Func &amp; Classif'!O82</f>
        <v>64047434.413776696</v>
      </c>
      <c r="F19" s="66">
        <f>IF(VLOOKUP($D19,$C$5:$AU$502,3,)=0,0,(VLOOKUP($D19,$C$5:$AU$502,4,)/VLOOKUP($D19,$C$5:$AU$502,3,))*$E19)</f>
        <v>51649065.92167253</v>
      </c>
      <c r="G19" s="66">
        <f>IF(VLOOKUP($D19,$C$5:$AU$502,3,)=0,0,(VLOOKUP($D19,$C$5:$AU$502,5,)/VLOOKUP($D19,$C$5:$AU$502,3,))*$E19)</f>
        <v>9504.8529789130062</v>
      </c>
      <c r="H19" s="66">
        <f>IF(VLOOKUP($D19,$C$5:$AU$502,3,)=0,0,(VLOOKUP($D19,$C$5:$AU$502,6,)/VLOOKUP($D19,$C$5:$AU$502,3,))*$E19)</f>
        <v>2274689.788198947</v>
      </c>
      <c r="I19" s="66">
        <f>IF(VLOOKUP($D19,$C$5:$AU$502,3,)=0,0,(VLOOKUP($D19,$C$5:$AU$502,7,)/VLOOKUP($D19,$C$5:$AU$502,3,))*$E19)</f>
        <v>954929.75972503587</v>
      </c>
      <c r="J19" s="66">
        <f>IF(VLOOKUP($D19,$C$5:$AU$502,3,)=0,0,(VLOOKUP($D19,$C$5:$AU$502,8,)/VLOOKUP($D19,$C$5:$AU$502,3,))*$E19)</f>
        <v>132183.39847442351</v>
      </c>
      <c r="K19" s="66">
        <f>IF(VLOOKUP($D19,$C$5:$AU$502,3,)=0,0,(VLOOKUP($D19,$C$5:$AU$502,9,)/VLOOKUP($D19,$C$5:$AU$502,3,))*$E19)</f>
        <v>1870039.2871356765</v>
      </c>
      <c r="L19" s="66">
        <f>IF(VLOOKUP($D19,$C$5:$AU$502,3,)=0,0,(VLOOKUP($D19,$C$5:$AU$502,10,)/VLOOKUP($D19,$C$5:$AU$502,3,))*$E19)</f>
        <v>6565116.4998928104</v>
      </c>
      <c r="M19" s="66">
        <f>IF(VLOOKUP($D19,$C$5:$AU$502,3,)=0,0,(VLOOKUP($D19,$C$5:$AU$502,11,)/VLOOKUP($D19,$C$5:$AU$502,3,))*$E19)</f>
        <v>591904.90569836355</v>
      </c>
      <c r="N19" s="66">
        <f>IF(VLOOKUP($D19,$C$5:$AU$502,3,)=0,0,(VLOOKUP($D19,$C$5:$AU$502,12,)/VLOOKUP($D19,$C$5:$AU$502,3,))*$E19)</f>
        <v>0</v>
      </c>
      <c r="O19" s="66">
        <f>IF(VLOOKUP($D19,$C$5:$AU$502,3,)=0,0,(VLOOKUP($D19,$C$5:$AU$502,13,)/VLOOKUP($D19,$C$5:$AU$502,3,))*$E19)</f>
        <v>0</v>
      </c>
      <c r="P19" s="66">
        <f>IF(VLOOKUP($D19,$C$5:$AU$502,3,)=0,0,(VLOOKUP($D19,$C$5:$AU$502,14,)/VLOOKUP($D19,$C$5:$AU$502,3,))*$E19)</f>
        <v>0</v>
      </c>
      <c r="Q19" s="66">
        <f>IF(VLOOKUP($D19,$C$5:$AU$502,3,)=0,0,(VLOOKUP($D19,$C$5:$AU$502,15,)/VLOOKUP($D19,$C$5:$AU$502,3,))*$E19)</f>
        <v>0</v>
      </c>
      <c r="R19" s="66">
        <f>IF(VLOOKUP($D19,$C$5:$AU$502,3,)=0,0,(VLOOKUP($D19,$C$5:$AU$502,16,)/VLOOKUP($D19,$C$5:$AU$502,3,))*$E19)</f>
        <v>0</v>
      </c>
      <c r="S19" s="66">
        <f>IF(VLOOKUP($D19,$C$5:$AU$502,3,)=0,0,(VLOOKUP($D19,$C$5:$AU$502,17,)/VLOOKUP($D19,$C$5:$AU$502,3,))*$E19)</f>
        <v>0</v>
      </c>
      <c r="T19" s="66">
        <f>IF(VLOOKUP($D19,$C$5:$AU$502,3,)=0,0,(VLOOKUP($D19,$C$5:$AU$502,18,)/VLOOKUP($D19,$C$5:$AU$502,3,))*$E19)</f>
        <v>0</v>
      </c>
      <c r="U19" s="66">
        <f>IF(VLOOKUP($D19,$C$5:$AU$502,3,)=0,0,(VLOOKUP($D19,$C$5:$AU$502,19,)/VLOOKUP($D19,$C$5:$AU$502,3,))*$E19)</f>
        <v>0</v>
      </c>
      <c r="V19" s="66">
        <f>IF(VLOOKUP($D19,$C$5:$AU$502,3,)=0,0,(VLOOKUP($D19,$C$5:$AU$502,20,)/VLOOKUP($D19,$C$5:$AU$502,3,))*$E19)</f>
        <v>0</v>
      </c>
      <c r="W19" s="66">
        <f>IF(VLOOKUP($D19,$C$5:$AU$502,3,)=0,0,(VLOOKUP($D19,$C$5:$AU$502,21,)/VLOOKUP($D19,$C$5:$AU$502,3,))*$E19)</f>
        <v>0</v>
      </c>
      <c r="X19" s="66">
        <f>IF(VLOOKUP($D19,$C$5:$AU$502,3,)=0,0,(VLOOKUP($D19,$C$5:$AU$502,22,)/VLOOKUP($D19,$C$5:$AU$502,3,))*$E19)</f>
        <v>0</v>
      </c>
      <c r="Y19" s="66">
        <f>IF(VLOOKUP($D19,$C$5:$AU$502,3,)=0,0,(VLOOKUP($D19,$C$5:$AU$502,23,)/VLOOKUP($D19,$C$5:$AU$502,3,))*$E19)</f>
        <v>0</v>
      </c>
      <c r="Z19" s="66">
        <f>IF(VLOOKUP($D19,$C$5:$AU$502,3,)=0,0,(VLOOKUP($D19,$C$5:$AU$502,24,)/VLOOKUP($D19,$C$5:$AU$502,3,))*$E19)</f>
        <v>0</v>
      </c>
      <c r="AA19" s="66">
        <f>IF(VLOOKUP($D19,$C$5:$AU$502,3,)=0,0,(VLOOKUP($D19,$C$5:$AU$502,25,)/VLOOKUP($D19,$C$5:$AU$502,3,))*$E19)</f>
        <v>0</v>
      </c>
      <c r="AB19" s="66">
        <f>IF(VLOOKUP($D19,$C$5:$AU$502,3,)=0,0,(VLOOKUP($D19,$C$5:$AU$502,26,)/VLOOKUP($D19,$C$5:$AU$502,3,))*$E19)</f>
        <v>0</v>
      </c>
      <c r="AC19" s="66">
        <f>IF(VLOOKUP($D19,$C$5:$AU$502,3,)=0,0,(VLOOKUP($D19,$C$5:$AU$502,27,)/VLOOKUP($D19,$C$5:$AU$502,3,))*$E19)</f>
        <v>0</v>
      </c>
      <c r="AD19" s="66">
        <f>IF(VLOOKUP($D19,$C$5:$AU$502,3,)=0,0,(VLOOKUP($D19,$C$5:$AU$502,28,)/VLOOKUP($D19,$C$5:$AU$502,3,))*$E19)</f>
        <v>0</v>
      </c>
      <c r="AE19" s="66">
        <f>IF(VLOOKUP($D19,$C$5:$AU$502,3,)=0,0,(VLOOKUP($D19,$C$5:$AU$502,29,)/VLOOKUP($D19,$C$5:$AU$502,3,))*$E19)</f>
        <v>0</v>
      </c>
      <c r="AF19" s="66">
        <f>IF(VLOOKUP($D19,$C$5:$AU$502,3,)=0,0,(VLOOKUP($D19,$C$5:$AU$502,30,)/VLOOKUP($D19,$C$5:$AU$502,3,))*$E19)</f>
        <v>0</v>
      </c>
      <c r="AG19" s="93">
        <f>SUM(F19:AF19)</f>
        <v>64047434.413776703</v>
      </c>
      <c r="AH19" s="30" t="str">
        <f>IF(ABS(E19-AG19)&lt;0.01,"ok","err")</f>
        <v>ok</v>
      </c>
      <c r="AI19" s="93"/>
    </row>
    <row r="20" spans="1:35" x14ac:dyDescent="0.2">
      <c r="A20" s="96" t="s">
        <v>221</v>
      </c>
      <c r="C20" s="14" t="s">
        <v>222</v>
      </c>
      <c r="D20" s="14" t="s">
        <v>223</v>
      </c>
      <c r="E20" s="50">
        <f>'Func &amp; Classif'!P82</f>
        <v>32922108.126473416</v>
      </c>
      <c r="F20" s="66">
        <f>IF(VLOOKUP($D20,$C$5:$AU$502,3,)=0,0,(VLOOKUP($D20,$C$5:$AU$502,4,)/VLOOKUP($D20,$C$5:$AU$502,3,))*$E20)</f>
        <v>30331303.650580764</v>
      </c>
      <c r="G20" s="66">
        <f>IF(VLOOKUP($D20,$C$5:$AU$502,3,)=0,0,(VLOOKUP($D20,$C$5:$AU$502,5,)/VLOOKUP($D20,$C$5:$AU$502,3,))*$E20)</f>
        <v>12144.395980746813</v>
      </c>
      <c r="H20" s="66">
        <f>IF(VLOOKUP($D20,$C$5:$AU$502,3,)=0,0,(VLOOKUP($D20,$C$5:$AU$502,6,)/VLOOKUP($D20,$C$5:$AU$502,3,))*$E20)</f>
        <v>1725853.6065972415</v>
      </c>
      <c r="I20" s="66">
        <f>IF(VLOOKUP($D20,$C$5:$AU$502,3,)=0,0,(VLOOKUP($D20,$C$5:$AU$502,7,)/VLOOKUP($D20,$C$5:$AU$502,3,))*$E20)</f>
        <v>230743.52363418945</v>
      </c>
      <c r="J20" s="66">
        <f>IF(VLOOKUP($D20,$C$5:$AU$502,3,)=0,0,(VLOOKUP($D20,$C$5:$AU$502,8,)/VLOOKUP($D20,$C$5:$AU$502,3,))*$E20)</f>
        <v>259080.4475892653</v>
      </c>
      <c r="K20" s="66">
        <f>IF(VLOOKUP($D20,$C$5:$AU$502,3,)=0,0,(VLOOKUP($D20,$C$5:$AU$502,9,)/VLOOKUP($D20,$C$5:$AU$502,3,))*$E20)</f>
        <v>63420.734566122243</v>
      </c>
      <c r="L20" s="66">
        <f>IF(VLOOKUP($D20,$C$5:$AU$502,3,)=0,0,(VLOOKUP($D20,$C$5:$AU$502,10,)/VLOOKUP($D20,$C$5:$AU$502,3,))*$E20)</f>
        <v>82312.017202839517</v>
      </c>
      <c r="M20" s="66">
        <f>IF(VLOOKUP($D20,$C$5:$AU$502,3,)=0,0,(VLOOKUP($D20,$C$5:$AU$502,11,)/VLOOKUP($D20,$C$5:$AU$502,3,))*$E20)</f>
        <v>217249.75032224852</v>
      </c>
      <c r="N20" s="66">
        <f>IF(VLOOKUP($D20,$C$5:$AU$502,3,)=0,0,(VLOOKUP($D20,$C$5:$AU$502,12,)/VLOOKUP($D20,$C$5:$AU$502,3,))*$E20)</f>
        <v>0</v>
      </c>
      <c r="O20" s="66">
        <f>IF(VLOOKUP($D20,$C$5:$AU$502,3,)=0,0,(VLOOKUP($D20,$C$5:$AU$502,13,)/VLOOKUP($D20,$C$5:$AU$502,3,))*$E20)</f>
        <v>0</v>
      </c>
      <c r="P20" s="66">
        <f>IF(VLOOKUP($D20,$C$5:$AU$502,3,)=0,0,(VLOOKUP($D20,$C$5:$AU$502,14,)/VLOOKUP($D20,$C$5:$AU$502,3,))*$E20)</f>
        <v>0</v>
      </c>
      <c r="Q20" s="66">
        <f>IF(VLOOKUP($D20,$C$5:$AU$502,3,)=0,0,(VLOOKUP($D20,$C$5:$AU$502,15,)/VLOOKUP($D20,$C$5:$AU$502,3,))*$E20)</f>
        <v>0</v>
      </c>
      <c r="R20" s="66">
        <f>IF(VLOOKUP($D20,$C$5:$AU$502,3,)=0,0,(VLOOKUP($D20,$C$5:$AU$502,16,)/VLOOKUP($D20,$C$5:$AU$502,3,))*$E20)</f>
        <v>0</v>
      </c>
      <c r="S20" s="66">
        <f>IF(VLOOKUP($D20,$C$5:$AU$502,3,)=0,0,(VLOOKUP($D20,$C$5:$AU$502,17,)/VLOOKUP($D20,$C$5:$AU$502,3,))*$E20)</f>
        <v>0</v>
      </c>
      <c r="T20" s="66">
        <f>IF(VLOOKUP($D20,$C$5:$AU$502,3,)=0,0,(VLOOKUP($D20,$C$5:$AU$502,18,)/VLOOKUP($D20,$C$5:$AU$502,3,))*$E20)</f>
        <v>0</v>
      </c>
      <c r="U20" s="66">
        <f>IF(VLOOKUP($D20,$C$5:$AU$502,3,)=0,0,(VLOOKUP($D20,$C$5:$AU$502,19,)/VLOOKUP($D20,$C$5:$AU$502,3,))*$E20)</f>
        <v>0</v>
      </c>
      <c r="V20" s="66">
        <f>IF(VLOOKUP($D20,$C$5:$AU$502,3,)=0,0,(VLOOKUP($D20,$C$5:$AU$502,20,)/VLOOKUP($D20,$C$5:$AU$502,3,))*$E20)</f>
        <v>0</v>
      </c>
      <c r="W20" s="66">
        <f>IF(VLOOKUP($D20,$C$5:$AU$502,3,)=0,0,(VLOOKUP($D20,$C$5:$AU$502,21,)/VLOOKUP($D20,$C$5:$AU$502,3,))*$E20)</f>
        <v>0</v>
      </c>
      <c r="X20" s="66">
        <f>IF(VLOOKUP($D20,$C$5:$AU$502,3,)=0,0,(VLOOKUP($D20,$C$5:$AU$502,22,)/VLOOKUP($D20,$C$5:$AU$502,3,))*$E20)</f>
        <v>0</v>
      </c>
      <c r="Y20" s="66">
        <f>IF(VLOOKUP($D20,$C$5:$AU$502,3,)=0,0,(VLOOKUP($D20,$C$5:$AU$502,23,)/VLOOKUP($D20,$C$5:$AU$502,3,))*$E20)</f>
        <v>0</v>
      </c>
      <c r="Z20" s="66">
        <f>IF(VLOOKUP($D20,$C$5:$AU$502,3,)=0,0,(VLOOKUP($D20,$C$5:$AU$502,24,)/VLOOKUP($D20,$C$5:$AU$502,3,))*$E20)</f>
        <v>0</v>
      </c>
      <c r="AA20" s="66">
        <f>IF(VLOOKUP($D20,$C$5:$AU$502,3,)=0,0,(VLOOKUP($D20,$C$5:$AU$502,25,)/VLOOKUP($D20,$C$5:$AU$502,3,))*$E20)</f>
        <v>0</v>
      </c>
      <c r="AB20" s="66">
        <f>IF(VLOOKUP($D20,$C$5:$AU$502,3,)=0,0,(VLOOKUP($D20,$C$5:$AU$502,26,)/VLOOKUP($D20,$C$5:$AU$502,3,))*$E20)</f>
        <v>0</v>
      </c>
      <c r="AC20" s="66">
        <f>IF(VLOOKUP($D20,$C$5:$AU$502,3,)=0,0,(VLOOKUP($D20,$C$5:$AU$502,27,)/VLOOKUP($D20,$C$5:$AU$502,3,))*$E20)</f>
        <v>0</v>
      </c>
      <c r="AD20" s="66">
        <f>IF(VLOOKUP($D20,$C$5:$AU$502,3,)=0,0,(VLOOKUP($D20,$C$5:$AU$502,28,)/VLOOKUP($D20,$C$5:$AU$502,3,))*$E20)</f>
        <v>0</v>
      </c>
      <c r="AE20" s="66">
        <f>IF(VLOOKUP($D20,$C$5:$AU$502,3,)=0,0,(VLOOKUP($D20,$C$5:$AU$502,29,)/VLOOKUP($D20,$C$5:$AU$502,3,))*$E20)</f>
        <v>0</v>
      </c>
      <c r="AF20" s="66">
        <f>IF(VLOOKUP($D20,$C$5:$AU$502,3,)=0,0,(VLOOKUP($D20,$C$5:$AU$502,30,)/VLOOKUP($D20,$C$5:$AU$502,3,))*$E20)</f>
        <v>0</v>
      </c>
      <c r="AG20" s="93">
        <f>SUM(F20:AF20)</f>
        <v>32922108.126473416</v>
      </c>
      <c r="AH20" s="30" t="str">
        <f>IF(ABS(E20-AG20)&lt;0.01,"ok","err")</f>
        <v>ok</v>
      </c>
    </row>
    <row r="21" spans="1:35" x14ac:dyDescent="0.2">
      <c r="A21" s="14" t="s">
        <v>224</v>
      </c>
      <c r="C21" s="14" t="s">
        <v>472</v>
      </c>
      <c r="E21" s="66">
        <f t="shared" ref="E21:T21" si="2">E19+E20</f>
        <v>96969542.540250108</v>
      </c>
      <c r="F21" s="66">
        <f t="shared" si="2"/>
        <v>81980369.572253287</v>
      </c>
      <c r="G21" s="66">
        <f t="shared" si="2"/>
        <v>21649.248959659817</v>
      </c>
      <c r="H21" s="66">
        <f t="shared" si="2"/>
        <v>4000543.3947961885</v>
      </c>
      <c r="I21" s="66">
        <f t="shared" si="2"/>
        <v>1185673.2833592254</v>
      </c>
      <c r="J21" s="66">
        <f t="shared" si="2"/>
        <v>391263.8460636888</v>
      </c>
      <c r="K21" s="66">
        <f t="shared" si="2"/>
        <v>1933460.0217017988</v>
      </c>
      <c r="L21" s="66">
        <f t="shared" si="2"/>
        <v>6647428.5170956496</v>
      </c>
      <c r="M21" s="66">
        <f t="shared" si="2"/>
        <v>809154.65602061211</v>
      </c>
      <c r="N21" s="66">
        <f t="shared" si="2"/>
        <v>0</v>
      </c>
      <c r="O21" s="66">
        <f t="shared" si="2"/>
        <v>0</v>
      </c>
      <c r="P21" s="66">
        <f t="shared" si="2"/>
        <v>0</v>
      </c>
      <c r="Q21" s="66">
        <f t="shared" si="2"/>
        <v>0</v>
      </c>
      <c r="R21" s="66">
        <f t="shared" si="2"/>
        <v>0</v>
      </c>
      <c r="S21" s="66">
        <f t="shared" si="2"/>
        <v>0</v>
      </c>
      <c r="T21" s="66">
        <f t="shared" si="2"/>
        <v>0</v>
      </c>
      <c r="U21" s="66">
        <f t="shared" ref="U21:AF21" si="3">U19+U20</f>
        <v>0</v>
      </c>
      <c r="V21" s="66">
        <f t="shared" si="3"/>
        <v>0</v>
      </c>
      <c r="W21" s="66">
        <f t="shared" si="3"/>
        <v>0</v>
      </c>
      <c r="X21" s="66">
        <f t="shared" si="3"/>
        <v>0</v>
      </c>
      <c r="Y21" s="66">
        <f t="shared" si="3"/>
        <v>0</v>
      </c>
      <c r="Z21" s="66">
        <f t="shared" si="3"/>
        <v>0</v>
      </c>
      <c r="AA21" s="66">
        <f t="shared" si="3"/>
        <v>0</v>
      </c>
      <c r="AB21" s="66">
        <f t="shared" si="3"/>
        <v>0</v>
      </c>
      <c r="AC21" s="66">
        <f t="shared" si="3"/>
        <v>0</v>
      </c>
      <c r="AD21" s="66">
        <f t="shared" si="3"/>
        <v>0</v>
      </c>
      <c r="AE21" s="66">
        <f t="shared" si="3"/>
        <v>0</v>
      </c>
      <c r="AF21" s="66">
        <f t="shared" si="3"/>
        <v>0</v>
      </c>
      <c r="AG21" s="93">
        <f>SUM(F21:AF21)</f>
        <v>96969542.540250123</v>
      </c>
      <c r="AH21" s="30" t="str">
        <f>IF(ABS(E21-AG21)&lt;0.01,"ok","err")</f>
        <v>ok</v>
      </c>
    </row>
    <row r="22" spans="1:35" x14ac:dyDescent="0.2">
      <c r="E22" s="50"/>
    </row>
    <row r="23" spans="1:35" x14ac:dyDescent="0.2">
      <c r="A23" s="13" t="s">
        <v>3</v>
      </c>
      <c r="E23" s="50"/>
    </row>
    <row r="24" spans="1:35" x14ac:dyDescent="0.2">
      <c r="A24" s="96" t="s">
        <v>209</v>
      </c>
      <c r="C24" s="14" t="s">
        <v>225</v>
      </c>
      <c r="D24" s="14" t="s">
        <v>619</v>
      </c>
      <c r="E24" s="66">
        <f>'Func &amp; Classif'!R82</f>
        <v>0</v>
      </c>
      <c r="F24" s="66">
        <f>IF(VLOOKUP($D24,$C$5:$AU$502,3,)=0,0,(VLOOKUP($D24,$C$5:$AU$502,4,)/VLOOKUP($D24,$C$5:$AU$502,3,))*$E24)</f>
        <v>0</v>
      </c>
      <c r="G24" s="66">
        <f>IF(VLOOKUP($D24,$C$5:$AU$502,3,)=0,0,(VLOOKUP($D24,$C$5:$AU$502,5,)/VLOOKUP($D24,$C$5:$AU$502,3,))*$E24)</f>
        <v>0</v>
      </c>
      <c r="H24" s="66">
        <f>IF(VLOOKUP($D24,$C$5:$AU$502,3,)=0,0,(VLOOKUP($D24,$C$5:$AU$502,6,)/VLOOKUP($D24,$C$5:$AU$502,3,))*$E24)</f>
        <v>0</v>
      </c>
      <c r="I24" s="66">
        <f>IF(VLOOKUP($D24,$C$5:$AU$502,3,)=0,0,(VLOOKUP($D24,$C$5:$AU$502,7,)/VLOOKUP($D24,$C$5:$AU$502,3,))*$E24)</f>
        <v>0</v>
      </c>
      <c r="J24" s="66">
        <f>IF(VLOOKUP($D24,$C$5:$AU$502,3,)=0,0,(VLOOKUP($D24,$C$5:$AU$502,8,)/VLOOKUP($D24,$C$5:$AU$502,3,))*$E24)</f>
        <v>0</v>
      </c>
      <c r="K24" s="66">
        <f>IF(VLOOKUP($D24,$C$5:$AU$502,3,)=0,0,(VLOOKUP($D24,$C$5:$AU$502,9,)/VLOOKUP($D24,$C$5:$AU$502,3,))*$E24)</f>
        <v>0</v>
      </c>
      <c r="L24" s="66">
        <f>IF(VLOOKUP($D24,$C$5:$AU$502,3,)=0,0,(VLOOKUP($D24,$C$5:$AU$502,10,)/VLOOKUP($D24,$C$5:$AU$502,3,))*$E24)</f>
        <v>0</v>
      </c>
      <c r="M24" s="66">
        <f>IF(VLOOKUP($D24,$C$5:$AU$502,3,)=0,0,(VLOOKUP($D24,$C$5:$AU$502,11,)/VLOOKUP($D24,$C$5:$AU$502,3,))*$E24)</f>
        <v>0</v>
      </c>
      <c r="N24" s="66">
        <f>IF(VLOOKUP($D24,$C$5:$AU$502,3,)=0,0,(VLOOKUP($D24,$C$5:$AU$502,12,)/VLOOKUP($D24,$C$5:$AU$502,3,))*$E24)</f>
        <v>0</v>
      </c>
      <c r="O24" s="66">
        <f>IF(VLOOKUP($D24,$C$5:$AU$502,3,)=0,0,(VLOOKUP($D24,$C$5:$AU$502,13,)/VLOOKUP($D24,$C$5:$AU$502,3,))*$E24)</f>
        <v>0</v>
      </c>
      <c r="P24" s="66">
        <f>IF(VLOOKUP($D24,$C$5:$AU$502,3,)=0,0,(VLOOKUP($D24,$C$5:$AU$502,14,)/VLOOKUP($D24,$C$5:$AU$502,3,))*$E24)</f>
        <v>0</v>
      </c>
      <c r="Q24" s="66">
        <f>IF(VLOOKUP($D24,$C$5:$AU$502,3,)=0,0,(VLOOKUP($D24,$C$5:$AU$502,15,)/VLOOKUP($D24,$C$5:$AU$502,3,))*$E24)</f>
        <v>0</v>
      </c>
      <c r="R24" s="66">
        <f>IF(VLOOKUP($D24,$C$5:$AU$502,3,)=0,0,(VLOOKUP($D24,$C$5:$AU$502,16,)/VLOOKUP($D24,$C$5:$AU$502,3,))*$E24)</f>
        <v>0</v>
      </c>
      <c r="S24" s="66">
        <f>IF(VLOOKUP($D24,$C$5:$AU$502,3,)=0,0,(VLOOKUP($D24,$C$5:$AU$502,17,)/VLOOKUP($D24,$C$5:$AU$502,3,))*$E24)</f>
        <v>0</v>
      </c>
      <c r="T24" s="66">
        <f>IF(VLOOKUP($D24,$C$5:$AU$502,3,)=0,0,(VLOOKUP($D24,$C$5:$AU$502,18,)/VLOOKUP($D24,$C$5:$AU$502,3,))*$E24)</f>
        <v>0</v>
      </c>
      <c r="U24" s="66">
        <f>IF(VLOOKUP($D24,$C$5:$AU$502,3,)=0,0,(VLOOKUP($D24,$C$5:$AU$502,19,)/VLOOKUP($D24,$C$5:$AU$502,3,))*$E24)</f>
        <v>0</v>
      </c>
      <c r="V24" s="66">
        <f>IF(VLOOKUP($D24,$C$5:$AU$502,3,)=0,0,(VLOOKUP($D24,$C$5:$AU$502,20,)/VLOOKUP($D24,$C$5:$AU$502,3,))*$E24)</f>
        <v>0</v>
      </c>
      <c r="W24" s="66">
        <f>IF(VLOOKUP($D24,$C$5:$AU$502,3,)=0,0,(VLOOKUP($D24,$C$5:$AU$502,21,)/VLOOKUP($D24,$C$5:$AU$502,3,))*$E24)</f>
        <v>0</v>
      </c>
      <c r="X24" s="66">
        <f>IF(VLOOKUP($D24,$C$5:$AU$502,3,)=0,0,(VLOOKUP($D24,$C$5:$AU$502,22,)/VLOOKUP($D24,$C$5:$AU$502,3,))*$E24)</f>
        <v>0</v>
      </c>
      <c r="Y24" s="66">
        <f>IF(VLOOKUP($D24,$C$5:$AU$502,3,)=0,0,(VLOOKUP($D24,$C$5:$AU$502,23,)/VLOOKUP($D24,$C$5:$AU$502,3,))*$E24)</f>
        <v>0</v>
      </c>
      <c r="Z24" s="66">
        <f>IF(VLOOKUP($D24,$C$5:$AU$502,3,)=0,0,(VLOOKUP($D24,$C$5:$AU$502,24,)/VLOOKUP($D24,$C$5:$AU$502,3,))*$E24)</f>
        <v>0</v>
      </c>
      <c r="AA24" s="66">
        <f>IF(VLOOKUP($D24,$C$5:$AU$502,3,)=0,0,(VLOOKUP($D24,$C$5:$AU$502,25,)/VLOOKUP($D24,$C$5:$AU$502,3,))*$E24)</f>
        <v>0</v>
      </c>
      <c r="AB24" s="66">
        <f>IF(VLOOKUP($D24,$C$5:$AU$502,3,)=0,0,(VLOOKUP($D24,$C$5:$AU$502,26,)/VLOOKUP($D24,$C$5:$AU$502,3,))*$E24)</f>
        <v>0</v>
      </c>
      <c r="AC24" s="66">
        <f>IF(VLOOKUP($D24,$C$5:$AU$502,3,)=0,0,(VLOOKUP($D24,$C$5:$AU$502,27,)/VLOOKUP($D24,$C$5:$AU$502,3,))*$E24)</f>
        <v>0</v>
      </c>
      <c r="AD24" s="66">
        <f>IF(VLOOKUP($D24,$C$5:$AU$502,3,)=0,0,(VLOOKUP($D24,$C$5:$AU$502,28,)/VLOOKUP($D24,$C$5:$AU$502,3,))*$E24)</f>
        <v>0</v>
      </c>
      <c r="AE24" s="66">
        <f>IF(VLOOKUP($D24,$C$5:$AU$502,3,)=0,0,(VLOOKUP($D24,$C$5:$AU$502,29,)/VLOOKUP($D24,$C$5:$AU$502,3,))*$E24)</f>
        <v>0</v>
      </c>
      <c r="AF24" s="66">
        <f>IF(VLOOKUP($D24,$C$5:$AU$502,3,)=0,0,(VLOOKUP($D24,$C$5:$AU$502,30,)/VLOOKUP($D24,$C$5:$AU$502,3,))*$E24)</f>
        <v>0</v>
      </c>
      <c r="AG24" s="93">
        <f>SUM(F24:AF24)</f>
        <v>0</v>
      </c>
      <c r="AH24" s="30" t="str">
        <f>IF(ABS(E24-AG24)&lt;0.01,"ok","err")</f>
        <v>ok</v>
      </c>
    </row>
    <row r="25" spans="1:35" x14ac:dyDescent="0.2">
      <c r="A25" s="96" t="s">
        <v>221</v>
      </c>
      <c r="C25" s="14" t="s">
        <v>226</v>
      </c>
      <c r="D25" s="14" t="s">
        <v>701</v>
      </c>
      <c r="E25" s="50">
        <f>'Func &amp; Classif'!S82</f>
        <v>10324095.881040845</v>
      </c>
      <c r="F25" s="66">
        <f>IF(VLOOKUP($D25,$C$5:$AU$502,3,)=0,0,(VLOOKUP($D25,$C$5:$AU$502,4,)/VLOOKUP($D25,$C$5:$AU$502,3,))*$E25)</f>
        <v>9278601.7652051039</v>
      </c>
      <c r="G25" s="66">
        <f>IF(VLOOKUP($D25,$C$5:$AU$502,3,)=0,0,(VLOOKUP($D25,$C$5:$AU$502,5,)/VLOOKUP($D25,$C$5:$AU$502,3,))*$E25)</f>
        <v>3715.0732221214498</v>
      </c>
      <c r="H25" s="66">
        <f>IF(VLOOKUP($D25,$C$5:$AU$502,3,)=0,0,(VLOOKUP($D25,$C$5:$AU$502,6,)/VLOOKUP($D25,$C$5:$AU$502,3,))*$E25)</f>
        <v>830878.97011565219</v>
      </c>
      <c r="I25" s="66">
        <f>IF(VLOOKUP($D25,$C$5:$AU$502,3,)=0,0,(VLOOKUP($D25,$C$5:$AU$502,7,)/VLOOKUP($D25,$C$5:$AU$502,3,))*$E25)</f>
        <v>83315.554961559697</v>
      </c>
      <c r="J25" s="66">
        <f>IF(VLOOKUP($D25,$C$5:$AU$502,3,)=0,0,(VLOOKUP($D25,$C$5:$AU$502,8,)/VLOOKUP($D25,$C$5:$AU$502,3,))*$E25)</f>
        <v>79254.895405257586</v>
      </c>
      <c r="K25" s="66">
        <f>IF(VLOOKUP($D25,$C$5:$AU$502,3,)=0,0,(VLOOKUP($D25,$C$5:$AU$502,9,)/VLOOKUP($D25,$C$5:$AU$502,3,))*$E25)</f>
        <v>22899.596977738631</v>
      </c>
      <c r="L25" s="66">
        <f>IF(VLOOKUP($D25,$C$5:$AU$502,3,)=0,0,(VLOOKUP($D25,$C$5:$AU$502,10,)/VLOOKUP($D25,$C$5:$AU$502,3,))*$E25)</f>
        <v>25430.025153411942</v>
      </c>
      <c r="M25" s="66">
        <f>IF(VLOOKUP($D25,$C$5:$AU$502,3,)=0,0,(VLOOKUP($D25,$C$5:$AU$502,11,)/VLOOKUP($D25,$C$5:$AU$502,3,))*$E25)</f>
        <v>0</v>
      </c>
      <c r="N25" s="66">
        <f>IF(VLOOKUP($D25,$C$5:$AU$502,3,)=0,0,(VLOOKUP($D25,$C$5:$AU$502,12,)/VLOOKUP($D25,$C$5:$AU$502,3,))*$E25)</f>
        <v>0</v>
      </c>
      <c r="O25" s="66">
        <f>IF(VLOOKUP($D25,$C$5:$AU$502,3,)=0,0,(VLOOKUP($D25,$C$5:$AU$502,13,)/VLOOKUP($D25,$C$5:$AU$502,3,))*$E25)</f>
        <v>0</v>
      </c>
      <c r="P25" s="66">
        <f>IF(VLOOKUP($D25,$C$5:$AU$502,3,)=0,0,(VLOOKUP($D25,$C$5:$AU$502,14,)/VLOOKUP($D25,$C$5:$AU$502,3,))*$E25)</f>
        <v>0</v>
      </c>
      <c r="Q25" s="66">
        <f>IF(VLOOKUP($D25,$C$5:$AU$502,3,)=0,0,(VLOOKUP($D25,$C$5:$AU$502,15,)/VLOOKUP($D25,$C$5:$AU$502,3,))*$E25)</f>
        <v>0</v>
      </c>
      <c r="R25" s="66">
        <f>IF(VLOOKUP($D25,$C$5:$AU$502,3,)=0,0,(VLOOKUP($D25,$C$5:$AU$502,16,)/VLOOKUP($D25,$C$5:$AU$502,3,))*$E25)</f>
        <v>0</v>
      </c>
      <c r="S25" s="66">
        <f>IF(VLOOKUP($D25,$C$5:$AU$502,3,)=0,0,(VLOOKUP($D25,$C$5:$AU$502,17,)/VLOOKUP($D25,$C$5:$AU$502,3,))*$E25)</f>
        <v>0</v>
      </c>
      <c r="T25" s="66">
        <f>IF(VLOOKUP($D25,$C$5:$AU$502,3,)=0,0,(VLOOKUP($D25,$C$5:$AU$502,18,)/VLOOKUP($D25,$C$5:$AU$502,3,))*$E25)</f>
        <v>0</v>
      </c>
      <c r="U25" s="66">
        <f>IF(VLOOKUP($D25,$C$5:$AU$502,3,)=0,0,(VLOOKUP($D25,$C$5:$AU$502,19,)/VLOOKUP($D25,$C$5:$AU$502,3,))*$E25)</f>
        <v>0</v>
      </c>
      <c r="V25" s="66">
        <f>IF(VLOOKUP($D25,$C$5:$AU$502,3,)=0,0,(VLOOKUP($D25,$C$5:$AU$502,20,)/VLOOKUP($D25,$C$5:$AU$502,3,))*$E25)</f>
        <v>0</v>
      </c>
      <c r="W25" s="66">
        <f>IF(VLOOKUP($D25,$C$5:$AU$502,3,)=0,0,(VLOOKUP($D25,$C$5:$AU$502,21,)/VLOOKUP($D25,$C$5:$AU$502,3,))*$E25)</f>
        <v>0</v>
      </c>
      <c r="X25" s="66">
        <f>IF(VLOOKUP($D25,$C$5:$AU$502,3,)=0,0,(VLOOKUP($D25,$C$5:$AU$502,22,)/VLOOKUP($D25,$C$5:$AU$502,3,))*$E25)</f>
        <v>0</v>
      </c>
      <c r="Y25" s="66">
        <f>IF(VLOOKUP($D25,$C$5:$AU$502,3,)=0,0,(VLOOKUP($D25,$C$5:$AU$502,23,)/VLOOKUP($D25,$C$5:$AU$502,3,))*$E25)</f>
        <v>0</v>
      </c>
      <c r="Z25" s="66">
        <f>IF(VLOOKUP($D25,$C$5:$AU$502,3,)=0,0,(VLOOKUP($D25,$C$5:$AU$502,24,)/VLOOKUP($D25,$C$5:$AU$502,3,))*$E25)</f>
        <v>0</v>
      </c>
      <c r="AA25" s="66">
        <f>IF(VLOOKUP($D25,$C$5:$AU$502,3,)=0,0,(VLOOKUP($D25,$C$5:$AU$502,25,)/VLOOKUP($D25,$C$5:$AU$502,3,))*$E25)</f>
        <v>0</v>
      </c>
      <c r="AB25" s="66">
        <f>IF(VLOOKUP($D25,$C$5:$AU$502,3,)=0,0,(VLOOKUP($D25,$C$5:$AU$502,26,)/VLOOKUP($D25,$C$5:$AU$502,3,))*$E25)</f>
        <v>0</v>
      </c>
      <c r="AC25" s="66">
        <f>IF(VLOOKUP($D25,$C$5:$AU$502,3,)=0,0,(VLOOKUP($D25,$C$5:$AU$502,27,)/VLOOKUP($D25,$C$5:$AU$502,3,))*$E25)</f>
        <v>0</v>
      </c>
      <c r="AD25" s="66">
        <f>IF(VLOOKUP($D25,$C$5:$AU$502,3,)=0,0,(VLOOKUP($D25,$C$5:$AU$502,28,)/VLOOKUP($D25,$C$5:$AU$502,3,))*$E25)</f>
        <v>0</v>
      </c>
      <c r="AE25" s="66">
        <f>IF(VLOOKUP($D25,$C$5:$AU$502,3,)=0,0,(VLOOKUP($D25,$C$5:$AU$502,29,)/VLOOKUP($D25,$C$5:$AU$502,3,))*$E25)</f>
        <v>0</v>
      </c>
      <c r="AF25" s="66">
        <f>IF(VLOOKUP($D25,$C$5:$AU$502,3,)=0,0,(VLOOKUP($D25,$C$5:$AU$502,30,)/VLOOKUP($D25,$C$5:$AU$502,3,))*$E25)</f>
        <v>0</v>
      </c>
      <c r="AG25" s="93">
        <f>SUM(F25:AF25)</f>
        <v>10324095.881040845</v>
      </c>
      <c r="AH25" s="30" t="str">
        <f>IF(ABS(E25-AG25)&lt;0.01,"ok","err")</f>
        <v>ok</v>
      </c>
    </row>
    <row r="26" spans="1:35" x14ac:dyDescent="0.2">
      <c r="A26" s="14" t="s">
        <v>228</v>
      </c>
      <c r="E26" s="66">
        <f t="shared" ref="E26:T26" si="4">E24+E25</f>
        <v>10324095.881040845</v>
      </c>
      <c r="F26" s="66">
        <f t="shared" si="4"/>
        <v>9278601.7652051039</v>
      </c>
      <c r="G26" s="66">
        <f t="shared" si="4"/>
        <v>3715.0732221214498</v>
      </c>
      <c r="H26" s="66">
        <f t="shared" si="4"/>
        <v>830878.97011565219</v>
      </c>
      <c r="I26" s="66">
        <f t="shared" si="4"/>
        <v>83315.554961559697</v>
      </c>
      <c r="J26" s="66">
        <f t="shared" si="4"/>
        <v>79254.895405257586</v>
      </c>
      <c r="K26" s="66">
        <f t="shared" si="4"/>
        <v>22899.596977738631</v>
      </c>
      <c r="L26" s="66">
        <f t="shared" si="4"/>
        <v>25430.025153411942</v>
      </c>
      <c r="M26" s="66">
        <f t="shared" si="4"/>
        <v>0</v>
      </c>
      <c r="N26" s="66">
        <f t="shared" si="4"/>
        <v>0</v>
      </c>
      <c r="O26" s="66">
        <f t="shared" si="4"/>
        <v>0</v>
      </c>
      <c r="P26" s="66">
        <f t="shared" si="4"/>
        <v>0</v>
      </c>
      <c r="Q26" s="66">
        <f t="shared" si="4"/>
        <v>0</v>
      </c>
      <c r="R26" s="66">
        <f t="shared" si="4"/>
        <v>0</v>
      </c>
      <c r="S26" s="66">
        <f t="shared" si="4"/>
        <v>0</v>
      </c>
      <c r="T26" s="66">
        <f t="shared" si="4"/>
        <v>0</v>
      </c>
      <c r="U26" s="66">
        <f t="shared" ref="U26:AF26" si="5">U24+U25</f>
        <v>0</v>
      </c>
      <c r="V26" s="66">
        <f t="shared" si="5"/>
        <v>0</v>
      </c>
      <c r="W26" s="66">
        <f t="shared" si="5"/>
        <v>0</v>
      </c>
      <c r="X26" s="66">
        <f t="shared" si="5"/>
        <v>0</v>
      </c>
      <c r="Y26" s="66">
        <f t="shared" si="5"/>
        <v>0</v>
      </c>
      <c r="Z26" s="66">
        <f t="shared" si="5"/>
        <v>0</v>
      </c>
      <c r="AA26" s="66">
        <f t="shared" si="5"/>
        <v>0</v>
      </c>
      <c r="AB26" s="66">
        <f t="shared" si="5"/>
        <v>0</v>
      </c>
      <c r="AC26" s="66">
        <f t="shared" si="5"/>
        <v>0</v>
      </c>
      <c r="AD26" s="66">
        <f t="shared" si="5"/>
        <v>0</v>
      </c>
      <c r="AE26" s="66">
        <f t="shared" si="5"/>
        <v>0</v>
      </c>
      <c r="AF26" s="66">
        <f t="shared" si="5"/>
        <v>0</v>
      </c>
      <c r="AG26" s="93">
        <f>SUM(F26:AF26)</f>
        <v>10324095.881040845</v>
      </c>
      <c r="AH26" s="30" t="str">
        <f>IF(ABS(E26-AG26)&lt;0.01,"ok","err")</f>
        <v>ok</v>
      </c>
    </row>
    <row r="27" spans="1:35" x14ac:dyDescent="0.2">
      <c r="E27" s="50"/>
    </row>
    <row r="28" spans="1:35" x14ac:dyDescent="0.2">
      <c r="A28" s="13" t="s">
        <v>4</v>
      </c>
      <c r="E28" s="50"/>
    </row>
    <row r="29" spans="1:35" x14ac:dyDescent="0.2">
      <c r="A29" s="96" t="s">
        <v>221</v>
      </c>
      <c r="C29" s="14" t="s">
        <v>229</v>
      </c>
      <c r="D29" s="14" t="s">
        <v>230</v>
      </c>
      <c r="E29" s="66">
        <f>'Func &amp; Classif'!U82</f>
        <v>6098284.1302163666</v>
      </c>
      <c r="F29" s="66">
        <f>IF(VLOOKUP($D29,$C$5:$AU$502,3,)=0,0,(VLOOKUP($D29,$C$5:$AU$502,4,)/VLOOKUP($D29,$C$5:$AU$502,3,))*$E29)</f>
        <v>5423621.9688147614</v>
      </c>
      <c r="G29" s="66">
        <f>IF(VLOOKUP($D29,$C$5:$AU$502,3,)=0,0,(VLOOKUP($D29,$C$5:$AU$502,5,)/VLOOKUP($D29,$C$5:$AU$502,3,))*$E29)</f>
        <v>2171.5721024705426</v>
      </c>
      <c r="H29" s="66">
        <f>IF(VLOOKUP($D29,$C$5:$AU$502,3,)=0,0,(VLOOKUP($D29,$C$5:$AU$502,6,)/VLOOKUP($D29,$C$5:$AU$502,3,))*$E29)</f>
        <v>308604.5243399805</v>
      </c>
      <c r="I29" s="66">
        <f>IF(VLOOKUP($D29,$C$5:$AU$502,3,)=0,0,(VLOOKUP($D29,$C$5:$AU$502,7,)/VLOOKUP($D29,$C$5:$AU$502,3,))*$E29)</f>
        <v>93518.203040952008</v>
      </c>
      <c r="J29" s="66">
        <f>IF(VLOOKUP($D29,$C$5:$AU$502,3,)=0,0,(VLOOKUP($D29,$C$5:$AU$502,8,)/VLOOKUP($D29,$C$5:$AU$502,3,))*$E29)</f>
        <v>46326.871519371576</v>
      </c>
      <c r="K29" s="66">
        <f>IF(VLOOKUP($D29,$C$5:$AU$502,3,)=0,0,(VLOOKUP($D29,$C$5:$AU$502,9,)/VLOOKUP($D29,$C$5:$AU$502,3,))*$E29)</f>
        <v>57527.951116704418</v>
      </c>
      <c r="L29" s="66">
        <f>IF(VLOOKUP($D29,$C$5:$AU$502,3,)=0,0,(VLOOKUP($D29,$C$5:$AU$502,10,)/VLOOKUP($D29,$C$5:$AU$502,3,))*$E29)</f>
        <v>166513.03928212647</v>
      </c>
      <c r="M29" s="66">
        <f>IF(VLOOKUP($D29,$C$5:$AU$502,3,)=0,0,(VLOOKUP($D29,$C$5:$AU$502,11,)/VLOOKUP($D29,$C$5:$AU$502,3,))*$E29)</f>
        <v>0</v>
      </c>
      <c r="N29" s="66">
        <f>IF(VLOOKUP($D29,$C$5:$AU$502,3,)=0,0,(VLOOKUP($D29,$C$5:$AU$502,12,)/VLOOKUP($D29,$C$5:$AU$502,3,))*$E29)</f>
        <v>0</v>
      </c>
      <c r="O29" s="66">
        <f>IF(VLOOKUP($D29,$C$5:$AU$502,3,)=0,0,(VLOOKUP($D29,$C$5:$AU$502,13,)/VLOOKUP($D29,$C$5:$AU$502,3,))*$E29)</f>
        <v>0</v>
      </c>
      <c r="P29" s="66">
        <f>IF(VLOOKUP($D29,$C$5:$AU$502,3,)=0,0,(VLOOKUP($D29,$C$5:$AU$502,14,)/VLOOKUP($D29,$C$5:$AU$502,3,))*$E29)</f>
        <v>0</v>
      </c>
      <c r="Q29" s="66">
        <f>IF(VLOOKUP($D29,$C$5:$AU$502,3,)=0,0,(VLOOKUP($D29,$C$5:$AU$502,15,)/VLOOKUP($D29,$C$5:$AU$502,3,))*$E29)</f>
        <v>0</v>
      </c>
      <c r="R29" s="66">
        <f>IF(VLOOKUP($D29,$C$5:$AU$502,3,)=0,0,(VLOOKUP($D29,$C$5:$AU$502,16,)/VLOOKUP($D29,$C$5:$AU$502,3,))*$E29)</f>
        <v>0</v>
      </c>
      <c r="S29" s="66">
        <f>IF(VLOOKUP($D29,$C$5:$AU$502,3,)=0,0,(VLOOKUP($D29,$C$5:$AU$502,17,)/VLOOKUP($D29,$C$5:$AU$502,3,))*$E29)</f>
        <v>0</v>
      </c>
      <c r="T29" s="66">
        <f>IF(VLOOKUP($D29,$C$5:$AU$502,3,)=0,0,(VLOOKUP($D29,$C$5:$AU$502,18,)/VLOOKUP($D29,$C$5:$AU$502,3,))*$E29)</f>
        <v>0</v>
      </c>
      <c r="U29" s="66">
        <f>IF(VLOOKUP($D29,$C$5:$AU$502,3,)=0,0,(VLOOKUP($D29,$C$5:$AU$502,19,)/VLOOKUP($D29,$C$5:$AU$502,3,))*$E29)</f>
        <v>0</v>
      </c>
      <c r="V29" s="66">
        <f>IF(VLOOKUP($D29,$C$5:$AU$502,3,)=0,0,(VLOOKUP($D29,$C$5:$AU$502,20,)/VLOOKUP($D29,$C$5:$AU$502,3,))*$E29)</f>
        <v>0</v>
      </c>
      <c r="W29" s="66">
        <f>IF(VLOOKUP($D29,$C$5:$AU$502,3,)=0,0,(VLOOKUP($D29,$C$5:$AU$502,21,)/VLOOKUP($D29,$C$5:$AU$502,3,))*$E29)</f>
        <v>0</v>
      </c>
      <c r="X29" s="66">
        <f>IF(VLOOKUP($D29,$C$5:$AU$502,3,)=0,0,(VLOOKUP($D29,$C$5:$AU$502,22,)/VLOOKUP($D29,$C$5:$AU$502,3,))*$E29)</f>
        <v>0</v>
      </c>
      <c r="Y29" s="66">
        <f>IF(VLOOKUP($D29,$C$5:$AU$502,3,)=0,0,(VLOOKUP($D29,$C$5:$AU$502,23,)/VLOOKUP($D29,$C$5:$AU$502,3,))*$E29)</f>
        <v>0</v>
      </c>
      <c r="Z29" s="66">
        <f>IF(VLOOKUP($D29,$C$5:$AU$502,3,)=0,0,(VLOOKUP($D29,$C$5:$AU$502,24,)/VLOOKUP($D29,$C$5:$AU$502,3,))*$E29)</f>
        <v>0</v>
      </c>
      <c r="AA29" s="66">
        <f>IF(VLOOKUP($D29,$C$5:$AU$502,3,)=0,0,(VLOOKUP($D29,$C$5:$AU$502,25,)/VLOOKUP($D29,$C$5:$AU$502,3,))*$E29)</f>
        <v>0</v>
      </c>
      <c r="AB29" s="66">
        <f>IF(VLOOKUP($D29,$C$5:$AU$502,3,)=0,0,(VLOOKUP($D29,$C$5:$AU$502,26,)/VLOOKUP($D29,$C$5:$AU$502,3,))*$E29)</f>
        <v>0</v>
      </c>
      <c r="AC29" s="66">
        <f>IF(VLOOKUP($D29,$C$5:$AU$502,3,)=0,0,(VLOOKUP($D29,$C$5:$AU$502,27,)/VLOOKUP($D29,$C$5:$AU$502,3,))*$E29)</f>
        <v>0</v>
      </c>
      <c r="AD29" s="66">
        <f>IF(VLOOKUP($D29,$C$5:$AU$502,3,)=0,0,(VLOOKUP($D29,$C$5:$AU$502,28,)/VLOOKUP($D29,$C$5:$AU$502,3,))*$E29)</f>
        <v>0</v>
      </c>
      <c r="AE29" s="66">
        <f>IF(VLOOKUP($D29,$C$5:$AU$502,3,)=0,0,(VLOOKUP($D29,$C$5:$AU$502,29,)/VLOOKUP($D29,$C$5:$AU$502,3,))*$E29)</f>
        <v>0</v>
      </c>
      <c r="AF29" s="66">
        <f>IF(VLOOKUP($D29,$C$5:$AU$502,3,)=0,0,(VLOOKUP($D29,$C$5:$AU$502,30,)/VLOOKUP($D29,$C$5:$AU$502,3,))*$E29)</f>
        <v>0</v>
      </c>
      <c r="AG29" s="93">
        <f>SUM(F29:AF29)</f>
        <v>6098284.1302163666</v>
      </c>
      <c r="AH29" s="30" t="str">
        <f>IF(ABS(E29-AG29)&lt;0.01,"ok","err")</f>
        <v>ok</v>
      </c>
    </row>
    <row r="30" spans="1:35" x14ac:dyDescent="0.2">
      <c r="E30" s="50"/>
    </row>
    <row r="31" spans="1:35" x14ac:dyDescent="0.2">
      <c r="A31" s="13" t="s">
        <v>5</v>
      </c>
      <c r="E31" s="50"/>
    </row>
    <row r="32" spans="1:35" x14ac:dyDescent="0.2">
      <c r="A32" s="96" t="s">
        <v>221</v>
      </c>
      <c r="C32" s="14" t="s">
        <v>231</v>
      </c>
      <c r="D32" s="14" t="s">
        <v>232</v>
      </c>
      <c r="E32" s="66">
        <f>'Func &amp; Classif'!W82</f>
        <v>7929965.3101217393</v>
      </c>
      <c r="F32" s="66">
        <f>IF(VLOOKUP($D32,$C$5:$AU$502,3,)=0,0,(VLOOKUP($D32,$C$5:$AU$502,4,)/VLOOKUP($D32,$C$5:$AU$502,3,))*$E32)</f>
        <v>0</v>
      </c>
      <c r="G32" s="66">
        <f>IF(VLOOKUP($D32,$C$5:$AU$502,3,)=0,0,(VLOOKUP($D32,$C$5:$AU$502,5,)/VLOOKUP($D32,$C$5:$AU$502,3,))*$E32)</f>
        <v>0</v>
      </c>
      <c r="H32" s="66">
        <f>IF(VLOOKUP($D32,$C$5:$AU$502,3,)=0,0,(VLOOKUP($D32,$C$5:$AU$502,6,)/VLOOKUP($D32,$C$5:$AU$502,3,))*$E32)</f>
        <v>0</v>
      </c>
      <c r="I32" s="66">
        <f>IF(VLOOKUP($D32,$C$5:$AU$502,3,)=0,0,(VLOOKUP($D32,$C$5:$AU$502,7,)/VLOOKUP($D32,$C$5:$AU$502,3,))*$E32)</f>
        <v>0</v>
      </c>
      <c r="J32" s="66">
        <f>IF(VLOOKUP($D32,$C$5:$AU$502,3,)=0,0,(VLOOKUP($D32,$C$5:$AU$502,8,)/VLOOKUP($D32,$C$5:$AU$502,3,))*$E32)</f>
        <v>0</v>
      </c>
      <c r="K32" s="66">
        <f>IF(VLOOKUP($D32,$C$5:$AU$502,3,)=0,0,(VLOOKUP($D32,$C$5:$AU$502,9,)/VLOOKUP($D32,$C$5:$AU$502,3,))*$E32)</f>
        <v>0</v>
      </c>
      <c r="L32" s="66">
        <f>IF(VLOOKUP($D32,$C$5:$AU$502,3,)=0,0,(VLOOKUP($D32,$C$5:$AU$502,10,)/VLOOKUP($D32,$C$5:$AU$502,3,))*$E32)</f>
        <v>0</v>
      </c>
      <c r="M32" s="66">
        <f>IF(VLOOKUP($D32,$C$5:$AU$502,3,)=0,0,(VLOOKUP($D32,$C$5:$AU$502,11,)/VLOOKUP($D32,$C$5:$AU$502,3,))*$E32)</f>
        <v>7929965.3101217393</v>
      </c>
      <c r="N32" s="66">
        <f>IF(VLOOKUP($D32,$C$5:$AU$502,3,)=0,0,(VLOOKUP($D32,$C$5:$AU$502,12,)/VLOOKUP($D32,$C$5:$AU$502,3,))*$E32)</f>
        <v>0</v>
      </c>
      <c r="O32" s="66">
        <f>IF(VLOOKUP($D32,$C$5:$AU$502,3,)=0,0,(VLOOKUP($D32,$C$5:$AU$502,13,)/VLOOKUP($D32,$C$5:$AU$502,3,))*$E32)</f>
        <v>0</v>
      </c>
      <c r="P32" s="66">
        <f>IF(VLOOKUP($D32,$C$5:$AU$502,3,)=0,0,(VLOOKUP($D32,$C$5:$AU$502,14,)/VLOOKUP($D32,$C$5:$AU$502,3,))*$E32)</f>
        <v>0</v>
      </c>
      <c r="Q32" s="66">
        <f>IF(VLOOKUP($D32,$C$5:$AU$502,3,)=0,0,(VLOOKUP($D32,$C$5:$AU$502,15,)/VLOOKUP($D32,$C$5:$AU$502,3,))*$E32)</f>
        <v>0</v>
      </c>
      <c r="R32" s="66">
        <f>IF(VLOOKUP($D32,$C$5:$AU$502,3,)=0,0,(VLOOKUP($D32,$C$5:$AU$502,16,)/VLOOKUP($D32,$C$5:$AU$502,3,))*$E32)</f>
        <v>0</v>
      </c>
      <c r="S32" s="66">
        <f>IF(VLOOKUP($D32,$C$5:$AU$502,3,)=0,0,(VLOOKUP($D32,$C$5:$AU$502,17,)/VLOOKUP($D32,$C$5:$AU$502,3,))*$E32)</f>
        <v>0</v>
      </c>
      <c r="T32" s="66">
        <f>IF(VLOOKUP($D32,$C$5:$AU$502,3,)=0,0,(VLOOKUP($D32,$C$5:$AU$502,18,)/VLOOKUP($D32,$C$5:$AU$502,3,))*$E32)</f>
        <v>0</v>
      </c>
      <c r="U32" s="66">
        <f>IF(VLOOKUP($D32,$C$5:$AU$502,3,)=0,0,(VLOOKUP($D32,$C$5:$AU$502,19,)/VLOOKUP($D32,$C$5:$AU$502,3,))*$E32)</f>
        <v>0</v>
      </c>
      <c r="V32" s="66">
        <f>IF(VLOOKUP($D32,$C$5:$AU$502,3,)=0,0,(VLOOKUP($D32,$C$5:$AU$502,20,)/VLOOKUP($D32,$C$5:$AU$502,3,))*$E32)</f>
        <v>0</v>
      </c>
      <c r="W32" s="66">
        <f>IF(VLOOKUP($D32,$C$5:$AU$502,3,)=0,0,(VLOOKUP($D32,$C$5:$AU$502,21,)/VLOOKUP($D32,$C$5:$AU$502,3,))*$E32)</f>
        <v>0</v>
      </c>
      <c r="X32" s="66">
        <f>IF(VLOOKUP($D32,$C$5:$AU$502,3,)=0,0,(VLOOKUP($D32,$C$5:$AU$502,22,)/VLOOKUP($D32,$C$5:$AU$502,3,))*$E32)</f>
        <v>0</v>
      </c>
      <c r="Y32" s="66">
        <f>IF(VLOOKUP($D32,$C$5:$AU$502,3,)=0,0,(VLOOKUP($D32,$C$5:$AU$502,23,)/VLOOKUP($D32,$C$5:$AU$502,3,))*$E32)</f>
        <v>0</v>
      </c>
      <c r="Z32" s="66">
        <f>IF(VLOOKUP($D32,$C$5:$AU$502,3,)=0,0,(VLOOKUP($D32,$C$5:$AU$502,24,)/VLOOKUP($D32,$C$5:$AU$502,3,))*$E32)</f>
        <v>0</v>
      </c>
      <c r="AA32" s="66">
        <f>IF(VLOOKUP($D32,$C$5:$AU$502,3,)=0,0,(VLOOKUP($D32,$C$5:$AU$502,25,)/VLOOKUP($D32,$C$5:$AU$502,3,))*$E32)</f>
        <v>0</v>
      </c>
      <c r="AB32" s="66">
        <f>IF(VLOOKUP($D32,$C$5:$AU$502,3,)=0,0,(VLOOKUP($D32,$C$5:$AU$502,26,)/VLOOKUP($D32,$C$5:$AU$502,3,))*$E32)</f>
        <v>0</v>
      </c>
      <c r="AC32" s="66">
        <f>IF(VLOOKUP($D32,$C$5:$AU$502,3,)=0,0,(VLOOKUP($D32,$C$5:$AU$502,27,)/VLOOKUP($D32,$C$5:$AU$502,3,))*$E32)</f>
        <v>0</v>
      </c>
      <c r="AD32" s="66">
        <f>IF(VLOOKUP($D32,$C$5:$AU$502,3,)=0,0,(VLOOKUP($D32,$C$5:$AU$502,28,)/VLOOKUP($D32,$C$5:$AU$502,3,))*$E32)</f>
        <v>0</v>
      </c>
      <c r="AE32" s="66">
        <f>IF(VLOOKUP($D32,$C$5:$AU$502,3,)=0,0,(VLOOKUP($D32,$C$5:$AU$502,29,)/VLOOKUP($D32,$C$5:$AU$502,3,))*$E32)</f>
        <v>0</v>
      </c>
      <c r="AF32" s="66">
        <f>IF(VLOOKUP($D32,$C$5:$AU$502,3,)=0,0,(VLOOKUP($D32,$C$5:$AU$502,30,)/VLOOKUP($D32,$C$5:$AU$502,3,))*$E32)</f>
        <v>0</v>
      </c>
      <c r="AG32" s="93">
        <f>SUM(F32:AF32)</f>
        <v>7929965.3101217393</v>
      </c>
      <c r="AH32" s="30" t="str">
        <f>IF(ABS(E32-AG32)&lt;0.01,"ok","err")</f>
        <v>ok</v>
      </c>
    </row>
    <row r="33" spans="1:35" x14ac:dyDescent="0.2">
      <c r="E33" s="50"/>
    </row>
    <row r="34" spans="1:35" x14ac:dyDescent="0.2">
      <c r="A34" s="13" t="s">
        <v>545</v>
      </c>
      <c r="E34" s="50"/>
    </row>
    <row r="35" spans="1:35" x14ac:dyDescent="0.2">
      <c r="A35" s="96" t="s">
        <v>221</v>
      </c>
      <c r="C35" s="14" t="s">
        <v>233</v>
      </c>
      <c r="D35" s="14" t="s">
        <v>234</v>
      </c>
      <c r="E35" s="66">
        <f>'Func &amp; Classif'!Y82</f>
        <v>0</v>
      </c>
      <c r="F35" s="66">
        <f>IF(VLOOKUP($D35,$C$5:$AU$502,3,)=0,0,(VLOOKUP($D35,$C$5:$AU$502,4,)/VLOOKUP($D35,$C$5:$AU$502,3,))*$E35)</f>
        <v>0</v>
      </c>
      <c r="G35" s="66">
        <f>IF(VLOOKUP($D35,$C$5:$AU$502,3,)=0,0,(VLOOKUP($D35,$C$5:$AU$502,5,)/VLOOKUP($D35,$C$5:$AU$502,3,))*$E35)</f>
        <v>0</v>
      </c>
      <c r="H35" s="66">
        <f>IF(VLOOKUP($D35,$C$5:$AU$502,3,)=0,0,(VLOOKUP($D35,$C$5:$AU$502,6,)/VLOOKUP($D35,$C$5:$AU$502,3,))*$E35)</f>
        <v>0</v>
      </c>
      <c r="I35" s="66">
        <f>IF(VLOOKUP($D35,$C$5:$AU$502,3,)=0,0,(VLOOKUP($D35,$C$5:$AU$502,7,)/VLOOKUP($D35,$C$5:$AU$502,3,))*$E35)</f>
        <v>0</v>
      </c>
      <c r="J35" s="66">
        <f>IF(VLOOKUP($D35,$C$5:$AU$502,3,)=0,0,(VLOOKUP($D35,$C$5:$AU$502,8,)/VLOOKUP($D35,$C$5:$AU$502,3,))*$E35)</f>
        <v>0</v>
      </c>
      <c r="K35" s="66">
        <f>IF(VLOOKUP($D35,$C$5:$AU$502,3,)=0,0,(VLOOKUP($D35,$C$5:$AU$502,9,)/VLOOKUP($D35,$C$5:$AU$502,3,))*$E35)</f>
        <v>0</v>
      </c>
      <c r="L35" s="66">
        <f>IF(VLOOKUP($D35,$C$5:$AU$502,3,)=0,0,(VLOOKUP($D35,$C$5:$AU$502,10,)/VLOOKUP($D35,$C$5:$AU$502,3,))*$E35)</f>
        <v>0</v>
      </c>
      <c r="M35" s="66">
        <f>IF(VLOOKUP($D35,$C$5:$AU$502,3,)=0,0,(VLOOKUP($D35,$C$5:$AU$502,11,)/VLOOKUP($D35,$C$5:$AU$502,3,))*$E35)</f>
        <v>0</v>
      </c>
      <c r="N35" s="66">
        <f>IF(VLOOKUP($D35,$C$5:$AU$502,3,)=0,0,(VLOOKUP($D35,$C$5:$AU$502,12,)/VLOOKUP($D35,$C$5:$AU$502,3,))*$E35)</f>
        <v>0</v>
      </c>
      <c r="O35" s="66">
        <f>IF(VLOOKUP($D35,$C$5:$AU$502,3,)=0,0,(VLOOKUP($D35,$C$5:$AU$502,13,)/VLOOKUP($D35,$C$5:$AU$502,3,))*$E35)</f>
        <v>0</v>
      </c>
      <c r="P35" s="66">
        <f>IF(VLOOKUP($D35,$C$5:$AU$502,3,)=0,0,(VLOOKUP($D35,$C$5:$AU$502,14,)/VLOOKUP($D35,$C$5:$AU$502,3,))*$E35)</f>
        <v>0</v>
      </c>
      <c r="Q35" s="66">
        <f>IF(VLOOKUP($D35,$C$5:$AU$502,3,)=0,0,(VLOOKUP($D35,$C$5:$AU$502,15,)/VLOOKUP($D35,$C$5:$AU$502,3,))*$E35)</f>
        <v>0</v>
      </c>
      <c r="R35" s="66">
        <f>IF(VLOOKUP($D35,$C$5:$AU$502,3,)=0,0,(VLOOKUP($D35,$C$5:$AU$502,16,)/VLOOKUP($D35,$C$5:$AU$502,3,))*$E35)</f>
        <v>0</v>
      </c>
      <c r="S35" s="66">
        <f>IF(VLOOKUP($D35,$C$5:$AU$502,3,)=0,0,(VLOOKUP($D35,$C$5:$AU$502,17,)/VLOOKUP($D35,$C$5:$AU$502,3,))*$E35)</f>
        <v>0</v>
      </c>
      <c r="T35" s="66">
        <f>IF(VLOOKUP($D35,$C$5:$AU$502,3,)=0,0,(VLOOKUP($D35,$C$5:$AU$502,18,)/VLOOKUP($D35,$C$5:$AU$502,3,))*$E35)</f>
        <v>0</v>
      </c>
      <c r="U35" s="66">
        <f>IF(VLOOKUP($D35,$C$5:$AU$502,3,)=0,0,(VLOOKUP($D35,$C$5:$AU$502,19,)/VLOOKUP($D35,$C$5:$AU$502,3,))*$E35)</f>
        <v>0</v>
      </c>
      <c r="V35" s="66">
        <f>IF(VLOOKUP($D35,$C$5:$AU$502,3,)=0,0,(VLOOKUP($D35,$C$5:$AU$502,20,)/VLOOKUP($D35,$C$5:$AU$502,3,))*$E35)</f>
        <v>0</v>
      </c>
      <c r="W35" s="66">
        <f>IF(VLOOKUP($D35,$C$5:$AU$502,3,)=0,0,(VLOOKUP($D35,$C$5:$AU$502,21,)/VLOOKUP($D35,$C$5:$AU$502,3,))*$E35)</f>
        <v>0</v>
      </c>
      <c r="X35" s="66">
        <f>IF(VLOOKUP($D35,$C$5:$AU$502,3,)=0,0,(VLOOKUP($D35,$C$5:$AU$502,22,)/VLOOKUP($D35,$C$5:$AU$502,3,))*$E35)</f>
        <v>0</v>
      </c>
      <c r="Y35" s="66">
        <f>IF(VLOOKUP($D35,$C$5:$AU$502,3,)=0,0,(VLOOKUP($D35,$C$5:$AU$502,23,)/VLOOKUP($D35,$C$5:$AU$502,3,))*$E35)</f>
        <v>0</v>
      </c>
      <c r="Z35" s="66">
        <f>IF(VLOOKUP($D35,$C$5:$AU$502,3,)=0,0,(VLOOKUP($D35,$C$5:$AU$502,24,)/VLOOKUP($D35,$C$5:$AU$502,3,))*$E35)</f>
        <v>0</v>
      </c>
      <c r="AA35" s="66">
        <f>IF(VLOOKUP($D35,$C$5:$AU$502,3,)=0,0,(VLOOKUP($D35,$C$5:$AU$502,25,)/VLOOKUP($D35,$C$5:$AU$502,3,))*$E35)</f>
        <v>0</v>
      </c>
      <c r="AB35" s="66">
        <f>IF(VLOOKUP($D35,$C$5:$AU$502,3,)=0,0,(VLOOKUP($D35,$C$5:$AU$502,26,)/VLOOKUP($D35,$C$5:$AU$502,3,))*$E35)</f>
        <v>0</v>
      </c>
      <c r="AC35" s="66">
        <f>IF(VLOOKUP($D35,$C$5:$AU$502,3,)=0,0,(VLOOKUP($D35,$C$5:$AU$502,27,)/VLOOKUP($D35,$C$5:$AU$502,3,))*$E35)</f>
        <v>0</v>
      </c>
      <c r="AD35" s="66">
        <f>IF(VLOOKUP($D35,$C$5:$AU$502,3,)=0,0,(VLOOKUP($D35,$C$5:$AU$502,28,)/VLOOKUP($D35,$C$5:$AU$502,3,))*$E35)</f>
        <v>0</v>
      </c>
      <c r="AE35" s="66">
        <f>IF(VLOOKUP($D35,$C$5:$AU$502,3,)=0,0,(VLOOKUP($D35,$C$5:$AU$502,29,)/VLOOKUP($D35,$C$5:$AU$502,3,))*$E35)</f>
        <v>0</v>
      </c>
      <c r="AF35" s="66">
        <f>IF(VLOOKUP($D35,$C$5:$AU$502,3,)=0,0,(VLOOKUP($D35,$C$5:$AU$502,30,)/VLOOKUP($D35,$C$5:$AU$502,3,))*$E35)</f>
        <v>0</v>
      </c>
      <c r="AG35" s="93">
        <f>SUM(F35:AF35)</f>
        <v>0</v>
      </c>
      <c r="AH35" s="30" t="str">
        <f>IF(ABS(E35-AG35)&lt;0.01,"ok","err")</f>
        <v>ok</v>
      </c>
    </row>
    <row r="36" spans="1:35" x14ac:dyDescent="0.2">
      <c r="E36" s="50"/>
    </row>
    <row r="37" spans="1:35" x14ac:dyDescent="0.2">
      <c r="A37" s="13" t="s">
        <v>470</v>
      </c>
      <c r="E37" s="50"/>
    </row>
    <row r="38" spans="1:35" x14ac:dyDescent="0.2">
      <c r="A38" s="96" t="s">
        <v>221</v>
      </c>
      <c r="C38" s="14" t="s">
        <v>226</v>
      </c>
      <c r="D38" s="14" t="s">
        <v>235</v>
      </c>
      <c r="E38" s="66">
        <f>'Func &amp; Classif'!AA82</f>
        <v>0</v>
      </c>
      <c r="F38" s="66">
        <f>IF(VLOOKUP($D38,$C$5:$AU$502,3,)=0,0,(VLOOKUP($D38,$C$5:$AU$502,4,)/VLOOKUP($D38,$C$5:$AU$502,3,))*$E38)</f>
        <v>0</v>
      </c>
      <c r="G38" s="66">
        <f>IF(VLOOKUP($D38,$C$5:$AU$502,3,)=0,0,(VLOOKUP($D38,$C$5:$AU$502,5,)/VLOOKUP($D38,$C$5:$AU$502,3,))*$E38)</f>
        <v>0</v>
      </c>
      <c r="H38" s="66">
        <f>IF(VLOOKUP($D38,$C$5:$AU$502,3,)=0,0,(VLOOKUP($D38,$C$5:$AU$502,6,)/VLOOKUP($D38,$C$5:$AU$502,3,))*$E38)</f>
        <v>0</v>
      </c>
      <c r="I38" s="66">
        <f>IF(VLOOKUP($D38,$C$5:$AU$502,3,)=0,0,(VLOOKUP($D38,$C$5:$AU$502,7,)/VLOOKUP($D38,$C$5:$AU$502,3,))*$E38)</f>
        <v>0</v>
      </c>
      <c r="J38" s="66">
        <f>IF(VLOOKUP($D38,$C$5:$AU$502,3,)=0,0,(VLOOKUP($D38,$C$5:$AU$502,8,)/VLOOKUP($D38,$C$5:$AU$502,3,))*$E38)</f>
        <v>0</v>
      </c>
      <c r="K38" s="66">
        <f>IF(VLOOKUP($D38,$C$5:$AU$502,3,)=0,0,(VLOOKUP($D38,$C$5:$AU$502,9,)/VLOOKUP($D38,$C$5:$AU$502,3,))*$E38)</f>
        <v>0</v>
      </c>
      <c r="L38" s="66">
        <f>IF(VLOOKUP($D38,$C$5:$AU$502,3,)=0,0,(VLOOKUP($D38,$C$5:$AU$502,10,)/VLOOKUP($D38,$C$5:$AU$502,3,))*$E38)</f>
        <v>0</v>
      </c>
      <c r="M38" s="66">
        <f>IF(VLOOKUP($D38,$C$5:$AU$502,3,)=0,0,(VLOOKUP($D38,$C$5:$AU$502,11,)/VLOOKUP($D38,$C$5:$AU$502,3,))*$E38)</f>
        <v>0</v>
      </c>
      <c r="N38" s="66">
        <f>IF(VLOOKUP($D38,$C$5:$AU$502,3,)=0,0,(VLOOKUP($D38,$C$5:$AU$502,12,)/VLOOKUP($D38,$C$5:$AU$502,3,))*$E38)</f>
        <v>0</v>
      </c>
      <c r="O38" s="66">
        <f>IF(VLOOKUP($D38,$C$5:$AU$502,3,)=0,0,(VLOOKUP($D38,$C$5:$AU$502,13,)/VLOOKUP($D38,$C$5:$AU$502,3,))*$E38)</f>
        <v>0</v>
      </c>
      <c r="P38" s="66">
        <f>IF(VLOOKUP($D38,$C$5:$AU$502,3,)=0,0,(VLOOKUP($D38,$C$5:$AU$502,14,)/VLOOKUP($D38,$C$5:$AU$502,3,))*$E38)</f>
        <v>0</v>
      </c>
      <c r="Q38" s="66">
        <f>IF(VLOOKUP($D38,$C$5:$AU$502,3,)=0,0,(VLOOKUP($D38,$C$5:$AU$502,15,)/VLOOKUP($D38,$C$5:$AU$502,3,))*$E38)</f>
        <v>0</v>
      </c>
      <c r="R38" s="66">
        <f>IF(VLOOKUP($D38,$C$5:$AU$502,3,)=0,0,(VLOOKUP($D38,$C$5:$AU$502,16,)/VLOOKUP($D38,$C$5:$AU$502,3,))*$E38)</f>
        <v>0</v>
      </c>
      <c r="S38" s="66">
        <f>IF(VLOOKUP($D38,$C$5:$AU$502,3,)=0,0,(VLOOKUP($D38,$C$5:$AU$502,17,)/VLOOKUP($D38,$C$5:$AU$502,3,))*$E38)</f>
        <v>0</v>
      </c>
      <c r="T38" s="66">
        <f>IF(VLOOKUP($D38,$C$5:$AU$502,3,)=0,0,(VLOOKUP($D38,$C$5:$AU$502,18,)/VLOOKUP($D38,$C$5:$AU$502,3,))*$E38)</f>
        <v>0</v>
      </c>
      <c r="U38" s="66">
        <f>IF(VLOOKUP($D38,$C$5:$AU$502,3,)=0,0,(VLOOKUP($D38,$C$5:$AU$502,19,)/VLOOKUP($D38,$C$5:$AU$502,3,))*$E38)</f>
        <v>0</v>
      </c>
      <c r="V38" s="66">
        <f>IF(VLOOKUP($D38,$C$5:$AU$502,3,)=0,0,(VLOOKUP($D38,$C$5:$AU$502,20,)/VLOOKUP($D38,$C$5:$AU$502,3,))*$E38)</f>
        <v>0</v>
      </c>
      <c r="W38" s="66">
        <f>IF(VLOOKUP($D38,$C$5:$AU$502,3,)=0,0,(VLOOKUP($D38,$C$5:$AU$502,21,)/VLOOKUP($D38,$C$5:$AU$502,3,))*$E38)</f>
        <v>0</v>
      </c>
      <c r="X38" s="66">
        <f>IF(VLOOKUP($D38,$C$5:$AU$502,3,)=0,0,(VLOOKUP($D38,$C$5:$AU$502,22,)/VLOOKUP($D38,$C$5:$AU$502,3,))*$E38)</f>
        <v>0</v>
      </c>
      <c r="Y38" s="66">
        <f>IF(VLOOKUP($D38,$C$5:$AU$502,3,)=0,0,(VLOOKUP($D38,$C$5:$AU$502,23,)/VLOOKUP($D38,$C$5:$AU$502,3,))*$E38)</f>
        <v>0</v>
      </c>
      <c r="Z38" s="66">
        <f>IF(VLOOKUP($D38,$C$5:$AU$502,3,)=0,0,(VLOOKUP($D38,$C$5:$AU$502,24,)/VLOOKUP($D38,$C$5:$AU$502,3,))*$E38)</f>
        <v>0</v>
      </c>
      <c r="AA38" s="66">
        <f>IF(VLOOKUP($D38,$C$5:$AU$502,3,)=0,0,(VLOOKUP($D38,$C$5:$AU$502,25,)/VLOOKUP($D38,$C$5:$AU$502,3,))*$E38)</f>
        <v>0</v>
      </c>
      <c r="AB38" s="66">
        <f>IF(VLOOKUP($D38,$C$5:$AU$502,3,)=0,0,(VLOOKUP($D38,$C$5:$AU$502,26,)/VLOOKUP($D38,$C$5:$AU$502,3,))*$E38)</f>
        <v>0</v>
      </c>
      <c r="AC38" s="66">
        <f>IF(VLOOKUP($D38,$C$5:$AU$502,3,)=0,0,(VLOOKUP($D38,$C$5:$AU$502,27,)/VLOOKUP($D38,$C$5:$AU$502,3,))*$E38)</f>
        <v>0</v>
      </c>
      <c r="AD38" s="66">
        <f>IF(VLOOKUP($D38,$C$5:$AU$502,3,)=0,0,(VLOOKUP($D38,$C$5:$AU$502,28,)/VLOOKUP($D38,$C$5:$AU$502,3,))*$E38)</f>
        <v>0</v>
      </c>
      <c r="AE38" s="66">
        <f>IF(VLOOKUP($D38,$C$5:$AU$502,3,)=0,0,(VLOOKUP($D38,$C$5:$AU$502,29,)/VLOOKUP($D38,$C$5:$AU$502,3,))*$E38)</f>
        <v>0</v>
      </c>
      <c r="AF38" s="66">
        <f>IF(VLOOKUP($D38,$C$5:$AU$502,3,)=0,0,(VLOOKUP($D38,$C$5:$AU$502,30,)/VLOOKUP($D38,$C$5:$AU$502,3,))*$E38)</f>
        <v>0</v>
      </c>
      <c r="AG38" s="93">
        <f>SUM(F38:AF38)</f>
        <v>0</v>
      </c>
      <c r="AH38" s="30" t="str">
        <f>IF(ABS(E38-AG38)&lt;0.01,"ok","err")</f>
        <v>ok</v>
      </c>
    </row>
    <row r="39" spans="1:35" x14ac:dyDescent="0.2">
      <c r="E39" s="50"/>
    </row>
    <row r="40" spans="1:35" x14ac:dyDescent="0.2">
      <c r="A40" s="14" t="s">
        <v>0</v>
      </c>
      <c r="C40" s="14" t="s">
        <v>236</v>
      </c>
      <c r="E40" s="66">
        <f>E10+E13+E16+E21+E26+E29+E32+E35+E38</f>
        <v>121327769.94999999</v>
      </c>
      <c r="F40" s="66">
        <f t="shared" ref="F40:R40" si="6">F10+F13+F16+F21+F26+F29+F32+F35+F38</f>
        <v>96686623.930807367</v>
      </c>
      <c r="G40" s="66">
        <f t="shared" si="6"/>
        <v>27536.688283342752</v>
      </c>
      <c r="H40" s="66">
        <f t="shared" si="6"/>
        <v>5140327.3902656091</v>
      </c>
      <c r="I40" s="66">
        <f t="shared" si="6"/>
        <v>1362703.9559147942</v>
      </c>
      <c r="J40" s="66">
        <f t="shared" si="6"/>
        <v>516855.80001055612</v>
      </c>
      <c r="K40" s="66">
        <f t="shared" si="6"/>
        <v>2013966.960206198</v>
      </c>
      <c r="L40" s="66">
        <f t="shared" si="6"/>
        <v>6840565.9365769904</v>
      </c>
      <c r="M40" s="66">
        <f t="shared" si="6"/>
        <v>8739189.2879333943</v>
      </c>
      <c r="N40" s="66">
        <f t="shared" si="6"/>
        <v>0</v>
      </c>
      <c r="O40" s="66">
        <f t="shared" si="6"/>
        <v>0</v>
      </c>
      <c r="P40" s="66">
        <f t="shared" si="6"/>
        <v>0</v>
      </c>
      <c r="Q40" s="66">
        <f t="shared" si="6"/>
        <v>0</v>
      </c>
      <c r="R40" s="66">
        <f t="shared" si="6"/>
        <v>0</v>
      </c>
      <c r="S40" s="66">
        <f t="shared" ref="S40:AF40" si="7">S10+S16+S21+S26+S29+S32+S35+S38</f>
        <v>0</v>
      </c>
      <c r="T40" s="66">
        <f t="shared" si="7"/>
        <v>0</v>
      </c>
      <c r="U40" s="66">
        <f t="shared" si="7"/>
        <v>0</v>
      </c>
      <c r="V40" s="66">
        <f t="shared" si="7"/>
        <v>0</v>
      </c>
      <c r="W40" s="66">
        <f t="shared" si="7"/>
        <v>0</v>
      </c>
      <c r="X40" s="66">
        <f t="shared" si="7"/>
        <v>0</v>
      </c>
      <c r="Y40" s="66">
        <f t="shared" si="7"/>
        <v>0</v>
      </c>
      <c r="Z40" s="66">
        <f t="shared" si="7"/>
        <v>0</v>
      </c>
      <c r="AA40" s="66">
        <f t="shared" si="7"/>
        <v>0</v>
      </c>
      <c r="AB40" s="66">
        <f t="shared" si="7"/>
        <v>0</v>
      </c>
      <c r="AC40" s="66">
        <f t="shared" si="7"/>
        <v>0</v>
      </c>
      <c r="AD40" s="66">
        <f t="shared" si="7"/>
        <v>0</v>
      </c>
      <c r="AE40" s="66">
        <f t="shared" si="7"/>
        <v>0</v>
      </c>
      <c r="AF40" s="66">
        <f t="shared" si="7"/>
        <v>0</v>
      </c>
      <c r="AG40" s="93">
        <f>SUM(F40:AF40)</f>
        <v>121327769.94999826</v>
      </c>
      <c r="AH40" s="30" t="str">
        <f>IF(ABS(E40-AG40)&lt;0.01,"ok","err")</f>
        <v>ok</v>
      </c>
      <c r="AI40" s="93"/>
    </row>
    <row r="44" spans="1:35" x14ac:dyDescent="0.2">
      <c r="A44" s="28" t="s">
        <v>83</v>
      </c>
    </row>
    <row r="46" spans="1:35" x14ac:dyDescent="0.2">
      <c r="A46" s="13" t="s">
        <v>895</v>
      </c>
    </row>
    <row r="47" spans="1:35" x14ac:dyDescent="0.2">
      <c r="A47" s="96" t="s">
        <v>209</v>
      </c>
      <c r="C47" s="14" t="s">
        <v>237</v>
      </c>
      <c r="D47" s="14" t="s">
        <v>657</v>
      </c>
      <c r="E47" s="66">
        <f>'Func &amp; Classif'!H126</f>
        <v>0</v>
      </c>
      <c r="F47" s="66">
        <f>IF(VLOOKUP($D47,$C$5:$AU$502,3,)=0,0,(VLOOKUP($D47,$C$5:$AU$502,4,)/VLOOKUP($D47,$C$5:$AU$502,3,))*$E47)</f>
        <v>0</v>
      </c>
      <c r="G47" s="66">
        <f>IF(VLOOKUP($D47,$C$5:$AU$502,3,)=0,0,(VLOOKUP($D47,$C$5:$AU$502,5,)/VLOOKUP($D47,$C$5:$AU$502,3,))*$E47)</f>
        <v>0</v>
      </c>
      <c r="H47" s="66">
        <f>IF(VLOOKUP($D47,$C$5:$AU$502,3,)=0,0,(VLOOKUP($D47,$C$5:$AU$502,6,)/VLOOKUP($D47,$C$5:$AU$502,3,))*$E47)</f>
        <v>0</v>
      </c>
      <c r="I47" s="66">
        <f>IF(VLOOKUP($D47,$C$5:$AU$502,3,)=0,0,(VLOOKUP($D47,$C$5:$AU$502,7,)/VLOOKUP($D47,$C$5:$AU$502,3,))*$E47)</f>
        <v>0</v>
      </c>
      <c r="J47" s="66">
        <f>IF(VLOOKUP($D47,$C$5:$AU$502,3,)=0,0,(VLOOKUP($D47,$C$5:$AU$502,8,)/VLOOKUP($D47,$C$5:$AU$502,3,))*$E47)</f>
        <v>0</v>
      </c>
      <c r="K47" s="66">
        <f>IF(VLOOKUP($D47,$C$5:$AU$502,3,)=0,0,(VLOOKUP($D47,$C$5:$AU$502,9,)/VLOOKUP($D47,$C$5:$AU$502,3,))*$E47)</f>
        <v>0</v>
      </c>
      <c r="L47" s="66">
        <f>IF(VLOOKUP($D47,$C$5:$AU$502,3,)=0,0,(VLOOKUP($D47,$C$5:$AU$502,10,)/VLOOKUP($D47,$C$5:$AU$502,3,))*$E47)</f>
        <v>0</v>
      </c>
      <c r="M47" s="66">
        <f>IF(VLOOKUP($D47,$C$5:$AU$502,3,)=0,0,(VLOOKUP($D47,$C$5:$AU$502,11,)/VLOOKUP($D47,$C$5:$AU$502,3,))*$E47)</f>
        <v>0</v>
      </c>
      <c r="N47" s="66">
        <f>IF(VLOOKUP($D47,$C$5:$AU$502,3,)=0,0,(VLOOKUP($D47,$C$5:$AU$502,12,)/VLOOKUP($D47,$C$5:$AU$502,3,))*$E47)</f>
        <v>0</v>
      </c>
      <c r="O47" s="66">
        <f>IF(VLOOKUP($D47,$C$5:$AU$502,3,)=0,0,(VLOOKUP($D47,$C$5:$AU$502,13,)/VLOOKUP($D47,$C$5:$AU$502,3,))*$E47)</f>
        <v>0</v>
      </c>
      <c r="P47" s="66">
        <f>IF(VLOOKUP($D47,$C$5:$AU$502,3,)=0,0,(VLOOKUP($D47,$C$5:$AU$502,14,)/VLOOKUP($D47,$C$5:$AU$502,3,))*$E47)</f>
        <v>0</v>
      </c>
      <c r="Q47" s="66">
        <f>IF(VLOOKUP($D47,$C$5:$AU$502,3,)=0,0,(VLOOKUP($D47,$C$5:$AU$502,15,)/VLOOKUP($D47,$C$5:$AU$502,3,))*$E47)</f>
        <v>0</v>
      </c>
      <c r="R47" s="66">
        <f>IF(VLOOKUP($D47,$C$5:$AU$502,3,)=0,0,(VLOOKUP($D47,$C$5:$AU$502,16,)/VLOOKUP($D47,$C$5:$AU$502,3,))*$E47)</f>
        <v>0</v>
      </c>
      <c r="S47" s="66">
        <f>IF(VLOOKUP($D47,$C$5:$AU$502,3,)=0,0,(VLOOKUP($D47,$C$5:$AU$502,17,)/VLOOKUP($D47,$C$5:$AU$502,3,))*$E47)</f>
        <v>0</v>
      </c>
      <c r="T47" s="66">
        <f>IF(VLOOKUP($D47,$C$5:$AU$502,3,)=0,0,(VLOOKUP($D47,$C$5:$AU$502,18,)/VLOOKUP($D47,$C$5:$AU$502,3,))*$E47)</f>
        <v>0</v>
      </c>
      <c r="U47" s="66">
        <f>IF(VLOOKUP($D47,$C$5:$AU$502,3,)=0,0,(VLOOKUP($D47,$C$5:$AU$502,19,)/VLOOKUP($D47,$C$5:$AU$502,3,))*$E47)</f>
        <v>0</v>
      </c>
      <c r="V47" s="66">
        <f>IF(VLOOKUP($D47,$C$5:$AU$502,3,)=0,0,(VLOOKUP($D47,$C$5:$AU$502,20,)/VLOOKUP($D47,$C$5:$AU$502,3,))*$E47)</f>
        <v>0</v>
      </c>
      <c r="W47" s="66">
        <f>IF(VLOOKUP($D47,$C$5:$AU$502,3,)=0,0,(VLOOKUP($D47,$C$5:$AU$502,21,)/VLOOKUP($D47,$C$5:$AU$502,3,))*$E47)</f>
        <v>0</v>
      </c>
      <c r="X47" s="66">
        <f>IF(VLOOKUP($D47,$C$5:$AU$502,3,)=0,0,(VLOOKUP($D47,$C$5:$AU$502,22,)/VLOOKUP($D47,$C$5:$AU$502,3,))*$E47)</f>
        <v>0</v>
      </c>
      <c r="Y47" s="66">
        <f>IF(VLOOKUP($D47,$C$5:$AU$502,3,)=0,0,(VLOOKUP($D47,$C$5:$AU$502,23,)/VLOOKUP($D47,$C$5:$AU$502,3,))*$E47)</f>
        <v>0</v>
      </c>
      <c r="Z47" s="66">
        <f>IF(VLOOKUP($D47,$C$5:$AU$502,3,)=0,0,(VLOOKUP($D47,$C$5:$AU$502,24,)/VLOOKUP($D47,$C$5:$AU$502,3,))*$E47)</f>
        <v>0</v>
      </c>
      <c r="AA47" s="66">
        <f>IF(VLOOKUP($D47,$C$5:$AU$502,3,)=0,0,(VLOOKUP($D47,$C$5:$AU$502,25,)/VLOOKUP($D47,$C$5:$AU$502,3,))*$E47)</f>
        <v>0</v>
      </c>
      <c r="AB47" s="66">
        <f>IF(VLOOKUP($D47,$C$5:$AU$502,3,)=0,0,(VLOOKUP($D47,$C$5:$AU$502,26,)/VLOOKUP($D47,$C$5:$AU$502,3,))*$E47)</f>
        <v>0</v>
      </c>
      <c r="AC47" s="66">
        <f>IF(VLOOKUP($D47,$C$5:$AU$502,3,)=0,0,(VLOOKUP($D47,$C$5:$AU$502,27,)/VLOOKUP($D47,$C$5:$AU$502,3,))*$E47)</f>
        <v>0</v>
      </c>
      <c r="AD47" s="66">
        <f>IF(VLOOKUP($D47,$C$5:$AU$502,3,)=0,0,(VLOOKUP($D47,$C$5:$AU$502,28,)/VLOOKUP($D47,$C$5:$AU$502,3,))*$E47)</f>
        <v>0</v>
      </c>
      <c r="AE47" s="66">
        <f>IF(VLOOKUP($D47,$C$5:$AU$502,3,)=0,0,(VLOOKUP($D47,$C$5:$AU$502,29,)/VLOOKUP($D47,$C$5:$AU$502,3,))*$E47)</f>
        <v>0</v>
      </c>
      <c r="AF47" s="66">
        <f>IF(VLOOKUP($D47,$C$5:$AU$502,3,)=0,0,(VLOOKUP($D47,$C$5:$AU$502,30,)/VLOOKUP($D47,$C$5:$AU$502,3,))*$E47)</f>
        <v>0</v>
      </c>
      <c r="AG47" s="93">
        <f>SUM(F47:AF47)</f>
        <v>0</v>
      </c>
      <c r="AH47" s="30" t="str">
        <f>IF(ABS(E47-AG47)&lt;0.01,"ok","err")</f>
        <v>ok</v>
      </c>
    </row>
    <row r="48" spans="1:35" x14ac:dyDescent="0.2">
      <c r="A48" s="96" t="s">
        <v>212</v>
      </c>
      <c r="C48" s="14" t="s">
        <v>238</v>
      </c>
      <c r="D48" s="14" t="s">
        <v>666</v>
      </c>
      <c r="E48" s="50">
        <f>'Func &amp; Classif'!I126</f>
        <v>0</v>
      </c>
      <c r="F48" s="66">
        <f>IF(VLOOKUP($D48,$C$5:$AU$502,3,)=0,0,(VLOOKUP($D48,$C$5:$AU$502,4,)/VLOOKUP($D48,$C$5:$AU$502,3,))*$E48)</f>
        <v>0</v>
      </c>
      <c r="G48" s="66">
        <f>IF(VLOOKUP($D48,$C$5:$AU$502,3,)=0,0,(VLOOKUP($D48,$C$5:$AU$502,5,)/VLOOKUP($D48,$C$5:$AU$502,3,))*$E48)</f>
        <v>0</v>
      </c>
      <c r="H48" s="66">
        <f>IF(VLOOKUP($D48,$C$5:$AU$502,3,)=0,0,(VLOOKUP($D48,$C$5:$AU$502,6,)/VLOOKUP($D48,$C$5:$AU$502,3,))*$E48)</f>
        <v>0</v>
      </c>
      <c r="I48" s="66">
        <f>IF(VLOOKUP($D48,$C$5:$AU$502,3,)=0,0,(VLOOKUP($D48,$C$5:$AU$502,7,)/VLOOKUP($D48,$C$5:$AU$502,3,))*$E48)</f>
        <v>0</v>
      </c>
      <c r="J48" s="66">
        <f>IF(VLOOKUP($D48,$C$5:$AU$502,3,)=0,0,(VLOOKUP($D48,$C$5:$AU$502,8,)/VLOOKUP($D48,$C$5:$AU$502,3,))*$E48)</f>
        <v>0</v>
      </c>
      <c r="K48" s="66">
        <f>IF(VLOOKUP($D48,$C$5:$AU$502,3,)=0,0,(VLOOKUP($D48,$C$5:$AU$502,9,)/VLOOKUP($D48,$C$5:$AU$502,3,))*$E48)</f>
        <v>0</v>
      </c>
      <c r="L48" s="66">
        <f>IF(VLOOKUP($D48,$C$5:$AU$502,3,)=0,0,(VLOOKUP($D48,$C$5:$AU$502,10,)/VLOOKUP($D48,$C$5:$AU$502,3,))*$E48)</f>
        <v>0</v>
      </c>
      <c r="M48" s="66">
        <f>IF(VLOOKUP($D48,$C$5:$AU$502,3,)=0,0,(VLOOKUP($D48,$C$5:$AU$502,11,)/VLOOKUP($D48,$C$5:$AU$502,3,))*$E48)</f>
        <v>0</v>
      </c>
      <c r="N48" s="66">
        <f>IF(VLOOKUP($D48,$C$5:$AU$502,3,)=0,0,(VLOOKUP($D48,$C$5:$AU$502,12,)/VLOOKUP($D48,$C$5:$AU$502,3,))*$E48)</f>
        <v>0</v>
      </c>
      <c r="O48" s="66">
        <f>IF(VLOOKUP($D48,$C$5:$AU$502,3,)=0,0,(VLOOKUP($D48,$C$5:$AU$502,13,)/VLOOKUP($D48,$C$5:$AU$502,3,))*$E48)</f>
        <v>0</v>
      </c>
      <c r="P48" s="66">
        <f>IF(VLOOKUP($D48,$C$5:$AU$502,3,)=0,0,(VLOOKUP($D48,$C$5:$AU$502,14,)/VLOOKUP($D48,$C$5:$AU$502,3,))*$E48)</f>
        <v>0</v>
      </c>
      <c r="Q48" s="66">
        <f>IF(VLOOKUP($D48,$C$5:$AU$502,3,)=0,0,(VLOOKUP($D48,$C$5:$AU$502,15,)/VLOOKUP($D48,$C$5:$AU$502,3,))*$E48)</f>
        <v>0</v>
      </c>
      <c r="R48" s="66">
        <f>IF(VLOOKUP($D48,$C$5:$AU$502,3,)=0,0,(VLOOKUP($D48,$C$5:$AU$502,16,)/VLOOKUP($D48,$C$5:$AU$502,3,))*$E48)</f>
        <v>0</v>
      </c>
      <c r="S48" s="66">
        <f>IF(VLOOKUP($D48,$C$5:$AU$502,3,)=0,0,(VLOOKUP($D48,$C$5:$AU$502,17,)/VLOOKUP($D48,$C$5:$AU$502,3,))*$E48)</f>
        <v>0</v>
      </c>
      <c r="T48" s="66">
        <f>IF(VLOOKUP($D48,$C$5:$AU$502,3,)=0,0,(VLOOKUP($D48,$C$5:$AU$502,18,)/VLOOKUP($D48,$C$5:$AU$502,3,))*$E48)</f>
        <v>0</v>
      </c>
      <c r="U48" s="66">
        <f>IF(VLOOKUP($D48,$C$5:$AU$502,3,)=0,0,(VLOOKUP($D48,$C$5:$AU$502,19,)/VLOOKUP($D48,$C$5:$AU$502,3,))*$E48)</f>
        <v>0</v>
      </c>
      <c r="V48" s="66">
        <f>IF(VLOOKUP($D48,$C$5:$AU$502,3,)=0,0,(VLOOKUP($D48,$C$5:$AU$502,20,)/VLOOKUP($D48,$C$5:$AU$502,3,))*$E48)</f>
        <v>0</v>
      </c>
      <c r="W48" s="66">
        <f>IF(VLOOKUP($D48,$C$5:$AU$502,3,)=0,0,(VLOOKUP($D48,$C$5:$AU$502,21,)/VLOOKUP($D48,$C$5:$AU$502,3,))*$E48)</f>
        <v>0</v>
      </c>
      <c r="X48" s="66">
        <f>IF(VLOOKUP($D48,$C$5:$AU$502,3,)=0,0,(VLOOKUP($D48,$C$5:$AU$502,22,)/VLOOKUP($D48,$C$5:$AU$502,3,))*$E48)</f>
        <v>0</v>
      </c>
      <c r="Y48" s="66">
        <f>IF(VLOOKUP($D48,$C$5:$AU$502,3,)=0,0,(VLOOKUP($D48,$C$5:$AU$502,23,)/VLOOKUP($D48,$C$5:$AU$502,3,))*$E48)</f>
        <v>0</v>
      </c>
      <c r="Z48" s="66">
        <f>IF(VLOOKUP($D48,$C$5:$AU$502,3,)=0,0,(VLOOKUP($D48,$C$5:$AU$502,24,)/VLOOKUP($D48,$C$5:$AU$502,3,))*$E48)</f>
        <v>0</v>
      </c>
      <c r="AA48" s="66">
        <f>IF(VLOOKUP($D48,$C$5:$AU$502,3,)=0,0,(VLOOKUP($D48,$C$5:$AU$502,25,)/VLOOKUP($D48,$C$5:$AU$502,3,))*$E48)</f>
        <v>0</v>
      </c>
      <c r="AB48" s="66">
        <f>IF(VLOOKUP($D48,$C$5:$AU$502,3,)=0,0,(VLOOKUP($D48,$C$5:$AU$502,26,)/VLOOKUP($D48,$C$5:$AU$502,3,))*$E48)</f>
        <v>0</v>
      </c>
      <c r="AC48" s="66">
        <f>IF(VLOOKUP($D48,$C$5:$AU$502,3,)=0,0,(VLOOKUP($D48,$C$5:$AU$502,27,)/VLOOKUP($D48,$C$5:$AU$502,3,))*$E48)</f>
        <v>0</v>
      </c>
      <c r="AD48" s="66">
        <f>IF(VLOOKUP($D48,$C$5:$AU$502,3,)=0,0,(VLOOKUP($D48,$C$5:$AU$502,28,)/VLOOKUP($D48,$C$5:$AU$502,3,))*$E48)</f>
        <v>0</v>
      </c>
      <c r="AE48" s="66">
        <f>IF(VLOOKUP($D48,$C$5:$AU$502,3,)=0,0,(VLOOKUP($D48,$C$5:$AU$502,29,)/VLOOKUP($D48,$C$5:$AU$502,3,))*$E48)</f>
        <v>0</v>
      </c>
      <c r="AF48" s="66">
        <f>IF(VLOOKUP($D48,$C$5:$AU$502,3,)=0,0,(VLOOKUP($D48,$C$5:$AU$502,30,)/VLOOKUP($D48,$C$5:$AU$502,3,))*$E48)</f>
        <v>0</v>
      </c>
      <c r="AG48" s="93">
        <f>SUM(F48:AF48)</f>
        <v>0</v>
      </c>
      <c r="AH48" s="30" t="str">
        <f>IF(ABS(E48-AG48)&lt;0.01,"ok","err")</f>
        <v>ok</v>
      </c>
    </row>
    <row r="49" spans="1:34" x14ac:dyDescent="0.2">
      <c r="A49" s="14" t="s">
        <v>215</v>
      </c>
      <c r="C49" s="14" t="s">
        <v>239</v>
      </c>
      <c r="E49" s="50">
        <f t="shared" ref="E49:T49" si="8">E47+E48</f>
        <v>0</v>
      </c>
      <c r="F49" s="66">
        <f t="shared" si="8"/>
        <v>0</v>
      </c>
      <c r="G49" s="66">
        <f t="shared" si="8"/>
        <v>0</v>
      </c>
      <c r="H49" s="66">
        <f t="shared" si="8"/>
        <v>0</v>
      </c>
      <c r="I49" s="66">
        <f t="shared" si="8"/>
        <v>0</v>
      </c>
      <c r="J49" s="66">
        <f t="shared" si="8"/>
        <v>0</v>
      </c>
      <c r="K49" s="66">
        <f t="shared" si="8"/>
        <v>0</v>
      </c>
      <c r="L49" s="66">
        <f t="shared" si="8"/>
        <v>0</v>
      </c>
      <c r="M49" s="66">
        <f t="shared" si="8"/>
        <v>0</v>
      </c>
      <c r="N49" s="66">
        <f t="shared" si="8"/>
        <v>0</v>
      </c>
      <c r="O49" s="66">
        <f t="shared" si="8"/>
        <v>0</v>
      </c>
      <c r="P49" s="66">
        <f t="shared" si="8"/>
        <v>0</v>
      </c>
      <c r="Q49" s="66">
        <f t="shared" si="8"/>
        <v>0</v>
      </c>
      <c r="R49" s="66">
        <f t="shared" si="8"/>
        <v>0</v>
      </c>
      <c r="S49" s="66">
        <f t="shared" si="8"/>
        <v>0</v>
      </c>
      <c r="T49" s="66">
        <f t="shared" si="8"/>
        <v>0</v>
      </c>
      <c r="U49" s="66">
        <f t="shared" ref="U49:AF49" si="9">U47+U48</f>
        <v>0</v>
      </c>
      <c r="V49" s="66">
        <f t="shared" si="9"/>
        <v>0</v>
      </c>
      <c r="W49" s="66">
        <f t="shared" si="9"/>
        <v>0</v>
      </c>
      <c r="X49" s="66">
        <f t="shared" si="9"/>
        <v>0</v>
      </c>
      <c r="Y49" s="66">
        <f t="shared" si="9"/>
        <v>0</v>
      </c>
      <c r="Z49" s="66">
        <f t="shared" si="9"/>
        <v>0</v>
      </c>
      <c r="AA49" s="66">
        <f t="shared" si="9"/>
        <v>0</v>
      </c>
      <c r="AB49" s="66">
        <f t="shared" si="9"/>
        <v>0</v>
      </c>
      <c r="AC49" s="66">
        <f t="shared" si="9"/>
        <v>0</v>
      </c>
      <c r="AD49" s="66">
        <f t="shared" si="9"/>
        <v>0</v>
      </c>
      <c r="AE49" s="66">
        <f t="shared" si="9"/>
        <v>0</v>
      </c>
      <c r="AF49" s="66">
        <f t="shared" si="9"/>
        <v>0</v>
      </c>
      <c r="AG49" s="93">
        <f>SUM(F49:AF49)</f>
        <v>0</v>
      </c>
      <c r="AH49" s="30" t="str">
        <f>IF(ABS(E49-AG49)&lt;0.01,"ok","err")</f>
        <v>ok</v>
      </c>
    </row>
    <row r="50" spans="1:34" x14ac:dyDescent="0.2">
      <c r="E50" s="50"/>
      <c r="F50" s="50"/>
    </row>
    <row r="51" spans="1:34" x14ac:dyDescent="0.2">
      <c r="A51" s="13" t="s">
        <v>350</v>
      </c>
      <c r="E51" s="50"/>
      <c r="F51" s="50"/>
    </row>
    <row r="52" spans="1:34" x14ac:dyDescent="0.2">
      <c r="A52" s="96" t="s">
        <v>209</v>
      </c>
      <c r="C52" s="14" t="s">
        <v>884</v>
      </c>
      <c r="D52" s="14" t="s">
        <v>599</v>
      </c>
      <c r="E52" s="66">
        <f>'Func &amp; Classif'!K126</f>
        <v>0</v>
      </c>
      <c r="F52" s="66">
        <f>IF(VLOOKUP($D52,$C$5:$AU$502,3,)=0,0,(VLOOKUP($D52,$C$5:$AU$502,4,)/VLOOKUP($D52,$C$5:$AU$502,3,))*$E52)</f>
        <v>0</v>
      </c>
      <c r="G52" s="66">
        <f>IF(VLOOKUP($D52,$C$5:$AU$502,3,)=0,0,(VLOOKUP($D52,$C$5:$AU$502,5,)/VLOOKUP($D52,$C$5:$AU$502,3,))*$E52)</f>
        <v>0</v>
      </c>
      <c r="H52" s="66">
        <f>IF(VLOOKUP($D52,$C$5:$AU$502,3,)=0,0,(VLOOKUP($D52,$C$5:$AU$502,6,)/VLOOKUP($D52,$C$5:$AU$502,3,))*$E52)</f>
        <v>0</v>
      </c>
      <c r="I52" s="66">
        <f>IF(VLOOKUP($D52,$C$5:$AU$502,3,)=0,0,(VLOOKUP($D52,$C$5:$AU$502,7,)/VLOOKUP($D52,$C$5:$AU$502,3,))*$E52)</f>
        <v>0</v>
      </c>
      <c r="J52" s="66">
        <f>IF(VLOOKUP($D52,$C$5:$AU$502,3,)=0,0,(VLOOKUP($D52,$C$5:$AU$502,8,)/VLOOKUP($D52,$C$5:$AU$502,3,))*$E52)</f>
        <v>0</v>
      </c>
      <c r="K52" s="66">
        <f>IF(VLOOKUP($D52,$C$5:$AU$502,3,)=0,0,(VLOOKUP($D52,$C$5:$AU$502,9,)/VLOOKUP($D52,$C$5:$AU$502,3,))*$E52)</f>
        <v>0</v>
      </c>
      <c r="L52" s="66">
        <f>IF(VLOOKUP($D52,$C$5:$AU$502,3,)=0,0,(VLOOKUP($D52,$C$5:$AU$502,10,)/VLOOKUP($D52,$C$5:$AU$502,3,))*$E52)</f>
        <v>0</v>
      </c>
      <c r="M52" s="66">
        <f>IF(VLOOKUP($D52,$C$5:$AU$502,3,)=0,0,(VLOOKUP($D52,$C$5:$AU$502,11,)/VLOOKUP($D52,$C$5:$AU$502,3,))*$E52)</f>
        <v>0</v>
      </c>
      <c r="N52" s="66">
        <f>IF(VLOOKUP($D52,$C$5:$AU$502,3,)=0,0,(VLOOKUP($D52,$C$5:$AU$502,12,)/VLOOKUP($D52,$C$5:$AU$502,3,))*$E52)</f>
        <v>0</v>
      </c>
      <c r="O52" s="66">
        <f>IF(VLOOKUP($D52,$C$5:$AU$502,3,)=0,0,(VLOOKUP($D52,$C$5:$AU$502,13,)/VLOOKUP($D52,$C$5:$AU$502,3,))*$E52)</f>
        <v>0</v>
      </c>
      <c r="P52" s="66">
        <f>IF(VLOOKUP($D52,$C$5:$AU$502,3,)=0,0,(VLOOKUP($D52,$C$5:$AU$502,14,)/VLOOKUP($D52,$C$5:$AU$502,3,))*$E52)</f>
        <v>0</v>
      </c>
      <c r="Q52" s="66">
        <f>IF(VLOOKUP($D52,$C$5:$AU$502,3,)=0,0,(VLOOKUP($D52,$C$5:$AU$502,15,)/VLOOKUP($D52,$C$5:$AU$502,3,))*$E52)</f>
        <v>0</v>
      </c>
      <c r="R52" s="66">
        <f>IF(VLOOKUP($D52,$C$5:$AU$502,3,)=0,0,(VLOOKUP($D52,$C$5:$AU$502,16,)/VLOOKUP($D52,$C$5:$AU$502,3,))*$E52)</f>
        <v>0</v>
      </c>
      <c r="S52" s="66">
        <f>IF(VLOOKUP($D52,$C$5:$AU$502,3,)=0,0,(VLOOKUP($D52,$C$5:$AU$502,17,)/VLOOKUP($D52,$C$5:$AU$502,3,))*$E52)</f>
        <v>0</v>
      </c>
      <c r="T52" s="66">
        <f>IF(VLOOKUP($D52,$C$5:$AU$502,3,)=0,0,(VLOOKUP($D52,$C$5:$AU$502,18,)/VLOOKUP($D52,$C$5:$AU$502,3,))*$E52)</f>
        <v>0</v>
      </c>
      <c r="U52" s="66">
        <f>IF(VLOOKUP($D52,$C$5:$AU$502,3,)=0,0,(VLOOKUP($D52,$C$5:$AU$502,19,)/VLOOKUP($D52,$C$5:$AU$502,3,))*$E52)</f>
        <v>0</v>
      </c>
      <c r="V52" s="66">
        <f>IF(VLOOKUP($D52,$C$5:$AU$502,3,)=0,0,(VLOOKUP($D52,$C$5:$AU$502,20,)/VLOOKUP($D52,$C$5:$AU$502,3,))*$E52)</f>
        <v>0</v>
      </c>
      <c r="W52" s="66">
        <f>IF(VLOOKUP($D52,$C$5:$AU$502,3,)=0,0,(VLOOKUP($D52,$C$5:$AU$502,21,)/VLOOKUP($D52,$C$5:$AU$502,3,))*$E52)</f>
        <v>0</v>
      </c>
      <c r="X52" s="66">
        <f>IF(VLOOKUP($D52,$C$5:$AU$502,3,)=0,0,(VLOOKUP($D52,$C$5:$AU$502,22,)/VLOOKUP($D52,$C$5:$AU$502,3,))*$E52)</f>
        <v>0</v>
      </c>
      <c r="Y52" s="66">
        <f>IF(VLOOKUP($D52,$C$5:$AU$502,3,)=0,0,(VLOOKUP($D52,$C$5:$AU$502,23,)/VLOOKUP($D52,$C$5:$AU$502,3,))*$E52)</f>
        <v>0</v>
      </c>
      <c r="Z52" s="66">
        <f>IF(VLOOKUP($D52,$C$5:$AU$502,3,)=0,0,(VLOOKUP($D52,$C$5:$AU$502,24,)/VLOOKUP($D52,$C$5:$AU$502,3,))*$E52)</f>
        <v>0</v>
      </c>
      <c r="AA52" s="66">
        <f>IF(VLOOKUP($D52,$C$5:$AU$502,3,)=0,0,(VLOOKUP($D52,$C$5:$AU$502,25,)/VLOOKUP($D52,$C$5:$AU$502,3,))*$E52)</f>
        <v>0</v>
      </c>
      <c r="AB52" s="66">
        <f>IF(VLOOKUP($D52,$C$5:$AU$502,3,)=0,0,(VLOOKUP($D52,$C$5:$AU$502,26,)/VLOOKUP($D52,$C$5:$AU$502,3,))*$E52)</f>
        <v>0</v>
      </c>
      <c r="AC52" s="66">
        <f>IF(VLOOKUP($D52,$C$5:$AU$502,3,)=0,0,(VLOOKUP($D52,$C$5:$AU$502,27,)/VLOOKUP($D52,$C$5:$AU$502,3,))*$E52)</f>
        <v>0</v>
      </c>
      <c r="AD52" s="66">
        <f>IF(VLOOKUP($D52,$C$5:$AU$502,3,)=0,0,(VLOOKUP($D52,$C$5:$AU$502,28,)/VLOOKUP($D52,$C$5:$AU$502,3,))*$E52)</f>
        <v>0</v>
      </c>
      <c r="AE52" s="66">
        <f>IF(VLOOKUP($D52,$C$5:$AU$502,3,)=0,0,(VLOOKUP($D52,$C$5:$AU$502,29,)/VLOOKUP($D52,$C$5:$AU$502,3,))*$E52)</f>
        <v>0</v>
      </c>
      <c r="AF52" s="66">
        <f>IF(VLOOKUP($D52,$C$5:$AU$502,3,)=0,0,(VLOOKUP($D52,$C$5:$AU$502,30,)/VLOOKUP($D52,$C$5:$AU$502,3,))*$E52)</f>
        <v>0</v>
      </c>
      <c r="AG52" s="93">
        <f>SUM(F52:AF52)</f>
        <v>0</v>
      </c>
      <c r="AH52" s="30" t="str">
        <f>IF(ABS(E52-AG52)&lt;0.01,"ok","err")</f>
        <v>ok</v>
      </c>
    </row>
    <row r="53" spans="1:34" x14ac:dyDescent="0.2">
      <c r="E53" s="50"/>
    </row>
    <row r="54" spans="1:34" x14ac:dyDescent="0.2">
      <c r="A54" s="13" t="s">
        <v>1</v>
      </c>
      <c r="E54" s="50"/>
      <c r="F54" s="50"/>
    </row>
    <row r="55" spans="1:34" x14ac:dyDescent="0.2">
      <c r="A55" s="96" t="s">
        <v>209</v>
      </c>
      <c r="C55" s="14" t="s">
        <v>240</v>
      </c>
      <c r="D55" s="14" t="s">
        <v>615</v>
      </c>
      <c r="E55" s="66">
        <f>'Func &amp; Classif'!M126</f>
        <v>3583.375971028333</v>
      </c>
      <c r="F55" s="66">
        <f>IF(VLOOKUP($D55,$C$5:$AU$502,3,)=0,0,(VLOOKUP($D55,$C$5:$AU$502,4,)/VLOOKUP($D55,$C$5:$AU$502,3,))*$E55)</f>
        <v>2455.4617668687893</v>
      </c>
      <c r="G55" s="66">
        <f>IF(VLOOKUP($D55,$C$5:$AU$502,3,)=0,0,(VLOOKUP($D55,$C$5:$AU$502,5,)/VLOOKUP($D55,$C$5:$AU$502,3,))*$E55)</f>
        <v>0.48370529038021565</v>
      </c>
      <c r="H55" s="66">
        <f>IF(VLOOKUP($D55,$C$5:$AU$502,3,)=0,0,(VLOOKUP($D55,$C$5:$AU$502,6,)/VLOOKUP($D55,$C$5:$AU$502,3,))*$E55)</f>
        <v>183.06561278461868</v>
      </c>
      <c r="I55" s="66">
        <f>IF(VLOOKUP($D55,$C$5:$AU$502,3,)=0,0,(VLOOKUP($D55,$C$5:$AU$502,7,)/VLOOKUP($D55,$C$5:$AU$502,3,))*$E55)</f>
        <v>119.96060468194733</v>
      </c>
      <c r="J55" s="66">
        <f>IF(VLOOKUP($D55,$C$5:$AU$502,3,)=0,0,(VLOOKUP($D55,$C$5:$AU$502,8,)/VLOOKUP($D55,$C$5:$AU$502,3,))*$E55)</f>
        <v>6.2059473442838469</v>
      </c>
      <c r="K55" s="66">
        <f>IF(VLOOKUP($D55,$C$5:$AU$502,3,)=0,0,(VLOOKUP($D55,$C$5:$AU$502,9,)/VLOOKUP($D55,$C$5:$AU$502,3,))*$E55)</f>
        <v>48.364742150496824</v>
      </c>
      <c r="L55" s="66">
        <f>IF(VLOOKUP($D55,$C$5:$AU$502,3,)=0,0,(VLOOKUP($D55,$C$5:$AU$502,10,)/VLOOKUP($D55,$C$5:$AU$502,3,))*$E55)</f>
        <v>727.60266458300475</v>
      </c>
      <c r="M55" s="66">
        <f>IF(VLOOKUP($D55,$C$5:$AU$502,3,)=0,0,(VLOOKUP($D55,$C$5:$AU$502,11,)/VLOOKUP($D55,$C$5:$AU$502,3,))*$E55)</f>
        <v>42.230926267499811</v>
      </c>
      <c r="N55" s="66">
        <f>IF(VLOOKUP($D55,$C$5:$AU$502,3,)=0,0,(VLOOKUP($D55,$C$5:$AU$502,12,)/VLOOKUP($D55,$C$5:$AU$502,3,))*$E55)</f>
        <v>0</v>
      </c>
      <c r="O55" s="66">
        <f>IF(VLOOKUP($D55,$C$5:$AU$502,3,)=0,0,(VLOOKUP($D55,$C$5:$AU$502,13,)/VLOOKUP($D55,$C$5:$AU$502,3,))*$E55)</f>
        <v>0</v>
      </c>
      <c r="P55" s="66">
        <f>IF(VLOOKUP($D55,$C$5:$AU$502,3,)=0,0,(VLOOKUP($D55,$C$5:$AU$502,14,)/VLOOKUP($D55,$C$5:$AU$502,3,))*$E55)</f>
        <v>0</v>
      </c>
      <c r="Q55" s="66">
        <f>IF(VLOOKUP($D55,$C$5:$AU$502,3,)=0,0,(VLOOKUP($D55,$C$5:$AU$502,15,)/VLOOKUP($D55,$C$5:$AU$502,3,))*$E55)</f>
        <v>0</v>
      </c>
      <c r="R55" s="66">
        <f>IF(VLOOKUP($D55,$C$5:$AU$502,3,)=0,0,(VLOOKUP($D55,$C$5:$AU$502,16,)/VLOOKUP($D55,$C$5:$AU$502,3,))*$E55)</f>
        <v>0</v>
      </c>
      <c r="S55" s="66">
        <f>IF(VLOOKUP($D55,$C$5:$AU$502,3,)=0,0,(VLOOKUP($D55,$C$5:$AU$502,17,)/VLOOKUP($D55,$C$5:$AU$502,3,))*$E55)</f>
        <v>0</v>
      </c>
      <c r="T55" s="66">
        <f>IF(VLOOKUP($D55,$C$5:$AU$502,3,)=0,0,(VLOOKUP($D55,$C$5:$AU$502,18,)/VLOOKUP($D55,$C$5:$AU$502,3,))*$E55)</f>
        <v>0</v>
      </c>
      <c r="U55" s="66">
        <f>IF(VLOOKUP($D55,$C$5:$AU$502,3,)=0,0,(VLOOKUP($D55,$C$5:$AU$502,19,)/VLOOKUP($D55,$C$5:$AU$502,3,))*$E55)</f>
        <v>0</v>
      </c>
      <c r="V55" s="66">
        <f>IF(VLOOKUP($D55,$C$5:$AU$502,3,)=0,0,(VLOOKUP($D55,$C$5:$AU$502,20,)/VLOOKUP($D55,$C$5:$AU$502,3,))*$E55)</f>
        <v>0</v>
      </c>
      <c r="W55" s="66">
        <f>IF(VLOOKUP($D55,$C$5:$AU$502,3,)=0,0,(VLOOKUP($D55,$C$5:$AU$502,21,)/VLOOKUP($D55,$C$5:$AU$502,3,))*$E55)</f>
        <v>0</v>
      </c>
      <c r="X55" s="66">
        <f>IF(VLOOKUP($D55,$C$5:$AU$502,3,)=0,0,(VLOOKUP($D55,$C$5:$AU$502,22,)/VLOOKUP($D55,$C$5:$AU$502,3,))*$E55)</f>
        <v>0</v>
      </c>
      <c r="Y55" s="66">
        <f>IF(VLOOKUP($D55,$C$5:$AU$502,3,)=0,0,(VLOOKUP($D55,$C$5:$AU$502,23,)/VLOOKUP($D55,$C$5:$AU$502,3,))*$E55)</f>
        <v>0</v>
      </c>
      <c r="Z55" s="66">
        <f>IF(VLOOKUP($D55,$C$5:$AU$502,3,)=0,0,(VLOOKUP($D55,$C$5:$AU$502,24,)/VLOOKUP($D55,$C$5:$AU$502,3,))*$E55)</f>
        <v>0</v>
      </c>
      <c r="AA55" s="66">
        <f>IF(VLOOKUP($D55,$C$5:$AU$502,3,)=0,0,(VLOOKUP($D55,$C$5:$AU$502,25,)/VLOOKUP($D55,$C$5:$AU$502,3,))*$E55)</f>
        <v>0</v>
      </c>
      <c r="AB55" s="66">
        <f>IF(VLOOKUP($D55,$C$5:$AU$502,3,)=0,0,(VLOOKUP($D55,$C$5:$AU$502,26,)/VLOOKUP($D55,$C$5:$AU$502,3,))*$E55)</f>
        <v>0</v>
      </c>
      <c r="AC55" s="66">
        <f>IF(VLOOKUP($D55,$C$5:$AU$502,3,)=0,0,(VLOOKUP($D55,$C$5:$AU$502,27,)/VLOOKUP($D55,$C$5:$AU$502,3,))*$E55)</f>
        <v>0</v>
      </c>
      <c r="AD55" s="66">
        <f>IF(VLOOKUP($D55,$C$5:$AU$502,3,)=0,0,(VLOOKUP($D55,$C$5:$AU$502,28,)/VLOOKUP($D55,$C$5:$AU$502,3,))*$E55)</f>
        <v>0</v>
      </c>
      <c r="AE55" s="66">
        <f>IF(VLOOKUP($D55,$C$5:$AU$502,3,)=0,0,(VLOOKUP($D55,$C$5:$AU$502,29,)/VLOOKUP($D55,$C$5:$AU$502,3,))*$E55)</f>
        <v>0</v>
      </c>
      <c r="AF55" s="66">
        <f>IF(VLOOKUP($D55,$C$5:$AU$502,3,)=0,0,(VLOOKUP($D55,$C$5:$AU$502,30,)/VLOOKUP($D55,$C$5:$AU$502,3,))*$E55)</f>
        <v>0</v>
      </c>
      <c r="AG55" s="93">
        <f>SUM(F55:AF55)</f>
        <v>3583.3759699710208</v>
      </c>
      <c r="AH55" s="30" t="str">
        <f>IF(ABS(E55-AG55)&lt;0.01,"ok","err")</f>
        <v>ok</v>
      </c>
    </row>
    <row r="56" spans="1:34" x14ac:dyDescent="0.2">
      <c r="E56" s="50"/>
    </row>
    <row r="57" spans="1:34" x14ac:dyDescent="0.2">
      <c r="A57" s="13" t="s">
        <v>2</v>
      </c>
      <c r="E57" s="50"/>
    </row>
    <row r="58" spans="1:34" x14ac:dyDescent="0.2">
      <c r="A58" s="96" t="s">
        <v>209</v>
      </c>
      <c r="C58" s="14" t="s">
        <v>241</v>
      </c>
      <c r="D58" s="14" t="s">
        <v>607</v>
      </c>
      <c r="E58" s="66">
        <f>'Func &amp; Classif'!O126</f>
        <v>39017781.272761486</v>
      </c>
      <c r="F58" s="66">
        <f>IF(VLOOKUP($D58,$C$5:$AU$502,3,)=0,0,(VLOOKUP($D58,$C$5:$AU$502,4,)/VLOOKUP($D58,$C$5:$AU$502,3,))*$E58)</f>
        <v>31464678.882449951</v>
      </c>
      <c r="G58" s="66">
        <f>IF(VLOOKUP($D58,$C$5:$AU$502,3,)=0,0,(VLOOKUP($D58,$C$5:$AU$502,5,)/VLOOKUP($D58,$C$5:$AU$502,3,))*$E58)</f>
        <v>5790.3689344535396</v>
      </c>
      <c r="H58" s="66">
        <f>IF(VLOOKUP($D58,$C$5:$AU$502,3,)=0,0,(VLOOKUP($D58,$C$5:$AU$502,6,)/VLOOKUP($D58,$C$5:$AU$502,3,))*$E58)</f>
        <v>1385744.0103836493</v>
      </c>
      <c r="I58" s="66">
        <f>IF(VLOOKUP($D58,$C$5:$AU$502,3,)=0,0,(VLOOKUP($D58,$C$5:$AU$502,7,)/VLOOKUP($D58,$C$5:$AU$502,3,))*$E58)</f>
        <v>581744.4654393153</v>
      </c>
      <c r="J58" s="66">
        <f>IF(VLOOKUP($D58,$C$5:$AU$502,3,)=0,0,(VLOOKUP($D58,$C$5:$AU$502,8,)/VLOOKUP($D58,$C$5:$AU$502,3,))*$E58)</f>
        <v>80526.300183164625</v>
      </c>
      <c r="K58" s="66">
        <f>IF(VLOOKUP($D58,$C$5:$AU$502,3,)=0,0,(VLOOKUP($D58,$C$5:$AU$502,9,)/VLOOKUP($D58,$C$5:$AU$502,3,))*$E58)</f>
        <v>1139230.3929856683</v>
      </c>
      <c r="L58" s="66">
        <f>IF(VLOOKUP($D58,$C$5:$AU$502,3,)=0,0,(VLOOKUP($D58,$C$5:$AU$502,10,)/VLOOKUP($D58,$C$5:$AU$502,3,))*$E58)</f>
        <v>3999477.6054279474</v>
      </c>
      <c r="M58" s="66">
        <f>IF(VLOOKUP($D58,$C$5:$AU$502,3,)=0,0,(VLOOKUP($D58,$C$5:$AU$502,11,)/VLOOKUP($D58,$C$5:$AU$502,3,))*$E58)</f>
        <v>360589.24695733847</v>
      </c>
      <c r="N58" s="66">
        <f>IF(VLOOKUP($D58,$C$5:$AU$502,3,)=0,0,(VLOOKUP($D58,$C$5:$AU$502,12,)/VLOOKUP($D58,$C$5:$AU$502,3,))*$E58)</f>
        <v>0</v>
      </c>
      <c r="O58" s="66">
        <f>IF(VLOOKUP($D58,$C$5:$AU$502,3,)=0,0,(VLOOKUP($D58,$C$5:$AU$502,13,)/VLOOKUP($D58,$C$5:$AU$502,3,))*$E58)</f>
        <v>0</v>
      </c>
      <c r="P58" s="66">
        <f>IF(VLOOKUP($D58,$C$5:$AU$502,3,)=0,0,(VLOOKUP($D58,$C$5:$AU$502,14,)/VLOOKUP($D58,$C$5:$AU$502,3,))*$E58)</f>
        <v>0</v>
      </c>
      <c r="Q58" s="66">
        <f>IF(VLOOKUP($D58,$C$5:$AU$502,3,)=0,0,(VLOOKUP($D58,$C$5:$AU$502,15,)/VLOOKUP($D58,$C$5:$AU$502,3,))*$E58)</f>
        <v>0</v>
      </c>
      <c r="R58" s="66">
        <f>IF(VLOOKUP($D58,$C$5:$AU$502,3,)=0,0,(VLOOKUP($D58,$C$5:$AU$502,16,)/VLOOKUP($D58,$C$5:$AU$502,3,))*$E58)</f>
        <v>0</v>
      </c>
      <c r="S58" s="66">
        <f>IF(VLOOKUP($D58,$C$5:$AU$502,3,)=0,0,(VLOOKUP($D58,$C$5:$AU$502,17,)/VLOOKUP($D58,$C$5:$AU$502,3,))*$E58)</f>
        <v>0</v>
      </c>
      <c r="T58" s="66">
        <f>IF(VLOOKUP($D58,$C$5:$AU$502,3,)=0,0,(VLOOKUP($D58,$C$5:$AU$502,18,)/VLOOKUP($D58,$C$5:$AU$502,3,))*$E58)</f>
        <v>0</v>
      </c>
      <c r="U58" s="66">
        <f>IF(VLOOKUP($D58,$C$5:$AU$502,3,)=0,0,(VLOOKUP($D58,$C$5:$AU$502,19,)/VLOOKUP($D58,$C$5:$AU$502,3,))*$E58)</f>
        <v>0</v>
      </c>
      <c r="V58" s="66">
        <f>IF(VLOOKUP($D58,$C$5:$AU$502,3,)=0,0,(VLOOKUP($D58,$C$5:$AU$502,20,)/VLOOKUP($D58,$C$5:$AU$502,3,))*$E58)</f>
        <v>0</v>
      </c>
      <c r="W58" s="66">
        <f>IF(VLOOKUP($D58,$C$5:$AU$502,3,)=0,0,(VLOOKUP($D58,$C$5:$AU$502,21,)/VLOOKUP($D58,$C$5:$AU$502,3,))*$E58)</f>
        <v>0</v>
      </c>
      <c r="X58" s="66">
        <f>IF(VLOOKUP($D58,$C$5:$AU$502,3,)=0,0,(VLOOKUP($D58,$C$5:$AU$502,22,)/VLOOKUP($D58,$C$5:$AU$502,3,))*$E58)</f>
        <v>0</v>
      </c>
      <c r="Y58" s="66">
        <f>IF(VLOOKUP($D58,$C$5:$AU$502,3,)=0,0,(VLOOKUP($D58,$C$5:$AU$502,23,)/VLOOKUP($D58,$C$5:$AU$502,3,))*$E58)</f>
        <v>0</v>
      </c>
      <c r="Z58" s="66">
        <f>IF(VLOOKUP($D58,$C$5:$AU$502,3,)=0,0,(VLOOKUP($D58,$C$5:$AU$502,24,)/VLOOKUP($D58,$C$5:$AU$502,3,))*$E58)</f>
        <v>0</v>
      </c>
      <c r="AA58" s="66">
        <f>IF(VLOOKUP($D58,$C$5:$AU$502,3,)=0,0,(VLOOKUP($D58,$C$5:$AU$502,25,)/VLOOKUP($D58,$C$5:$AU$502,3,))*$E58)</f>
        <v>0</v>
      </c>
      <c r="AB58" s="66">
        <f>IF(VLOOKUP($D58,$C$5:$AU$502,3,)=0,0,(VLOOKUP($D58,$C$5:$AU$502,26,)/VLOOKUP($D58,$C$5:$AU$502,3,))*$E58)</f>
        <v>0</v>
      </c>
      <c r="AC58" s="66">
        <f>IF(VLOOKUP($D58,$C$5:$AU$502,3,)=0,0,(VLOOKUP($D58,$C$5:$AU$502,27,)/VLOOKUP($D58,$C$5:$AU$502,3,))*$E58)</f>
        <v>0</v>
      </c>
      <c r="AD58" s="66">
        <f>IF(VLOOKUP($D58,$C$5:$AU$502,3,)=0,0,(VLOOKUP($D58,$C$5:$AU$502,28,)/VLOOKUP($D58,$C$5:$AU$502,3,))*$E58)</f>
        <v>0</v>
      </c>
      <c r="AE58" s="66">
        <f>IF(VLOOKUP($D58,$C$5:$AU$502,3,)=0,0,(VLOOKUP($D58,$C$5:$AU$502,29,)/VLOOKUP($D58,$C$5:$AU$502,3,))*$E58)</f>
        <v>0</v>
      </c>
      <c r="AF58" s="66">
        <f>IF(VLOOKUP($D58,$C$5:$AU$502,3,)=0,0,(VLOOKUP($D58,$C$5:$AU$502,30,)/VLOOKUP($D58,$C$5:$AU$502,3,))*$E58)</f>
        <v>0</v>
      </c>
      <c r="AG58" s="93">
        <f>SUM(F58:AF58)</f>
        <v>39017781.272761494</v>
      </c>
      <c r="AH58" s="30" t="str">
        <f>IF(ABS(E58-AG58)&lt;0.01,"ok","err")</f>
        <v>ok</v>
      </c>
    </row>
    <row r="59" spans="1:34" x14ac:dyDescent="0.2">
      <c r="A59" s="96" t="s">
        <v>221</v>
      </c>
      <c r="C59" s="14" t="s">
        <v>242</v>
      </c>
      <c r="D59" s="14" t="s">
        <v>223</v>
      </c>
      <c r="E59" s="50">
        <f>'Func &amp; Classif'!P126</f>
        <v>20056191.566053353</v>
      </c>
      <c r="F59" s="66">
        <f>IF(VLOOKUP($D59,$C$5:$AU$502,3,)=0,0,(VLOOKUP($D59,$C$5:$AU$502,4,)/VLOOKUP($D59,$C$5:$AU$502,3,))*$E59)</f>
        <v>18477870.072208676</v>
      </c>
      <c r="G59" s="66">
        <f>IF(VLOOKUP($D59,$C$5:$AU$502,3,)=0,0,(VLOOKUP($D59,$C$5:$AU$502,5,)/VLOOKUP($D59,$C$5:$AU$502,3,))*$E59)</f>
        <v>7398.3820023969247</v>
      </c>
      <c r="H59" s="66">
        <f>IF(VLOOKUP($D59,$C$5:$AU$502,3,)=0,0,(VLOOKUP($D59,$C$5:$AU$502,6,)/VLOOKUP($D59,$C$5:$AU$502,3,))*$E59)</f>
        <v>1051392.286785074</v>
      </c>
      <c r="I59" s="66">
        <f>IF(VLOOKUP($D59,$C$5:$AU$502,3,)=0,0,(VLOOKUP($D59,$C$5:$AU$502,7,)/VLOOKUP($D59,$C$5:$AU$502,3,))*$E59)</f>
        <v>140569.25804554159</v>
      </c>
      <c r="J59" s="66">
        <f>IF(VLOOKUP($D59,$C$5:$AU$502,3,)=0,0,(VLOOKUP($D59,$C$5:$AU$502,8,)/VLOOKUP($D59,$C$5:$AU$502,3,))*$E59)</f>
        <v>157832.14938446772</v>
      </c>
      <c r="K59" s="66">
        <f>IF(VLOOKUP($D59,$C$5:$AU$502,3,)=0,0,(VLOOKUP($D59,$C$5:$AU$502,9,)/VLOOKUP($D59,$C$5:$AU$502,3,))*$E59)</f>
        <v>38635.994901406164</v>
      </c>
      <c r="L59" s="66">
        <f>IF(VLOOKUP($D59,$C$5:$AU$502,3,)=0,0,(VLOOKUP($D59,$C$5:$AU$502,10,)/VLOOKUP($D59,$C$5:$AU$502,3,))*$E59)</f>
        <v>50144.589127356936</v>
      </c>
      <c r="M59" s="66">
        <f>IF(VLOOKUP($D59,$C$5:$AU$502,3,)=0,0,(VLOOKUP($D59,$C$5:$AU$502,11,)/VLOOKUP($D59,$C$5:$AU$502,3,))*$E59)</f>
        <v>132348.83359843388</v>
      </c>
      <c r="N59" s="66">
        <f>IF(VLOOKUP($D59,$C$5:$AU$502,3,)=0,0,(VLOOKUP($D59,$C$5:$AU$502,12,)/VLOOKUP($D59,$C$5:$AU$502,3,))*$E59)</f>
        <v>0</v>
      </c>
      <c r="O59" s="66">
        <f>IF(VLOOKUP($D59,$C$5:$AU$502,3,)=0,0,(VLOOKUP($D59,$C$5:$AU$502,13,)/VLOOKUP($D59,$C$5:$AU$502,3,))*$E59)</f>
        <v>0</v>
      </c>
      <c r="P59" s="66">
        <f>IF(VLOOKUP($D59,$C$5:$AU$502,3,)=0,0,(VLOOKUP($D59,$C$5:$AU$502,14,)/VLOOKUP($D59,$C$5:$AU$502,3,))*$E59)</f>
        <v>0</v>
      </c>
      <c r="Q59" s="66">
        <f>IF(VLOOKUP($D59,$C$5:$AU$502,3,)=0,0,(VLOOKUP($D59,$C$5:$AU$502,15,)/VLOOKUP($D59,$C$5:$AU$502,3,))*$E59)</f>
        <v>0</v>
      </c>
      <c r="R59" s="66">
        <f>IF(VLOOKUP($D59,$C$5:$AU$502,3,)=0,0,(VLOOKUP($D59,$C$5:$AU$502,16,)/VLOOKUP($D59,$C$5:$AU$502,3,))*$E59)</f>
        <v>0</v>
      </c>
      <c r="S59" s="66">
        <f>IF(VLOOKUP($D59,$C$5:$AU$502,3,)=0,0,(VLOOKUP($D59,$C$5:$AU$502,17,)/VLOOKUP($D59,$C$5:$AU$502,3,))*$E59)</f>
        <v>0</v>
      </c>
      <c r="T59" s="66">
        <f>IF(VLOOKUP($D59,$C$5:$AU$502,3,)=0,0,(VLOOKUP($D59,$C$5:$AU$502,18,)/VLOOKUP($D59,$C$5:$AU$502,3,))*$E59)</f>
        <v>0</v>
      </c>
      <c r="U59" s="66">
        <f>IF(VLOOKUP($D59,$C$5:$AU$502,3,)=0,0,(VLOOKUP($D59,$C$5:$AU$502,19,)/VLOOKUP($D59,$C$5:$AU$502,3,))*$E59)</f>
        <v>0</v>
      </c>
      <c r="V59" s="66">
        <f>IF(VLOOKUP($D59,$C$5:$AU$502,3,)=0,0,(VLOOKUP($D59,$C$5:$AU$502,20,)/VLOOKUP($D59,$C$5:$AU$502,3,))*$E59)</f>
        <v>0</v>
      </c>
      <c r="W59" s="66">
        <f>IF(VLOOKUP($D59,$C$5:$AU$502,3,)=0,0,(VLOOKUP($D59,$C$5:$AU$502,21,)/VLOOKUP($D59,$C$5:$AU$502,3,))*$E59)</f>
        <v>0</v>
      </c>
      <c r="X59" s="66">
        <f>IF(VLOOKUP($D59,$C$5:$AU$502,3,)=0,0,(VLOOKUP($D59,$C$5:$AU$502,22,)/VLOOKUP($D59,$C$5:$AU$502,3,))*$E59)</f>
        <v>0</v>
      </c>
      <c r="Y59" s="66">
        <f>IF(VLOOKUP($D59,$C$5:$AU$502,3,)=0,0,(VLOOKUP($D59,$C$5:$AU$502,23,)/VLOOKUP($D59,$C$5:$AU$502,3,))*$E59)</f>
        <v>0</v>
      </c>
      <c r="Z59" s="66">
        <f>IF(VLOOKUP($D59,$C$5:$AU$502,3,)=0,0,(VLOOKUP($D59,$C$5:$AU$502,24,)/VLOOKUP($D59,$C$5:$AU$502,3,))*$E59)</f>
        <v>0</v>
      </c>
      <c r="AA59" s="66">
        <f>IF(VLOOKUP($D59,$C$5:$AU$502,3,)=0,0,(VLOOKUP($D59,$C$5:$AU$502,25,)/VLOOKUP($D59,$C$5:$AU$502,3,))*$E59)</f>
        <v>0</v>
      </c>
      <c r="AB59" s="66">
        <f>IF(VLOOKUP($D59,$C$5:$AU$502,3,)=0,0,(VLOOKUP($D59,$C$5:$AU$502,26,)/VLOOKUP($D59,$C$5:$AU$502,3,))*$E59)</f>
        <v>0</v>
      </c>
      <c r="AC59" s="66">
        <f>IF(VLOOKUP($D59,$C$5:$AU$502,3,)=0,0,(VLOOKUP($D59,$C$5:$AU$502,27,)/VLOOKUP($D59,$C$5:$AU$502,3,))*$E59)</f>
        <v>0</v>
      </c>
      <c r="AD59" s="66">
        <f>IF(VLOOKUP($D59,$C$5:$AU$502,3,)=0,0,(VLOOKUP($D59,$C$5:$AU$502,28,)/VLOOKUP($D59,$C$5:$AU$502,3,))*$E59)</f>
        <v>0</v>
      </c>
      <c r="AE59" s="66">
        <f>IF(VLOOKUP($D59,$C$5:$AU$502,3,)=0,0,(VLOOKUP($D59,$C$5:$AU$502,29,)/VLOOKUP($D59,$C$5:$AU$502,3,))*$E59)</f>
        <v>0</v>
      </c>
      <c r="AF59" s="66">
        <f>IF(VLOOKUP($D59,$C$5:$AU$502,3,)=0,0,(VLOOKUP($D59,$C$5:$AU$502,30,)/VLOOKUP($D59,$C$5:$AU$502,3,))*$E59)</f>
        <v>0</v>
      </c>
      <c r="AG59" s="93">
        <f>SUM(F59:AF59)</f>
        <v>20056191.566053361</v>
      </c>
      <c r="AH59" s="30" t="str">
        <f>IF(ABS(E59-AG59)&lt;0.01,"ok","err")</f>
        <v>ok</v>
      </c>
    </row>
    <row r="60" spans="1:34" x14ac:dyDescent="0.2">
      <c r="A60" s="14" t="s">
        <v>224</v>
      </c>
      <c r="E60" s="66">
        <f t="shared" ref="E60:T60" si="10">E58+E59</f>
        <v>59073972.83881484</v>
      </c>
      <c r="F60" s="66">
        <f t="shared" si="10"/>
        <v>49942548.954658628</v>
      </c>
      <c r="G60" s="66">
        <f t="shared" si="10"/>
        <v>13188.750936850465</v>
      </c>
      <c r="H60" s="66">
        <f t="shared" si="10"/>
        <v>2437136.2971687233</v>
      </c>
      <c r="I60" s="66">
        <f t="shared" si="10"/>
        <v>722313.72348485689</v>
      </c>
      <c r="J60" s="66">
        <f t="shared" si="10"/>
        <v>238358.44956763234</v>
      </c>
      <c r="K60" s="66">
        <f t="shared" si="10"/>
        <v>1177866.3878870744</v>
      </c>
      <c r="L60" s="66">
        <f t="shared" si="10"/>
        <v>4049622.1945553045</v>
      </c>
      <c r="M60" s="66">
        <f t="shared" si="10"/>
        <v>492938.08055577235</v>
      </c>
      <c r="N60" s="66">
        <f t="shared" si="10"/>
        <v>0</v>
      </c>
      <c r="O60" s="66">
        <f t="shared" si="10"/>
        <v>0</v>
      </c>
      <c r="P60" s="66">
        <f t="shared" si="10"/>
        <v>0</v>
      </c>
      <c r="Q60" s="66">
        <f t="shared" si="10"/>
        <v>0</v>
      </c>
      <c r="R60" s="66">
        <f t="shared" si="10"/>
        <v>0</v>
      </c>
      <c r="S60" s="66">
        <f t="shared" si="10"/>
        <v>0</v>
      </c>
      <c r="T60" s="66">
        <f t="shared" si="10"/>
        <v>0</v>
      </c>
      <c r="U60" s="66">
        <f t="shared" ref="U60:AF60" si="11">U58+U59</f>
        <v>0</v>
      </c>
      <c r="V60" s="66">
        <f t="shared" si="11"/>
        <v>0</v>
      </c>
      <c r="W60" s="66">
        <f t="shared" si="11"/>
        <v>0</v>
      </c>
      <c r="X60" s="66">
        <f t="shared" si="11"/>
        <v>0</v>
      </c>
      <c r="Y60" s="66">
        <f t="shared" si="11"/>
        <v>0</v>
      </c>
      <c r="Z60" s="66">
        <f t="shared" si="11"/>
        <v>0</v>
      </c>
      <c r="AA60" s="66">
        <f t="shared" si="11"/>
        <v>0</v>
      </c>
      <c r="AB60" s="66">
        <f t="shared" si="11"/>
        <v>0</v>
      </c>
      <c r="AC60" s="66">
        <f t="shared" si="11"/>
        <v>0</v>
      </c>
      <c r="AD60" s="66">
        <f t="shared" si="11"/>
        <v>0</v>
      </c>
      <c r="AE60" s="66">
        <f t="shared" si="11"/>
        <v>0</v>
      </c>
      <c r="AF60" s="66">
        <f t="shared" si="11"/>
        <v>0</v>
      </c>
      <c r="AG60" s="93">
        <f>SUM(F60:AF60)</f>
        <v>59073972.838814847</v>
      </c>
      <c r="AH60" s="30" t="str">
        <f>IF(ABS(E60-AG60)&lt;0.01,"ok","err")</f>
        <v>ok</v>
      </c>
    </row>
    <row r="61" spans="1:34" x14ac:dyDescent="0.2">
      <c r="E61" s="50"/>
    </row>
    <row r="62" spans="1:34" x14ac:dyDescent="0.2">
      <c r="A62" s="13" t="s">
        <v>3</v>
      </c>
      <c r="E62" s="50"/>
    </row>
    <row r="63" spans="1:34" x14ac:dyDescent="0.2">
      <c r="A63" s="96" t="s">
        <v>209</v>
      </c>
      <c r="C63" s="14" t="s">
        <v>243</v>
      </c>
      <c r="D63" s="14" t="s">
        <v>619</v>
      </c>
      <c r="E63" s="66">
        <f>'Func &amp; Classif'!R126</f>
        <v>0</v>
      </c>
      <c r="F63" s="66">
        <f>IF(VLOOKUP($D63,$C$5:$AU$502,3,)=0,0,(VLOOKUP($D63,$C$5:$AU$502,4,)/VLOOKUP($D63,$C$5:$AU$502,3,))*$E63)</f>
        <v>0</v>
      </c>
      <c r="G63" s="66">
        <f>IF(VLOOKUP($D63,$C$5:$AU$502,3,)=0,0,(VLOOKUP($D63,$C$5:$AU$502,5,)/VLOOKUP($D63,$C$5:$AU$502,3,))*$E63)</f>
        <v>0</v>
      </c>
      <c r="H63" s="66">
        <f>IF(VLOOKUP($D63,$C$5:$AU$502,3,)=0,0,(VLOOKUP($D63,$C$5:$AU$502,6,)/VLOOKUP($D63,$C$5:$AU$502,3,))*$E63)</f>
        <v>0</v>
      </c>
      <c r="I63" s="66">
        <f>IF(VLOOKUP($D63,$C$5:$AU$502,3,)=0,0,(VLOOKUP($D63,$C$5:$AU$502,7,)/VLOOKUP($D63,$C$5:$AU$502,3,))*$E63)</f>
        <v>0</v>
      </c>
      <c r="J63" s="66">
        <f>IF(VLOOKUP($D63,$C$5:$AU$502,3,)=0,0,(VLOOKUP($D63,$C$5:$AU$502,8,)/VLOOKUP($D63,$C$5:$AU$502,3,))*$E63)</f>
        <v>0</v>
      </c>
      <c r="K63" s="66">
        <f>IF(VLOOKUP($D63,$C$5:$AU$502,3,)=0,0,(VLOOKUP($D63,$C$5:$AU$502,9,)/VLOOKUP($D63,$C$5:$AU$502,3,))*$E63)</f>
        <v>0</v>
      </c>
      <c r="L63" s="66">
        <f>IF(VLOOKUP($D63,$C$5:$AU$502,3,)=0,0,(VLOOKUP($D63,$C$5:$AU$502,10,)/VLOOKUP($D63,$C$5:$AU$502,3,))*$E63)</f>
        <v>0</v>
      </c>
      <c r="M63" s="66">
        <f>IF(VLOOKUP($D63,$C$5:$AU$502,3,)=0,0,(VLOOKUP($D63,$C$5:$AU$502,11,)/VLOOKUP($D63,$C$5:$AU$502,3,))*$E63)</f>
        <v>0</v>
      </c>
      <c r="N63" s="66">
        <f>IF(VLOOKUP($D63,$C$5:$AU$502,3,)=0,0,(VLOOKUP($D63,$C$5:$AU$502,12,)/VLOOKUP($D63,$C$5:$AU$502,3,))*$E63)</f>
        <v>0</v>
      </c>
      <c r="O63" s="66">
        <f>IF(VLOOKUP($D63,$C$5:$AU$502,3,)=0,0,(VLOOKUP($D63,$C$5:$AU$502,13,)/VLOOKUP($D63,$C$5:$AU$502,3,))*$E63)</f>
        <v>0</v>
      </c>
      <c r="P63" s="66">
        <f>IF(VLOOKUP($D63,$C$5:$AU$502,3,)=0,0,(VLOOKUP($D63,$C$5:$AU$502,14,)/VLOOKUP($D63,$C$5:$AU$502,3,))*$E63)</f>
        <v>0</v>
      </c>
      <c r="Q63" s="66">
        <f>IF(VLOOKUP($D63,$C$5:$AU$502,3,)=0,0,(VLOOKUP($D63,$C$5:$AU$502,15,)/VLOOKUP($D63,$C$5:$AU$502,3,))*$E63)</f>
        <v>0</v>
      </c>
      <c r="R63" s="66">
        <f>IF(VLOOKUP($D63,$C$5:$AU$502,3,)=0,0,(VLOOKUP($D63,$C$5:$AU$502,16,)/VLOOKUP($D63,$C$5:$AU$502,3,))*$E63)</f>
        <v>0</v>
      </c>
      <c r="S63" s="66">
        <f>IF(VLOOKUP($D63,$C$5:$AU$502,3,)=0,0,(VLOOKUP($D63,$C$5:$AU$502,17,)/VLOOKUP($D63,$C$5:$AU$502,3,))*$E63)</f>
        <v>0</v>
      </c>
      <c r="T63" s="66">
        <f>IF(VLOOKUP($D63,$C$5:$AU$502,3,)=0,0,(VLOOKUP($D63,$C$5:$AU$502,18,)/VLOOKUP($D63,$C$5:$AU$502,3,))*$E63)</f>
        <v>0</v>
      </c>
      <c r="U63" s="66">
        <f>IF(VLOOKUP($D63,$C$5:$AU$502,3,)=0,0,(VLOOKUP($D63,$C$5:$AU$502,19,)/VLOOKUP($D63,$C$5:$AU$502,3,))*$E63)</f>
        <v>0</v>
      </c>
      <c r="V63" s="66">
        <f>IF(VLOOKUP($D63,$C$5:$AU$502,3,)=0,0,(VLOOKUP($D63,$C$5:$AU$502,20,)/VLOOKUP($D63,$C$5:$AU$502,3,))*$E63)</f>
        <v>0</v>
      </c>
      <c r="W63" s="66">
        <f>IF(VLOOKUP($D63,$C$5:$AU$502,3,)=0,0,(VLOOKUP($D63,$C$5:$AU$502,21,)/VLOOKUP($D63,$C$5:$AU$502,3,))*$E63)</f>
        <v>0</v>
      </c>
      <c r="X63" s="66">
        <f>IF(VLOOKUP($D63,$C$5:$AU$502,3,)=0,0,(VLOOKUP($D63,$C$5:$AU$502,22,)/VLOOKUP($D63,$C$5:$AU$502,3,))*$E63)</f>
        <v>0</v>
      </c>
      <c r="Y63" s="66">
        <f>IF(VLOOKUP($D63,$C$5:$AU$502,3,)=0,0,(VLOOKUP($D63,$C$5:$AU$502,23,)/VLOOKUP($D63,$C$5:$AU$502,3,))*$E63)</f>
        <v>0</v>
      </c>
      <c r="Z63" s="66">
        <f>IF(VLOOKUP($D63,$C$5:$AU$502,3,)=0,0,(VLOOKUP($D63,$C$5:$AU$502,24,)/VLOOKUP($D63,$C$5:$AU$502,3,))*$E63)</f>
        <v>0</v>
      </c>
      <c r="AA63" s="66">
        <f>IF(VLOOKUP($D63,$C$5:$AU$502,3,)=0,0,(VLOOKUP($D63,$C$5:$AU$502,25,)/VLOOKUP($D63,$C$5:$AU$502,3,))*$E63)</f>
        <v>0</v>
      </c>
      <c r="AB63" s="66">
        <f>IF(VLOOKUP($D63,$C$5:$AU$502,3,)=0,0,(VLOOKUP($D63,$C$5:$AU$502,26,)/VLOOKUP($D63,$C$5:$AU$502,3,))*$E63)</f>
        <v>0</v>
      </c>
      <c r="AC63" s="66">
        <f>IF(VLOOKUP($D63,$C$5:$AU$502,3,)=0,0,(VLOOKUP($D63,$C$5:$AU$502,27,)/VLOOKUP($D63,$C$5:$AU$502,3,))*$E63)</f>
        <v>0</v>
      </c>
      <c r="AD63" s="66">
        <f>IF(VLOOKUP($D63,$C$5:$AU$502,3,)=0,0,(VLOOKUP($D63,$C$5:$AU$502,28,)/VLOOKUP($D63,$C$5:$AU$502,3,))*$E63)</f>
        <v>0</v>
      </c>
      <c r="AE63" s="66">
        <f>IF(VLOOKUP($D63,$C$5:$AU$502,3,)=0,0,(VLOOKUP($D63,$C$5:$AU$502,29,)/VLOOKUP($D63,$C$5:$AU$502,3,))*$E63)</f>
        <v>0</v>
      </c>
      <c r="AF63" s="66">
        <f>IF(VLOOKUP($D63,$C$5:$AU$502,3,)=0,0,(VLOOKUP($D63,$C$5:$AU$502,30,)/VLOOKUP($D63,$C$5:$AU$502,3,))*$E63)</f>
        <v>0</v>
      </c>
      <c r="AG63" s="93">
        <f>SUM(F63:AF63)</f>
        <v>0</v>
      </c>
      <c r="AH63" s="30" t="str">
        <f>IF(ABS(E63-AG63)&lt;0.01,"ok","err")</f>
        <v>ok</v>
      </c>
    </row>
    <row r="64" spans="1:34" x14ac:dyDescent="0.2">
      <c r="A64" s="96" t="s">
        <v>221</v>
      </c>
      <c r="C64" s="14" t="s">
        <v>244</v>
      </c>
      <c r="D64" s="14" t="s">
        <v>701</v>
      </c>
      <c r="E64" s="50">
        <f>'Func &amp; Classif'!S126</f>
        <v>6289452.787804747</v>
      </c>
      <c r="F64" s="66">
        <f>IF(VLOOKUP($D64,$C$5:$AU$502,3,)=0,0,(VLOOKUP($D64,$C$5:$AU$502,4,)/VLOOKUP($D64,$C$5:$AU$502,3,))*$E64)</f>
        <v>5652536.3975228667</v>
      </c>
      <c r="G64" s="66">
        <f>IF(VLOOKUP($D64,$C$5:$AU$502,3,)=0,0,(VLOOKUP($D64,$C$5:$AU$502,5,)/VLOOKUP($D64,$C$5:$AU$502,3,))*$E64)</f>
        <v>2263.2274925574256</v>
      </c>
      <c r="H64" s="66">
        <f>IF(VLOOKUP($D64,$C$5:$AU$502,3,)=0,0,(VLOOKUP($D64,$C$5:$AU$502,6,)/VLOOKUP($D64,$C$5:$AU$502,3,))*$E64)</f>
        <v>506172.56127181364</v>
      </c>
      <c r="I64" s="66">
        <f>IF(VLOOKUP($D64,$C$5:$AU$502,3,)=0,0,(VLOOKUP($D64,$C$5:$AU$502,7,)/VLOOKUP($D64,$C$5:$AU$502,3,))*$E64)</f>
        <v>50755.945649707792</v>
      </c>
      <c r="J64" s="66">
        <f>IF(VLOOKUP($D64,$C$5:$AU$502,3,)=0,0,(VLOOKUP($D64,$C$5:$AU$502,8,)/VLOOKUP($D64,$C$5:$AU$502,3,))*$E64)</f>
        <v>48282.18650789174</v>
      </c>
      <c r="K64" s="66">
        <f>IF(VLOOKUP($D64,$C$5:$AU$502,3,)=0,0,(VLOOKUP($D64,$C$5:$AU$502,9,)/VLOOKUP($D64,$C$5:$AU$502,3,))*$E64)</f>
        <v>13950.464593779336</v>
      </c>
      <c r="L64" s="66">
        <f>IF(VLOOKUP($D64,$C$5:$AU$502,3,)=0,0,(VLOOKUP($D64,$C$5:$AU$502,10,)/VLOOKUP($D64,$C$5:$AU$502,3,))*$E64)</f>
        <v>15492.004766130358</v>
      </c>
      <c r="M64" s="66">
        <f>IF(VLOOKUP($D64,$C$5:$AU$502,3,)=0,0,(VLOOKUP($D64,$C$5:$AU$502,11,)/VLOOKUP($D64,$C$5:$AU$502,3,))*$E64)</f>
        <v>0</v>
      </c>
      <c r="N64" s="66">
        <f>IF(VLOOKUP($D64,$C$5:$AU$502,3,)=0,0,(VLOOKUP($D64,$C$5:$AU$502,12,)/VLOOKUP($D64,$C$5:$AU$502,3,))*$E64)</f>
        <v>0</v>
      </c>
      <c r="O64" s="66">
        <f>IF(VLOOKUP($D64,$C$5:$AU$502,3,)=0,0,(VLOOKUP($D64,$C$5:$AU$502,13,)/VLOOKUP($D64,$C$5:$AU$502,3,))*$E64)</f>
        <v>0</v>
      </c>
      <c r="P64" s="66">
        <f>IF(VLOOKUP($D64,$C$5:$AU$502,3,)=0,0,(VLOOKUP($D64,$C$5:$AU$502,14,)/VLOOKUP($D64,$C$5:$AU$502,3,))*$E64)</f>
        <v>0</v>
      </c>
      <c r="Q64" s="66">
        <f>IF(VLOOKUP($D64,$C$5:$AU$502,3,)=0,0,(VLOOKUP($D64,$C$5:$AU$502,15,)/VLOOKUP($D64,$C$5:$AU$502,3,))*$E64)</f>
        <v>0</v>
      </c>
      <c r="R64" s="66">
        <f>IF(VLOOKUP($D64,$C$5:$AU$502,3,)=0,0,(VLOOKUP($D64,$C$5:$AU$502,16,)/VLOOKUP($D64,$C$5:$AU$502,3,))*$E64)</f>
        <v>0</v>
      </c>
      <c r="S64" s="66">
        <f>IF(VLOOKUP($D64,$C$5:$AU$502,3,)=0,0,(VLOOKUP($D64,$C$5:$AU$502,17,)/VLOOKUP($D64,$C$5:$AU$502,3,))*$E64)</f>
        <v>0</v>
      </c>
      <c r="T64" s="66">
        <f>IF(VLOOKUP($D64,$C$5:$AU$502,3,)=0,0,(VLOOKUP($D64,$C$5:$AU$502,18,)/VLOOKUP($D64,$C$5:$AU$502,3,))*$E64)</f>
        <v>0</v>
      </c>
      <c r="U64" s="66">
        <f>IF(VLOOKUP($D64,$C$5:$AU$502,3,)=0,0,(VLOOKUP($D64,$C$5:$AU$502,19,)/VLOOKUP($D64,$C$5:$AU$502,3,))*$E64)</f>
        <v>0</v>
      </c>
      <c r="V64" s="66">
        <f>IF(VLOOKUP($D64,$C$5:$AU$502,3,)=0,0,(VLOOKUP($D64,$C$5:$AU$502,20,)/VLOOKUP($D64,$C$5:$AU$502,3,))*$E64)</f>
        <v>0</v>
      </c>
      <c r="W64" s="66">
        <f>IF(VLOOKUP($D64,$C$5:$AU$502,3,)=0,0,(VLOOKUP($D64,$C$5:$AU$502,21,)/VLOOKUP($D64,$C$5:$AU$502,3,))*$E64)</f>
        <v>0</v>
      </c>
      <c r="X64" s="66">
        <f>IF(VLOOKUP($D64,$C$5:$AU$502,3,)=0,0,(VLOOKUP($D64,$C$5:$AU$502,22,)/VLOOKUP($D64,$C$5:$AU$502,3,))*$E64)</f>
        <v>0</v>
      </c>
      <c r="Y64" s="66">
        <f>IF(VLOOKUP($D64,$C$5:$AU$502,3,)=0,0,(VLOOKUP($D64,$C$5:$AU$502,23,)/VLOOKUP($D64,$C$5:$AU$502,3,))*$E64)</f>
        <v>0</v>
      </c>
      <c r="Z64" s="66">
        <f>IF(VLOOKUP($D64,$C$5:$AU$502,3,)=0,0,(VLOOKUP($D64,$C$5:$AU$502,24,)/VLOOKUP($D64,$C$5:$AU$502,3,))*$E64)</f>
        <v>0</v>
      </c>
      <c r="AA64" s="66">
        <f>IF(VLOOKUP($D64,$C$5:$AU$502,3,)=0,0,(VLOOKUP($D64,$C$5:$AU$502,25,)/VLOOKUP($D64,$C$5:$AU$502,3,))*$E64)</f>
        <v>0</v>
      </c>
      <c r="AB64" s="66">
        <f>IF(VLOOKUP($D64,$C$5:$AU$502,3,)=0,0,(VLOOKUP($D64,$C$5:$AU$502,26,)/VLOOKUP($D64,$C$5:$AU$502,3,))*$E64)</f>
        <v>0</v>
      </c>
      <c r="AC64" s="66">
        <f>IF(VLOOKUP($D64,$C$5:$AU$502,3,)=0,0,(VLOOKUP($D64,$C$5:$AU$502,27,)/VLOOKUP($D64,$C$5:$AU$502,3,))*$E64)</f>
        <v>0</v>
      </c>
      <c r="AD64" s="66">
        <f>IF(VLOOKUP($D64,$C$5:$AU$502,3,)=0,0,(VLOOKUP($D64,$C$5:$AU$502,28,)/VLOOKUP($D64,$C$5:$AU$502,3,))*$E64)</f>
        <v>0</v>
      </c>
      <c r="AE64" s="66">
        <f>IF(VLOOKUP($D64,$C$5:$AU$502,3,)=0,0,(VLOOKUP($D64,$C$5:$AU$502,29,)/VLOOKUP($D64,$C$5:$AU$502,3,))*$E64)</f>
        <v>0</v>
      </c>
      <c r="AF64" s="66">
        <f>IF(VLOOKUP($D64,$C$5:$AU$502,3,)=0,0,(VLOOKUP($D64,$C$5:$AU$502,30,)/VLOOKUP($D64,$C$5:$AU$502,3,))*$E64)</f>
        <v>0</v>
      </c>
      <c r="AG64" s="93">
        <f>SUM(F64:AF64)</f>
        <v>6289452.7878047479</v>
      </c>
      <c r="AH64" s="30" t="str">
        <f>IF(ABS(E64-AG64)&lt;0.01,"ok","err")</f>
        <v>ok</v>
      </c>
    </row>
    <row r="65" spans="1:34" x14ac:dyDescent="0.2">
      <c r="A65" s="14" t="s">
        <v>228</v>
      </c>
      <c r="E65" s="66">
        <f t="shared" ref="E65:T65" si="12">E63+E64</f>
        <v>6289452.787804747</v>
      </c>
      <c r="F65" s="66">
        <f t="shared" si="12"/>
        <v>5652536.3975228667</v>
      </c>
      <c r="G65" s="66">
        <f t="shared" si="12"/>
        <v>2263.2274925574256</v>
      </c>
      <c r="H65" s="66">
        <f t="shared" si="12"/>
        <v>506172.56127181364</v>
      </c>
      <c r="I65" s="66">
        <f t="shared" si="12"/>
        <v>50755.945649707792</v>
      </c>
      <c r="J65" s="66">
        <f t="shared" si="12"/>
        <v>48282.18650789174</v>
      </c>
      <c r="K65" s="66">
        <f t="shared" si="12"/>
        <v>13950.464593779336</v>
      </c>
      <c r="L65" s="66">
        <f t="shared" si="12"/>
        <v>15492.004766130358</v>
      </c>
      <c r="M65" s="66">
        <f t="shared" si="12"/>
        <v>0</v>
      </c>
      <c r="N65" s="66">
        <f t="shared" si="12"/>
        <v>0</v>
      </c>
      <c r="O65" s="66">
        <f t="shared" si="12"/>
        <v>0</v>
      </c>
      <c r="P65" s="66">
        <f t="shared" si="12"/>
        <v>0</v>
      </c>
      <c r="Q65" s="66">
        <f t="shared" si="12"/>
        <v>0</v>
      </c>
      <c r="R65" s="66">
        <f t="shared" si="12"/>
        <v>0</v>
      </c>
      <c r="S65" s="66">
        <f t="shared" si="12"/>
        <v>0</v>
      </c>
      <c r="T65" s="66">
        <f t="shared" si="12"/>
        <v>0</v>
      </c>
      <c r="U65" s="66">
        <f t="shared" ref="U65:AF65" si="13">U63+U64</f>
        <v>0</v>
      </c>
      <c r="V65" s="66">
        <f t="shared" si="13"/>
        <v>0</v>
      </c>
      <c r="W65" s="66">
        <f t="shared" si="13"/>
        <v>0</v>
      </c>
      <c r="X65" s="66">
        <f t="shared" si="13"/>
        <v>0</v>
      </c>
      <c r="Y65" s="66">
        <f t="shared" si="13"/>
        <v>0</v>
      </c>
      <c r="Z65" s="66">
        <f t="shared" si="13"/>
        <v>0</v>
      </c>
      <c r="AA65" s="66">
        <f t="shared" si="13"/>
        <v>0</v>
      </c>
      <c r="AB65" s="66">
        <f t="shared" si="13"/>
        <v>0</v>
      </c>
      <c r="AC65" s="66">
        <f t="shared" si="13"/>
        <v>0</v>
      </c>
      <c r="AD65" s="66">
        <f t="shared" si="13"/>
        <v>0</v>
      </c>
      <c r="AE65" s="66">
        <f t="shared" si="13"/>
        <v>0</v>
      </c>
      <c r="AF65" s="66">
        <f t="shared" si="13"/>
        <v>0</v>
      </c>
      <c r="AG65" s="93">
        <f>SUM(F65:AF65)</f>
        <v>6289452.7878047479</v>
      </c>
      <c r="AH65" s="30" t="str">
        <f>IF(ABS(E65-AG65)&lt;0.01,"ok","err")</f>
        <v>ok</v>
      </c>
    </row>
    <row r="66" spans="1:34" x14ac:dyDescent="0.2">
      <c r="E66" s="50"/>
    </row>
    <row r="67" spans="1:34" x14ac:dyDescent="0.2">
      <c r="A67" s="13" t="s">
        <v>4</v>
      </c>
      <c r="E67" s="50"/>
    </row>
    <row r="68" spans="1:34" x14ac:dyDescent="0.2">
      <c r="A68" s="96" t="s">
        <v>221</v>
      </c>
      <c r="C68" s="14" t="s">
        <v>245</v>
      </c>
      <c r="D68" s="14" t="s">
        <v>230</v>
      </c>
      <c r="E68" s="66">
        <f>'Func &amp; Classif'!U126</f>
        <v>3715082.7118963129</v>
      </c>
      <c r="F68" s="66">
        <f>IF(VLOOKUP($D68,$C$5:$AU$502,3,)=0,0,(VLOOKUP($D68,$C$5:$AU$502,4,)/VLOOKUP($D68,$C$5:$AU$502,3,))*$E68)</f>
        <v>3304077.6359316455</v>
      </c>
      <c r="G68" s="66">
        <f>IF(VLOOKUP($D68,$C$5:$AU$502,3,)=0,0,(VLOOKUP($D68,$C$5:$AU$502,5,)/VLOOKUP($D68,$C$5:$AU$502,3,))*$E68)</f>
        <v>1322.9245806292736</v>
      </c>
      <c r="H68" s="66">
        <f>IF(VLOOKUP($D68,$C$5:$AU$502,3,)=0,0,(VLOOKUP($D68,$C$5:$AU$502,6,)/VLOOKUP($D68,$C$5:$AU$502,3,))*$E68)</f>
        <v>188002.28206942679</v>
      </c>
      <c r="I68" s="66">
        <f>IF(VLOOKUP($D68,$C$5:$AU$502,3,)=0,0,(VLOOKUP($D68,$C$5:$AU$502,7,)/VLOOKUP($D68,$C$5:$AU$502,3,))*$E68)</f>
        <v>56971.412277033953</v>
      </c>
      <c r="J68" s="66">
        <f>IF(VLOOKUP($D68,$C$5:$AU$502,3,)=0,0,(VLOOKUP($D68,$C$5:$AU$502,8,)/VLOOKUP($D68,$C$5:$AU$502,3,))*$E68)</f>
        <v>28222.391053424501</v>
      </c>
      <c r="K68" s="66">
        <f>IF(VLOOKUP($D68,$C$5:$AU$502,3,)=0,0,(VLOOKUP($D68,$C$5:$AU$502,9,)/VLOOKUP($D68,$C$5:$AU$502,3,))*$E68)</f>
        <v>35046.103474503405</v>
      </c>
      <c r="L68" s="66">
        <f>IF(VLOOKUP($D68,$C$5:$AU$502,3,)=0,0,(VLOOKUP($D68,$C$5:$AU$502,10,)/VLOOKUP($D68,$C$5:$AU$502,3,))*$E68)</f>
        <v>101439.96250964965</v>
      </c>
      <c r="M68" s="66">
        <f>IF(VLOOKUP($D68,$C$5:$AU$502,3,)=0,0,(VLOOKUP($D68,$C$5:$AU$502,11,)/VLOOKUP($D68,$C$5:$AU$502,3,))*$E68)</f>
        <v>0</v>
      </c>
      <c r="N68" s="66">
        <f>IF(VLOOKUP($D68,$C$5:$AU$502,3,)=0,0,(VLOOKUP($D68,$C$5:$AU$502,12,)/VLOOKUP($D68,$C$5:$AU$502,3,))*$E68)</f>
        <v>0</v>
      </c>
      <c r="O68" s="66">
        <f>IF(VLOOKUP($D68,$C$5:$AU$502,3,)=0,0,(VLOOKUP($D68,$C$5:$AU$502,13,)/VLOOKUP($D68,$C$5:$AU$502,3,))*$E68)</f>
        <v>0</v>
      </c>
      <c r="P68" s="66">
        <f>IF(VLOOKUP($D68,$C$5:$AU$502,3,)=0,0,(VLOOKUP($D68,$C$5:$AU$502,14,)/VLOOKUP($D68,$C$5:$AU$502,3,))*$E68)</f>
        <v>0</v>
      </c>
      <c r="Q68" s="66">
        <f>IF(VLOOKUP($D68,$C$5:$AU$502,3,)=0,0,(VLOOKUP($D68,$C$5:$AU$502,15,)/VLOOKUP($D68,$C$5:$AU$502,3,))*$E68)</f>
        <v>0</v>
      </c>
      <c r="R68" s="66">
        <f>IF(VLOOKUP($D68,$C$5:$AU$502,3,)=0,0,(VLOOKUP($D68,$C$5:$AU$502,16,)/VLOOKUP($D68,$C$5:$AU$502,3,))*$E68)</f>
        <v>0</v>
      </c>
      <c r="S68" s="66">
        <f>IF(VLOOKUP($D68,$C$5:$AU$502,3,)=0,0,(VLOOKUP($D68,$C$5:$AU$502,17,)/VLOOKUP($D68,$C$5:$AU$502,3,))*$E68)</f>
        <v>0</v>
      </c>
      <c r="T68" s="66">
        <f>IF(VLOOKUP($D68,$C$5:$AU$502,3,)=0,0,(VLOOKUP($D68,$C$5:$AU$502,18,)/VLOOKUP($D68,$C$5:$AU$502,3,))*$E68)</f>
        <v>0</v>
      </c>
      <c r="U68" s="66">
        <f>IF(VLOOKUP($D68,$C$5:$AU$502,3,)=0,0,(VLOOKUP($D68,$C$5:$AU$502,19,)/VLOOKUP($D68,$C$5:$AU$502,3,))*$E68)</f>
        <v>0</v>
      </c>
      <c r="V68" s="66">
        <f>IF(VLOOKUP($D68,$C$5:$AU$502,3,)=0,0,(VLOOKUP($D68,$C$5:$AU$502,20,)/VLOOKUP($D68,$C$5:$AU$502,3,))*$E68)</f>
        <v>0</v>
      </c>
      <c r="W68" s="66">
        <f>IF(VLOOKUP($D68,$C$5:$AU$502,3,)=0,0,(VLOOKUP($D68,$C$5:$AU$502,21,)/VLOOKUP($D68,$C$5:$AU$502,3,))*$E68)</f>
        <v>0</v>
      </c>
      <c r="X68" s="66">
        <f>IF(VLOOKUP($D68,$C$5:$AU$502,3,)=0,0,(VLOOKUP($D68,$C$5:$AU$502,22,)/VLOOKUP($D68,$C$5:$AU$502,3,))*$E68)</f>
        <v>0</v>
      </c>
      <c r="Y68" s="66">
        <f>IF(VLOOKUP($D68,$C$5:$AU$502,3,)=0,0,(VLOOKUP($D68,$C$5:$AU$502,23,)/VLOOKUP($D68,$C$5:$AU$502,3,))*$E68)</f>
        <v>0</v>
      </c>
      <c r="Z68" s="66">
        <f>IF(VLOOKUP($D68,$C$5:$AU$502,3,)=0,0,(VLOOKUP($D68,$C$5:$AU$502,24,)/VLOOKUP($D68,$C$5:$AU$502,3,))*$E68)</f>
        <v>0</v>
      </c>
      <c r="AA68" s="66">
        <f>IF(VLOOKUP($D68,$C$5:$AU$502,3,)=0,0,(VLOOKUP($D68,$C$5:$AU$502,25,)/VLOOKUP($D68,$C$5:$AU$502,3,))*$E68)</f>
        <v>0</v>
      </c>
      <c r="AB68" s="66">
        <f>IF(VLOOKUP($D68,$C$5:$AU$502,3,)=0,0,(VLOOKUP($D68,$C$5:$AU$502,26,)/VLOOKUP($D68,$C$5:$AU$502,3,))*$E68)</f>
        <v>0</v>
      </c>
      <c r="AC68" s="66">
        <f>IF(VLOOKUP($D68,$C$5:$AU$502,3,)=0,0,(VLOOKUP($D68,$C$5:$AU$502,27,)/VLOOKUP($D68,$C$5:$AU$502,3,))*$E68)</f>
        <v>0</v>
      </c>
      <c r="AD68" s="66">
        <f>IF(VLOOKUP($D68,$C$5:$AU$502,3,)=0,0,(VLOOKUP($D68,$C$5:$AU$502,28,)/VLOOKUP($D68,$C$5:$AU$502,3,))*$E68)</f>
        <v>0</v>
      </c>
      <c r="AE68" s="66">
        <f>IF(VLOOKUP($D68,$C$5:$AU$502,3,)=0,0,(VLOOKUP($D68,$C$5:$AU$502,29,)/VLOOKUP($D68,$C$5:$AU$502,3,))*$E68)</f>
        <v>0</v>
      </c>
      <c r="AF68" s="66">
        <f>IF(VLOOKUP($D68,$C$5:$AU$502,3,)=0,0,(VLOOKUP($D68,$C$5:$AU$502,30,)/VLOOKUP($D68,$C$5:$AU$502,3,))*$E68)</f>
        <v>0</v>
      </c>
      <c r="AG68" s="93">
        <f>SUM(F68:AF68)</f>
        <v>3715082.7118963138</v>
      </c>
      <c r="AH68" s="30" t="str">
        <f>IF(ABS(E68-AG68)&lt;0.01,"ok","err")</f>
        <v>ok</v>
      </c>
    </row>
    <row r="69" spans="1:34" x14ac:dyDescent="0.2">
      <c r="E69" s="50"/>
    </row>
    <row r="70" spans="1:34" x14ac:dyDescent="0.2">
      <c r="A70" s="13" t="s">
        <v>5</v>
      </c>
      <c r="E70" s="50"/>
    </row>
    <row r="71" spans="1:34" x14ac:dyDescent="0.2">
      <c r="A71" s="96" t="s">
        <v>221</v>
      </c>
      <c r="C71" s="14" t="s">
        <v>246</v>
      </c>
      <c r="D71" s="14" t="s">
        <v>232</v>
      </c>
      <c r="E71" s="66">
        <f>'Func &amp; Classif'!W126</f>
        <v>4830945.2955130674</v>
      </c>
      <c r="F71" s="66">
        <f>IF(VLOOKUP($D71,$C$5:$AU$502,3,)=0,0,(VLOOKUP($D71,$C$5:$AU$502,4,)/VLOOKUP($D71,$C$5:$AU$502,3,))*$E71)</f>
        <v>0</v>
      </c>
      <c r="G71" s="66">
        <f>IF(VLOOKUP($D71,$C$5:$AU$502,3,)=0,0,(VLOOKUP($D71,$C$5:$AU$502,5,)/VLOOKUP($D71,$C$5:$AU$502,3,))*$E71)</f>
        <v>0</v>
      </c>
      <c r="H71" s="66">
        <f>IF(VLOOKUP($D71,$C$5:$AU$502,3,)=0,0,(VLOOKUP($D71,$C$5:$AU$502,6,)/VLOOKUP($D71,$C$5:$AU$502,3,))*$E71)</f>
        <v>0</v>
      </c>
      <c r="I71" s="66">
        <f>IF(VLOOKUP($D71,$C$5:$AU$502,3,)=0,0,(VLOOKUP($D71,$C$5:$AU$502,7,)/VLOOKUP($D71,$C$5:$AU$502,3,))*$E71)</f>
        <v>0</v>
      </c>
      <c r="J71" s="66">
        <f>IF(VLOOKUP($D71,$C$5:$AU$502,3,)=0,0,(VLOOKUP($D71,$C$5:$AU$502,8,)/VLOOKUP($D71,$C$5:$AU$502,3,))*$E71)</f>
        <v>0</v>
      </c>
      <c r="K71" s="66">
        <f>IF(VLOOKUP($D71,$C$5:$AU$502,3,)=0,0,(VLOOKUP($D71,$C$5:$AU$502,9,)/VLOOKUP($D71,$C$5:$AU$502,3,))*$E71)</f>
        <v>0</v>
      </c>
      <c r="L71" s="66">
        <f>IF(VLOOKUP($D71,$C$5:$AU$502,3,)=0,0,(VLOOKUP($D71,$C$5:$AU$502,10,)/VLOOKUP($D71,$C$5:$AU$502,3,))*$E71)</f>
        <v>0</v>
      </c>
      <c r="M71" s="66">
        <f>IF(VLOOKUP($D71,$C$5:$AU$502,3,)=0,0,(VLOOKUP($D71,$C$5:$AU$502,11,)/VLOOKUP($D71,$C$5:$AU$502,3,))*$E71)</f>
        <v>4830945.2955130674</v>
      </c>
      <c r="N71" s="66">
        <f>IF(VLOOKUP($D71,$C$5:$AU$502,3,)=0,0,(VLOOKUP($D71,$C$5:$AU$502,12,)/VLOOKUP($D71,$C$5:$AU$502,3,))*$E71)</f>
        <v>0</v>
      </c>
      <c r="O71" s="66">
        <f>IF(VLOOKUP($D71,$C$5:$AU$502,3,)=0,0,(VLOOKUP($D71,$C$5:$AU$502,13,)/VLOOKUP($D71,$C$5:$AU$502,3,))*$E71)</f>
        <v>0</v>
      </c>
      <c r="P71" s="66">
        <f>IF(VLOOKUP($D71,$C$5:$AU$502,3,)=0,0,(VLOOKUP($D71,$C$5:$AU$502,14,)/VLOOKUP($D71,$C$5:$AU$502,3,))*$E71)</f>
        <v>0</v>
      </c>
      <c r="Q71" s="66">
        <f>IF(VLOOKUP($D71,$C$5:$AU$502,3,)=0,0,(VLOOKUP($D71,$C$5:$AU$502,15,)/VLOOKUP($D71,$C$5:$AU$502,3,))*$E71)</f>
        <v>0</v>
      </c>
      <c r="R71" s="66">
        <f>IF(VLOOKUP($D71,$C$5:$AU$502,3,)=0,0,(VLOOKUP($D71,$C$5:$AU$502,16,)/VLOOKUP($D71,$C$5:$AU$502,3,))*$E71)</f>
        <v>0</v>
      </c>
      <c r="S71" s="66">
        <f>IF(VLOOKUP($D71,$C$5:$AU$502,3,)=0,0,(VLOOKUP($D71,$C$5:$AU$502,17,)/VLOOKUP($D71,$C$5:$AU$502,3,))*$E71)</f>
        <v>0</v>
      </c>
      <c r="T71" s="66">
        <f>IF(VLOOKUP($D71,$C$5:$AU$502,3,)=0,0,(VLOOKUP($D71,$C$5:$AU$502,18,)/VLOOKUP($D71,$C$5:$AU$502,3,))*$E71)</f>
        <v>0</v>
      </c>
      <c r="U71" s="66">
        <f>IF(VLOOKUP($D71,$C$5:$AU$502,3,)=0,0,(VLOOKUP($D71,$C$5:$AU$502,19,)/VLOOKUP($D71,$C$5:$AU$502,3,))*$E71)</f>
        <v>0</v>
      </c>
      <c r="V71" s="66">
        <f>IF(VLOOKUP($D71,$C$5:$AU$502,3,)=0,0,(VLOOKUP($D71,$C$5:$AU$502,20,)/VLOOKUP($D71,$C$5:$AU$502,3,))*$E71)</f>
        <v>0</v>
      </c>
      <c r="W71" s="66">
        <f>IF(VLOOKUP($D71,$C$5:$AU$502,3,)=0,0,(VLOOKUP($D71,$C$5:$AU$502,21,)/VLOOKUP($D71,$C$5:$AU$502,3,))*$E71)</f>
        <v>0</v>
      </c>
      <c r="X71" s="66">
        <f>IF(VLOOKUP($D71,$C$5:$AU$502,3,)=0,0,(VLOOKUP($D71,$C$5:$AU$502,22,)/VLOOKUP($D71,$C$5:$AU$502,3,))*$E71)</f>
        <v>0</v>
      </c>
      <c r="Y71" s="66">
        <f>IF(VLOOKUP($D71,$C$5:$AU$502,3,)=0,0,(VLOOKUP($D71,$C$5:$AU$502,23,)/VLOOKUP($D71,$C$5:$AU$502,3,))*$E71)</f>
        <v>0</v>
      </c>
      <c r="Z71" s="66">
        <f>IF(VLOOKUP($D71,$C$5:$AU$502,3,)=0,0,(VLOOKUP($D71,$C$5:$AU$502,24,)/VLOOKUP($D71,$C$5:$AU$502,3,))*$E71)</f>
        <v>0</v>
      </c>
      <c r="AA71" s="66">
        <f>IF(VLOOKUP($D71,$C$5:$AU$502,3,)=0,0,(VLOOKUP($D71,$C$5:$AU$502,25,)/VLOOKUP($D71,$C$5:$AU$502,3,))*$E71)</f>
        <v>0</v>
      </c>
      <c r="AB71" s="66">
        <f>IF(VLOOKUP($D71,$C$5:$AU$502,3,)=0,0,(VLOOKUP($D71,$C$5:$AU$502,26,)/VLOOKUP($D71,$C$5:$AU$502,3,))*$E71)</f>
        <v>0</v>
      </c>
      <c r="AC71" s="66">
        <f>IF(VLOOKUP($D71,$C$5:$AU$502,3,)=0,0,(VLOOKUP($D71,$C$5:$AU$502,27,)/VLOOKUP($D71,$C$5:$AU$502,3,))*$E71)</f>
        <v>0</v>
      </c>
      <c r="AD71" s="66">
        <f>IF(VLOOKUP($D71,$C$5:$AU$502,3,)=0,0,(VLOOKUP($D71,$C$5:$AU$502,28,)/VLOOKUP($D71,$C$5:$AU$502,3,))*$E71)</f>
        <v>0</v>
      </c>
      <c r="AE71" s="66">
        <f>IF(VLOOKUP($D71,$C$5:$AU$502,3,)=0,0,(VLOOKUP($D71,$C$5:$AU$502,29,)/VLOOKUP($D71,$C$5:$AU$502,3,))*$E71)</f>
        <v>0</v>
      </c>
      <c r="AF71" s="66">
        <f>IF(VLOOKUP($D71,$C$5:$AU$502,3,)=0,0,(VLOOKUP($D71,$C$5:$AU$502,30,)/VLOOKUP($D71,$C$5:$AU$502,3,))*$E71)</f>
        <v>0</v>
      </c>
      <c r="AG71" s="93">
        <f>SUM(F71:AF71)</f>
        <v>4830945.2955130674</v>
      </c>
      <c r="AH71" s="30" t="str">
        <f>IF(ABS(E71-AG71)&lt;0.01,"ok","err")</f>
        <v>ok</v>
      </c>
    </row>
    <row r="72" spans="1:34" x14ac:dyDescent="0.2">
      <c r="E72" s="50"/>
    </row>
    <row r="73" spans="1:34" x14ac:dyDescent="0.2">
      <c r="A73" s="13" t="s">
        <v>545</v>
      </c>
      <c r="E73" s="50"/>
    </row>
    <row r="74" spans="1:34" x14ac:dyDescent="0.2">
      <c r="A74" s="96" t="s">
        <v>221</v>
      </c>
      <c r="C74" s="14" t="s">
        <v>247</v>
      </c>
      <c r="D74" s="14" t="s">
        <v>234</v>
      </c>
      <c r="E74" s="66">
        <f>'Func &amp; Classif'!Y126</f>
        <v>0</v>
      </c>
      <c r="F74" s="66">
        <f>IF(VLOOKUP($D74,$C$5:$AU$502,3,)=0,0,(VLOOKUP($D74,$C$5:$AU$502,4,)/VLOOKUP($D74,$C$5:$AU$502,3,))*$E74)</f>
        <v>0</v>
      </c>
      <c r="G74" s="66">
        <f>IF(VLOOKUP($D74,$C$5:$AU$502,3,)=0,0,(VLOOKUP($D74,$C$5:$AU$502,5,)/VLOOKUP($D74,$C$5:$AU$502,3,))*$E74)</f>
        <v>0</v>
      </c>
      <c r="H74" s="66">
        <f>IF(VLOOKUP($D74,$C$5:$AU$502,3,)=0,0,(VLOOKUP($D74,$C$5:$AU$502,6,)/VLOOKUP($D74,$C$5:$AU$502,3,))*$E74)</f>
        <v>0</v>
      </c>
      <c r="I74" s="66">
        <f>IF(VLOOKUP($D74,$C$5:$AU$502,3,)=0,0,(VLOOKUP($D74,$C$5:$AU$502,7,)/VLOOKUP($D74,$C$5:$AU$502,3,))*$E74)</f>
        <v>0</v>
      </c>
      <c r="J74" s="66">
        <f>IF(VLOOKUP($D74,$C$5:$AU$502,3,)=0,0,(VLOOKUP($D74,$C$5:$AU$502,8,)/VLOOKUP($D74,$C$5:$AU$502,3,))*$E74)</f>
        <v>0</v>
      </c>
      <c r="K74" s="66">
        <f>IF(VLOOKUP($D74,$C$5:$AU$502,3,)=0,0,(VLOOKUP($D74,$C$5:$AU$502,9,)/VLOOKUP($D74,$C$5:$AU$502,3,))*$E74)</f>
        <v>0</v>
      </c>
      <c r="L74" s="66">
        <f>IF(VLOOKUP($D74,$C$5:$AU$502,3,)=0,0,(VLOOKUP($D74,$C$5:$AU$502,10,)/VLOOKUP($D74,$C$5:$AU$502,3,))*$E74)</f>
        <v>0</v>
      </c>
      <c r="M74" s="66">
        <f>IF(VLOOKUP($D74,$C$5:$AU$502,3,)=0,0,(VLOOKUP($D74,$C$5:$AU$502,11,)/VLOOKUP($D74,$C$5:$AU$502,3,))*$E74)</f>
        <v>0</v>
      </c>
      <c r="N74" s="66">
        <f>IF(VLOOKUP($D74,$C$5:$AU$502,3,)=0,0,(VLOOKUP($D74,$C$5:$AU$502,12,)/VLOOKUP($D74,$C$5:$AU$502,3,))*$E74)</f>
        <v>0</v>
      </c>
      <c r="O74" s="66">
        <f>IF(VLOOKUP($D74,$C$5:$AU$502,3,)=0,0,(VLOOKUP($D74,$C$5:$AU$502,13,)/VLOOKUP($D74,$C$5:$AU$502,3,))*$E74)</f>
        <v>0</v>
      </c>
      <c r="P74" s="66">
        <f>IF(VLOOKUP($D74,$C$5:$AU$502,3,)=0,0,(VLOOKUP($D74,$C$5:$AU$502,14,)/VLOOKUP($D74,$C$5:$AU$502,3,))*$E74)</f>
        <v>0</v>
      </c>
      <c r="Q74" s="66">
        <f>IF(VLOOKUP($D74,$C$5:$AU$502,3,)=0,0,(VLOOKUP($D74,$C$5:$AU$502,15,)/VLOOKUP($D74,$C$5:$AU$502,3,))*$E74)</f>
        <v>0</v>
      </c>
      <c r="R74" s="66">
        <f>IF(VLOOKUP($D74,$C$5:$AU$502,3,)=0,0,(VLOOKUP($D74,$C$5:$AU$502,16,)/VLOOKUP($D74,$C$5:$AU$502,3,))*$E74)</f>
        <v>0</v>
      </c>
      <c r="S74" s="66">
        <f>IF(VLOOKUP($D74,$C$5:$AU$502,3,)=0,0,(VLOOKUP($D74,$C$5:$AU$502,17,)/VLOOKUP($D74,$C$5:$AU$502,3,))*$E74)</f>
        <v>0</v>
      </c>
      <c r="T74" s="66">
        <f>IF(VLOOKUP($D74,$C$5:$AU$502,3,)=0,0,(VLOOKUP($D74,$C$5:$AU$502,18,)/VLOOKUP($D74,$C$5:$AU$502,3,))*$E74)</f>
        <v>0</v>
      </c>
      <c r="U74" s="66">
        <f>IF(VLOOKUP($D74,$C$5:$AU$502,3,)=0,0,(VLOOKUP($D74,$C$5:$AU$502,19,)/VLOOKUP($D74,$C$5:$AU$502,3,))*$E74)</f>
        <v>0</v>
      </c>
      <c r="V74" s="66">
        <f>IF(VLOOKUP($D74,$C$5:$AU$502,3,)=0,0,(VLOOKUP($D74,$C$5:$AU$502,20,)/VLOOKUP($D74,$C$5:$AU$502,3,))*$E74)</f>
        <v>0</v>
      </c>
      <c r="W74" s="66">
        <f>IF(VLOOKUP($D74,$C$5:$AU$502,3,)=0,0,(VLOOKUP($D74,$C$5:$AU$502,21,)/VLOOKUP($D74,$C$5:$AU$502,3,))*$E74)</f>
        <v>0</v>
      </c>
      <c r="X74" s="66">
        <f>IF(VLOOKUP($D74,$C$5:$AU$502,3,)=0,0,(VLOOKUP($D74,$C$5:$AU$502,22,)/VLOOKUP($D74,$C$5:$AU$502,3,))*$E74)</f>
        <v>0</v>
      </c>
      <c r="Y74" s="66">
        <f>IF(VLOOKUP($D74,$C$5:$AU$502,3,)=0,0,(VLOOKUP($D74,$C$5:$AU$502,23,)/VLOOKUP($D74,$C$5:$AU$502,3,))*$E74)</f>
        <v>0</v>
      </c>
      <c r="Z74" s="66">
        <f>IF(VLOOKUP($D74,$C$5:$AU$502,3,)=0,0,(VLOOKUP($D74,$C$5:$AU$502,24,)/VLOOKUP($D74,$C$5:$AU$502,3,))*$E74)</f>
        <v>0</v>
      </c>
      <c r="AA74" s="66">
        <f>IF(VLOOKUP($D74,$C$5:$AU$502,3,)=0,0,(VLOOKUP($D74,$C$5:$AU$502,25,)/VLOOKUP($D74,$C$5:$AU$502,3,))*$E74)</f>
        <v>0</v>
      </c>
      <c r="AB74" s="66">
        <f>IF(VLOOKUP($D74,$C$5:$AU$502,3,)=0,0,(VLOOKUP($D74,$C$5:$AU$502,26,)/VLOOKUP($D74,$C$5:$AU$502,3,))*$E74)</f>
        <v>0</v>
      </c>
      <c r="AC74" s="66">
        <f>IF(VLOOKUP($D74,$C$5:$AU$502,3,)=0,0,(VLOOKUP($D74,$C$5:$AU$502,27,)/VLOOKUP($D74,$C$5:$AU$502,3,))*$E74)</f>
        <v>0</v>
      </c>
      <c r="AD74" s="66">
        <f>IF(VLOOKUP($D74,$C$5:$AU$502,3,)=0,0,(VLOOKUP($D74,$C$5:$AU$502,28,)/VLOOKUP($D74,$C$5:$AU$502,3,))*$E74)</f>
        <v>0</v>
      </c>
      <c r="AE74" s="66">
        <f>IF(VLOOKUP($D74,$C$5:$AU$502,3,)=0,0,(VLOOKUP($D74,$C$5:$AU$502,29,)/VLOOKUP($D74,$C$5:$AU$502,3,))*$E74)</f>
        <v>0</v>
      </c>
      <c r="AF74" s="66">
        <f>IF(VLOOKUP($D74,$C$5:$AU$502,3,)=0,0,(VLOOKUP($D74,$C$5:$AU$502,30,)/VLOOKUP($D74,$C$5:$AU$502,3,))*$E74)</f>
        <v>0</v>
      </c>
      <c r="AG74" s="93">
        <f>SUM(F74:AF74)</f>
        <v>0</v>
      </c>
      <c r="AH74" s="30" t="str">
        <f>IF(ABS(E74-AG74)&lt;0.01,"ok","err")</f>
        <v>ok</v>
      </c>
    </row>
    <row r="75" spans="1:34" x14ac:dyDescent="0.2">
      <c r="E75" s="50"/>
    </row>
    <row r="76" spans="1:34" x14ac:dyDescent="0.2">
      <c r="A76" s="13" t="s">
        <v>470</v>
      </c>
      <c r="E76" s="50"/>
    </row>
    <row r="77" spans="1:34" x14ac:dyDescent="0.2">
      <c r="A77" s="96" t="s">
        <v>221</v>
      </c>
      <c r="C77" s="14" t="s">
        <v>244</v>
      </c>
      <c r="D77" s="14" t="s">
        <v>235</v>
      </c>
      <c r="E77" s="66">
        <f>'Func &amp; Classif'!AA126</f>
        <v>0</v>
      </c>
      <c r="F77" s="66">
        <f>IF(VLOOKUP($D77,$C$5:$AU$502,3,)=0,0,(VLOOKUP($D77,$C$5:$AU$502,4,)/VLOOKUP($D77,$C$5:$AU$502,3,))*$E77)</f>
        <v>0</v>
      </c>
      <c r="G77" s="66">
        <f>IF(VLOOKUP($D77,$C$5:$AU$502,3,)=0,0,(VLOOKUP($D77,$C$5:$AU$502,5,)/VLOOKUP($D77,$C$5:$AU$502,3,))*$E77)</f>
        <v>0</v>
      </c>
      <c r="H77" s="66">
        <f>IF(VLOOKUP($D77,$C$5:$AU$502,3,)=0,0,(VLOOKUP($D77,$C$5:$AU$502,6,)/VLOOKUP($D77,$C$5:$AU$502,3,))*$E77)</f>
        <v>0</v>
      </c>
      <c r="I77" s="66">
        <f>IF(VLOOKUP($D77,$C$5:$AU$502,3,)=0,0,(VLOOKUP($D77,$C$5:$AU$502,7,)/VLOOKUP($D77,$C$5:$AU$502,3,))*$E77)</f>
        <v>0</v>
      </c>
      <c r="J77" s="66">
        <f>IF(VLOOKUP($D77,$C$5:$AU$502,3,)=0,0,(VLOOKUP($D77,$C$5:$AU$502,8,)/VLOOKUP($D77,$C$5:$AU$502,3,))*$E77)</f>
        <v>0</v>
      </c>
      <c r="K77" s="66">
        <f>IF(VLOOKUP($D77,$C$5:$AU$502,3,)=0,0,(VLOOKUP($D77,$C$5:$AU$502,9,)/VLOOKUP($D77,$C$5:$AU$502,3,))*$E77)</f>
        <v>0</v>
      </c>
      <c r="L77" s="66">
        <f>IF(VLOOKUP($D77,$C$5:$AU$502,3,)=0,0,(VLOOKUP($D77,$C$5:$AU$502,10,)/VLOOKUP($D77,$C$5:$AU$502,3,))*$E77)</f>
        <v>0</v>
      </c>
      <c r="M77" s="66">
        <f>IF(VLOOKUP($D77,$C$5:$AU$502,3,)=0,0,(VLOOKUP($D77,$C$5:$AU$502,11,)/VLOOKUP($D77,$C$5:$AU$502,3,))*$E77)</f>
        <v>0</v>
      </c>
      <c r="N77" s="66">
        <f>IF(VLOOKUP($D77,$C$5:$AU$502,3,)=0,0,(VLOOKUP($D77,$C$5:$AU$502,12,)/VLOOKUP($D77,$C$5:$AU$502,3,))*$E77)</f>
        <v>0</v>
      </c>
      <c r="O77" s="66">
        <f>IF(VLOOKUP($D77,$C$5:$AU$502,3,)=0,0,(VLOOKUP($D77,$C$5:$AU$502,13,)/VLOOKUP($D77,$C$5:$AU$502,3,))*$E77)</f>
        <v>0</v>
      </c>
      <c r="P77" s="66">
        <f>IF(VLOOKUP($D77,$C$5:$AU$502,3,)=0,0,(VLOOKUP($D77,$C$5:$AU$502,14,)/VLOOKUP($D77,$C$5:$AU$502,3,))*$E77)</f>
        <v>0</v>
      </c>
      <c r="Q77" s="66">
        <f>IF(VLOOKUP($D77,$C$5:$AU$502,3,)=0,0,(VLOOKUP($D77,$C$5:$AU$502,15,)/VLOOKUP($D77,$C$5:$AU$502,3,))*$E77)</f>
        <v>0</v>
      </c>
      <c r="R77" s="66">
        <f>IF(VLOOKUP($D77,$C$5:$AU$502,3,)=0,0,(VLOOKUP($D77,$C$5:$AU$502,16,)/VLOOKUP($D77,$C$5:$AU$502,3,))*$E77)</f>
        <v>0</v>
      </c>
      <c r="S77" s="66">
        <f>IF(VLOOKUP($D77,$C$5:$AU$502,3,)=0,0,(VLOOKUP($D77,$C$5:$AU$502,17,)/VLOOKUP($D77,$C$5:$AU$502,3,))*$E77)</f>
        <v>0</v>
      </c>
      <c r="T77" s="66">
        <f>IF(VLOOKUP($D77,$C$5:$AU$502,3,)=0,0,(VLOOKUP($D77,$C$5:$AU$502,18,)/VLOOKUP($D77,$C$5:$AU$502,3,))*$E77)</f>
        <v>0</v>
      </c>
      <c r="U77" s="66">
        <f>IF(VLOOKUP($D77,$C$5:$AU$502,3,)=0,0,(VLOOKUP($D77,$C$5:$AU$502,19,)/VLOOKUP($D77,$C$5:$AU$502,3,))*$E77)</f>
        <v>0</v>
      </c>
      <c r="V77" s="66">
        <f>IF(VLOOKUP($D77,$C$5:$AU$502,3,)=0,0,(VLOOKUP($D77,$C$5:$AU$502,20,)/VLOOKUP($D77,$C$5:$AU$502,3,))*$E77)</f>
        <v>0</v>
      </c>
      <c r="W77" s="66">
        <f>IF(VLOOKUP($D77,$C$5:$AU$502,3,)=0,0,(VLOOKUP($D77,$C$5:$AU$502,21,)/VLOOKUP($D77,$C$5:$AU$502,3,))*$E77)</f>
        <v>0</v>
      </c>
      <c r="X77" s="66">
        <f>IF(VLOOKUP($D77,$C$5:$AU$502,3,)=0,0,(VLOOKUP($D77,$C$5:$AU$502,22,)/VLOOKUP($D77,$C$5:$AU$502,3,))*$E77)</f>
        <v>0</v>
      </c>
      <c r="Y77" s="66">
        <f>IF(VLOOKUP($D77,$C$5:$AU$502,3,)=0,0,(VLOOKUP($D77,$C$5:$AU$502,23,)/VLOOKUP($D77,$C$5:$AU$502,3,))*$E77)</f>
        <v>0</v>
      </c>
      <c r="Z77" s="66">
        <f>IF(VLOOKUP($D77,$C$5:$AU$502,3,)=0,0,(VLOOKUP($D77,$C$5:$AU$502,24,)/VLOOKUP($D77,$C$5:$AU$502,3,))*$E77)</f>
        <v>0</v>
      </c>
      <c r="AA77" s="66">
        <f>IF(VLOOKUP($D77,$C$5:$AU$502,3,)=0,0,(VLOOKUP($D77,$C$5:$AU$502,25,)/VLOOKUP($D77,$C$5:$AU$502,3,))*$E77)</f>
        <v>0</v>
      </c>
      <c r="AB77" s="66">
        <f>IF(VLOOKUP($D77,$C$5:$AU$502,3,)=0,0,(VLOOKUP($D77,$C$5:$AU$502,26,)/VLOOKUP($D77,$C$5:$AU$502,3,))*$E77)</f>
        <v>0</v>
      </c>
      <c r="AC77" s="66">
        <f>IF(VLOOKUP($D77,$C$5:$AU$502,3,)=0,0,(VLOOKUP($D77,$C$5:$AU$502,27,)/VLOOKUP($D77,$C$5:$AU$502,3,))*$E77)</f>
        <v>0</v>
      </c>
      <c r="AD77" s="66">
        <f>IF(VLOOKUP($D77,$C$5:$AU$502,3,)=0,0,(VLOOKUP($D77,$C$5:$AU$502,28,)/VLOOKUP($D77,$C$5:$AU$502,3,))*$E77)</f>
        <v>0</v>
      </c>
      <c r="AE77" s="66">
        <f>IF(VLOOKUP($D77,$C$5:$AU$502,3,)=0,0,(VLOOKUP($D77,$C$5:$AU$502,29,)/VLOOKUP($D77,$C$5:$AU$502,3,))*$E77)</f>
        <v>0</v>
      </c>
      <c r="AF77" s="66">
        <f>IF(VLOOKUP($D77,$C$5:$AU$502,3,)=0,0,(VLOOKUP($D77,$C$5:$AU$502,30,)/VLOOKUP($D77,$C$5:$AU$502,3,))*$E77)</f>
        <v>0</v>
      </c>
      <c r="AG77" s="93">
        <f>SUM(F77:AF77)</f>
        <v>0</v>
      </c>
      <c r="AH77" s="30" t="str">
        <f>IF(ABS(E77-AG77)&lt;0.01,"ok","err")</f>
        <v>ok</v>
      </c>
    </row>
    <row r="78" spans="1:34" x14ac:dyDescent="0.2">
      <c r="E78" s="50"/>
    </row>
    <row r="79" spans="1:34" x14ac:dyDescent="0.2">
      <c r="A79" s="14" t="s">
        <v>0</v>
      </c>
      <c r="C79" s="14" t="s">
        <v>248</v>
      </c>
      <c r="E79" s="66">
        <f>E49+E52+E55+E60+E65+E68+E71+E74+E77</f>
        <v>73913037.00999999</v>
      </c>
      <c r="F79" s="66">
        <f t="shared" ref="F79:R79" si="14">F49+F52+F55+F60+F65+F68+F71+F74+F77</f>
        <v>58901618.449880011</v>
      </c>
      <c r="G79" s="66">
        <f t="shared" si="14"/>
        <v>16775.386715327546</v>
      </c>
      <c r="H79" s="66">
        <f t="shared" si="14"/>
        <v>3131494.2061227486</v>
      </c>
      <c r="I79" s="66">
        <f t="shared" si="14"/>
        <v>830161.04201628058</v>
      </c>
      <c r="J79" s="66">
        <f t="shared" si="14"/>
        <v>314869.23307629285</v>
      </c>
      <c r="K79" s="66">
        <f t="shared" si="14"/>
        <v>1226911.3206975076</v>
      </c>
      <c r="L79" s="66">
        <f t="shared" si="14"/>
        <v>4167281.7644956675</v>
      </c>
      <c r="M79" s="66">
        <f t="shared" si="14"/>
        <v>5323925.6069951076</v>
      </c>
      <c r="N79" s="66">
        <f t="shared" si="14"/>
        <v>0</v>
      </c>
      <c r="O79" s="66">
        <f t="shared" si="14"/>
        <v>0</v>
      </c>
      <c r="P79" s="66">
        <f t="shared" si="14"/>
        <v>0</v>
      </c>
      <c r="Q79" s="66">
        <f t="shared" si="14"/>
        <v>0</v>
      </c>
      <c r="R79" s="66">
        <f t="shared" si="14"/>
        <v>0</v>
      </c>
      <c r="S79" s="66">
        <f t="shared" ref="S79:AF79" si="15">S49+S55+S60+S65+S68+S71+S74+S77</f>
        <v>0</v>
      </c>
      <c r="T79" s="66">
        <f t="shared" si="15"/>
        <v>0</v>
      </c>
      <c r="U79" s="66">
        <f t="shared" si="15"/>
        <v>0</v>
      </c>
      <c r="V79" s="66">
        <f t="shared" si="15"/>
        <v>0</v>
      </c>
      <c r="W79" s="66">
        <f t="shared" si="15"/>
        <v>0</v>
      </c>
      <c r="X79" s="66">
        <f t="shared" si="15"/>
        <v>0</v>
      </c>
      <c r="Y79" s="66">
        <f t="shared" si="15"/>
        <v>0</v>
      </c>
      <c r="Z79" s="66">
        <f t="shared" si="15"/>
        <v>0</v>
      </c>
      <c r="AA79" s="66">
        <f t="shared" si="15"/>
        <v>0</v>
      </c>
      <c r="AB79" s="66">
        <f t="shared" si="15"/>
        <v>0</v>
      </c>
      <c r="AC79" s="66">
        <f t="shared" si="15"/>
        <v>0</v>
      </c>
      <c r="AD79" s="66">
        <f t="shared" si="15"/>
        <v>0</v>
      </c>
      <c r="AE79" s="66">
        <f t="shared" si="15"/>
        <v>0</v>
      </c>
      <c r="AF79" s="66">
        <f t="shared" si="15"/>
        <v>0</v>
      </c>
      <c r="AG79" s="93">
        <f>SUM(F79:AF79)</f>
        <v>73913037.009998947</v>
      </c>
      <c r="AH79" s="30" t="str">
        <f>IF(ABS(E79-AG79)&lt;0.01,"ok","err")</f>
        <v>ok</v>
      </c>
    </row>
    <row r="80" spans="1:34" x14ac:dyDescent="0.2">
      <c r="F80" s="48">
        <f>F79/E79</f>
        <v>0.7969043193545271</v>
      </c>
    </row>
    <row r="82" spans="1:34" x14ac:dyDescent="0.2">
      <c r="A82" s="28" t="s">
        <v>249</v>
      </c>
    </row>
    <row r="84" spans="1:34" x14ac:dyDescent="0.2">
      <c r="A84" s="13" t="s">
        <v>895</v>
      </c>
    </row>
    <row r="85" spans="1:34" x14ac:dyDescent="0.2">
      <c r="A85" s="96" t="s">
        <v>209</v>
      </c>
      <c r="C85" s="14" t="s">
        <v>250</v>
      </c>
      <c r="D85" s="14" t="s">
        <v>657</v>
      </c>
      <c r="E85" s="66">
        <f>'Func &amp; Classif'!H144</f>
        <v>0</v>
      </c>
      <c r="F85" s="66">
        <f>IF(VLOOKUP($D85,$C$5:$AU$502,3,)=0,0,(VLOOKUP($D85,$C$5:$AU$502,4,)/VLOOKUP($D85,$C$5:$AU$502,3,))*$E85)</f>
        <v>0</v>
      </c>
      <c r="G85" s="66">
        <f>IF(VLOOKUP($D85,$C$5:$AU$502,3,)=0,0,(VLOOKUP($D85,$C$5:$AU$502,5,)/VLOOKUP($D85,$C$5:$AU$502,3,))*$E85)</f>
        <v>0</v>
      </c>
      <c r="H85" s="66">
        <f>IF(VLOOKUP($D85,$C$5:$AU$502,3,)=0,0,(VLOOKUP($D85,$C$5:$AU$502,6,)/VLOOKUP($D85,$C$5:$AU$502,3,))*$E85)</f>
        <v>0</v>
      </c>
      <c r="I85" s="66">
        <f>IF(VLOOKUP($D85,$C$5:$AU$502,3,)=0,0,(VLOOKUP($D85,$C$5:$AU$502,7,)/VLOOKUP($D85,$C$5:$AU$502,3,))*$E85)</f>
        <v>0</v>
      </c>
      <c r="J85" s="66">
        <f>IF(VLOOKUP($D85,$C$5:$AU$502,3,)=0,0,(VLOOKUP($D85,$C$5:$AU$502,8,)/VLOOKUP($D85,$C$5:$AU$502,3,))*$E85)</f>
        <v>0</v>
      </c>
      <c r="K85" s="66">
        <f>IF(VLOOKUP($D85,$C$5:$AU$502,3,)=0,0,(VLOOKUP($D85,$C$5:$AU$502,9,)/VLOOKUP($D85,$C$5:$AU$502,3,))*$E85)</f>
        <v>0</v>
      </c>
      <c r="L85" s="66">
        <f>IF(VLOOKUP($D85,$C$5:$AU$502,3,)=0,0,(VLOOKUP($D85,$C$5:$AU$502,10,)/VLOOKUP($D85,$C$5:$AU$502,3,))*$E85)</f>
        <v>0</v>
      </c>
      <c r="M85" s="66">
        <f>IF(VLOOKUP($D85,$C$5:$AU$502,3,)=0,0,(VLOOKUP($D85,$C$5:$AU$502,11,)/VLOOKUP($D85,$C$5:$AU$502,3,))*$E85)</f>
        <v>0</v>
      </c>
      <c r="N85" s="66">
        <f>IF(VLOOKUP($D85,$C$5:$AU$502,3,)=0,0,(VLOOKUP($D85,$C$5:$AU$502,12,)/VLOOKUP($D85,$C$5:$AU$502,3,))*$E85)</f>
        <v>0</v>
      </c>
      <c r="O85" s="66">
        <f>IF(VLOOKUP($D85,$C$5:$AU$502,3,)=0,0,(VLOOKUP($D85,$C$5:$AU$502,13,)/VLOOKUP($D85,$C$5:$AU$502,3,))*$E85)</f>
        <v>0</v>
      </c>
      <c r="P85" s="66">
        <f>IF(VLOOKUP($D85,$C$5:$AU$502,3,)=0,0,(VLOOKUP($D85,$C$5:$AU$502,14,)/VLOOKUP($D85,$C$5:$AU$502,3,))*$E85)</f>
        <v>0</v>
      </c>
      <c r="Q85" s="66">
        <f>IF(VLOOKUP($D85,$C$5:$AU$502,3,)=0,0,(VLOOKUP($D85,$C$5:$AU$502,15,)/VLOOKUP($D85,$C$5:$AU$502,3,))*$E85)</f>
        <v>0</v>
      </c>
      <c r="R85" s="66">
        <f>IF(VLOOKUP($D85,$C$5:$AU$502,3,)=0,0,(VLOOKUP($D85,$C$5:$AU$502,16,)/VLOOKUP($D85,$C$5:$AU$502,3,))*$E85)</f>
        <v>0</v>
      </c>
      <c r="S85" s="66">
        <f>IF(VLOOKUP($D85,$C$5:$AU$502,3,)=0,0,(VLOOKUP($D85,$C$5:$AU$502,17,)/VLOOKUP($D85,$C$5:$AU$502,3,))*$E85)</f>
        <v>0</v>
      </c>
      <c r="T85" s="66">
        <f>IF(VLOOKUP($D85,$C$5:$AU$502,3,)=0,0,(VLOOKUP($D85,$C$5:$AU$502,18,)/VLOOKUP($D85,$C$5:$AU$502,3,))*$E85)</f>
        <v>0</v>
      </c>
      <c r="U85" s="66">
        <f>IF(VLOOKUP($D85,$C$5:$AU$502,3,)=0,0,(VLOOKUP($D85,$C$5:$AU$502,19,)/VLOOKUP($D85,$C$5:$AU$502,3,))*$E85)</f>
        <v>0</v>
      </c>
      <c r="V85" s="66">
        <f>IF(VLOOKUP($D85,$C$5:$AU$502,3,)=0,0,(VLOOKUP($D85,$C$5:$AU$502,20,)/VLOOKUP($D85,$C$5:$AU$502,3,))*$E85)</f>
        <v>0</v>
      </c>
      <c r="W85" s="66">
        <f>IF(VLOOKUP($D85,$C$5:$AU$502,3,)=0,0,(VLOOKUP($D85,$C$5:$AU$502,21,)/VLOOKUP($D85,$C$5:$AU$502,3,))*$E85)</f>
        <v>0</v>
      </c>
      <c r="X85" s="66">
        <f>IF(VLOOKUP($D85,$C$5:$AU$502,3,)=0,0,(VLOOKUP($D85,$C$5:$AU$502,22,)/VLOOKUP($D85,$C$5:$AU$502,3,))*$E85)</f>
        <v>0</v>
      </c>
      <c r="Y85" s="66">
        <f>IF(VLOOKUP($D85,$C$5:$AU$502,3,)=0,0,(VLOOKUP($D85,$C$5:$AU$502,23,)/VLOOKUP($D85,$C$5:$AU$502,3,))*$E85)</f>
        <v>0</v>
      </c>
      <c r="Z85" s="66">
        <f>IF(VLOOKUP($D85,$C$5:$AU$502,3,)=0,0,(VLOOKUP($D85,$C$5:$AU$502,24,)/VLOOKUP($D85,$C$5:$AU$502,3,))*$E85)</f>
        <v>0</v>
      </c>
      <c r="AA85" s="66">
        <f>IF(VLOOKUP($D85,$C$5:$AU$502,3,)=0,0,(VLOOKUP($D85,$C$5:$AU$502,25,)/VLOOKUP($D85,$C$5:$AU$502,3,))*$E85)</f>
        <v>0</v>
      </c>
      <c r="AB85" s="66">
        <f>IF(VLOOKUP($D85,$C$5:$AU$502,3,)=0,0,(VLOOKUP($D85,$C$5:$AU$502,26,)/VLOOKUP($D85,$C$5:$AU$502,3,))*$E85)</f>
        <v>0</v>
      </c>
      <c r="AC85" s="66">
        <f>IF(VLOOKUP($D85,$C$5:$AU$502,3,)=0,0,(VLOOKUP($D85,$C$5:$AU$502,27,)/VLOOKUP($D85,$C$5:$AU$502,3,))*$E85)</f>
        <v>0</v>
      </c>
      <c r="AD85" s="66">
        <f>IF(VLOOKUP($D85,$C$5:$AU$502,3,)=0,0,(VLOOKUP($D85,$C$5:$AU$502,28,)/VLOOKUP($D85,$C$5:$AU$502,3,))*$E85)</f>
        <v>0</v>
      </c>
      <c r="AE85" s="66">
        <f>IF(VLOOKUP($D85,$C$5:$AU$502,3,)=0,0,(VLOOKUP($D85,$C$5:$AU$502,29,)/VLOOKUP($D85,$C$5:$AU$502,3,))*$E85)</f>
        <v>0</v>
      </c>
      <c r="AF85" s="66">
        <f>IF(VLOOKUP($D85,$C$5:$AU$502,3,)=0,0,(VLOOKUP($D85,$C$5:$AU$502,30,)/VLOOKUP($D85,$C$5:$AU$502,3,))*$E85)</f>
        <v>0</v>
      </c>
      <c r="AG85" s="93">
        <f>SUM(F85:AF85)</f>
        <v>0</v>
      </c>
      <c r="AH85" s="30" t="str">
        <f>IF(ABS(E85-AG85)&lt;0.01,"ok","err")</f>
        <v>ok</v>
      </c>
    </row>
    <row r="86" spans="1:34" x14ac:dyDescent="0.2">
      <c r="A86" s="96" t="s">
        <v>212</v>
      </c>
      <c r="C86" s="14" t="s">
        <v>251</v>
      </c>
      <c r="D86" s="14" t="s">
        <v>666</v>
      </c>
      <c r="E86" s="50">
        <f>'Func &amp; Classif'!I144</f>
        <v>0</v>
      </c>
      <c r="F86" s="66">
        <f>IF(VLOOKUP($D86,$C$5:$AU$502,3,)=0,0,(VLOOKUP($D86,$C$5:$AU$502,4,)/VLOOKUP($D86,$C$5:$AU$502,3,))*$E86)</f>
        <v>0</v>
      </c>
      <c r="G86" s="66">
        <f>IF(VLOOKUP($D86,$C$5:$AU$502,3,)=0,0,(VLOOKUP($D86,$C$5:$AU$502,5,)/VLOOKUP($D86,$C$5:$AU$502,3,))*$E86)</f>
        <v>0</v>
      </c>
      <c r="H86" s="66">
        <f>IF(VLOOKUP($D86,$C$5:$AU$502,3,)=0,0,(VLOOKUP($D86,$C$5:$AU$502,6,)/VLOOKUP($D86,$C$5:$AU$502,3,))*$E86)</f>
        <v>0</v>
      </c>
      <c r="I86" s="66">
        <f>IF(VLOOKUP($D86,$C$5:$AU$502,3,)=0,0,(VLOOKUP($D86,$C$5:$AU$502,7,)/VLOOKUP($D86,$C$5:$AU$502,3,))*$E86)</f>
        <v>0</v>
      </c>
      <c r="J86" s="66">
        <f>IF(VLOOKUP($D86,$C$5:$AU$502,3,)=0,0,(VLOOKUP($D86,$C$5:$AU$502,8,)/VLOOKUP($D86,$C$5:$AU$502,3,))*$E86)</f>
        <v>0</v>
      </c>
      <c r="K86" s="66">
        <f>IF(VLOOKUP($D86,$C$5:$AU$502,3,)=0,0,(VLOOKUP($D86,$C$5:$AU$502,9,)/VLOOKUP($D86,$C$5:$AU$502,3,))*$E86)</f>
        <v>0</v>
      </c>
      <c r="L86" s="66">
        <f>IF(VLOOKUP($D86,$C$5:$AU$502,3,)=0,0,(VLOOKUP($D86,$C$5:$AU$502,10,)/VLOOKUP($D86,$C$5:$AU$502,3,))*$E86)</f>
        <v>0</v>
      </c>
      <c r="M86" s="66">
        <f>IF(VLOOKUP($D86,$C$5:$AU$502,3,)=0,0,(VLOOKUP($D86,$C$5:$AU$502,11,)/VLOOKUP($D86,$C$5:$AU$502,3,))*$E86)</f>
        <v>0</v>
      </c>
      <c r="N86" s="66">
        <f>IF(VLOOKUP($D86,$C$5:$AU$502,3,)=0,0,(VLOOKUP($D86,$C$5:$AU$502,12,)/VLOOKUP($D86,$C$5:$AU$502,3,))*$E86)</f>
        <v>0</v>
      </c>
      <c r="O86" s="66">
        <f>IF(VLOOKUP($D86,$C$5:$AU$502,3,)=0,0,(VLOOKUP($D86,$C$5:$AU$502,13,)/VLOOKUP($D86,$C$5:$AU$502,3,))*$E86)</f>
        <v>0</v>
      </c>
      <c r="P86" s="66">
        <f>IF(VLOOKUP($D86,$C$5:$AU$502,3,)=0,0,(VLOOKUP($D86,$C$5:$AU$502,14,)/VLOOKUP($D86,$C$5:$AU$502,3,))*$E86)</f>
        <v>0</v>
      </c>
      <c r="Q86" s="66">
        <f>IF(VLOOKUP($D86,$C$5:$AU$502,3,)=0,0,(VLOOKUP($D86,$C$5:$AU$502,15,)/VLOOKUP($D86,$C$5:$AU$502,3,))*$E86)</f>
        <v>0</v>
      </c>
      <c r="R86" s="66">
        <f>IF(VLOOKUP($D86,$C$5:$AU$502,3,)=0,0,(VLOOKUP($D86,$C$5:$AU$502,16,)/VLOOKUP($D86,$C$5:$AU$502,3,))*$E86)</f>
        <v>0</v>
      </c>
      <c r="S86" s="66">
        <f>IF(VLOOKUP($D86,$C$5:$AU$502,3,)=0,0,(VLOOKUP($D86,$C$5:$AU$502,17,)/VLOOKUP($D86,$C$5:$AU$502,3,))*$E86)</f>
        <v>0</v>
      </c>
      <c r="T86" s="66">
        <f>IF(VLOOKUP($D86,$C$5:$AU$502,3,)=0,0,(VLOOKUP($D86,$C$5:$AU$502,18,)/VLOOKUP($D86,$C$5:$AU$502,3,))*$E86)</f>
        <v>0</v>
      </c>
      <c r="U86" s="66">
        <f>IF(VLOOKUP($D86,$C$5:$AU$502,3,)=0,0,(VLOOKUP($D86,$C$5:$AU$502,19,)/VLOOKUP($D86,$C$5:$AU$502,3,))*$E86)</f>
        <v>0</v>
      </c>
      <c r="V86" s="66">
        <f>IF(VLOOKUP($D86,$C$5:$AU$502,3,)=0,0,(VLOOKUP($D86,$C$5:$AU$502,20,)/VLOOKUP($D86,$C$5:$AU$502,3,))*$E86)</f>
        <v>0</v>
      </c>
      <c r="W86" s="66">
        <f>IF(VLOOKUP($D86,$C$5:$AU$502,3,)=0,0,(VLOOKUP($D86,$C$5:$AU$502,21,)/VLOOKUP($D86,$C$5:$AU$502,3,))*$E86)</f>
        <v>0</v>
      </c>
      <c r="X86" s="66">
        <f>IF(VLOOKUP($D86,$C$5:$AU$502,3,)=0,0,(VLOOKUP($D86,$C$5:$AU$502,22,)/VLOOKUP($D86,$C$5:$AU$502,3,))*$E86)</f>
        <v>0</v>
      </c>
      <c r="Y86" s="66">
        <f>IF(VLOOKUP($D86,$C$5:$AU$502,3,)=0,0,(VLOOKUP($D86,$C$5:$AU$502,23,)/VLOOKUP($D86,$C$5:$AU$502,3,))*$E86)</f>
        <v>0</v>
      </c>
      <c r="Z86" s="66">
        <f>IF(VLOOKUP($D86,$C$5:$AU$502,3,)=0,0,(VLOOKUP($D86,$C$5:$AU$502,24,)/VLOOKUP($D86,$C$5:$AU$502,3,))*$E86)</f>
        <v>0</v>
      </c>
      <c r="AA86" s="66">
        <f>IF(VLOOKUP($D86,$C$5:$AU$502,3,)=0,0,(VLOOKUP($D86,$C$5:$AU$502,25,)/VLOOKUP($D86,$C$5:$AU$502,3,))*$E86)</f>
        <v>0</v>
      </c>
      <c r="AB86" s="66">
        <f>IF(VLOOKUP($D86,$C$5:$AU$502,3,)=0,0,(VLOOKUP($D86,$C$5:$AU$502,26,)/VLOOKUP($D86,$C$5:$AU$502,3,))*$E86)</f>
        <v>0</v>
      </c>
      <c r="AC86" s="66">
        <f>IF(VLOOKUP($D86,$C$5:$AU$502,3,)=0,0,(VLOOKUP($D86,$C$5:$AU$502,27,)/VLOOKUP($D86,$C$5:$AU$502,3,))*$E86)</f>
        <v>0</v>
      </c>
      <c r="AD86" s="66">
        <f>IF(VLOOKUP($D86,$C$5:$AU$502,3,)=0,0,(VLOOKUP($D86,$C$5:$AU$502,28,)/VLOOKUP($D86,$C$5:$AU$502,3,))*$E86)</f>
        <v>0</v>
      </c>
      <c r="AE86" s="66">
        <f>IF(VLOOKUP($D86,$C$5:$AU$502,3,)=0,0,(VLOOKUP($D86,$C$5:$AU$502,29,)/VLOOKUP($D86,$C$5:$AU$502,3,))*$E86)</f>
        <v>0</v>
      </c>
      <c r="AF86" s="66">
        <f>IF(VLOOKUP($D86,$C$5:$AU$502,3,)=0,0,(VLOOKUP($D86,$C$5:$AU$502,30,)/VLOOKUP($D86,$C$5:$AU$502,3,))*$E86)</f>
        <v>0</v>
      </c>
      <c r="AG86" s="93">
        <f>SUM(F86:AF86)</f>
        <v>0</v>
      </c>
      <c r="AH86" s="30" t="str">
        <f>IF(ABS(E86-AG86)&lt;0.01,"ok","err")</f>
        <v>ok</v>
      </c>
    </row>
    <row r="87" spans="1:34" x14ac:dyDescent="0.2">
      <c r="A87" s="14" t="s">
        <v>215</v>
      </c>
      <c r="C87" s="14" t="s">
        <v>252</v>
      </c>
      <c r="E87" s="50">
        <f t="shared" ref="E87:T87" si="16">E85+E86</f>
        <v>0</v>
      </c>
      <c r="F87" s="66">
        <f t="shared" si="16"/>
        <v>0</v>
      </c>
      <c r="G87" s="66">
        <f t="shared" si="16"/>
        <v>0</v>
      </c>
      <c r="H87" s="66">
        <f t="shared" si="16"/>
        <v>0</v>
      </c>
      <c r="I87" s="66">
        <f t="shared" si="16"/>
        <v>0</v>
      </c>
      <c r="J87" s="66">
        <f t="shared" si="16"/>
        <v>0</v>
      </c>
      <c r="K87" s="66">
        <f t="shared" si="16"/>
        <v>0</v>
      </c>
      <c r="L87" s="66">
        <f t="shared" si="16"/>
        <v>0</v>
      </c>
      <c r="M87" s="66">
        <f t="shared" si="16"/>
        <v>0</v>
      </c>
      <c r="N87" s="66">
        <f t="shared" si="16"/>
        <v>0</v>
      </c>
      <c r="O87" s="66">
        <f t="shared" si="16"/>
        <v>0</v>
      </c>
      <c r="P87" s="66">
        <f t="shared" si="16"/>
        <v>0</v>
      </c>
      <c r="Q87" s="66">
        <f t="shared" si="16"/>
        <v>0</v>
      </c>
      <c r="R87" s="66">
        <f t="shared" si="16"/>
        <v>0</v>
      </c>
      <c r="S87" s="66">
        <f t="shared" si="16"/>
        <v>0</v>
      </c>
      <c r="T87" s="66">
        <f t="shared" si="16"/>
        <v>0</v>
      </c>
      <c r="U87" s="66">
        <f t="shared" ref="U87:AF87" si="17">U85+U86</f>
        <v>0</v>
      </c>
      <c r="V87" s="66">
        <f t="shared" si="17"/>
        <v>0</v>
      </c>
      <c r="W87" s="66">
        <f t="shared" si="17"/>
        <v>0</v>
      </c>
      <c r="X87" s="66">
        <f t="shared" si="17"/>
        <v>0</v>
      </c>
      <c r="Y87" s="66">
        <f t="shared" si="17"/>
        <v>0</v>
      </c>
      <c r="Z87" s="66">
        <f t="shared" si="17"/>
        <v>0</v>
      </c>
      <c r="AA87" s="66">
        <f t="shared" si="17"/>
        <v>0</v>
      </c>
      <c r="AB87" s="66">
        <f t="shared" si="17"/>
        <v>0</v>
      </c>
      <c r="AC87" s="66">
        <f t="shared" si="17"/>
        <v>0</v>
      </c>
      <c r="AD87" s="66">
        <f t="shared" si="17"/>
        <v>0</v>
      </c>
      <c r="AE87" s="66">
        <f t="shared" si="17"/>
        <v>0</v>
      </c>
      <c r="AF87" s="66">
        <f t="shared" si="17"/>
        <v>0</v>
      </c>
      <c r="AG87" s="93">
        <f>SUM(F87:AF87)</f>
        <v>0</v>
      </c>
      <c r="AH87" s="30" t="str">
        <f>IF(ABS(E87-AG87)&lt;0.01,"ok","err")</f>
        <v>ok</v>
      </c>
    </row>
    <row r="88" spans="1:34" x14ac:dyDescent="0.2">
      <c r="E88" s="50"/>
      <c r="F88" s="50"/>
    </row>
    <row r="89" spans="1:34" x14ac:dyDescent="0.2">
      <c r="A89" s="13" t="s">
        <v>350</v>
      </c>
      <c r="E89" s="50"/>
      <c r="F89" s="50"/>
    </row>
    <row r="90" spans="1:34" x14ac:dyDescent="0.2">
      <c r="A90" s="96" t="s">
        <v>209</v>
      </c>
      <c r="C90" s="14" t="s">
        <v>886</v>
      </c>
      <c r="D90" s="14" t="s">
        <v>599</v>
      </c>
      <c r="E90" s="66">
        <f>'Func &amp; Classif'!K144</f>
        <v>0</v>
      </c>
      <c r="F90" s="66">
        <f>IF(VLOOKUP($D90,$C$5:$AU$502,3,)=0,0,(VLOOKUP($D90,$C$5:$AU$502,4,)/VLOOKUP($D90,$C$5:$AU$502,3,))*$E90)</f>
        <v>0</v>
      </c>
      <c r="G90" s="66">
        <f>IF(VLOOKUP($D90,$C$5:$AU$502,3,)=0,0,(VLOOKUP($D90,$C$5:$AU$502,5,)/VLOOKUP($D90,$C$5:$AU$502,3,))*$E90)</f>
        <v>0</v>
      </c>
      <c r="H90" s="66">
        <f>IF(VLOOKUP($D90,$C$5:$AU$502,3,)=0,0,(VLOOKUP($D90,$C$5:$AU$502,6,)/VLOOKUP($D90,$C$5:$AU$502,3,))*$E90)</f>
        <v>0</v>
      </c>
      <c r="I90" s="66">
        <f>IF(VLOOKUP($D90,$C$5:$AU$502,3,)=0,0,(VLOOKUP($D90,$C$5:$AU$502,7,)/VLOOKUP($D90,$C$5:$AU$502,3,))*$E90)</f>
        <v>0</v>
      </c>
      <c r="J90" s="66">
        <f>IF(VLOOKUP($D90,$C$5:$AU$502,3,)=0,0,(VLOOKUP($D90,$C$5:$AU$502,8,)/VLOOKUP($D90,$C$5:$AU$502,3,))*$E90)</f>
        <v>0</v>
      </c>
      <c r="K90" s="66">
        <f>IF(VLOOKUP($D90,$C$5:$AU$502,3,)=0,0,(VLOOKUP($D90,$C$5:$AU$502,9,)/VLOOKUP($D90,$C$5:$AU$502,3,))*$E90)</f>
        <v>0</v>
      </c>
      <c r="L90" s="66">
        <f>IF(VLOOKUP($D90,$C$5:$AU$502,3,)=0,0,(VLOOKUP($D90,$C$5:$AU$502,10,)/VLOOKUP($D90,$C$5:$AU$502,3,))*$E90)</f>
        <v>0</v>
      </c>
      <c r="M90" s="66">
        <f>IF(VLOOKUP($D90,$C$5:$AU$502,3,)=0,0,(VLOOKUP($D90,$C$5:$AU$502,11,)/VLOOKUP($D90,$C$5:$AU$502,3,))*$E90)</f>
        <v>0</v>
      </c>
      <c r="N90" s="66">
        <f>IF(VLOOKUP($D90,$C$5:$AU$502,3,)=0,0,(VLOOKUP($D90,$C$5:$AU$502,12,)/VLOOKUP($D90,$C$5:$AU$502,3,))*$E90)</f>
        <v>0</v>
      </c>
      <c r="O90" s="66">
        <f>IF(VLOOKUP($D90,$C$5:$AU$502,3,)=0,0,(VLOOKUP($D90,$C$5:$AU$502,13,)/VLOOKUP($D90,$C$5:$AU$502,3,))*$E90)</f>
        <v>0</v>
      </c>
      <c r="P90" s="66">
        <f>IF(VLOOKUP($D90,$C$5:$AU$502,3,)=0,0,(VLOOKUP($D90,$C$5:$AU$502,14,)/VLOOKUP($D90,$C$5:$AU$502,3,))*$E90)</f>
        <v>0</v>
      </c>
      <c r="Q90" s="66">
        <f>IF(VLOOKUP($D90,$C$5:$AU$502,3,)=0,0,(VLOOKUP($D90,$C$5:$AU$502,15,)/VLOOKUP($D90,$C$5:$AU$502,3,))*$E90)</f>
        <v>0</v>
      </c>
      <c r="R90" s="66">
        <f>IF(VLOOKUP($D90,$C$5:$AU$502,3,)=0,0,(VLOOKUP($D90,$C$5:$AU$502,16,)/VLOOKUP($D90,$C$5:$AU$502,3,))*$E90)</f>
        <v>0</v>
      </c>
      <c r="S90" s="66">
        <f>IF(VLOOKUP($D90,$C$5:$AU$502,3,)=0,0,(VLOOKUP($D90,$C$5:$AU$502,17,)/VLOOKUP($D90,$C$5:$AU$502,3,))*$E90)</f>
        <v>0</v>
      </c>
      <c r="T90" s="66">
        <f>IF(VLOOKUP($D90,$C$5:$AU$502,3,)=0,0,(VLOOKUP($D90,$C$5:$AU$502,18,)/VLOOKUP($D90,$C$5:$AU$502,3,))*$E90)</f>
        <v>0</v>
      </c>
      <c r="U90" s="66">
        <f>IF(VLOOKUP($D90,$C$5:$AU$502,3,)=0,0,(VLOOKUP($D90,$C$5:$AU$502,19,)/VLOOKUP($D90,$C$5:$AU$502,3,))*$E90)</f>
        <v>0</v>
      </c>
      <c r="V90" s="66">
        <f>IF(VLOOKUP($D90,$C$5:$AU$502,3,)=0,0,(VLOOKUP($D90,$C$5:$AU$502,20,)/VLOOKUP($D90,$C$5:$AU$502,3,))*$E90)</f>
        <v>0</v>
      </c>
      <c r="W90" s="66">
        <f>IF(VLOOKUP($D90,$C$5:$AU$502,3,)=0,0,(VLOOKUP($D90,$C$5:$AU$502,21,)/VLOOKUP($D90,$C$5:$AU$502,3,))*$E90)</f>
        <v>0</v>
      </c>
      <c r="X90" s="66">
        <f>IF(VLOOKUP($D90,$C$5:$AU$502,3,)=0,0,(VLOOKUP($D90,$C$5:$AU$502,22,)/VLOOKUP($D90,$C$5:$AU$502,3,))*$E90)</f>
        <v>0</v>
      </c>
      <c r="Y90" s="66">
        <f>IF(VLOOKUP($D90,$C$5:$AU$502,3,)=0,0,(VLOOKUP($D90,$C$5:$AU$502,23,)/VLOOKUP($D90,$C$5:$AU$502,3,))*$E90)</f>
        <v>0</v>
      </c>
      <c r="Z90" s="66">
        <f>IF(VLOOKUP($D90,$C$5:$AU$502,3,)=0,0,(VLOOKUP($D90,$C$5:$AU$502,24,)/VLOOKUP($D90,$C$5:$AU$502,3,))*$E90)</f>
        <v>0</v>
      </c>
      <c r="AA90" s="66">
        <f>IF(VLOOKUP($D90,$C$5:$AU$502,3,)=0,0,(VLOOKUP($D90,$C$5:$AU$502,25,)/VLOOKUP($D90,$C$5:$AU$502,3,))*$E90)</f>
        <v>0</v>
      </c>
      <c r="AB90" s="66">
        <f>IF(VLOOKUP($D90,$C$5:$AU$502,3,)=0,0,(VLOOKUP($D90,$C$5:$AU$502,26,)/VLOOKUP($D90,$C$5:$AU$502,3,))*$E90)</f>
        <v>0</v>
      </c>
      <c r="AC90" s="66">
        <f>IF(VLOOKUP($D90,$C$5:$AU$502,3,)=0,0,(VLOOKUP($D90,$C$5:$AU$502,27,)/VLOOKUP($D90,$C$5:$AU$502,3,))*$E90)</f>
        <v>0</v>
      </c>
      <c r="AD90" s="66">
        <f>IF(VLOOKUP($D90,$C$5:$AU$502,3,)=0,0,(VLOOKUP($D90,$C$5:$AU$502,28,)/VLOOKUP($D90,$C$5:$AU$502,3,))*$E90)</f>
        <v>0</v>
      </c>
      <c r="AE90" s="66">
        <f>IF(VLOOKUP($D90,$C$5:$AU$502,3,)=0,0,(VLOOKUP($D90,$C$5:$AU$502,29,)/VLOOKUP($D90,$C$5:$AU$502,3,))*$E90)</f>
        <v>0</v>
      </c>
      <c r="AF90" s="66">
        <f>IF(VLOOKUP($D90,$C$5:$AU$502,3,)=0,0,(VLOOKUP($D90,$C$5:$AU$502,30,)/VLOOKUP($D90,$C$5:$AU$502,3,))*$E90)</f>
        <v>0</v>
      </c>
      <c r="AG90" s="93">
        <f>SUM(F90:AF90)</f>
        <v>0</v>
      </c>
      <c r="AH90" s="30" t="str">
        <f>IF(ABS(E90-AG90)&lt;0.01,"ok","err")</f>
        <v>ok</v>
      </c>
    </row>
    <row r="91" spans="1:34" x14ac:dyDescent="0.2">
      <c r="E91" s="50"/>
    </row>
    <row r="92" spans="1:34" x14ac:dyDescent="0.2">
      <c r="A92" s="13" t="s">
        <v>1</v>
      </c>
      <c r="E92" s="50"/>
      <c r="F92" s="50"/>
    </row>
    <row r="93" spans="1:34" x14ac:dyDescent="0.2">
      <c r="A93" s="96" t="s">
        <v>209</v>
      </c>
      <c r="C93" s="14" t="s">
        <v>253</v>
      </c>
      <c r="D93" s="14" t="s">
        <v>615</v>
      </c>
      <c r="E93" s="66">
        <f>'Func &amp; Classif'!M144</f>
        <v>3638.7743822445836</v>
      </c>
      <c r="F93" s="66">
        <f>IF(VLOOKUP($D93,$C$5:$AU$502,3,)=0,0,(VLOOKUP($D93,$C$5:$AU$502,4,)/VLOOKUP($D93,$C$5:$AU$502,3,))*$E93)</f>
        <v>2493.4228074591638</v>
      </c>
      <c r="G93" s="66">
        <f>IF(VLOOKUP($D93,$C$5:$AU$502,3,)=0,0,(VLOOKUP($D93,$C$5:$AU$502,5,)/VLOOKUP($D93,$C$5:$AU$502,3,))*$E93)</f>
        <v>0.49118329570274094</v>
      </c>
      <c r="H93" s="66">
        <f>IF(VLOOKUP($D93,$C$5:$AU$502,3,)=0,0,(VLOOKUP($D93,$C$5:$AU$502,6,)/VLOOKUP($D93,$C$5:$AU$502,3,))*$E93)</f>
        <v>185.89577746133466</v>
      </c>
      <c r="I93" s="66">
        <f>IF(VLOOKUP($D93,$C$5:$AU$502,3,)=0,0,(VLOOKUP($D93,$C$5:$AU$502,7,)/VLOOKUP($D93,$C$5:$AU$502,3,))*$E93)</f>
        <v>121.81517617030094</v>
      </c>
      <c r="J93" s="66">
        <f>IF(VLOOKUP($D93,$C$5:$AU$502,3,)=0,0,(VLOOKUP($D93,$C$5:$AU$502,8,)/VLOOKUP($D93,$C$5:$AU$502,3,))*$E93)</f>
        <v>6.3018902834966619</v>
      </c>
      <c r="K93" s="66">
        <f>IF(VLOOKUP($D93,$C$5:$AU$502,3,)=0,0,(VLOOKUP($D93,$C$5:$AU$502,9,)/VLOOKUP($D93,$C$5:$AU$502,3,))*$E93)</f>
        <v>49.112453218406969</v>
      </c>
      <c r="L93" s="66">
        <f>IF(VLOOKUP($D93,$C$5:$AU$502,3,)=0,0,(VLOOKUP($D93,$C$5:$AU$502,10,)/VLOOKUP($D93,$C$5:$AU$502,3,))*$E93)</f>
        <v>738.85128374563249</v>
      </c>
      <c r="M93" s="66">
        <f>IF(VLOOKUP($D93,$C$5:$AU$502,3,)=0,0,(VLOOKUP($D93,$C$5:$AU$502,11,)/VLOOKUP($D93,$C$5:$AU$502,3,))*$E93)</f>
        <v>42.883809536887462</v>
      </c>
      <c r="N93" s="66">
        <f>IF(VLOOKUP($D93,$C$5:$AU$502,3,)=0,0,(VLOOKUP($D93,$C$5:$AU$502,12,)/VLOOKUP($D93,$C$5:$AU$502,3,))*$E93)</f>
        <v>0</v>
      </c>
      <c r="O93" s="66">
        <f>IF(VLOOKUP($D93,$C$5:$AU$502,3,)=0,0,(VLOOKUP($D93,$C$5:$AU$502,13,)/VLOOKUP($D93,$C$5:$AU$502,3,))*$E93)</f>
        <v>0</v>
      </c>
      <c r="P93" s="66">
        <f>IF(VLOOKUP($D93,$C$5:$AU$502,3,)=0,0,(VLOOKUP($D93,$C$5:$AU$502,14,)/VLOOKUP($D93,$C$5:$AU$502,3,))*$E93)</f>
        <v>0</v>
      </c>
      <c r="Q93" s="66">
        <f>IF(VLOOKUP($D93,$C$5:$AU$502,3,)=0,0,(VLOOKUP($D93,$C$5:$AU$502,15,)/VLOOKUP($D93,$C$5:$AU$502,3,))*$E93)</f>
        <v>0</v>
      </c>
      <c r="R93" s="66">
        <f>IF(VLOOKUP($D93,$C$5:$AU$502,3,)=0,0,(VLOOKUP($D93,$C$5:$AU$502,16,)/VLOOKUP($D93,$C$5:$AU$502,3,))*$E93)</f>
        <v>0</v>
      </c>
      <c r="S93" s="66">
        <f>IF(VLOOKUP($D93,$C$5:$AU$502,3,)=0,0,(VLOOKUP($D93,$C$5:$AU$502,17,)/VLOOKUP($D93,$C$5:$AU$502,3,))*$E93)</f>
        <v>0</v>
      </c>
      <c r="T93" s="66">
        <f>IF(VLOOKUP($D93,$C$5:$AU$502,3,)=0,0,(VLOOKUP($D93,$C$5:$AU$502,18,)/VLOOKUP($D93,$C$5:$AU$502,3,))*$E93)</f>
        <v>0</v>
      </c>
      <c r="U93" s="66">
        <f>IF(VLOOKUP($D93,$C$5:$AU$502,3,)=0,0,(VLOOKUP($D93,$C$5:$AU$502,19,)/VLOOKUP($D93,$C$5:$AU$502,3,))*$E93)</f>
        <v>0</v>
      </c>
      <c r="V93" s="66">
        <f>IF(VLOOKUP($D93,$C$5:$AU$502,3,)=0,0,(VLOOKUP($D93,$C$5:$AU$502,20,)/VLOOKUP($D93,$C$5:$AU$502,3,))*$E93)</f>
        <v>0</v>
      </c>
      <c r="W93" s="66">
        <f>IF(VLOOKUP($D93,$C$5:$AU$502,3,)=0,0,(VLOOKUP($D93,$C$5:$AU$502,21,)/VLOOKUP($D93,$C$5:$AU$502,3,))*$E93)</f>
        <v>0</v>
      </c>
      <c r="X93" s="66">
        <f>IF(VLOOKUP($D93,$C$5:$AU$502,3,)=0,0,(VLOOKUP($D93,$C$5:$AU$502,22,)/VLOOKUP($D93,$C$5:$AU$502,3,))*$E93)</f>
        <v>0</v>
      </c>
      <c r="Y93" s="66">
        <f>IF(VLOOKUP($D93,$C$5:$AU$502,3,)=0,0,(VLOOKUP($D93,$C$5:$AU$502,23,)/VLOOKUP($D93,$C$5:$AU$502,3,))*$E93)</f>
        <v>0</v>
      </c>
      <c r="Z93" s="66">
        <f>IF(VLOOKUP($D93,$C$5:$AU$502,3,)=0,0,(VLOOKUP($D93,$C$5:$AU$502,24,)/VLOOKUP($D93,$C$5:$AU$502,3,))*$E93)</f>
        <v>0</v>
      </c>
      <c r="AA93" s="66">
        <f>IF(VLOOKUP($D93,$C$5:$AU$502,3,)=0,0,(VLOOKUP($D93,$C$5:$AU$502,25,)/VLOOKUP($D93,$C$5:$AU$502,3,))*$E93)</f>
        <v>0</v>
      </c>
      <c r="AB93" s="66">
        <f>IF(VLOOKUP($D93,$C$5:$AU$502,3,)=0,0,(VLOOKUP($D93,$C$5:$AU$502,26,)/VLOOKUP($D93,$C$5:$AU$502,3,))*$E93)</f>
        <v>0</v>
      </c>
      <c r="AC93" s="66">
        <f>IF(VLOOKUP($D93,$C$5:$AU$502,3,)=0,0,(VLOOKUP($D93,$C$5:$AU$502,27,)/VLOOKUP($D93,$C$5:$AU$502,3,))*$E93)</f>
        <v>0</v>
      </c>
      <c r="AD93" s="66">
        <f>IF(VLOOKUP($D93,$C$5:$AU$502,3,)=0,0,(VLOOKUP($D93,$C$5:$AU$502,28,)/VLOOKUP($D93,$C$5:$AU$502,3,))*$E93)</f>
        <v>0</v>
      </c>
      <c r="AE93" s="66">
        <f>IF(VLOOKUP($D93,$C$5:$AU$502,3,)=0,0,(VLOOKUP($D93,$C$5:$AU$502,29,)/VLOOKUP($D93,$C$5:$AU$502,3,))*$E93)</f>
        <v>0</v>
      </c>
      <c r="AF93" s="66">
        <f>IF(VLOOKUP($D93,$C$5:$AU$502,3,)=0,0,(VLOOKUP($D93,$C$5:$AU$502,30,)/VLOOKUP($D93,$C$5:$AU$502,3,))*$E93)</f>
        <v>0</v>
      </c>
      <c r="AG93" s="93">
        <f>SUM(F93:AF93)</f>
        <v>3638.7743811709256</v>
      </c>
      <c r="AH93" s="30" t="str">
        <f>IF(ABS(E93-AG93)&lt;0.01,"ok","err")</f>
        <v>ok</v>
      </c>
    </row>
    <row r="94" spans="1:34" x14ac:dyDescent="0.2">
      <c r="E94" s="50"/>
    </row>
    <row r="95" spans="1:34" x14ac:dyDescent="0.2">
      <c r="A95" s="13" t="s">
        <v>2</v>
      </c>
      <c r="E95" s="50"/>
    </row>
    <row r="96" spans="1:34" x14ac:dyDescent="0.2">
      <c r="A96" s="96" t="s">
        <v>209</v>
      </c>
      <c r="C96" s="14" t="s">
        <v>254</v>
      </c>
      <c r="D96" s="14" t="s">
        <v>607</v>
      </c>
      <c r="E96" s="66">
        <f>'Func &amp; Classif'!O144</f>
        <v>40138788.815393552</v>
      </c>
      <c r="F96" s="66">
        <f>IF(VLOOKUP($D96,$C$5:$AU$502,3,)=0,0,(VLOOKUP($D96,$C$5:$AU$502,4,)/VLOOKUP($D96,$C$5:$AU$502,3,))*$E96)</f>
        <v>32368680.627376076</v>
      </c>
      <c r="G96" s="66">
        <f>IF(VLOOKUP($D96,$C$5:$AU$502,3,)=0,0,(VLOOKUP($D96,$C$5:$AU$502,5,)/VLOOKUP($D96,$C$5:$AU$502,3,))*$E96)</f>
        <v>5956.7301943306156</v>
      </c>
      <c r="H96" s="66">
        <f>IF(VLOOKUP($D96,$C$5:$AU$502,3,)=0,0,(VLOOKUP($D96,$C$5:$AU$502,6,)/VLOOKUP($D96,$C$5:$AU$502,3,))*$E96)</f>
        <v>1425557.383597716</v>
      </c>
      <c r="I96" s="66">
        <f>IF(VLOOKUP($D96,$C$5:$AU$502,3,)=0,0,(VLOOKUP($D96,$C$5:$AU$502,7,)/VLOOKUP($D96,$C$5:$AU$502,3,))*$E96)</f>
        <v>598458.38182228489</v>
      </c>
      <c r="J96" s="66">
        <f>IF(VLOOKUP($D96,$C$5:$AU$502,3,)=0,0,(VLOOKUP($D96,$C$5:$AU$502,8,)/VLOOKUP($D96,$C$5:$AU$502,3,))*$E96)</f>
        <v>82839.875864327201</v>
      </c>
      <c r="K96" s="66">
        <f>IF(VLOOKUP($D96,$C$5:$AU$502,3,)=0,0,(VLOOKUP($D96,$C$5:$AU$502,9,)/VLOOKUP($D96,$C$5:$AU$502,3,))*$E96)</f>
        <v>1171961.2613660332</v>
      </c>
      <c r="L96" s="66">
        <f>IF(VLOOKUP($D96,$C$5:$AU$502,3,)=0,0,(VLOOKUP($D96,$C$5:$AU$502,10,)/VLOOKUP($D96,$C$5:$AU$502,3,))*$E96)</f>
        <v>4114385.3325211504</v>
      </c>
      <c r="M96" s="66">
        <f>IF(VLOOKUP($D96,$C$5:$AU$502,3,)=0,0,(VLOOKUP($D96,$C$5:$AU$502,11,)/VLOOKUP($D96,$C$5:$AU$502,3,))*$E96)</f>
        <v>370949.22265163512</v>
      </c>
      <c r="N96" s="66">
        <f>IF(VLOOKUP($D96,$C$5:$AU$502,3,)=0,0,(VLOOKUP($D96,$C$5:$AU$502,12,)/VLOOKUP($D96,$C$5:$AU$502,3,))*$E96)</f>
        <v>0</v>
      </c>
      <c r="O96" s="66">
        <f>IF(VLOOKUP($D96,$C$5:$AU$502,3,)=0,0,(VLOOKUP($D96,$C$5:$AU$502,13,)/VLOOKUP($D96,$C$5:$AU$502,3,))*$E96)</f>
        <v>0</v>
      </c>
      <c r="P96" s="66">
        <f>IF(VLOOKUP($D96,$C$5:$AU$502,3,)=0,0,(VLOOKUP($D96,$C$5:$AU$502,14,)/VLOOKUP($D96,$C$5:$AU$502,3,))*$E96)</f>
        <v>0</v>
      </c>
      <c r="Q96" s="66">
        <f>IF(VLOOKUP($D96,$C$5:$AU$502,3,)=0,0,(VLOOKUP($D96,$C$5:$AU$502,15,)/VLOOKUP($D96,$C$5:$AU$502,3,))*$E96)</f>
        <v>0</v>
      </c>
      <c r="R96" s="66">
        <f>IF(VLOOKUP($D96,$C$5:$AU$502,3,)=0,0,(VLOOKUP($D96,$C$5:$AU$502,16,)/VLOOKUP($D96,$C$5:$AU$502,3,))*$E96)</f>
        <v>0</v>
      </c>
      <c r="S96" s="66">
        <f>IF(VLOOKUP($D96,$C$5:$AU$502,3,)=0,0,(VLOOKUP($D96,$C$5:$AU$502,17,)/VLOOKUP($D96,$C$5:$AU$502,3,))*$E96)</f>
        <v>0</v>
      </c>
      <c r="T96" s="66">
        <f>IF(VLOOKUP($D96,$C$5:$AU$502,3,)=0,0,(VLOOKUP($D96,$C$5:$AU$502,18,)/VLOOKUP($D96,$C$5:$AU$502,3,))*$E96)</f>
        <v>0</v>
      </c>
      <c r="U96" s="66">
        <f>IF(VLOOKUP($D96,$C$5:$AU$502,3,)=0,0,(VLOOKUP($D96,$C$5:$AU$502,19,)/VLOOKUP($D96,$C$5:$AU$502,3,))*$E96)</f>
        <v>0</v>
      </c>
      <c r="V96" s="66">
        <f>IF(VLOOKUP($D96,$C$5:$AU$502,3,)=0,0,(VLOOKUP($D96,$C$5:$AU$502,20,)/VLOOKUP($D96,$C$5:$AU$502,3,))*$E96)</f>
        <v>0</v>
      </c>
      <c r="W96" s="66">
        <f>IF(VLOOKUP($D96,$C$5:$AU$502,3,)=0,0,(VLOOKUP($D96,$C$5:$AU$502,21,)/VLOOKUP($D96,$C$5:$AU$502,3,))*$E96)</f>
        <v>0</v>
      </c>
      <c r="X96" s="66">
        <f>IF(VLOOKUP($D96,$C$5:$AU$502,3,)=0,0,(VLOOKUP($D96,$C$5:$AU$502,22,)/VLOOKUP($D96,$C$5:$AU$502,3,))*$E96)</f>
        <v>0</v>
      </c>
      <c r="Y96" s="66">
        <f>IF(VLOOKUP($D96,$C$5:$AU$502,3,)=0,0,(VLOOKUP($D96,$C$5:$AU$502,23,)/VLOOKUP($D96,$C$5:$AU$502,3,))*$E96)</f>
        <v>0</v>
      </c>
      <c r="Z96" s="66">
        <f>IF(VLOOKUP($D96,$C$5:$AU$502,3,)=0,0,(VLOOKUP($D96,$C$5:$AU$502,24,)/VLOOKUP($D96,$C$5:$AU$502,3,))*$E96)</f>
        <v>0</v>
      </c>
      <c r="AA96" s="66">
        <f>IF(VLOOKUP($D96,$C$5:$AU$502,3,)=0,0,(VLOOKUP($D96,$C$5:$AU$502,25,)/VLOOKUP($D96,$C$5:$AU$502,3,))*$E96)</f>
        <v>0</v>
      </c>
      <c r="AB96" s="66">
        <f>IF(VLOOKUP($D96,$C$5:$AU$502,3,)=0,0,(VLOOKUP($D96,$C$5:$AU$502,26,)/VLOOKUP($D96,$C$5:$AU$502,3,))*$E96)</f>
        <v>0</v>
      </c>
      <c r="AC96" s="66">
        <f>IF(VLOOKUP($D96,$C$5:$AU$502,3,)=0,0,(VLOOKUP($D96,$C$5:$AU$502,27,)/VLOOKUP($D96,$C$5:$AU$502,3,))*$E96)</f>
        <v>0</v>
      </c>
      <c r="AD96" s="66">
        <f>IF(VLOOKUP($D96,$C$5:$AU$502,3,)=0,0,(VLOOKUP($D96,$C$5:$AU$502,28,)/VLOOKUP($D96,$C$5:$AU$502,3,))*$E96)</f>
        <v>0</v>
      </c>
      <c r="AE96" s="66">
        <f>IF(VLOOKUP($D96,$C$5:$AU$502,3,)=0,0,(VLOOKUP($D96,$C$5:$AU$502,29,)/VLOOKUP($D96,$C$5:$AU$502,3,))*$E96)</f>
        <v>0</v>
      </c>
      <c r="AF96" s="66">
        <f>IF(VLOOKUP($D96,$C$5:$AU$502,3,)=0,0,(VLOOKUP($D96,$C$5:$AU$502,30,)/VLOOKUP($D96,$C$5:$AU$502,3,))*$E96)</f>
        <v>0</v>
      </c>
      <c r="AG96" s="93">
        <f>SUM(F96:AF96)</f>
        <v>40138788.815393552</v>
      </c>
      <c r="AH96" s="30" t="str">
        <f>IF(ABS(E96-AG96)&lt;0.01,"ok","err")</f>
        <v>ok</v>
      </c>
    </row>
    <row r="97" spans="1:34" x14ac:dyDescent="0.2">
      <c r="A97" s="96" t="s">
        <v>221</v>
      </c>
      <c r="C97" s="14" t="s">
        <v>255</v>
      </c>
      <c r="D97" s="14" t="s">
        <v>223</v>
      </c>
      <c r="E97" s="50">
        <f>'Func &amp; Classif'!P144</f>
        <v>20548106.330928937</v>
      </c>
      <c r="F97" s="66">
        <f>IF(VLOOKUP($D97,$C$5:$AU$502,3,)=0,0,(VLOOKUP($D97,$C$5:$AU$502,4,)/VLOOKUP($D97,$C$5:$AU$502,3,))*$E97)</f>
        <v>18931073.616961252</v>
      </c>
      <c r="G97" s="66">
        <f>IF(VLOOKUP($D97,$C$5:$AU$502,3,)=0,0,(VLOOKUP($D97,$C$5:$AU$502,5,)/VLOOKUP($D97,$C$5:$AU$502,3,))*$E97)</f>
        <v>7579.8408467235195</v>
      </c>
      <c r="H97" s="66">
        <f>IF(VLOOKUP($D97,$C$5:$AU$502,3,)=0,0,(VLOOKUP($D97,$C$5:$AU$502,6,)/VLOOKUP($D97,$C$5:$AU$502,3,))*$E97)</f>
        <v>1077179.6047732646</v>
      </c>
      <c r="I97" s="66">
        <f>IF(VLOOKUP($D97,$C$5:$AU$502,3,)=0,0,(VLOOKUP($D97,$C$5:$AU$502,7,)/VLOOKUP($D97,$C$5:$AU$502,3,))*$E97)</f>
        <v>144016.97608774688</v>
      </c>
      <c r="J97" s="66">
        <f>IF(VLOOKUP($D97,$C$5:$AU$502,3,)=0,0,(VLOOKUP($D97,$C$5:$AU$502,8,)/VLOOKUP($D97,$C$5:$AU$502,3,))*$E97)</f>
        <v>161703.2713967684</v>
      </c>
      <c r="K97" s="66">
        <f>IF(VLOOKUP($D97,$C$5:$AU$502,3,)=0,0,(VLOOKUP($D97,$C$5:$AU$502,9,)/VLOOKUP($D97,$C$5:$AU$502,3,))*$E97)</f>
        <v>39583.613310667271</v>
      </c>
      <c r="L97" s="66">
        <f>IF(VLOOKUP($D97,$C$5:$AU$502,3,)=0,0,(VLOOKUP($D97,$C$5:$AU$502,10,)/VLOOKUP($D97,$C$5:$AU$502,3,))*$E97)</f>
        <v>51374.476850014966</v>
      </c>
      <c r="M97" s="66">
        <f>IF(VLOOKUP($D97,$C$5:$AU$502,3,)=0,0,(VLOOKUP($D97,$C$5:$AU$502,11,)/VLOOKUP($D97,$C$5:$AU$502,3,))*$E97)</f>
        <v>135594.9307024985</v>
      </c>
      <c r="N97" s="66">
        <f>IF(VLOOKUP($D97,$C$5:$AU$502,3,)=0,0,(VLOOKUP($D97,$C$5:$AU$502,12,)/VLOOKUP($D97,$C$5:$AU$502,3,))*$E97)</f>
        <v>0</v>
      </c>
      <c r="O97" s="66">
        <f>IF(VLOOKUP($D97,$C$5:$AU$502,3,)=0,0,(VLOOKUP($D97,$C$5:$AU$502,13,)/VLOOKUP($D97,$C$5:$AU$502,3,))*$E97)</f>
        <v>0</v>
      </c>
      <c r="P97" s="66">
        <f>IF(VLOOKUP($D97,$C$5:$AU$502,3,)=0,0,(VLOOKUP($D97,$C$5:$AU$502,14,)/VLOOKUP($D97,$C$5:$AU$502,3,))*$E97)</f>
        <v>0</v>
      </c>
      <c r="Q97" s="66">
        <f>IF(VLOOKUP($D97,$C$5:$AU$502,3,)=0,0,(VLOOKUP($D97,$C$5:$AU$502,15,)/VLOOKUP($D97,$C$5:$AU$502,3,))*$E97)</f>
        <v>0</v>
      </c>
      <c r="R97" s="66">
        <f>IF(VLOOKUP($D97,$C$5:$AU$502,3,)=0,0,(VLOOKUP($D97,$C$5:$AU$502,16,)/VLOOKUP($D97,$C$5:$AU$502,3,))*$E97)</f>
        <v>0</v>
      </c>
      <c r="S97" s="66">
        <f>IF(VLOOKUP($D97,$C$5:$AU$502,3,)=0,0,(VLOOKUP($D97,$C$5:$AU$502,17,)/VLOOKUP($D97,$C$5:$AU$502,3,))*$E97)</f>
        <v>0</v>
      </c>
      <c r="T97" s="66">
        <f>IF(VLOOKUP($D97,$C$5:$AU$502,3,)=0,0,(VLOOKUP($D97,$C$5:$AU$502,18,)/VLOOKUP($D97,$C$5:$AU$502,3,))*$E97)</f>
        <v>0</v>
      </c>
      <c r="U97" s="66">
        <f>IF(VLOOKUP($D97,$C$5:$AU$502,3,)=0,0,(VLOOKUP($D97,$C$5:$AU$502,19,)/VLOOKUP($D97,$C$5:$AU$502,3,))*$E97)</f>
        <v>0</v>
      </c>
      <c r="V97" s="66">
        <f>IF(VLOOKUP($D97,$C$5:$AU$502,3,)=0,0,(VLOOKUP($D97,$C$5:$AU$502,20,)/VLOOKUP($D97,$C$5:$AU$502,3,))*$E97)</f>
        <v>0</v>
      </c>
      <c r="W97" s="66">
        <f>IF(VLOOKUP($D97,$C$5:$AU$502,3,)=0,0,(VLOOKUP($D97,$C$5:$AU$502,21,)/VLOOKUP($D97,$C$5:$AU$502,3,))*$E97)</f>
        <v>0</v>
      </c>
      <c r="X97" s="66">
        <f>IF(VLOOKUP($D97,$C$5:$AU$502,3,)=0,0,(VLOOKUP($D97,$C$5:$AU$502,22,)/VLOOKUP($D97,$C$5:$AU$502,3,))*$E97)</f>
        <v>0</v>
      </c>
      <c r="Y97" s="66">
        <f>IF(VLOOKUP($D97,$C$5:$AU$502,3,)=0,0,(VLOOKUP($D97,$C$5:$AU$502,23,)/VLOOKUP($D97,$C$5:$AU$502,3,))*$E97)</f>
        <v>0</v>
      </c>
      <c r="Z97" s="66">
        <f>IF(VLOOKUP($D97,$C$5:$AU$502,3,)=0,0,(VLOOKUP($D97,$C$5:$AU$502,24,)/VLOOKUP($D97,$C$5:$AU$502,3,))*$E97)</f>
        <v>0</v>
      </c>
      <c r="AA97" s="66">
        <f>IF(VLOOKUP($D97,$C$5:$AU$502,3,)=0,0,(VLOOKUP($D97,$C$5:$AU$502,25,)/VLOOKUP($D97,$C$5:$AU$502,3,))*$E97)</f>
        <v>0</v>
      </c>
      <c r="AB97" s="66">
        <f>IF(VLOOKUP($D97,$C$5:$AU$502,3,)=0,0,(VLOOKUP($D97,$C$5:$AU$502,26,)/VLOOKUP($D97,$C$5:$AU$502,3,))*$E97)</f>
        <v>0</v>
      </c>
      <c r="AC97" s="66">
        <f>IF(VLOOKUP($D97,$C$5:$AU$502,3,)=0,0,(VLOOKUP($D97,$C$5:$AU$502,27,)/VLOOKUP($D97,$C$5:$AU$502,3,))*$E97)</f>
        <v>0</v>
      </c>
      <c r="AD97" s="66">
        <f>IF(VLOOKUP($D97,$C$5:$AU$502,3,)=0,0,(VLOOKUP($D97,$C$5:$AU$502,28,)/VLOOKUP($D97,$C$5:$AU$502,3,))*$E97)</f>
        <v>0</v>
      </c>
      <c r="AE97" s="66">
        <f>IF(VLOOKUP($D97,$C$5:$AU$502,3,)=0,0,(VLOOKUP($D97,$C$5:$AU$502,29,)/VLOOKUP($D97,$C$5:$AU$502,3,))*$E97)</f>
        <v>0</v>
      </c>
      <c r="AF97" s="66">
        <f>IF(VLOOKUP($D97,$C$5:$AU$502,3,)=0,0,(VLOOKUP($D97,$C$5:$AU$502,30,)/VLOOKUP($D97,$C$5:$AU$502,3,))*$E97)</f>
        <v>0</v>
      </c>
      <c r="AG97" s="93">
        <f>SUM(F97:AF97)</f>
        <v>20548106.330928937</v>
      </c>
      <c r="AH97" s="30" t="str">
        <f>IF(ABS(E97-AG97)&lt;0.01,"ok","err")</f>
        <v>ok</v>
      </c>
    </row>
    <row r="98" spans="1:34" x14ac:dyDescent="0.2">
      <c r="A98" s="14" t="s">
        <v>224</v>
      </c>
      <c r="E98" s="66">
        <f t="shared" ref="E98:T98" si="18">E96+E97</f>
        <v>60686895.146322489</v>
      </c>
      <c r="F98" s="66">
        <f t="shared" si="18"/>
        <v>51299754.244337328</v>
      </c>
      <c r="G98" s="66">
        <f t="shared" si="18"/>
        <v>13536.571041054136</v>
      </c>
      <c r="H98" s="66">
        <f t="shared" si="18"/>
        <v>2502736.9883709806</v>
      </c>
      <c r="I98" s="66">
        <f t="shared" si="18"/>
        <v>742475.3579100318</v>
      </c>
      <c r="J98" s="66">
        <f t="shared" si="18"/>
        <v>244543.14726109558</v>
      </c>
      <c r="K98" s="66">
        <f t="shared" si="18"/>
        <v>1211544.8746767004</v>
      </c>
      <c r="L98" s="66">
        <f t="shared" si="18"/>
        <v>4165759.8093711655</v>
      </c>
      <c r="M98" s="66">
        <f t="shared" si="18"/>
        <v>506544.1533541336</v>
      </c>
      <c r="N98" s="66">
        <f t="shared" si="18"/>
        <v>0</v>
      </c>
      <c r="O98" s="66">
        <f t="shared" si="18"/>
        <v>0</v>
      </c>
      <c r="P98" s="66">
        <f t="shared" si="18"/>
        <v>0</v>
      </c>
      <c r="Q98" s="66">
        <f t="shared" si="18"/>
        <v>0</v>
      </c>
      <c r="R98" s="66">
        <f t="shared" si="18"/>
        <v>0</v>
      </c>
      <c r="S98" s="66">
        <f t="shared" si="18"/>
        <v>0</v>
      </c>
      <c r="T98" s="66">
        <f t="shared" si="18"/>
        <v>0</v>
      </c>
      <c r="U98" s="66">
        <f t="shared" ref="U98:AF98" si="19">U96+U97</f>
        <v>0</v>
      </c>
      <c r="V98" s="66">
        <f t="shared" si="19"/>
        <v>0</v>
      </c>
      <c r="W98" s="66">
        <f t="shared" si="19"/>
        <v>0</v>
      </c>
      <c r="X98" s="66">
        <f t="shared" si="19"/>
        <v>0</v>
      </c>
      <c r="Y98" s="66">
        <f t="shared" si="19"/>
        <v>0</v>
      </c>
      <c r="Z98" s="66">
        <f t="shared" si="19"/>
        <v>0</v>
      </c>
      <c r="AA98" s="66">
        <f t="shared" si="19"/>
        <v>0</v>
      </c>
      <c r="AB98" s="66">
        <f t="shared" si="19"/>
        <v>0</v>
      </c>
      <c r="AC98" s="66">
        <f t="shared" si="19"/>
        <v>0</v>
      </c>
      <c r="AD98" s="66">
        <f t="shared" si="19"/>
        <v>0</v>
      </c>
      <c r="AE98" s="66">
        <f t="shared" si="19"/>
        <v>0</v>
      </c>
      <c r="AF98" s="66">
        <f t="shared" si="19"/>
        <v>0</v>
      </c>
      <c r="AG98" s="93">
        <f>SUM(F98:AF98)</f>
        <v>60686895.146322481</v>
      </c>
      <c r="AH98" s="30" t="str">
        <f>IF(ABS(E98-AG98)&lt;0.01,"ok","err")</f>
        <v>ok</v>
      </c>
    </row>
    <row r="99" spans="1:34" x14ac:dyDescent="0.2">
      <c r="E99" s="50"/>
    </row>
    <row r="100" spans="1:34" x14ac:dyDescent="0.2">
      <c r="A100" s="13" t="s">
        <v>3</v>
      </c>
      <c r="E100" s="50"/>
    </row>
    <row r="101" spans="1:34" x14ac:dyDescent="0.2">
      <c r="A101" s="96" t="s">
        <v>209</v>
      </c>
      <c r="C101" s="14" t="s">
        <v>256</v>
      </c>
      <c r="D101" s="14" t="s">
        <v>619</v>
      </c>
      <c r="E101" s="66">
        <f>'Func &amp; Classif'!R144</f>
        <v>0</v>
      </c>
      <c r="F101" s="66">
        <f>IF(VLOOKUP($D101,$C$5:$AU$502,3,)=0,0,(VLOOKUP($D101,$C$5:$AU$502,4,)/VLOOKUP($D101,$C$5:$AU$502,3,))*$E101)</f>
        <v>0</v>
      </c>
      <c r="G101" s="66">
        <f>IF(VLOOKUP($D101,$C$5:$AU$502,3,)=0,0,(VLOOKUP($D101,$C$5:$AU$502,5,)/VLOOKUP($D101,$C$5:$AU$502,3,))*$E101)</f>
        <v>0</v>
      </c>
      <c r="H101" s="66">
        <f>IF(VLOOKUP($D101,$C$5:$AU$502,3,)=0,0,(VLOOKUP($D101,$C$5:$AU$502,6,)/VLOOKUP($D101,$C$5:$AU$502,3,))*$E101)</f>
        <v>0</v>
      </c>
      <c r="I101" s="66">
        <f>IF(VLOOKUP($D101,$C$5:$AU$502,3,)=0,0,(VLOOKUP($D101,$C$5:$AU$502,7,)/VLOOKUP($D101,$C$5:$AU$502,3,))*$E101)</f>
        <v>0</v>
      </c>
      <c r="J101" s="66">
        <f>IF(VLOOKUP($D101,$C$5:$AU$502,3,)=0,0,(VLOOKUP($D101,$C$5:$AU$502,8,)/VLOOKUP($D101,$C$5:$AU$502,3,))*$E101)</f>
        <v>0</v>
      </c>
      <c r="K101" s="66">
        <f>IF(VLOOKUP($D101,$C$5:$AU$502,3,)=0,0,(VLOOKUP($D101,$C$5:$AU$502,9,)/VLOOKUP($D101,$C$5:$AU$502,3,))*$E101)</f>
        <v>0</v>
      </c>
      <c r="L101" s="66">
        <f>IF(VLOOKUP($D101,$C$5:$AU$502,3,)=0,0,(VLOOKUP($D101,$C$5:$AU$502,10,)/VLOOKUP($D101,$C$5:$AU$502,3,))*$E101)</f>
        <v>0</v>
      </c>
      <c r="M101" s="66">
        <f>IF(VLOOKUP($D101,$C$5:$AU$502,3,)=0,0,(VLOOKUP($D101,$C$5:$AU$502,11,)/VLOOKUP($D101,$C$5:$AU$502,3,))*$E101)</f>
        <v>0</v>
      </c>
      <c r="N101" s="66">
        <f>IF(VLOOKUP($D101,$C$5:$AU$502,3,)=0,0,(VLOOKUP($D101,$C$5:$AU$502,12,)/VLOOKUP($D101,$C$5:$AU$502,3,))*$E101)</f>
        <v>0</v>
      </c>
      <c r="O101" s="66">
        <f>IF(VLOOKUP($D101,$C$5:$AU$502,3,)=0,0,(VLOOKUP($D101,$C$5:$AU$502,13,)/VLOOKUP($D101,$C$5:$AU$502,3,))*$E101)</f>
        <v>0</v>
      </c>
      <c r="P101" s="66">
        <f>IF(VLOOKUP($D101,$C$5:$AU$502,3,)=0,0,(VLOOKUP($D101,$C$5:$AU$502,14,)/VLOOKUP($D101,$C$5:$AU$502,3,))*$E101)</f>
        <v>0</v>
      </c>
      <c r="Q101" s="66">
        <f>IF(VLOOKUP($D101,$C$5:$AU$502,3,)=0,0,(VLOOKUP($D101,$C$5:$AU$502,15,)/VLOOKUP($D101,$C$5:$AU$502,3,))*$E101)</f>
        <v>0</v>
      </c>
      <c r="R101" s="66">
        <f>IF(VLOOKUP($D101,$C$5:$AU$502,3,)=0,0,(VLOOKUP($D101,$C$5:$AU$502,16,)/VLOOKUP($D101,$C$5:$AU$502,3,))*$E101)</f>
        <v>0</v>
      </c>
      <c r="S101" s="66">
        <f>IF(VLOOKUP($D101,$C$5:$AU$502,3,)=0,0,(VLOOKUP($D101,$C$5:$AU$502,17,)/VLOOKUP($D101,$C$5:$AU$502,3,))*$E101)</f>
        <v>0</v>
      </c>
      <c r="T101" s="66">
        <f>IF(VLOOKUP($D101,$C$5:$AU$502,3,)=0,0,(VLOOKUP($D101,$C$5:$AU$502,18,)/VLOOKUP($D101,$C$5:$AU$502,3,))*$E101)</f>
        <v>0</v>
      </c>
      <c r="U101" s="66">
        <f>IF(VLOOKUP($D101,$C$5:$AU$502,3,)=0,0,(VLOOKUP($D101,$C$5:$AU$502,19,)/VLOOKUP($D101,$C$5:$AU$502,3,))*$E101)</f>
        <v>0</v>
      </c>
      <c r="V101" s="66">
        <f>IF(VLOOKUP($D101,$C$5:$AU$502,3,)=0,0,(VLOOKUP($D101,$C$5:$AU$502,20,)/VLOOKUP($D101,$C$5:$AU$502,3,))*$E101)</f>
        <v>0</v>
      </c>
      <c r="W101" s="66">
        <f>IF(VLOOKUP($D101,$C$5:$AU$502,3,)=0,0,(VLOOKUP($D101,$C$5:$AU$502,21,)/VLOOKUP($D101,$C$5:$AU$502,3,))*$E101)</f>
        <v>0</v>
      </c>
      <c r="X101" s="66">
        <f>IF(VLOOKUP($D101,$C$5:$AU$502,3,)=0,0,(VLOOKUP($D101,$C$5:$AU$502,22,)/VLOOKUP($D101,$C$5:$AU$502,3,))*$E101)</f>
        <v>0</v>
      </c>
      <c r="Y101" s="66">
        <f>IF(VLOOKUP($D101,$C$5:$AU$502,3,)=0,0,(VLOOKUP($D101,$C$5:$AU$502,23,)/VLOOKUP($D101,$C$5:$AU$502,3,))*$E101)</f>
        <v>0</v>
      </c>
      <c r="Z101" s="66">
        <f>IF(VLOOKUP($D101,$C$5:$AU$502,3,)=0,0,(VLOOKUP($D101,$C$5:$AU$502,24,)/VLOOKUP($D101,$C$5:$AU$502,3,))*$E101)</f>
        <v>0</v>
      </c>
      <c r="AA101" s="66">
        <f>IF(VLOOKUP($D101,$C$5:$AU$502,3,)=0,0,(VLOOKUP($D101,$C$5:$AU$502,25,)/VLOOKUP($D101,$C$5:$AU$502,3,))*$E101)</f>
        <v>0</v>
      </c>
      <c r="AB101" s="66">
        <f>IF(VLOOKUP($D101,$C$5:$AU$502,3,)=0,0,(VLOOKUP($D101,$C$5:$AU$502,26,)/VLOOKUP($D101,$C$5:$AU$502,3,))*$E101)</f>
        <v>0</v>
      </c>
      <c r="AC101" s="66">
        <f>IF(VLOOKUP($D101,$C$5:$AU$502,3,)=0,0,(VLOOKUP($D101,$C$5:$AU$502,27,)/VLOOKUP($D101,$C$5:$AU$502,3,))*$E101)</f>
        <v>0</v>
      </c>
      <c r="AD101" s="66">
        <f>IF(VLOOKUP($D101,$C$5:$AU$502,3,)=0,0,(VLOOKUP($D101,$C$5:$AU$502,28,)/VLOOKUP($D101,$C$5:$AU$502,3,))*$E101)</f>
        <v>0</v>
      </c>
      <c r="AE101" s="66">
        <f>IF(VLOOKUP($D101,$C$5:$AU$502,3,)=0,0,(VLOOKUP($D101,$C$5:$AU$502,29,)/VLOOKUP($D101,$C$5:$AU$502,3,))*$E101)</f>
        <v>0</v>
      </c>
      <c r="AF101" s="66">
        <f>IF(VLOOKUP($D101,$C$5:$AU$502,3,)=0,0,(VLOOKUP($D101,$C$5:$AU$502,30,)/VLOOKUP($D101,$C$5:$AU$502,3,))*$E101)</f>
        <v>0</v>
      </c>
      <c r="AG101" s="93">
        <f>SUM(F101:AF101)</f>
        <v>0</v>
      </c>
      <c r="AH101" s="30" t="str">
        <f>IF(ABS(E101-AG101)&lt;0.01,"ok","err")</f>
        <v>ok</v>
      </c>
    </row>
    <row r="102" spans="1:34" x14ac:dyDescent="0.2">
      <c r="A102" s="96" t="s">
        <v>221</v>
      </c>
      <c r="C102" s="14" t="s">
        <v>257</v>
      </c>
      <c r="D102" s="14" t="s">
        <v>701</v>
      </c>
      <c r="E102" s="50">
        <f>'Func &amp; Classif'!S144</f>
        <v>6412686.4370860569</v>
      </c>
      <c r="F102" s="66">
        <f>IF(VLOOKUP($D102,$C$5:$AU$502,3,)=0,0,(VLOOKUP($D102,$C$5:$AU$502,4,)/VLOOKUP($D102,$C$5:$AU$502,3,))*$E102)</f>
        <v>5763290.4983109105</v>
      </c>
      <c r="G102" s="66">
        <f>IF(VLOOKUP($D102,$C$5:$AU$502,3,)=0,0,(VLOOKUP($D102,$C$5:$AU$502,5,)/VLOOKUP($D102,$C$5:$AU$502,3,))*$E102)</f>
        <v>2307.5724924280721</v>
      </c>
      <c r="H102" s="66">
        <f>IF(VLOOKUP($D102,$C$5:$AU$502,3,)=0,0,(VLOOKUP($D102,$C$5:$AU$502,6,)/VLOOKUP($D102,$C$5:$AU$502,3,))*$E102)</f>
        <v>516090.35444017051</v>
      </c>
      <c r="I102" s="66">
        <f>IF(VLOOKUP($D102,$C$5:$AU$502,3,)=0,0,(VLOOKUP($D102,$C$5:$AU$502,7,)/VLOOKUP($D102,$C$5:$AU$502,3,))*$E102)</f>
        <v>51750.442407401162</v>
      </c>
      <c r="J102" s="66">
        <f>IF(VLOOKUP($D102,$C$5:$AU$502,3,)=0,0,(VLOOKUP($D102,$C$5:$AU$502,8,)/VLOOKUP($D102,$C$5:$AU$502,3,))*$E102)</f>
        <v>49228.213171798867</v>
      </c>
      <c r="K102" s="66">
        <f>IF(VLOOKUP($D102,$C$5:$AU$502,3,)=0,0,(VLOOKUP($D102,$C$5:$AU$502,9,)/VLOOKUP($D102,$C$5:$AU$502,3,))*$E102)</f>
        <v>14223.80580788219</v>
      </c>
      <c r="L102" s="66">
        <f>IF(VLOOKUP($D102,$C$5:$AU$502,3,)=0,0,(VLOOKUP($D102,$C$5:$AU$502,10,)/VLOOKUP($D102,$C$5:$AU$502,3,))*$E102)</f>
        <v>15795.550455465289</v>
      </c>
      <c r="M102" s="66">
        <f>IF(VLOOKUP($D102,$C$5:$AU$502,3,)=0,0,(VLOOKUP($D102,$C$5:$AU$502,11,)/VLOOKUP($D102,$C$5:$AU$502,3,))*$E102)</f>
        <v>0</v>
      </c>
      <c r="N102" s="66">
        <f>IF(VLOOKUP($D102,$C$5:$AU$502,3,)=0,0,(VLOOKUP($D102,$C$5:$AU$502,12,)/VLOOKUP($D102,$C$5:$AU$502,3,))*$E102)</f>
        <v>0</v>
      </c>
      <c r="O102" s="66">
        <f>IF(VLOOKUP($D102,$C$5:$AU$502,3,)=0,0,(VLOOKUP($D102,$C$5:$AU$502,13,)/VLOOKUP($D102,$C$5:$AU$502,3,))*$E102)</f>
        <v>0</v>
      </c>
      <c r="P102" s="66">
        <f>IF(VLOOKUP($D102,$C$5:$AU$502,3,)=0,0,(VLOOKUP($D102,$C$5:$AU$502,14,)/VLOOKUP($D102,$C$5:$AU$502,3,))*$E102)</f>
        <v>0</v>
      </c>
      <c r="Q102" s="66">
        <f>IF(VLOOKUP($D102,$C$5:$AU$502,3,)=0,0,(VLOOKUP($D102,$C$5:$AU$502,15,)/VLOOKUP($D102,$C$5:$AU$502,3,))*$E102)</f>
        <v>0</v>
      </c>
      <c r="R102" s="66">
        <f>IF(VLOOKUP($D102,$C$5:$AU$502,3,)=0,0,(VLOOKUP($D102,$C$5:$AU$502,16,)/VLOOKUP($D102,$C$5:$AU$502,3,))*$E102)</f>
        <v>0</v>
      </c>
      <c r="S102" s="66">
        <f>IF(VLOOKUP($D102,$C$5:$AU$502,3,)=0,0,(VLOOKUP($D102,$C$5:$AU$502,17,)/VLOOKUP($D102,$C$5:$AU$502,3,))*$E102)</f>
        <v>0</v>
      </c>
      <c r="T102" s="66">
        <f>IF(VLOOKUP($D102,$C$5:$AU$502,3,)=0,0,(VLOOKUP($D102,$C$5:$AU$502,18,)/VLOOKUP($D102,$C$5:$AU$502,3,))*$E102)</f>
        <v>0</v>
      </c>
      <c r="U102" s="66">
        <f>IF(VLOOKUP($D102,$C$5:$AU$502,3,)=0,0,(VLOOKUP($D102,$C$5:$AU$502,19,)/VLOOKUP($D102,$C$5:$AU$502,3,))*$E102)</f>
        <v>0</v>
      </c>
      <c r="V102" s="66">
        <f>IF(VLOOKUP($D102,$C$5:$AU$502,3,)=0,0,(VLOOKUP($D102,$C$5:$AU$502,20,)/VLOOKUP($D102,$C$5:$AU$502,3,))*$E102)</f>
        <v>0</v>
      </c>
      <c r="W102" s="66">
        <f>IF(VLOOKUP($D102,$C$5:$AU$502,3,)=0,0,(VLOOKUP($D102,$C$5:$AU$502,21,)/VLOOKUP($D102,$C$5:$AU$502,3,))*$E102)</f>
        <v>0</v>
      </c>
      <c r="X102" s="66">
        <f>IF(VLOOKUP($D102,$C$5:$AU$502,3,)=0,0,(VLOOKUP($D102,$C$5:$AU$502,22,)/VLOOKUP($D102,$C$5:$AU$502,3,))*$E102)</f>
        <v>0</v>
      </c>
      <c r="Y102" s="66">
        <f>IF(VLOOKUP($D102,$C$5:$AU$502,3,)=0,0,(VLOOKUP($D102,$C$5:$AU$502,23,)/VLOOKUP($D102,$C$5:$AU$502,3,))*$E102)</f>
        <v>0</v>
      </c>
      <c r="Z102" s="66">
        <f>IF(VLOOKUP($D102,$C$5:$AU$502,3,)=0,0,(VLOOKUP($D102,$C$5:$AU$502,24,)/VLOOKUP($D102,$C$5:$AU$502,3,))*$E102)</f>
        <v>0</v>
      </c>
      <c r="AA102" s="66">
        <f>IF(VLOOKUP($D102,$C$5:$AU$502,3,)=0,0,(VLOOKUP($D102,$C$5:$AU$502,25,)/VLOOKUP($D102,$C$5:$AU$502,3,))*$E102)</f>
        <v>0</v>
      </c>
      <c r="AB102" s="66">
        <f>IF(VLOOKUP($D102,$C$5:$AU$502,3,)=0,0,(VLOOKUP($D102,$C$5:$AU$502,26,)/VLOOKUP($D102,$C$5:$AU$502,3,))*$E102)</f>
        <v>0</v>
      </c>
      <c r="AC102" s="66">
        <f>IF(VLOOKUP($D102,$C$5:$AU$502,3,)=0,0,(VLOOKUP($D102,$C$5:$AU$502,27,)/VLOOKUP($D102,$C$5:$AU$502,3,))*$E102)</f>
        <v>0</v>
      </c>
      <c r="AD102" s="66">
        <f>IF(VLOOKUP($D102,$C$5:$AU$502,3,)=0,0,(VLOOKUP($D102,$C$5:$AU$502,28,)/VLOOKUP($D102,$C$5:$AU$502,3,))*$E102)</f>
        <v>0</v>
      </c>
      <c r="AE102" s="66">
        <f>IF(VLOOKUP($D102,$C$5:$AU$502,3,)=0,0,(VLOOKUP($D102,$C$5:$AU$502,29,)/VLOOKUP($D102,$C$5:$AU$502,3,))*$E102)</f>
        <v>0</v>
      </c>
      <c r="AF102" s="66">
        <f>IF(VLOOKUP($D102,$C$5:$AU$502,3,)=0,0,(VLOOKUP($D102,$C$5:$AU$502,30,)/VLOOKUP($D102,$C$5:$AU$502,3,))*$E102)</f>
        <v>0</v>
      </c>
      <c r="AG102" s="93">
        <f>SUM(F102:AF102)</f>
        <v>6412686.437086056</v>
      </c>
      <c r="AH102" s="30" t="str">
        <f>IF(ABS(E102-AG102)&lt;0.01,"ok","err")</f>
        <v>ok</v>
      </c>
    </row>
    <row r="103" spans="1:34" x14ac:dyDescent="0.2">
      <c r="A103" s="14" t="s">
        <v>228</v>
      </c>
      <c r="E103" s="66">
        <f t="shared" ref="E103:T103" si="20">E101+E102</f>
        <v>6412686.4370860569</v>
      </c>
      <c r="F103" s="66">
        <f t="shared" si="20"/>
        <v>5763290.4983109105</v>
      </c>
      <c r="G103" s="66">
        <f t="shared" si="20"/>
        <v>2307.5724924280721</v>
      </c>
      <c r="H103" s="66">
        <f t="shared" si="20"/>
        <v>516090.35444017051</v>
      </c>
      <c r="I103" s="66">
        <f t="shared" si="20"/>
        <v>51750.442407401162</v>
      </c>
      <c r="J103" s="66">
        <f t="shared" si="20"/>
        <v>49228.213171798867</v>
      </c>
      <c r="K103" s="66">
        <f t="shared" si="20"/>
        <v>14223.80580788219</v>
      </c>
      <c r="L103" s="66">
        <f t="shared" si="20"/>
        <v>15795.550455465289</v>
      </c>
      <c r="M103" s="66">
        <f t="shared" si="20"/>
        <v>0</v>
      </c>
      <c r="N103" s="66">
        <f t="shared" si="20"/>
        <v>0</v>
      </c>
      <c r="O103" s="66">
        <f t="shared" si="20"/>
        <v>0</v>
      </c>
      <c r="P103" s="66">
        <f t="shared" si="20"/>
        <v>0</v>
      </c>
      <c r="Q103" s="66">
        <f t="shared" si="20"/>
        <v>0</v>
      </c>
      <c r="R103" s="66">
        <f t="shared" si="20"/>
        <v>0</v>
      </c>
      <c r="S103" s="66">
        <f t="shared" si="20"/>
        <v>0</v>
      </c>
      <c r="T103" s="66">
        <f t="shared" si="20"/>
        <v>0</v>
      </c>
      <c r="U103" s="66">
        <f t="shared" ref="U103:AF103" si="21">U101+U102</f>
        <v>0</v>
      </c>
      <c r="V103" s="66">
        <f t="shared" si="21"/>
        <v>0</v>
      </c>
      <c r="W103" s="66">
        <f t="shared" si="21"/>
        <v>0</v>
      </c>
      <c r="X103" s="66">
        <f t="shared" si="21"/>
        <v>0</v>
      </c>
      <c r="Y103" s="66">
        <f t="shared" si="21"/>
        <v>0</v>
      </c>
      <c r="Z103" s="66">
        <f t="shared" si="21"/>
        <v>0</v>
      </c>
      <c r="AA103" s="66">
        <f t="shared" si="21"/>
        <v>0</v>
      </c>
      <c r="AB103" s="66">
        <f t="shared" si="21"/>
        <v>0</v>
      </c>
      <c r="AC103" s="66">
        <f t="shared" si="21"/>
        <v>0</v>
      </c>
      <c r="AD103" s="66">
        <f t="shared" si="21"/>
        <v>0</v>
      </c>
      <c r="AE103" s="66">
        <f t="shared" si="21"/>
        <v>0</v>
      </c>
      <c r="AF103" s="66">
        <f t="shared" si="21"/>
        <v>0</v>
      </c>
      <c r="AG103" s="93">
        <f>SUM(F103:AF103)</f>
        <v>6412686.437086056</v>
      </c>
      <c r="AH103" s="30" t="str">
        <f>IF(ABS(E103-AG103)&lt;0.01,"ok","err")</f>
        <v>ok</v>
      </c>
    </row>
    <row r="104" spans="1:34" x14ac:dyDescent="0.2">
      <c r="E104" s="50"/>
    </row>
    <row r="105" spans="1:34" x14ac:dyDescent="0.2">
      <c r="A105" s="13" t="s">
        <v>4</v>
      </c>
      <c r="E105" s="50"/>
    </row>
    <row r="106" spans="1:34" x14ac:dyDescent="0.2">
      <c r="A106" s="96" t="s">
        <v>221</v>
      </c>
      <c r="C106" s="14" t="s">
        <v>258</v>
      </c>
      <c r="D106" s="14" t="s">
        <v>230</v>
      </c>
      <c r="E106" s="66">
        <f>'Func &amp; Classif'!U144</f>
        <v>3845173.9376709512</v>
      </c>
      <c r="F106" s="66">
        <f>IF(VLOOKUP($D106,$C$5:$AU$502,3,)=0,0,(VLOOKUP($D106,$C$5:$AU$502,4,)/VLOOKUP($D106,$C$5:$AU$502,3,))*$E106)</f>
        <v>3419776.677661329</v>
      </c>
      <c r="G106" s="66">
        <f>IF(VLOOKUP($D106,$C$5:$AU$502,3,)=0,0,(VLOOKUP($D106,$C$5:$AU$502,5,)/VLOOKUP($D106,$C$5:$AU$502,3,))*$E106)</f>
        <v>1369.2494927908162</v>
      </c>
      <c r="H106" s="66">
        <f>IF(VLOOKUP($D106,$C$5:$AU$502,3,)=0,0,(VLOOKUP($D106,$C$5:$AU$502,6,)/VLOOKUP($D106,$C$5:$AU$502,3,))*$E106)</f>
        <v>194585.56680882821</v>
      </c>
      <c r="I106" s="66">
        <f>IF(VLOOKUP($D106,$C$5:$AU$502,3,)=0,0,(VLOOKUP($D106,$C$5:$AU$502,7,)/VLOOKUP($D106,$C$5:$AU$502,3,))*$E106)</f>
        <v>58966.382895991868</v>
      </c>
      <c r="J106" s="66">
        <f>IF(VLOOKUP($D106,$C$5:$AU$502,3,)=0,0,(VLOOKUP($D106,$C$5:$AU$502,8,)/VLOOKUP($D106,$C$5:$AU$502,3,))*$E106)</f>
        <v>29210.655846204074</v>
      </c>
      <c r="K106" s="66">
        <f>IF(VLOOKUP($D106,$C$5:$AU$502,3,)=0,0,(VLOOKUP($D106,$C$5:$AU$502,9,)/VLOOKUP($D106,$C$5:$AU$502,3,))*$E106)</f>
        <v>36273.314525558519</v>
      </c>
      <c r="L106" s="66">
        <f>IF(VLOOKUP($D106,$C$5:$AU$502,3,)=0,0,(VLOOKUP($D106,$C$5:$AU$502,10,)/VLOOKUP($D106,$C$5:$AU$502,3,))*$E106)</f>
        <v>104992.09044024901</v>
      </c>
      <c r="M106" s="66">
        <f>IF(VLOOKUP($D106,$C$5:$AU$502,3,)=0,0,(VLOOKUP($D106,$C$5:$AU$502,11,)/VLOOKUP($D106,$C$5:$AU$502,3,))*$E106)</f>
        <v>0</v>
      </c>
      <c r="N106" s="66">
        <f>IF(VLOOKUP($D106,$C$5:$AU$502,3,)=0,0,(VLOOKUP($D106,$C$5:$AU$502,12,)/VLOOKUP($D106,$C$5:$AU$502,3,))*$E106)</f>
        <v>0</v>
      </c>
      <c r="O106" s="66">
        <f>IF(VLOOKUP($D106,$C$5:$AU$502,3,)=0,0,(VLOOKUP($D106,$C$5:$AU$502,13,)/VLOOKUP($D106,$C$5:$AU$502,3,))*$E106)</f>
        <v>0</v>
      </c>
      <c r="P106" s="66">
        <f>IF(VLOOKUP($D106,$C$5:$AU$502,3,)=0,0,(VLOOKUP($D106,$C$5:$AU$502,14,)/VLOOKUP($D106,$C$5:$AU$502,3,))*$E106)</f>
        <v>0</v>
      </c>
      <c r="Q106" s="66">
        <f>IF(VLOOKUP($D106,$C$5:$AU$502,3,)=0,0,(VLOOKUP($D106,$C$5:$AU$502,15,)/VLOOKUP($D106,$C$5:$AU$502,3,))*$E106)</f>
        <v>0</v>
      </c>
      <c r="R106" s="66">
        <f>IF(VLOOKUP($D106,$C$5:$AU$502,3,)=0,0,(VLOOKUP($D106,$C$5:$AU$502,16,)/VLOOKUP($D106,$C$5:$AU$502,3,))*$E106)</f>
        <v>0</v>
      </c>
      <c r="S106" s="66">
        <f>IF(VLOOKUP($D106,$C$5:$AU$502,3,)=0,0,(VLOOKUP($D106,$C$5:$AU$502,17,)/VLOOKUP($D106,$C$5:$AU$502,3,))*$E106)</f>
        <v>0</v>
      </c>
      <c r="T106" s="66">
        <f>IF(VLOOKUP($D106,$C$5:$AU$502,3,)=0,0,(VLOOKUP($D106,$C$5:$AU$502,18,)/VLOOKUP($D106,$C$5:$AU$502,3,))*$E106)</f>
        <v>0</v>
      </c>
      <c r="U106" s="66">
        <f>IF(VLOOKUP($D106,$C$5:$AU$502,3,)=0,0,(VLOOKUP($D106,$C$5:$AU$502,19,)/VLOOKUP($D106,$C$5:$AU$502,3,))*$E106)</f>
        <v>0</v>
      </c>
      <c r="V106" s="66">
        <f>IF(VLOOKUP($D106,$C$5:$AU$502,3,)=0,0,(VLOOKUP($D106,$C$5:$AU$502,20,)/VLOOKUP($D106,$C$5:$AU$502,3,))*$E106)</f>
        <v>0</v>
      </c>
      <c r="W106" s="66">
        <f>IF(VLOOKUP($D106,$C$5:$AU$502,3,)=0,0,(VLOOKUP($D106,$C$5:$AU$502,21,)/VLOOKUP($D106,$C$5:$AU$502,3,))*$E106)</f>
        <v>0</v>
      </c>
      <c r="X106" s="66">
        <f>IF(VLOOKUP($D106,$C$5:$AU$502,3,)=0,0,(VLOOKUP($D106,$C$5:$AU$502,22,)/VLOOKUP($D106,$C$5:$AU$502,3,))*$E106)</f>
        <v>0</v>
      </c>
      <c r="Y106" s="66">
        <f>IF(VLOOKUP($D106,$C$5:$AU$502,3,)=0,0,(VLOOKUP($D106,$C$5:$AU$502,23,)/VLOOKUP($D106,$C$5:$AU$502,3,))*$E106)</f>
        <v>0</v>
      </c>
      <c r="Z106" s="66">
        <f>IF(VLOOKUP($D106,$C$5:$AU$502,3,)=0,0,(VLOOKUP($D106,$C$5:$AU$502,24,)/VLOOKUP($D106,$C$5:$AU$502,3,))*$E106)</f>
        <v>0</v>
      </c>
      <c r="AA106" s="66">
        <f>IF(VLOOKUP($D106,$C$5:$AU$502,3,)=0,0,(VLOOKUP($D106,$C$5:$AU$502,25,)/VLOOKUP($D106,$C$5:$AU$502,3,))*$E106)</f>
        <v>0</v>
      </c>
      <c r="AB106" s="66">
        <f>IF(VLOOKUP($D106,$C$5:$AU$502,3,)=0,0,(VLOOKUP($D106,$C$5:$AU$502,26,)/VLOOKUP($D106,$C$5:$AU$502,3,))*$E106)</f>
        <v>0</v>
      </c>
      <c r="AC106" s="66">
        <f>IF(VLOOKUP($D106,$C$5:$AU$502,3,)=0,0,(VLOOKUP($D106,$C$5:$AU$502,27,)/VLOOKUP($D106,$C$5:$AU$502,3,))*$E106)</f>
        <v>0</v>
      </c>
      <c r="AD106" s="66">
        <f>IF(VLOOKUP($D106,$C$5:$AU$502,3,)=0,0,(VLOOKUP($D106,$C$5:$AU$502,28,)/VLOOKUP($D106,$C$5:$AU$502,3,))*$E106)</f>
        <v>0</v>
      </c>
      <c r="AE106" s="66">
        <f>IF(VLOOKUP($D106,$C$5:$AU$502,3,)=0,0,(VLOOKUP($D106,$C$5:$AU$502,29,)/VLOOKUP($D106,$C$5:$AU$502,3,))*$E106)</f>
        <v>0</v>
      </c>
      <c r="AF106" s="66">
        <f>IF(VLOOKUP($D106,$C$5:$AU$502,3,)=0,0,(VLOOKUP($D106,$C$5:$AU$502,30,)/VLOOKUP($D106,$C$5:$AU$502,3,))*$E106)</f>
        <v>0</v>
      </c>
      <c r="AG106" s="93">
        <f>SUM(F106:AF106)</f>
        <v>3845173.9376709517</v>
      </c>
      <c r="AH106" s="30" t="str">
        <f>IF(ABS(E106-AG106)&lt;0.01,"ok","err")</f>
        <v>ok</v>
      </c>
    </row>
    <row r="107" spans="1:34" x14ac:dyDescent="0.2">
      <c r="E107" s="50"/>
    </row>
    <row r="108" spans="1:34" x14ac:dyDescent="0.2">
      <c r="A108" s="13" t="s">
        <v>5</v>
      </c>
      <c r="E108" s="50"/>
    </row>
    <row r="109" spans="1:34" x14ac:dyDescent="0.2">
      <c r="A109" s="96" t="s">
        <v>221</v>
      </c>
      <c r="C109" s="14" t="s">
        <v>259</v>
      </c>
      <c r="D109" s="14" t="s">
        <v>232</v>
      </c>
      <c r="E109" s="66">
        <f>'Func &amp; Classif'!W144</f>
        <v>4905630.9261049479</v>
      </c>
      <c r="F109" s="66">
        <f>IF(VLOOKUP($D109,$C$5:$AU$502,3,)=0,0,(VLOOKUP($D109,$C$5:$AU$502,4,)/VLOOKUP($D109,$C$5:$AU$502,3,))*$E109)</f>
        <v>0</v>
      </c>
      <c r="G109" s="66">
        <f>IF(VLOOKUP($D109,$C$5:$AU$502,3,)=0,0,(VLOOKUP($D109,$C$5:$AU$502,5,)/VLOOKUP($D109,$C$5:$AU$502,3,))*$E109)</f>
        <v>0</v>
      </c>
      <c r="H109" s="66">
        <f>IF(VLOOKUP($D109,$C$5:$AU$502,3,)=0,0,(VLOOKUP($D109,$C$5:$AU$502,6,)/VLOOKUP($D109,$C$5:$AU$502,3,))*$E109)</f>
        <v>0</v>
      </c>
      <c r="I109" s="66">
        <f>IF(VLOOKUP($D109,$C$5:$AU$502,3,)=0,0,(VLOOKUP($D109,$C$5:$AU$502,7,)/VLOOKUP($D109,$C$5:$AU$502,3,))*$E109)</f>
        <v>0</v>
      </c>
      <c r="J109" s="66">
        <f>IF(VLOOKUP($D109,$C$5:$AU$502,3,)=0,0,(VLOOKUP($D109,$C$5:$AU$502,8,)/VLOOKUP($D109,$C$5:$AU$502,3,))*$E109)</f>
        <v>0</v>
      </c>
      <c r="K109" s="66">
        <f>IF(VLOOKUP($D109,$C$5:$AU$502,3,)=0,0,(VLOOKUP($D109,$C$5:$AU$502,9,)/VLOOKUP($D109,$C$5:$AU$502,3,))*$E109)</f>
        <v>0</v>
      </c>
      <c r="L109" s="66">
        <f>IF(VLOOKUP($D109,$C$5:$AU$502,3,)=0,0,(VLOOKUP($D109,$C$5:$AU$502,10,)/VLOOKUP($D109,$C$5:$AU$502,3,))*$E109)</f>
        <v>0</v>
      </c>
      <c r="M109" s="66">
        <f>IF(VLOOKUP($D109,$C$5:$AU$502,3,)=0,0,(VLOOKUP($D109,$C$5:$AU$502,11,)/VLOOKUP($D109,$C$5:$AU$502,3,))*$E109)</f>
        <v>4905630.9261049479</v>
      </c>
      <c r="N109" s="66">
        <f>IF(VLOOKUP($D109,$C$5:$AU$502,3,)=0,0,(VLOOKUP($D109,$C$5:$AU$502,12,)/VLOOKUP($D109,$C$5:$AU$502,3,))*$E109)</f>
        <v>0</v>
      </c>
      <c r="O109" s="66">
        <f>IF(VLOOKUP($D109,$C$5:$AU$502,3,)=0,0,(VLOOKUP($D109,$C$5:$AU$502,13,)/VLOOKUP($D109,$C$5:$AU$502,3,))*$E109)</f>
        <v>0</v>
      </c>
      <c r="P109" s="66">
        <f>IF(VLOOKUP($D109,$C$5:$AU$502,3,)=0,0,(VLOOKUP($D109,$C$5:$AU$502,14,)/VLOOKUP($D109,$C$5:$AU$502,3,))*$E109)</f>
        <v>0</v>
      </c>
      <c r="Q109" s="66">
        <f>IF(VLOOKUP($D109,$C$5:$AU$502,3,)=0,0,(VLOOKUP($D109,$C$5:$AU$502,15,)/VLOOKUP($D109,$C$5:$AU$502,3,))*$E109)</f>
        <v>0</v>
      </c>
      <c r="R109" s="66">
        <f>IF(VLOOKUP($D109,$C$5:$AU$502,3,)=0,0,(VLOOKUP($D109,$C$5:$AU$502,16,)/VLOOKUP($D109,$C$5:$AU$502,3,))*$E109)</f>
        <v>0</v>
      </c>
      <c r="S109" s="66">
        <f>IF(VLOOKUP($D109,$C$5:$AU$502,3,)=0,0,(VLOOKUP($D109,$C$5:$AU$502,17,)/VLOOKUP($D109,$C$5:$AU$502,3,))*$E109)</f>
        <v>0</v>
      </c>
      <c r="T109" s="66">
        <f>IF(VLOOKUP($D109,$C$5:$AU$502,3,)=0,0,(VLOOKUP($D109,$C$5:$AU$502,18,)/VLOOKUP($D109,$C$5:$AU$502,3,))*$E109)</f>
        <v>0</v>
      </c>
      <c r="U109" s="66">
        <f>IF(VLOOKUP($D109,$C$5:$AU$502,3,)=0,0,(VLOOKUP($D109,$C$5:$AU$502,19,)/VLOOKUP($D109,$C$5:$AU$502,3,))*$E109)</f>
        <v>0</v>
      </c>
      <c r="V109" s="66">
        <f>IF(VLOOKUP($D109,$C$5:$AU$502,3,)=0,0,(VLOOKUP($D109,$C$5:$AU$502,20,)/VLOOKUP($D109,$C$5:$AU$502,3,))*$E109)</f>
        <v>0</v>
      </c>
      <c r="W109" s="66">
        <f>IF(VLOOKUP($D109,$C$5:$AU$502,3,)=0,0,(VLOOKUP($D109,$C$5:$AU$502,21,)/VLOOKUP($D109,$C$5:$AU$502,3,))*$E109)</f>
        <v>0</v>
      </c>
      <c r="X109" s="66">
        <f>IF(VLOOKUP($D109,$C$5:$AU$502,3,)=0,0,(VLOOKUP($D109,$C$5:$AU$502,22,)/VLOOKUP($D109,$C$5:$AU$502,3,))*$E109)</f>
        <v>0</v>
      </c>
      <c r="Y109" s="66">
        <f>IF(VLOOKUP($D109,$C$5:$AU$502,3,)=0,0,(VLOOKUP($D109,$C$5:$AU$502,23,)/VLOOKUP($D109,$C$5:$AU$502,3,))*$E109)</f>
        <v>0</v>
      </c>
      <c r="Z109" s="66">
        <f>IF(VLOOKUP($D109,$C$5:$AU$502,3,)=0,0,(VLOOKUP($D109,$C$5:$AU$502,24,)/VLOOKUP($D109,$C$5:$AU$502,3,))*$E109)</f>
        <v>0</v>
      </c>
      <c r="AA109" s="66">
        <f>IF(VLOOKUP($D109,$C$5:$AU$502,3,)=0,0,(VLOOKUP($D109,$C$5:$AU$502,25,)/VLOOKUP($D109,$C$5:$AU$502,3,))*$E109)</f>
        <v>0</v>
      </c>
      <c r="AB109" s="66">
        <f>IF(VLOOKUP($D109,$C$5:$AU$502,3,)=0,0,(VLOOKUP($D109,$C$5:$AU$502,26,)/VLOOKUP($D109,$C$5:$AU$502,3,))*$E109)</f>
        <v>0</v>
      </c>
      <c r="AC109" s="66">
        <f>IF(VLOOKUP($D109,$C$5:$AU$502,3,)=0,0,(VLOOKUP($D109,$C$5:$AU$502,27,)/VLOOKUP($D109,$C$5:$AU$502,3,))*$E109)</f>
        <v>0</v>
      </c>
      <c r="AD109" s="66">
        <f>IF(VLOOKUP($D109,$C$5:$AU$502,3,)=0,0,(VLOOKUP($D109,$C$5:$AU$502,28,)/VLOOKUP($D109,$C$5:$AU$502,3,))*$E109)</f>
        <v>0</v>
      </c>
      <c r="AE109" s="66">
        <f>IF(VLOOKUP($D109,$C$5:$AU$502,3,)=0,0,(VLOOKUP($D109,$C$5:$AU$502,29,)/VLOOKUP($D109,$C$5:$AU$502,3,))*$E109)</f>
        <v>0</v>
      </c>
      <c r="AF109" s="66">
        <f>IF(VLOOKUP($D109,$C$5:$AU$502,3,)=0,0,(VLOOKUP($D109,$C$5:$AU$502,30,)/VLOOKUP($D109,$C$5:$AU$502,3,))*$E109)</f>
        <v>0</v>
      </c>
      <c r="AG109" s="93">
        <f>SUM(F109:AF109)</f>
        <v>4905630.9261049479</v>
      </c>
      <c r="AH109" s="30" t="str">
        <f>IF(ABS(E109-AG109)&lt;0.01,"ok","err")</f>
        <v>ok</v>
      </c>
    </row>
    <row r="110" spans="1:34" x14ac:dyDescent="0.2">
      <c r="E110" s="50"/>
    </row>
    <row r="111" spans="1:34" x14ac:dyDescent="0.2">
      <c r="A111" s="13" t="s">
        <v>545</v>
      </c>
      <c r="E111" s="50"/>
    </row>
    <row r="112" spans="1:34" x14ac:dyDescent="0.2">
      <c r="A112" s="96" t="s">
        <v>221</v>
      </c>
      <c r="C112" s="14" t="s">
        <v>260</v>
      </c>
      <c r="D112" s="14" t="s">
        <v>234</v>
      </c>
      <c r="E112" s="66">
        <f>'Func &amp; Classif'!Y144</f>
        <v>291067.08093331131</v>
      </c>
      <c r="F112" s="66">
        <f>IF(VLOOKUP($D112,$C$5:$AU$502,3,)=0,0,(VLOOKUP($D112,$C$5:$AU$502,4,)/VLOOKUP($D112,$C$5:$AU$502,3,))*$E112)</f>
        <v>269903.04873082758</v>
      </c>
      <c r="G112" s="66">
        <f>IF(VLOOKUP($D112,$C$5:$AU$502,3,)=0,0,(VLOOKUP($D112,$C$5:$AU$502,5,)/VLOOKUP($D112,$C$5:$AU$502,3,))*$E112)</f>
        <v>108.06688489089102</v>
      </c>
      <c r="H112" s="66">
        <f>IF(VLOOKUP($D112,$C$5:$AU$502,3,)=0,0,(VLOOKUP($D112,$C$5:$AU$502,6,)/VLOOKUP($D112,$C$5:$AU$502,3,))*$E112)</f>
        <v>15357.505086161067</v>
      </c>
      <c r="I112" s="66">
        <f>IF(VLOOKUP($D112,$C$5:$AU$502,3,)=0,0,(VLOOKUP($D112,$C$5:$AU$502,7,)/VLOOKUP($D112,$C$5:$AU$502,3,))*$E112)</f>
        <v>2053.2708129269295</v>
      </c>
      <c r="J112" s="66">
        <f>IF(VLOOKUP($D112,$C$5:$AU$502,3,)=0,0,(VLOOKUP($D112,$C$5:$AU$502,8,)/VLOOKUP($D112,$C$5:$AU$502,3,))*$E112)</f>
        <v>2305.426877672342</v>
      </c>
      <c r="K112" s="66">
        <f>IF(VLOOKUP($D112,$C$5:$AU$502,3,)=0,0,(VLOOKUP($D112,$C$5:$AU$502,9,)/VLOOKUP($D112,$C$5:$AU$502,3,))*$E112)</f>
        <v>564.34928776354207</v>
      </c>
      <c r="L112" s="66">
        <f>IF(VLOOKUP($D112,$C$5:$AU$502,3,)=0,0,(VLOOKUP($D112,$C$5:$AU$502,10,)/VLOOKUP($D112,$C$5:$AU$502,3,))*$E112)</f>
        <v>732.4533309271502</v>
      </c>
      <c r="M112" s="66">
        <f>IF(VLOOKUP($D112,$C$5:$AU$502,3,)=0,0,(VLOOKUP($D112,$C$5:$AU$502,11,)/VLOOKUP($D112,$C$5:$AU$502,3,))*$E112)</f>
        <v>42.959922141810999</v>
      </c>
      <c r="N112" s="66">
        <f>IF(VLOOKUP($D112,$C$5:$AU$502,3,)=0,0,(VLOOKUP($D112,$C$5:$AU$502,12,)/VLOOKUP($D112,$C$5:$AU$502,3,))*$E112)</f>
        <v>0</v>
      </c>
      <c r="O112" s="66">
        <f>IF(VLOOKUP($D112,$C$5:$AU$502,3,)=0,0,(VLOOKUP($D112,$C$5:$AU$502,13,)/VLOOKUP($D112,$C$5:$AU$502,3,))*$E112)</f>
        <v>0</v>
      </c>
      <c r="P112" s="66">
        <f>IF(VLOOKUP($D112,$C$5:$AU$502,3,)=0,0,(VLOOKUP($D112,$C$5:$AU$502,14,)/VLOOKUP($D112,$C$5:$AU$502,3,))*$E112)</f>
        <v>0</v>
      </c>
      <c r="Q112" s="66">
        <f>IF(VLOOKUP($D112,$C$5:$AU$502,3,)=0,0,(VLOOKUP($D112,$C$5:$AU$502,15,)/VLOOKUP($D112,$C$5:$AU$502,3,))*$E112)</f>
        <v>0</v>
      </c>
      <c r="R112" s="66">
        <f>IF(VLOOKUP($D112,$C$5:$AU$502,3,)=0,0,(VLOOKUP($D112,$C$5:$AU$502,16,)/VLOOKUP($D112,$C$5:$AU$502,3,))*$E112)</f>
        <v>0</v>
      </c>
      <c r="S112" s="66">
        <f>IF(VLOOKUP($D112,$C$5:$AU$502,3,)=0,0,(VLOOKUP($D112,$C$5:$AU$502,17,)/VLOOKUP($D112,$C$5:$AU$502,3,))*$E112)</f>
        <v>0</v>
      </c>
      <c r="T112" s="66">
        <f>IF(VLOOKUP($D112,$C$5:$AU$502,3,)=0,0,(VLOOKUP($D112,$C$5:$AU$502,18,)/VLOOKUP($D112,$C$5:$AU$502,3,))*$E112)</f>
        <v>0</v>
      </c>
      <c r="U112" s="66">
        <f>IF(VLOOKUP($D112,$C$5:$AU$502,3,)=0,0,(VLOOKUP($D112,$C$5:$AU$502,19,)/VLOOKUP($D112,$C$5:$AU$502,3,))*$E112)</f>
        <v>0</v>
      </c>
      <c r="V112" s="66">
        <f>IF(VLOOKUP($D112,$C$5:$AU$502,3,)=0,0,(VLOOKUP($D112,$C$5:$AU$502,20,)/VLOOKUP($D112,$C$5:$AU$502,3,))*$E112)</f>
        <v>0</v>
      </c>
      <c r="W112" s="66">
        <f>IF(VLOOKUP($D112,$C$5:$AU$502,3,)=0,0,(VLOOKUP($D112,$C$5:$AU$502,21,)/VLOOKUP($D112,$C$5:$AU$502,3,))*$E112)</f>
        <v>0</v>
      </c>
      <c r="X112" s="66">
        <f>IF(VLOOKUP($D112,$C$5:$AU$502,3,)=0,0,(VLOOKUP($D112,$C$5:$AU$502,22,)/VLOOKUP($D112,$C$5:$AU$502,3,))*$E112)</f>
        <v>0</v>
      </c>
      <c r="Y112" s="66">
        <f>IF(VLOOKUP($D112,$C$5:$AU$502,3,)=0,0,(VLOOKUP($D112,$C$5:$AU$502,23,)/VLOOKUP($D112,$C$5:$AU$502,3,))*$E112)</f>
        <v>0</v>
      </c>
      <c r="Z112" s="66">
        <f>IF(VLOOKUP($D112,$C$5:$AU$502,3,)=0,0,(VLOOKUP($D112,$C$5:$AU$502,24,)/VLOOKUP($D112,$C$5:$AU$502,3,))*$E112)</f>
        <v>0</v>
      </c>
      <c r="AA112" s="66">
        <f>IF(VLOOKUP($D112,$C$5:$AU$502,3,)=0,0,(VLOOKUP($D112,$C$5:$AU$502,25,)/VLOOKUP($D112,$C$5:$AU$502,3,))*$E112)</f>
        <v>0</v>
      </c>
      <c r="AB112" s="66">
        <f>IF(VLOOKUP($D112,$C$5:$AU$502,3,)=0,0,(VLOOKUP($D112,$C$5:$AU$502,26,)/VLOOKUP($D112,$C$5:$AU$502,3,))*$E112)</f>
        <v>0</v>
      </c>
      <c r="AC112" s="66">
        <f>IF(VLOOKUP($D112,$C$5:$AU$502,3,)=0,0,(VLOOKUP($D112,$C$5:$AU$502,27,)/VLOOKUP($D112,$C$5:$AU$502,3,))*$E112)</f>
        <v>0</v>
      </c>
      <c r="AD112" s="66">
        <f>IF(VLOOKUP($D112,$C$5:$AU$502,3,)=0,0,(VLOOKUP($D112,$C$5:$AU$502,28,)/VLOOKUP($D112,$C$5:$AU$502,3,))*$E112)</f>
        <v>0</v>
      </c>
      <c r="AE112" s="66">
        <f>IF(VLOOKUP($D112,$C$5:$AU$502,3,)=0,0,(VLOOKUP($D112,$C$5:$AU$502,29,)/VLOOKUP($D112,$C$5:$AU$502,3,))*$E112)</f>
        <v>0</v>
      </c>
      <c r="AF112" s="66">
        <f>IF(VLOOKUP($D112,$C$5:$AU$502,3,)=0,0,(VLOOKUP($D112,$C$5:$AU$502,30,)/VLOOKUP($D112,$C$5:$AU$502,3,))*$E112)</f>
        <v>0</v>
      </c>
      <c r="AG112" s="93">
        <f>SUM(F112:AF112)</f>
        <v>291067.08093331131</v>
      </c>
      <c r="AH112" s="30" t="str">
        <f>IF(ABS(E112-AG112)&lt;0.01,"ok","err")</f>
        <v>ok</v>
      </c>
    </row>
    <row r="113" spans="1:36" x14ac:dyDescent="0.2">
      <c r="E113" s="50"/>
    </row>
    <row r="114" spans="1:36" x14ac:dyDescent="0.2">
      <c r="A114" s="13" t="s">
        <v>470</v>
      </c>
      <c r="E114" s="50"/>
    </row>
    <row r="115" spans="1:36" x14ac:dyDescent="0.2">
      <c r="A115" s="96" t="s">
        <v>221</v>
      </c>
      <c r="C115" s="14" t="s">
        <v>257</v>
      </c>
      <c r="D115" s="14" t="s">
        <v>235</v>
      </c>
      <c r="E115" s="66">
        <f>'Func &amp; Classif'!AA144</f>
        <v>0</v>
      </c>
      <c r="F115" s="66">
        <f>IF(VLOOKUP($D115,$C$5:$AU$502,3,)=0,0,(VLOOKUP($D115,$C$5:$AU$502,4,)/VLOOKUP($D115,$C$5:$AU$502,3,))*$E115)</f>
        <v>0</v>
      </c>
      <c r="G115" s="66">
        <f>IF(VLOOKUP($D115,$C$5:$AU$502,3,)=0,0,(VLOOKUP($D115,$C$5:$AU$502,5,)/VLOOKUP($D115,$C$5:$AU$502,3,))*$E115)</f>
        <v>0</v>
      </c>
      <c r="H115" s="66">
        <f>IF(VLOOKUP($D115,$C$5:$AU$502,3,)=0,0,(VLOOKUP($D115,$C$5:$AU$502,6,)/VLOOKUP($D115,$C$5:$AU$502,3,))*$E115)</f>
        <v>0</v>
      </c>
      <c r="I115" s="66">
        <f>IF(VLOOKUP($D115,$C$5:$AU$502,3,)=0,0,(VLOOKUP($D115,$C$5:$AU$502,7,)/VLOOKUP($D115,$C$5:$AU$502,3,))*$E115)</f>
        <v>0</v>
      </c>
      <c r="J115" s="66">
        <f>IF(VLOOKUP($D115,$C$5:$AU$502,3,)=0,0,(VLOOKUP($D115,$C$5:$AU$502,8,)/VLOOKUP($D115,$C$5:$AU$502,3,))*$E115)</f>
        <v>0</v>
      </c>
      <c r="K115" s="66">
        <f>IF(VLOOKUP($D115,$C$5:$AU$502,3,)=0,0,(VLOOKUP($D115,$C$5:$AU$502,9,)/VLOOKUP($D115,$C$5:$AU$502,3,))*$E115)</f>
        <v>0</v>
      </c>
      <c r="L115" s="66">
        <f>IF(VLOOKUP($D115,$C$5:$AU$502,3,)=0,0,(VLOOKUP($D115,$C$5:$AU$502,10,)/VLOOKUP($D115,$C$5:$AU$502,3,))*$E115)</f>
        <v>0</v>
      </c>
      <c r="M115" s="66">
        <f>IF(VLOOKUP($D115,$C$5:$AU$502,3,)=0,0,(VLOOKUP($D115,$C$5:$AU$502,11,)/VLOOKUP($D115,$C$5:$AU$502,3,))*$E115)</f>
        <v>0</v>
      </c>
      <c r="N115" s="66">
        <f>IF(VLOOKUP($D115,$C$5:$AU$502,3,)=0,0,(VLOOKUP($D115,$C$5:$AU$502,12,)/VLOOKUP($D115,$C$5:$AU$502,3,))*$E115)</f>
        <v>0</v>
      </c>
      <c r="O115" s="66">
        <f>IF(VLOOKUP($D115,$C$5:$AU$502,3,)=0,0,(VLOOKUP($D115,$C$5:$AU$502,13,)/VLOOKUP($D115,$C$5:$AU$502,3,))*$E115)</f>
        <v>0</v>
      </c>
      <c r="P115" s="66">
        <f>IF(VLOOKUP($D115,$C$5:$AU$502,3,)=0,0,(VLOOKUP($D115,$C$5:$AU$502,14,)/VLOOKUP($D115,$C$5:$AU$502,3,))*$E115)</f>
        <v>0</v>
      </c>
      <c r="Q115" s="66">
        <f>IF(VLOOKUP($D115,$C$5:$AU$502,3,)=0,0,(VLOOKUP($D115,$C$5:$AU$502,15,)/VLOOKUP($D115,$C$5:$AU$502,3,))*$E115)</f>
        <v>0</v>
      </c>
      <c r="R115" s="66">
        <f>IF(VLOOKUP($D115,$C$5:$AU$502,3,)=0,0,(VLOOKUP($D115,$C$5:$AU$502,16,)/VLOOKUP($D115,$C$5:$AU$502,3,))*$E115)</f>
        <v>0</v>
      </c>
      <c r="S115" s="66">
        <f>IF(VLOOKUP($D115,$C$5:$AU$502,3,)=0,0,(VLOOKUP($D115,$C$5:$AU$502,17,)/VLOOKUP($D115,$C$5:$AU$502,3,))*$E115)</f>
        <v>0</v>
      </c>
      <c r="T115" s="66">
        <f>IF(VLOOKUP($D115,$C$5:$AU$502,3,)=0,0,(VLOOKUP($D115,$C$5:$AU$502,18,)/VLOOKUP($D115,$C$5:$AU$502,3,))*$E115)</f>
        <v>0</v>
      </c>
      <c r="U115" s="66">
        <f>IF(VLOOKUP($D115,$C$5:$AU$502,3,)=0,0,(VLOOKUP($D115,$C$5:$AU$502,19,)/VLOOKUP($D115,$C$5:$AU$502,3,))*$E115)</f>
        <v>0</v>
      </c>
      <c r="V115" s="66">
        <f>IF(VLOOKUP($D115,$C$5:$AU$502,3,)=0,0,(VLOOKUP($D115,$C$5:$AU$502,20,)/VLOOKUP($D115,$C$5:$AU$502,3,))*$E115)</f>
        <v>0</v>
      </c>
      <c r="W115" s="66">
        <f>IF(VLOOKUP($D115,$C$5:$AU$502,3,)=0,0,(VLOOKUP($D115,$C$5:$AU$502,21,)/VLOOKUP($D115,$C$5:$AU$502,3,))*$E115)</f>
        <v>0</v>
      </c>
      <c r="X115" s="66">
        <f>IF(VLOOKUP($D115,$C$5:$AU$502,3,)=0,0,(VLOOKUP($D115,$C$5:$AU$502,22,)/VLOOKUP($D115,$C$5:$AU$502,3,))*$E115)</f>
        <v>0</v>
      </c>
      <c r="Y115" s="66">
        <f>IF(VLOOKUP($D115,$C$5:$AU$502,3,)=0,0,(VLOOKUP($D115,$C$5:$AU$502,23,)/VLOOKUP($D115,$C$5:$AU$502,3,))*$E115)</f>
        <v>0</v>
      </c>
      <c r="Z115" s="66">
        <f>IF(VLOOKUP($D115,$C$5:$AU$502,3,)=0,0,(VLOOKUP($D115,$C$5:$AU$502,24,)/VLOOKUP($D115,$C$5:$AU$502,3,))*$E115)</f>
        <v>0</v>
      </c>
      <c r="AA115" s="66">
        <f>IF(VLOOKUP($D115,$C$5:$AU$502,3,)=0,0,(VLOOKUP($D115,$C$5:$AU$502,25,)/VLOOKUP($D115,$C$5:$AU$502,3,))*$E115)</f>
        <v>0</v>
      </c>
      <c r="AB115" s="66">
        <f>IF(VLOOKUP($D115,$C$5:$AU$502,3,)=0,0,(VLOOKUP($D115,$C$5:$AU$502,26,)/VLOOKUP($D115,$C$5:$AU$502,3,))*$E115)</f>
        <v>0</v>
      </c>
      <c r="AC115" s="66">
        <f>IF(VLOOKUP($D115,$C$5:$AU$502,3,)=0,0,(VLOOKUP($D115,$C$5:$AU$502,27,)/VLOOKUP($D115,$C$5:$AU$502,3,))*$E115)</f>
        <v>0</v>
      </c>
      <c r="AD115" s="66">
        <f>IF(VLOOKUP($D115,$C$5:$AU$502,3,)=0,0,(VLOOKUP($D115,$C$5:$AU$502,28,)/VLOOKUP($D115,$C$5:$AU$502,3,))*$E115)</f>
        <v>0</v>
      </c>
      <c r="AE115" s="66">
        <f>IF(VLOOKUP($D115,$C$5:$AU$502,3,)=0,0,(VLOOKUP($D115,$C$5:$AU$502,29,)/VLOOKUP($D115,$C$5:$AU$502,3,))*$E115)</f>
        <v>0</v>
      </c>
      <c r="AF115" s="66">
        <f>IF(VLOOKUP($D115,$C$5:$AU$502,3,)=0,0,(VLOOKUP($D115,$C$5:$AU$502,30,)/VLOOKUP($D115,$C$5:$AU$502,3,))*$E115)</f>
        <v>0</v>
      </c>
      <c r="AG115" s="93">
        <f>SUM(F115:AF115)</f>
        <v>0</v>
      </c>
      <c r="AH115" s="30" t="str">
        <f>IF(ABS(E115-AG115)&lt;0.01,"ok","err")</f>
        <v>ok</v>
      </c>
    </row>
    <row r="116" spans="1:36" x14ac:dyDescent="0.2">
      <c r="E116" s="50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</row>
    <row r="117" spans="1:36" x14ac:dyDescent="0.2">
      <c r="A117" s="14" t="s">
        <v>0</v>
      </c>
      <c r="C117" s="14" t="s">
        <v>261</v>
      </c>
      <c r="E117" s="66">
        <f>E87+E90+E93+E98+E103+E106+E109+E112+E115</f>
        <v>76145092.302499995</v>
      </c>
      <c r="F117" s="66">
        <f t="shared" ref="F117:R117" si="22">F87+F90+F93+F98+F103+F106+F109+F112+F115</f>
        <v>60755217.891847856</v>
      </c>
      <c r="G117" s="66">
        <f t="shared" si="22"/>
        <v>17321.951094459615</v>
      </c>
      <c r="H117" s="66">
        <f t="shared" si="22"/>
        <v>3228956.3104836014</v>
      </c>
      <c r="I117" s="66">
        <f t="shared" si="22"/>
        <v>855367.26920252212</v>
      </c>
      <c r="J117" s="66">
        <f t="shared" si="22"/>
        <v>325293.74504705437</v>
      </c>
      <c r="K117" s="66">
        <f t="shared" si="22"/>
        <v>1262655.4567511231</v>
      </c>
      <c r="L117" s="66">
        <f t="shared" si="22"/>
        <v>4288018.7548815534</v>
      </c>
      <c r="M117" s="66">
        <f t="shared" si="22"/>
        <v>5412260.9231907595</v>
      </c>
      <c r="N117" s="66">
        <f t="shared" si="22"/>
        <v>0</v>
      </c>
      <c r="O117" s="66">
        <f t="shared" si="22"/>
        <v>0</v>
      </c>
      <c r="P117" s="66">
        <f t="shared" si="22"/>
        <v>0</v>
      </c>
      <c r="Q117" s="66">
        <f t="shared" si="22"/>
        <v>0</v>
      </c>
      <c r="R117" s="66">
        <f t="shared" si="22"/>
        <v>0</v>
      </c>
      <c r="S117" s="66">
        <f t="shared" ref="S117:AF117" si="23">S87+S93+S98+S103+S106+S109+S112+S115</f>
        <v>0</v>
      </c>
      <c r="T117" s="66">
        <f t="shared" si="23"/>
        <v>0</v>
      </c>
      <c r="U117" s="66">
        <f t="shared" si="23"/>
        <v>0</v>
      </c>
      <c r="V117" s="66">
        <f t="shared" si="23"/>
        <v>0</v>
      </c>
      <c r="W117" s="66">
        <f t="shared" si="23"/>
        <v>0</v>
      </c>
      <c r="X117" s="66">
        <f t="shared" si="23"/>
        <v>0</v>
      </c>
      <c r="Y117" s="66">
        <f t="shared" si="23"/>
        <v>0</v>
      </c>
      <c r="Z117" s="66">
        <f t="shared" si="23"/>
        <v>0</v>
      </c>
      <c r="AA117" s="66">
        <f t="shared" si="23"/>
        <v>0</v>
      </c>
      <c r="AB117" s="66">
        <f t="shared" si="23"/>
        <v>0</v>
      </c>
      <c r="AC117" s="66">
        <f t="shared" si="23"/>
        <v>0</v>
      </c>
      <c r="AD117" s="66">
        <f t="shared" si="23"/>
        <v>0</v>
      </c>
      <c r="AE117" s="66">
        <f t="shared" si="23"/>
        <v>0</v>
      </c>
      <c r="AF117" s="66">
        <f t="shared" si="23"/>
        <v>0</v>
      </c>
      <c r="AG117" s="93">
        <f>SUM(F117:AF117)</f>
        <v>76145092.302498922</v>
      </c>
      <c r="AH117" s="30" t="str">
        <f>IF(ABS(E117-AG117)&lt;0.01,"ok","err")</f>
        <v>ok</v>
      </c>
    </row>
    <row r="118" spans="1:36" x14ac:dyDescent="0.2">
      <c r="E118" s="48">
        <f>E117/$E117</f>
        <v>1</v>
      </c>
      <c r="F118" s="48">
        <f>F117/$E117</f>
        <v>0.79788750731940661</v>
      </c>
      <c r="G118" s="48">
        <f t="shared" ref="G118:O118" si="24">G117/$E117</f>
        <v>2.2748611329598324E-4</v>
      </c>
      <c r="H118" s="48">
        <f t="shared" si="24"/>
        <v>4.2405310872248934E-2</v>
      </c>
      <c r="I118" s="48">
        <f t="shared" si="24"/>
        <v>1.1233386727071295E-2</v>
      </c>
      <c r="J118" s="48">
        <f t="shared" si="24"/>
        <v>4.2720250932885709E-3</v>
      </c>
      <c r="K118" s="48">
        <f t="shared" si="24"/>
        <v>1.6582230299688895E-2</v>
      </c>
      <c r="L118" s="48">
        <f t="shared" si="24"/>
        <v>5.6313790228878204E-2</v>
      </c>
      <c r="M118" s="48">
        <f t="shared" si="24"/>
        <v>7.107826334610752E-2</v>
      </c>
      <c r="N118" s="48">
        <f t="shared" si="24"/>
        <v>0</v>
      </c>
      <c r="O118" s="48">
        <f t="shared" si="24"/>
        <v>0</v>
      </c>
      <c r="AG118" s="175">
        <f>SUM(F118:AF118)</f>
        <v>0.99999999999998612</v>
      </c>
      <c r="AH118" s="30" t="str">
        <f>IF(ABS(E118-AG118)&lt;0.01,"ok","err")</f>
        <v>ok</v>
      </c>
    </row>
    <row r="119" spans="1:36" x14ac:dyDescent="0.2">
      <c r="E119" s="93"/>
    </row>
    <row r="120" spans="1:36" x14ac:dyDescent="0.2">
      <c r="A120" s="28" t="s">
        <v>86</v>
      </c>
    </row>
    <row r="122" spans="1:36" x14ac:dyDescent="0.2">
      <c r="A122" s="13" t="s">
        <v>895</v>
      </c>
    </row>
    <row r="123" spans="1:36" x14ac:dyDescent="0.2">
      <c r="A123" s="96" t="s">
        <v>209</v>
      </c>
      <c r="C123" s="14" t="s">
        <v>262</v>
      </c>
      <c r="D123" s="14" t="s">
        <v>657</v>
      </c>
      <c r="E123" s="66">
        <f>'Func &amp; Classif'!H285</f>
        <v>9335078.1504406501</v>
      </c>
      <c r="F123" s="66">
        <f>IF(VLOOKUP($D123,$C$5:$AU$502,3,)=0,0,(VLOOKUP($D123,$C$5:$AU$502,4,)/VLOOKUP($D123,$C$5:$AU$502,3,))*$E123)</f>
        <v>6396740.8643908678</v>
      </c>
      <c r="G123" s="66">
        <f>IF(VLOOKUP($D123,$C$5:$AU$502,3,)=0,0,(VLOOKUP($D123,$C$5:$AU$502,5,)/VLOOKUP($D123,$C$5:$AU$502,3,))*$E123)</f>
        <v>1260.104082680476</v>
      </c>
      <c r="H123" s="66">
        <f>IF(VLOOKUP($D123,$C$5:$AU$502,3,)=0,0,(VLOOKUP($D123,$C$5:$AU$502,6,)/VLOOKUP($D123,$C$5:$AU$502,3,))*$E123)</f>
        <v>476905.52626987861</v>
      </c>
      <c r="I123" s="66">
        <f>IF(VLOOKUP($D123,$C$5:$AU$502,3,)=0,0,(VLOOKUP($D123,$C$5:$AU$502,7,)/VLOOKUP($D123,$C$5:$AU$502,3,))*$E123)</f>
        <v>312510.22208526841</v>
      </c>
      <c r="J123" s="66">
        <f>IF(VLOOKUP($D123,$C$5:$AU$502,3,)=0,0,(VLOOKUP($D123,$C$5:$AU$502,8,)/VLOOKUP($D123,$C$5:$AU$502,3,))*$E123)</f>
        <v>16167.157442675742</v>
      </c>
      <c r="K123" s="66">
        <f>IF(VLOOKUP($D123,$C$5:$AU$502,3,)=0,0,(VLOOKUP($D123,$C$5:$AU$502,9,)/VLOOKUP($D123,$C$5:$AU$502,3,))*$E123)</f>
        <v>125995.33280631302</v>
      </c>
      <c r="L123" s="66">
        <f>IF(VLOOKUP($D123,$C$5:$AU$502,3,)=0,0,(VLOOKUP($D123,$C$5:$AU$502,10,)/VLOOKUP($D123,$C$5:$AU$502,3,))*$E123)</f>
        <v>1895482.8620740222</v>
      </c>
      <c r="M123" s="66">
        <f>IF(VLOOKUP($D123,$C$5:$AU$502,3,)=0,0,(VLOOKUP($D123,$C$5:$AU$502,11,)/VLOOKUP($D123,$C$5:$AU$502,3,))*$E123)</f>
        <v>110016.08554503268</v>
      </c>
      <c r="N123" s="66">
        <f>IF(VLOOKUP($D123,$C$5:$AU$502,3,)=0,0,(VLOOKUP($D123,$C$5:$AU$502,12,)/VLOOKUP($D123,$C$5:$AU$502,3,))*$E123)</f>
        <v>0</v>
      </c>
      <c r="O123" s="66">
        <f>IF(VLOOKUP($D123,$C$5:$AU$502,3,)=0,0,(VLOOKUP($D123,$C$5:$AU$502,13,)/VLOOKUP($D123,$C$5:$AU$502,3,))*$E123)</f>
        <v>0</v>
      </c>
      <c r="P123" s="66">
        <f>IF(VLOOKUP($D123,$C$5:$AU$502,3,)=0,0,(VLOOKUP($D123,$C$5:$AU$502,14,)/VLOOKUP($D123,$C$5:$AU$502,3,))*$E123)</f>
        <v>0</v>
      </c>
      <c r="Q123" s="66">
        <f>IF(VLOOKUP($D123,$C$5:$AU$502,3,)=0,0,(VLOOKUP($D123,$C$5:$AU$502,15,)/VLOOKUP($D123,$C$5:$AU$502,3,))*$E123)</f>
        <v>0</v>
      </c>
      <c r="R123" s="66">
        <f>IF(VLOOKUP($D123,$C$5:$AU$502,3,)=0,0,(VLOOKUP($D123,$C$5:$AU$502,16,)/VLOOKUP($D123,$C$5:$AU$502,3,))*$E123)</f>
        <v>0</v>
      </c>
      <c r="S123" s="66">
        <f>IF(VLOOKUP($D123,$C$5:$AU$502,3,)=0,0,(VLOOKUP($D123,$C$5:$AU$502,17,)/VLOOKUP($D123,$C$5:$AU$502,3,))*$E123)</f>
        <v>0</v>
      </c>
      <c r="T123" s="66">
        <f>IF(VLOOKUP($D123,$C$5:$AU$502,3,)=0,0,(VLOOKUP($D123,$C$5:$AU$502,18,)/VLOOKUP($D123,$C$5:$AU$502,3,))*$E123)</f>
        <v>0</v>
      </c>
      <c r="U123" s="66">
        <f>IF(VLOOKUP($D123,$C$5:$AU$502,3,)=0,0,(VLOOKUP($D123,$C$5:$AU$502,19,)/VLOOKUP($D123,$C$5:$AU$502,3,))*$E123)</f>
        <v>0</v>
      </c>
      <c r="V123" s="66">
        <f>IF(VLOOKUP($D123,$C$5:$AU$502,3,)=0,0,(VLOOKUP($D123,$C$5:$AU$502,20,)/VLOOKUP($D123,$C$5:$AU$502,3,))*$E123)</f>
        <v>0</v>
      </c>
      <c r="W123" s="66">
        <f>IF(VLOOKUP($D123,$C$5:$AU$502,3,)=0,0,(VLOOKUP($D123,$C$5:$AU$502,21,)/VLOOKUP($D123,$C$5:$AU$502,3,))*$E123)</f>
        <v>0</v>
      </c>
      <c r="X123" s="66">
        <f>IF(VLOOKUP($D123,$C$5:$AU$502,3,)=0,0,(VLOOKUP($D123,$C$5:$AU$502,22,)/VLOOKUP($D123,$C$5:$AU$502,3,))*$E123)</f>
        <v>0</v>
      </c>
      <c r="Y123" s="66">
        <f>IF(VLOOKUP($D123,$C$5:$AU$502,3,)=0,0,(VLOOKUP($D123,$C$5:$AU$502,23,)/VLOOKUP($D123,$C$5:$AU$502,3,))*$E123)</f>
        <v>0</v>
      </c>
      <c r="Z123" s="66">
        <f>IF(VLOOKUP($D123,$C$5:$AU$502,3,)=0,0,(VLOOKUP($D123,$C$5:$AU$502,24,)/VLOOKUP($D123,$C$5:$AU$502,3,))*$E123)</f>
        <v>0</v>
      </c>
      <c r="AA123" s="66">
        <f>IF(VLOOKUP($D123,$C$5:$AU$502,3,)=0,0,(VLOOKUP($D123,$C$5:$AU$502,25,)/VLOOKUP($D123,$C$5:$AU$502,3,))*$E123)</f>
        <v>0</v>
      </c>
      <c r="AB123" s="66">
        <f>IF(VLOOKUP($D123,$C$5:$AU$502,3,)=0,0,(VLOOKUP($D123,$C$5:$AU$502,26,)/VLOOKUP($D123,$C$5:$AU$502,3,))*$E123)</f>
        <v>0</v>
      </c>
      <c r="AC123" s="66">
        <f>IF(VLOOKUP($D123,$C$5:$AU$502,3,)=0,0,(VLOOKUP($D123,$C$5:$AU$502,27,)/VLOOKUP($D123,$C$5:$AU$502,3,))*$E123)</f>
        <v>0</v>
      </c>
      <c r="AD123" s="66">
        <f>IF(VLOOKUP($D123,$C$5:$AU$502,3,)=0,0,(VLOOKUP($D123,$C$5:$AU$502,28,)/VLOOKUP($D123,$C$5:$AU$502,3,))*$E123)</f>
        <v>0</v>
      </c>
      <c r="AE123" s="66">
        <f>IF(VLOOKUP($D123,$C$5:$AU$502,3,)=0,0,(VLOOKUP($D123,$C$5:$AU$502,29,)/VLOOKUP($D123,$C$5:$AU$502,3,))*$E123)</f>
        <v>0</v>
      </c>
      <c r="AF123" s="66">
        <f>IF(VLOOKUP($D123,$C$5:$AU$502,3,)=0,0,(VLOOKUP($D123,$C$5:$AU$502,30,)/VLOOKUP($D123,$C$5:$AU$502,3,))*$E123)</f>
        <v>0</v>
      </c>
      <c r="AG123" s="93">
        <f>SUM(F123:AF123)</f>
        <v>9335078.1546967402</v>
      </c>
      <c r="AH123" s="30" t="str">
        <f>IF(ABS(E123-AG123)&lt;0.01,"ok","err")</f>
        <v>ok</v>
      </c>
      <c r="AJ123" s="48">
        <f>H123/I123</f>
        <v>1.5260477660143703</v>
      </c>
    </row>
    <row r="124" spans="1:36" x14ac:dyDescent="0.2">
      <c r="A124" s="96" t="s">
        <v>212</v>
      </c>
      <c r="C124" s="14" t="s">
        <v>263</v>
      </c>
      <c r="D124" s="14" t="s">
        <v>666</v>
      </c>
      <c r="E124" s="50">
        <f>'Func &amp; Classif'!I285</f>
        <v>26478261.849559348</v>
      </c>
      <c r="F124" s="66">
        <f>IF(VLOOKUP($D124,$C$5:$AU$502,3,)=0,0,(VLOOKUP($D124,$C$5:$AU$502,4,)/VLOOKUP($D124,$C$5:$AU$502,3,))*$E124)</f>
        <v>18089417.749894165</v>
      </c>
      <c r="G124" s="66">
        <f>IF(VLOOKUP($D124,$C$5:$AU$502,3,)=0,0,(VLOOKUP($D124,$C$5:$AU$502,5,)/VLOOKUP($D124,$C$5:$AU$502,3,))*$E124)</f>
        <v>3343.570340132409</v>
      </c>
      <c r="H124" s="66">
        <f>IF(VLOOKUP($D124,$C$5:$AU$502,3,)=0,0,(VLOOKUP($D124,$C$5:$AU$502,6,)/VLOOKUP($D124,$C$5:$AU$502,3,))*$E124)</f>
        <v>1017501.6309642964</v>
      </c>
      <c r="I124" s="66">
        <f>IF(VLOOKUP($D124,$C$5:$AU$502,3,)=0,0,(VLOOKUP($D124,$C$5:$AU$502,7,)/VLOOKUP($D124,$C$5:$AU$502,3,))*$E124)</f>
        <v>667662.7423360605</v>
      </c>
      <c r="J124" s="66">
        <f>IF(VLOOKUP($D124,$C$5:$AU$502,3,)=0,0,(VLOOKUP($D124,$C$5:$AU$502,8,)/VLOOKUP($D124,$C$5:$AU$502,3,))*$E124)</f>
        <v>46308.560458662323</v>
      </c>
      <c r="K124" s="66">
        <f>IF(VLOOKUP($D124,$C$5:$AU$502,3,)=0,0,(VLOOKUP($D124,$C$5:$AU$502,9,)/VLOOKUP($D124,$C$5:$AU$502,3,))*$E124)</f>
        <v>837610.65604210098</v>
      </c>
      <c r="L124" s="66">
        <f>IF(VLOOKUP($D124,$C$5:$AU$502,3,)=0,0,(VLOOKUP($D124,$C$5:$AU$502,10,)/VLOOKUP($D124,$C$5:$AU$502,3,))*$E124)</f>
        <v>5240537.5661980724</v>
      </c>
      <c r="M124" s="66">
        <f>IF(VLOOKUP($D124,$C$5:$AU$502,3,)=0,0,(VLOOKUP($D124,$C$5:$AU$502,11,)/VLOOKUP($D124,$C$5:$AU$502,3,))*$E124)</f>
        <v>575879.37332585757</v>
      </c>
      <c r="N124" s="66">
        <f>IF(VLOOKUP($D124,$C$5:$AU$502,3,)=0,0,(VLOOKUP($D124,$C$5:$AU$502,12,)/VLOOKUP($D124,$C$5:$AU$502,3,))*$E124)</f>
        <v>0</v>
      </c>
      <c r="O124" s="66">
        <f>IF(VLOOKUP($D124,$C$5:$AU$502,3,)=0,0,(VLOOKUP($D124,$C$5:$AU$502,13,)/VLOOKUP($D124,$C$5:$AU$502,3,))*$E124)</f>
        <v>0</v>
      </c>
      <c r="P124" s="66">
        <f>IF(VLOOKUP($D124,$C$5:$AU$502,3,)=0,0,(VLOOKUP($D124,$C$5:$AU$502,14,)/VLOOKUP($D124,$C$5:$AU$502,3,))*$E124)</f>
        <v>0</v>
      </c>
      <c r="Q124" s="66">
        <f>IF(VLOOKUP($D124,$C$5:$AU$502,3,)=0,0,(VLOOKUP($D124,$C$5:$AU$502,15,)/VLOOKUP($D124,$C$5:$AU$502,3,))*$E124)</f>
        <v>0</v>
      </c>
      <c r="R124" s="66">
        <f>IF(VLOOKUP($D124,$C$5:$AU$502,3,)=0,0,(VLOOKUP($D124,$C$5:$AU$502,16,)/VLOOKUP($D124,$C$5:$AU$502,3,))*$E124)</f>
        <v>0</v>
      </c>
      <c r="S124" s="66">
        <f>IF(VLOOKUP($D124,$C$5:$AU$502,3,)=0,0,(VLOOKUP($D124,$C$5:$AU$502,17,)/VLOOKUP($D124,$C$5:$AU$502,3,))*$E124)</f>
        <v>0</v>
      </c>
      <c r="T124" s="66">
        <f>IF(VLOOKUP($D124,$C$5:$AU$502,3,)=0,0,(VLOOKUP($D124,$C$5:$AU$502,18,)/VLOOKUP($D124,$C$5:$AU$502,3,))*$E124)</f>
        <v>0</v>
      </c>
      <c r="U124" s="66">
        <f>IF(VLOOKUP($D124,$C$5:$AU$502,3,)=0,0,(VLOOKUP($D124,$C$5:$AU$502,19,)/VLOOKUP($D124,$C$5:$AU$502,3,))*$E124)</f>
        <v>0</v>
      </c>
      <c r="V124" s="66">
        <f>IF(VLOOKUP($D124,$C$5:$AU$502,3,)=0,0,(VLOOKUP($D124,$C$5:$AU$502,20,)/VLOOKUP($D124,$C$5:$AU$502,3,))*$E124)</f>
        <v>0</v>
      </c>
      <c r="W124" s="66">
        <f>IF(VLOOKUP($D124,$C$5:$AU$502,3,)=0,0,(VLOOKUP($D124,$C$5:$AU$502,21,)/VLOOKUP($D124,$C$5:$AU$502,3,))*$E124)</f>
        <v>0</v>
      </c>
      <c r="X124" s="66">
        <f>IF(VLOOKUP($D124,$C$5:$AU$502,3,)=0,0,(VLOOKUP($D124,$C$5:$AU$502,22,)/VLOOKUP($D124,$C$5:$AU$502,3,))*$E124)</f>
        <v>0</v>
      </c>
      <c r="Y124" s="66">
        <f>IF(VLOOKUP($D124,$C$5:$AU$502,3,)=0,0,(VLOOKUP($D124,$C$5:$AU$502,23,)/VLOOKUP($D124,$C$5:$AU$502,3,))*$E124)</f>
        <v>0</v>
      </c>
      <c r="Z124" s="66">
        <f>IF(VLOOKUP($D124,$C$5:$AU$502,3,)=0,0,(VLOOKUP($D124,$C$5:$AU$502,24,)/VLOOKUP($D124,$C$5:$AU$502,3,))*$E124)</f>
        <v>0</v>
      </c>
      <c r="AA124" s="66">
        <f>IF(VLOOKUP($D124,$C$5:$AU$502,3,)=0,0,(VLOOKUP($D124,$C$5:$AU$502,25,)/VLOOKUP($D124,$C$5:$AU$502,3,))*$E124)</f>
        <v>0</v>
      </c>
      <c r="AB124" s="66">
        <f>IF(VLOOKUP($D124,$C$5:$AU$502,3,)=0,0,(VLOOKUP($D124,$C$5:$AU$502,26,)/VLOOKUP($D124,$C$5:$AU$502,3,))*$E124)</f>
        <v>0</v>
      </c>
      <c r="AC124" s="66">
        <f>IF(VLOOKUP($D124,$C$5:$AU$502,3,)=0,0,(VLOOKUP($D124,$C$5:$AU$502,27,)/VLOOKUP($D124,$C$5:$AU$502,3,))*$E124)</f>
        <v>0</v>
      </c>
      <c r="AD124" s="66">
        <f>IF(VLOOKUP($D124,$C$5:$AU$502,3,)=0,0,(VLOOKUP($D124,$C$5:$AU$502,28,)/VLOOKUP($D124,$C$5:$AU$502,3,))*$E124)</f>
        <v>0</v>
      </c>
      <c r="AE124" s="66">
        <f>IF(VLOOKUP($D124,$C$5:$AU$502,3,)=0,0,(VLOOKUP($D124,$C$5:$AU$502,29,)/VLOOKUP($D124,$C$5:$AU$502,3,))*$E124)</f>
        <v>0</v>
      </c>
      <c r="AF124" s="66">
        <f>IF(VLOOKUP($D124,$C$5:$AU$502,3,)=0,0,(VLOOKUP($D124,$C$5:$AU$502,30,)/VLOOKUP($D124,$C$5:$AU$502,3,))*$E124)</f>
        <v>0</v>
      </c>
      <c r="AG124" s="93">
        <f>SUM(F124:AF124)</f>
        <v>26478261.849559356</v>
      </c>
      <c r="AH124" s="30" t="str">
        <f>IF(ABS(E124-AG124)&lt;0.01,"ok","err")</f>
        <v>ok</v>
      </c>
      <c r="AJ124" s="48">
        <f>H124/I124</f>
        <v>1.5239754541405104</v>
      </c>
    </row>
    <row r="125" spans="1:36" x14ac:dyDescent="0.2">
      <c r="A125" s="14" t="s">
        <v>215</v>
      </c>
      <c r="C125" s="14" t="s">
        <v>264</v>
      </c>
      <c r="E125" s="171">
        <f t="shared" ref="E125:T125" si="25">E123+E124</f>
        <v>35813340</v>
      </c>
      <c r="F125" s="102">
        <f t="shared" si="25"/>
        <v>24486158.614285033</v>
      </c>
      <c r="G125" s="102">
        <f t="shared" si="25"/>
        <v>4603.6744228128846</v>
      </c>
      <c r="H125" s="102">
        <f t="shared" si="25"/>
        <v>1494407.1572341751</v>
      </c>
      <c r="I125" s="102">
        <f t="shared" si="25"/>
        <v>980172.96442132886</v>
      </c>
      <c r="J125" s="102">
        <f t="shared" si="25"/>
        <v>62475.717901338066</v>
      </c>
      <c r="K125" s="102">
        <f t="shared" si="25"/>
        <v>963605.98884841404</v>
      </c>
      <c r="L125" s="102">
        <f t="shared" si="25"/>
        <v>7136020.4282720946</v>
      </c>
      <c r="M125" s="102">
        <f t="shared" si="25"/>
        <v>685895.4588708902</v>
      </c>
      <c r="N125" s="102">
        <f t="shared" si="25"/>
        <v>0</v>
      </c>
      <c r="O125" s="102">
        <f t="shared" si="25"/>
        <v>0</v>
      </c>
      <c r="P125" s="102">
        <f t="shared" si="25"/>
        <v>0</v>
      </c>
      <c r="Q125" s="102">
        <f t="shared" si="25"/>
        <v>0</v>
      </c>
      <c r="R125" s="102">
        <f t="shared" si="25"/>
        <v>0</v>
      </c>
      <c r="S125" s="102">
        <f t="shared" si="25"/>
        <v>0</v>
      </c>
      <c r="T125" s="102">
        <f t="shared" si="25"/>
        <v>0</v>
      </c>
      <c r="U125" s="102">
        <f t="shared" ref="U125:AF125" si="26">U123+U124</f>
        <v>0</v>
      </c>
      <c r="V125" s="102">
        <f t="shared" si="26"/>
        <v>0</v>
      </c>
      <c r="W125" s="102">
        <f t="shared" si="26"/>
        <v>0</v>
      </c>
      <c r="X125" s="102">
        <f t="shared" si="26"/>
        <v>0</v>
      </c>
      <c r="Y125" s="102">
        <f t="shared" si="26"/>
        <v>0</v>
      </c>
      <c r="Z125" s="102">
        <f t="shared" si="26"/>
        <v>0</v>
      </c>
      <c r="AA125" s="102">
        <f t="shared" si="26"/>
        <v>0</v>
      </c>
      <c r="AB125" s="102">
        <f t="shared" si="26"/>
        <v>0</v>
      </c>
      <c r="AC125" s="102">
        <f t="shared" si="26"/>
        <v>0</v>
      </c>
      <c r="AD125" s="102">
        <f t="shared" si="26"/>
        <v>0</v>
      </c>
      <c r="AE125" s="102">
        <f t="shared" si="26"/>
        <v>0</v>
      </c>
      <c r="AF125" s="102">
        <f t="shared" si="26"/>
        <v>0</v>
      </c>
      <c r="AG125" s="104">
        <f>SUM(F125:AF125)</f>
        <v>35813340.004256085</v>
      </c>
      <c r="AH125" s="30" t="str">
        <f>IF(ABS(E125-AG125)&lt;0.01,"ok","err")</f>
        <v>ok</v>
      </c>
      <c r="AJ125" s="48">
        <f>H125/I125</f>
        <v>1.5246361728783635</v>
      </c>
    </row>
    <row r="126" spans="1:36" x14ac:dyDescent="0.2">
      <c r="E126" s="50"/>
      <c r="F126" s="50"/>
      <c r="K126" s="93"/>
      <c r="L126" s="93"/>
      <c r="M126" s="93"/>
    </row>
    <row r="127" spans="1:36" x14ac:dyDescent="0.2">
      <c r="A127" s="13" t="s">
        <v>350</v>
      </c>
      <c r="E127" s="50"/>
      <c r="F127" s="50"/>
    </row>
    <row r="128" spans="1:36" x14ac:dyDescent="0.2">
      <c r="A128" s="96" t="s">
        <v>209</v>
      </c>
      <c r="C128" s="14" t="s">
        <v>887</v>
      </c>
      <c r="D128" s="14" t="s">
        <v>625</v>
      </c>
      <c r="E128" s="66">
        <f>'Func &amp; Classif'!K285</f>
        <v>0</v>
      </c>
      <c r="F128" s="66">
        <f>IF(VLOOKUP($D128,$C$5:$AU$502,3,)=0,0,(VLOOKUP($D128,$C$5:$AU$502,4,)/VLOOKUP($D128,$C$5:$AU$502,3,))*$E128)</f>
        <v>0</v>
      </c>
      <c r="G128" s="66">
        <f>IF(VLOOKUP($D128,$C$5:$AU$502,3,)=0,0,(VLOOKUP($D128,$C$5:$AU$502,5,)/VLOOKUP($D128,$C$5:$AU$502,3,))*$E128)</f>
        <v>0</v>
      </c>
      <c r="H128" s="66">
        <f>IF(VLOOKUP($D128,$C$5:$AU$502,3,)=0,0,(VLOOKUP($D128,$C$5:$AU$502,6,)/VLOOKUP($D128,$C$5:$AU$502,3,))*$E128)</f>
        <v>0</v>
      </c>
      <c r="I128" s="66">
        <f>IF(VLOOKUP($D128,$C$5:$AU$502,3,)=0,0,(VLOOKUP($D128,$C$5:$AU$502,7,)/VLOOKUP($D128,$C$5:$AU$502,3,))*$E128)</f>
        <v>0</v>
      </c>
      <c r="J128" s="66">
        <f>IF(VLOOKUP($D128,$C$5:$AU$502,3,)=0,0,(VLOOKUP($D128,$C$5:$AU$502,8,)/VLOOKUP($D128,$C$5:$AU$502,3,))*$E128)</f>
        <v>0</v>
      </c>
      <c r="K128" s="66">
        <f>IF(VLOOKUP($D128,$C$5:$AU$502,3,)=0,0,(VLOOKUP($D128,$C$5:$AU$502,9,)/VLOOKUP($D128,$C$5:$AU$502,3,))*$E128)</f>
        <v>0</v>
      </c>
      <c r="L128" s="66">
        <f>IF(VLOOKUP($D128,$C$5:$AU$502,3,)=0,0,(VLOOKUP($D128,$C$5:$AU$502,10,)/VLOOKUP($D128,$C$5:$AU$502,3,))*$E128)</f>
        <v>0</v>
      </c>
      <c r="M128" s="66">
        <f>IF(VLOOKUP($D128,$C$5:$AU$502,3,)=0,0,(VLOOKUP($D128,$C$5:$AU$502,11,)/VLOOKUP($D128,$C$5:$AU$502,3,))*$E128)</f>
        <v>0</v>
      </c>
      <c r="N128" s="66">
        <f>IF(VLOOKUP($D128,$C$5:$AU$502,3,)=0,0,(VLOOKUP($D128,$C$5:$AU$502,12,)/VLOOKUP($D128,$C$5:$AU$502,3,))*$E128)</f>
        <v>0</v>
      </c>
      <c r="O128" s="66">
        <f>IF(VLOOKUP($D128,$C$5:$AU$502,3,)=0,0,(VLOOKUP($D128,$C$5:$AU$502,13,)/VLOOKUP($D128,$C$5:$AU$502,3,))*$E128)</f>
        <v>0</v>
      </c>
      <c r="P128" s="66">
        <f>IF(VLOOKUP($D128,$C$5:$AU$502,3,)=0,0,(VLOOKUP($D128,$C$5:$AU$502,14,)/VLOOKUP($D128,$C$5:$AU$502,3,))*$E128)</f>
        <v>0</v>
      </c>
      <c r="Q128" s="66">
        <f>IF(VLOOKUP($D128,$C$5:$AU$502,3,)=0,0,(VLOOKUP($D128,$C$5:$AU$502,15,)/VLOOKUP($D128,$C$5:$AU$502,3,))*$E128)</f>
        <v>0</v>
      </c>
      <c r="R128" s="66">
        <f>IF(VLOOKUP($D128,$C$5:$AU$502,3,)=0,0,(VLOOKUP($D128,$C$5:$AU$502,16,)/VLOOKUP($D128,$C$5:$AU$502,3,))*$E128)</f>
        <v>0</v>
      </c>
      <c r="S128" s="66">
        <f>IF(VLOOKUP($D128,$C$5:$AU$502,3,)=0,0,(VLOOKUP($D128,$C$5:$AU$502,17,)/VLOOKUP($D128,$C$5:$AU$502,3,))*$E128)</f>
        <v>0</v>
      </c>
      <c r="T128" s="66">
        <f>IF(VLOOKUP($D128,$C$5:$AU$502,3,)=0,0,(VLOOKUP($D128,$C$5:$AU$502,18,)/VLOOKUP($D128,$C$5:$AU$502,3,))*$E128)</f>
        <v>0</v>
      </c>
      <c r="U128" s="66">
        <f>IF(VLOOKUP($D128,$C$5:$AU$502,3,)=0,0,(VLOOKUP($D128,$C$5:$AU$502,19,)/VLOOKUP($D128,$C$5:$AU$502,3,))*$E128)</f>
        <v>0</v>
      </c>
      <c r="V128" s="66">
        <f>IF(VLOOKUP($D128,$C$5:$AU$502,3,)=0,0,(VLOOKUP($D128,$C$5:$AU$502,20,)/VLOOKUP($D128,$C$5:$AU$502,3,))*$E128)</f>
        <v>0</v>
      </c>
      <c r="W128" s="66">
        <f>IF(VLOOKUP($D128,$C$5:$AU$502,3,)=0,0,(VLOOKUP($D128,$C$5:$AU$502,21,)/VLOOKUP($D128,$C$5:$AU$502,3,))*$E128)</f>
        <v>0</v>
      </c>
      <c r="X128" s="66">
        <f>IF(VLOOKUP($D128,$C$5:$AU$502,3,)=0,0,(VLOOKUP($D128,$C$5:$AU$502,22,)/VLOOKUP($D128,$C$5:$AU$502,3,))*$E128)</f>
        <v>0</v>
      </c>
      <c r="Y128" s="66">
        <f>IF(VLOOKUP($D128,$C$5:$AU$502,3,)=0,0,(VLOOKUP($D128,$C$5:$AU$502,23,)/VLOOKUP($D128,$C$5:$AU$502,3,))*$E128)</f>
        <v>0</v>
      </c>
      <c r="Z128" s="66">
        <f>IF(VLOOKUP($D128,$C$5:$AU$502,3,)=0,0,(VLOOKUP($D128,$C$5:$AU$502,24,)/VLOOKUP($D128,$C$5:$AU$502,3,))*$E128)</f>
        <v>0</v>
      </c>
      <c r="AA128" s="66">
        <f>IF(VLOOKUP($D128,$C$5:$AU$502,3,)=0,0,(VLOOKUP($D128,$C$5:$AU$502,25,)/VLOOKUP($D128,$C$5:$AU$502,3,))*$E128)</f>
        <v>0</v>
      </c>
      <c r="AB128" s="66">
        <f>IF(VLOOKUP($D128,$C$5:$AU$502,3,)=0,0,(VLOOKUP($D128,$C$5:$AU$502,26,)/VLOOKUP($D128,$C$5:$AU$502,3,))*$E128)</f>
        <v>0</v>
      </c>
      <c r="AC128" s="66">
        <f>IF(VLOOKUP($D128,$C$5:$AU$502,3,)=0,0,(VLOOKUP($D128,$C$5:$AU$502,27,)/VLOOKUP($D128,$C$5:$AU$502,3,))*$E128)</f>
        <v>0</v>
      </c>
      <c r="AD128" s="66">
        <f>IF(VLOOKUP($D128,$C$5:$AU$502,3,)=0,0,(VLOOKUP($D128,$C$5:$AU$502,28,)/VLOOKUP($D128,$C$5:$AU$502,3,))*$E128)</f>
        <v>0</v>
      </c>
      <c r="AE128" s="66">
        <f>IF(VLOOKUP($D128,$C$5:$AU$502,3,)=0,0,(VLOOKUP($D128,$C$5:$AU$502,29,)/VLOOKUP($D128,$C$5:$AU$502,3,))*$E128)</f>
        <v>0</v>
      </c>
      <c r="AF128" s="66">
        <f>IF(VLOOKUP($D128,$C$5:$AU$502,3,)=0,0,(VLOOKUP($D128,$C$5:$AU$502,30,)/VLOOKUP($D128,$C$5:$AU$502,3,))*$E128)</f>
        <v>0</v>
      </c>
      <c r="AG128" s="93">
        <f>SUM(F128:AF128)</f>
        <v>0</v>
      </c>
      <c r="AH128" s="30" t="str">
        <f>IF(ABS(E128-AG128)&lt;0.01,"ok","err")</f>
        <v>ok</v>
      </c>
      <c r="AJ128" s="48" t="e">
        <f>H128/I128</f>
        <v>#DIV/0!</v>
      </c>
    </row>
    <row r="129" spans="1:36" x14ac:dyDescent="0.2">
      <c r="E129" s="50"/>
    </row>
    <row r="130" spans="1:36" x14ac:dyDescent="0.2">
      <c r="A130" s="13" t="s">
        <v>1</v>
      </c>
      <c r="E130" s="50"/>
      <c r="F130" s="50"/>
    </row>
    <row r="131" spans="1:36" x14ac:dyDescent="0.2">
      <c r="A131" s="96" t="s">
        <v>209</v>
      </c>
      <c r="C131" s="14" t="s">
        <v>265</v>
      </c>
      <c r="D131" s="14" t="s">
        <v>632</v>
      </c>
      <c r="E131" s="66">
        <f>'Func &amp; Classif'!M285</f>
        <v>32.975909398057389</v>
      </c>
      <c r="F131" s="66">
        <f>IF(VLOOKUP($D131,$C$5:$AU$502,3,)=0,0,(VLOOKUP($D131,$C$5:$AU$502,4,)/VLOOKUP($D131,$C$5:$AU$502,3,))*$E131)</f>
        <v>22.596312920919257</v>
      </c>
      <c r="G131" s="66">
        <f>IF(VLOOKUP($D131,$C$5:$AU$502,3,)=0,0,(VLOOKUP($D131,$C$5:$AU$502,5,)/VLOOKUP($D131,$C$5:$AU$502,3,))*$E131)</f>
        <v>4.4512833595749179E-3</v>
      </c>
      <c r="H131" s="66">
        <f>IF(VLOOKUP($D131,$C$5:$AU$502,3,)=0,0,(VLOOKUP($D131,$C$5:$AU$502,6,)/VLOOKUP($D131,$C$5:$AU$502,3,))*$E131)</f>
        <v>1.684655785463967</v>
      </c>
      <c r="I131" s="66">
        <f>IF(VLOOKUP($D131,$C$5:$AU$502,3,)=0,0,(VLOOKUP($D131,$C$5:$AU$502,7,)/VLOOKUP($D131,$C$5:$AU$502,3,))*$E131)</f>
        <v>1.1039338498976603</v>
      </c>
      <c r="J131" s="66">
        <f>IF(VLOOKUP($D131,$C$5:$AU$502,3,)=0,0,(VLOOKUP($D131,$C$5:$AU$502,8,)/VLOOKUP($D131,$C$5:$AU$502,3,))*$E131)</f>
        <v>5.7110043436355035E-2</v>
      </c>
      <c r="K131" s="66">
        <f>IF(VLOOKUP($D131,$C$5:$AU$502,3,)=0,0,(VLOOKUP($D131,$C$5:$AU$502,9,)/VLOOKUP($D131,$C$5:$AU$502,3,))*$E131)</f>
        <v>0.44507508229941756</v>
      </c>
      <c r="L131" s="66">
        <f>IF(VLOOKUP($D131,$C$5:$AU$502,3,)=0,0,(VLOOKUP($D131,$C$5:$AU$502,10,)/VLOOKUP($D131,$C$5:$AU$502,3,))*$E131)</f>
        <v>6.6957415964892055</v>
      </c>
      <c r="M131" s="66">
        <f>IF(VLOOKUP($D131,$C$5:$AU$502,3,)=0,0,(VLOOKUP($D131,$C$5:$AU$502,11,)/VLOOKUP($D131,$C$5:$AU$502,3,))*$E131)</f>
        <v>0.38862882646206837</v>
      </c>
      <c r="N131" s="66">
        <f>IF(VLOOKUP($D131,$C$5:$AU$502,3,)=0,0,(VLOOKUP($D131,$C$5:$AU$502,12,)/VLOOKUP($D131,$C$5:$AU$502,3,))*$E131)</f>
        <v>0</v>
      </c>
      <c r="O131" s="66">
        <f>IF(VLOOKUP($D131,$C$5:$AU$502,3,)=0,0,(VLOOKUP($D131,$C$5:$AU$502,13,)/VLOOKUP($D131,$C$5:$AU$502,3,))*$E131)</f>
        <v>0</v>
      </c>
      <c r="P131" s="66">
        <f>IF(VLOOKUP($D131,$C$5:$AU$502,3,)=0,0,(VLOOKUP($D131,$C$5:$AU$502,14,)/VLOOKUP($D131,$C$5:$AU$502,3,))*$E131)</f>
        <v>0</v>
      </c>
      <c r="Q131" s="66">
        <f>IF(VLOOKUP($D131,$C$5:$AU$502,3,)=0,0,(VLOOKUP($D131,$C$5:$AU$502,15,)/VLOOKUP($D131,$C$5:$AU$502,3,))*$E131)</f>
        <v>0</v>
      </c>
      <c r="R131" s="66">
        <f>IF(VLOOKUP($D131,$C$5:$AU$502,3,)=0,0,(VLOOKUP($D131,$C$5:$AU$502,16,)/VLOOKUP($D131,$C$5:$AU$502,3,))*$E131)</f>
        <v>0</v>
      </c>
      <c r="S131" s="66">
        <f>IF(VLOOKUP($D131,$C$5:$AU$502,3,)=0,0,(VLOOKUP($D131,$C$5:$AU$502,17,)/VLOOKUP($D131,$C$5:$AU$502,3,))*$E131)</f>
        <v>0</v>
      </c>
      <c r="T131" s="66">
        <f>IF(VLOOKUP($D131,$C$5:$AU$502,3,)=0,0,(VLOOKUP($D131,$C$5:$AU$502,18,)/VLOOKUP($D131,$C$5:$AU$502,3,))*$E131)</f>
        <v>0</v>
      </c>
      <c r="U131" s="66">
        <f>IF(VLOOKUP($D131,$C$5:$AU$502,3,)=0,0,(VLOOKUP($D131,$C$5:$AU$502,19,)/VLOOKUP($D131,$C$5:$AU$502,3,))*$E131)</f>
        <v>0</v>
      </c>
      <c r="V131" s="66">
        <f>IF(VLOOKUP($D131,$C$5:$AU$502,3,)=0,0,(VLOOKUP($D131,$C$5:$AU$502,20,)/VLOOKUP($D131,$C$5:$AU$502,3,))*$E131)</f>
        <v>0</v>
      </c>
      <c r="W131" s="66">
        <f>IF(VLOOKUP($D131,$C$5:$AU$502,3,)=0,0,(VLOOKUP($D131,$C$5:$AU$502,21,)/VLOOKUP($D131,$C$5:$AU$502,3,))*$E131)</f>
        <v>0</v>
      </c>
      <c r="X131" s="66">
        <f>IF(VLOOKUP($D131,$C$5:$AU$502,3,)=0,0,(VLOOKUP($D131,$C$5:$AU$502,22,)/VLOOKUP($D131,$C$5:$AU$502,3,))*$E131)</f>
        <v>0</v>
      </c>
      <c r="Y131" s="66">
        <f>IF(VLOOKUP($D131,$C$5:$AU$502,3,)=0,0,(VLOOKUP($D131,$C$5:$AU$502,23,)/VLOOKUP($D131,$C$5:$AU$502,3,))*$E131)</f>
        <v>0</v>
      </c>
      <c r="Z131" s="66">
        <f>IF(VLOOKUP($D131,$C$5:$AU$502,3,)=0,0,(VLOOKUP($D131,$C$5:$AU$502,24,)/VLOOKUP($D131,$C$5:$AU$502,3,))*$E131)</f>
        <v>0</v>
      </c>
      <c r="AA131" s="66">
        <f>IF(VLOOKUP($D131,$C$5:$AU$502,3,)=0,0,(VLOOKUP($D131,$C$5:$AU$502,25,)/VLOOKUP($D131,$C$5:$AU$502,3,))*$E131)</f>
        <v>0</v>
      </c>
      <c r="AB131" s="66">
        <f>IF(VLOOKUP($D131,$C$5:$AU$502,3,)=0,0,(VLOOKUP($D131,$C$5:$AU$502,26,)/VLOOKUP($D131,$C$5:$AU$502,3,))*$E131)</f>
        <v>0</v>
      </c>
      <c r="AC131" s="66">
        <f>IF(VLOOKUP($D131,$C$5:$AU$502,3,)=0,0,(VLOOKUP($D131,$C$5:$AU$502,27,)/VLOOKUP($D131,$C$5:$AU$502,3,))*$E131)</f>
        <v>0</v>
      </c>
      <c r="AD131" s="66">
        <f>IF(VLOOKUP($D131,$C$5:$AU$502,3,)=0,0,(VLOOKUP($D131,$C$5:$AU$502,28,)/VLOOKUP($D131,$C$5:$AU$502,3,))*$E131)</f>
        <v>0</v>
      </c>
      <c r="AE131" s="66">
        <f>IF(VLOOKUP($D131,$C$5:$AU$502,3,)=0,0,(VLOOKUP($D131,$C$5:$AU$502,29,)/VLOOKUP($D131,$C$5:$AU$502,3,))*$E131)</f>
        <v>0</v>
      </c>
      <c r="AF131" s="66">
        <f>IF(VLOOKUP($D131,$C$5:$AU$502,3,)=0,0,(VLOOKUP($D131,$C$5:$AU$502,30,)/VLOOKUP($D131,$C$5:$AU$502,3,))*$E131)</f>
        <v>0</v>
      </c>
      <c r="AG131" s="93">
        <f>SUM(F131:AF131)</f>
        <v>32.975909388327509</v>
      </c>
      <c r="AH131" s="30" t="str">
        <f>IF(ABS(E131-AG131)&lt;0.01,"ok","err")</f>
        <v>ok</v>
      </c>
      <c r="AJ131" s="48">
        <f>H131/I131</f>
        <v>1.5260477660143696</v>
      </c>
    </row>
    <row r="132" spans="1:36" x14ac:dyDescent="0.2">
      <c r="E132" s="50"/>
    </row>
    <row r="133" spans="1:36" x14ac:dyDescent="0.2">
      <c r="A133" s="13" t="s">
        <v>2</v>
      </c>
      <c r="E133" s="50"/>
    </row>
    <row r="134" spans="1:36" x14ac:dyDescent="0.2">
      <c r="A134" s="96" t="s">
        <v>209</v>
      </c>
      <c r="C134" s="14" t="s">
        <v>266</v>
      </c>
      <c r="D134" s="14" t="s">
        <v>629</v>
      </c>
      <c r="E134" s="66">
        <f>'Func &amp; Classif'!O285</f>
        <v>4501451.7454766259</v>
      </c>
      <c r="F134" s="66">
        <f>IF(VLOOKUP($D134,$C$5:$AU$502,3,)=0,0,(VLOOKUP($D134,$C$5:$AU$502,4,)/VLOOKUP($D134,$C$5:$AU$502,3,))*$E134)</f>
        <v>3630056.0681840512</v>
      </c>
      <c r="G134" s="66">
        <f>IF(VLOOKUP($D134,$C$5:$AU$502,3,)=0,0,(VLOOKUP($D134,$C$5:$AU$502,5,)/VLOOKUP($D134,$C$5:$AU$502,3,))*$E134)</f>
        <v>668.0304593625284</v>
      </c>
      <c r="H134" s="66">
        <f>IF(VLOOKUP($D134,$C$5:$AU$502,3,)=0,0,(VLOOKUP($D134,$C$5:$AU$502,6,)/VLOOKUP($D134,$C$5:$AU$502,3,))*$E134)</f>
        <v>159872.23237319081</v>
      </c>
      <c r="I134" s="66">
        <f>IF(VLOOKUP($D134,$C$5:$AU$502,3,)=0,0,(VLOOKUP($D134,$C$5:$AU$502,7,)/VLOOKUP($D134,$C$5:$AU$502,3,))*$E134)</f>
        <v>67115.41645760613</v>
      </c>
      <c r="J134" s="66">
        <f>IF(VLOOKUP($D134,$C$5:$AU$502,3,)=0,0,(VLOOKUP($D134,$C$5:$AU$502,8,)/VLOOKUP($D134,$C$5:$AU$502,3,))*$E134)</f>
        <v>9290.2579975590252</v>
      </c>
      <c r="K134" s="66">
        <f>IF(VLOOKUP($D134,$C$5:$AU$502,3,)=0,0,(VLOOKUP($D134,$C$5:$AU$502,9,)/VLOOKUP($D134,$C$5:$AU$502,3,))*$E134)</f>
        <v>131432.14385143356</v>
      </c>
      <c r="L134" s="66">
        <f>IF(VLOOKUP($D134,$C$5:$AU$502,3,)=0,0,(VLOOKUP($D134,$C$5:$AU$502,10,)/VLOOKUP($D134,$C$5:$AU$502,3,))*$E134)</f>
        <v>461416.68902420689</v>
      </c>
      <c r="M134" s="66">
        <f>IF(VLOOKUP($D134,$C$5:$AU$502,3,)=0,0,(VLOOKUP($D134,$C$5:$AU$502,11,)/VLOOKUP($D134,$C$5:$AU$502,3,))*$E134)</f>
        <v>41600.907129215986</v>
      </c>
      <c r="N134" s="66">
        <f>IF(VLOOKUP($D134,$C$5:$AU$502,3,)=0,0,(VLOOKUP($D134,$C$5:$AU$502,12,)/VLOOKUP($D134,$C$5:$AU$502,3,))*$E134)</f>
        <v>0</v>
      </c>
      <c r="O134" s="66">
        <f>IF(VLOOKUP($D134,$C$5:$AU$502,3,)=0,0,(VLOOKUP($D134,$C$5:$AU$502,13,)/VLOOKUP($D134,$C$5:$AU$502,3,))*$E134)</f>
        <v>0</v>
      </c>
      <c r="P134" s="66">
        <f>IF(VLOOKUP($D134,$C$5:$AU$502,3,)=0,0,(VLOOKUP($D134,$C$5:$AU$502,14,)/VLOOKUP($D134,$C$5:$AU$502,3,))*$E134)</f>
        <v>0</v>
      </c>
      <c r="Q134" s="66">
        <f>IF(VLOOKUP($D134,$C$5:$AU$502,3,)=0,0,(VLOOKUP($D134,$C$5:$AU$502,15,)/VLOOKUP($D134,$C$5:$AU$502,3,))*$E134)</f>
        <v>0</v>
      </c>
      <c r="R134" s="66">
        <f>IF(VLOOKUP($D134,$C$5:$AU$502,3,)=0,0,(VLOOKUP($D134,$C$5:$AU$502,16,)/VLOOKUP($D134,$C$5:$AU$502,3,))*$E134)</f>
        <v>0</v>
      </c>
      <c r="S134" s="66">
        <f>IF(VLOOKUP($D134,$C$5:$AU$502,3,)=0,0,(VLOOKUP($D134,$C$5:$AU$502,17,)/VLOOKUP($D134,$C$5:$AU$502,3,))*$E134)</f>
        <v>0</v>
      </c>
      <c r="T134" s="66">
        <f>IF(VLOOKUP($D134,$C$5:$AU$502,3,)=0,0,(VLOOKUP($D134,$C$5:$AU$502,18,)/VLOOKUP($D134,$C$5:$AU$502,3,))*$E134)</f>
        <v>0</v>
      </c>
      <c r="U134" s="66">
        <f>IF(VLOOKUP($D134,$C$5:$AU$502,3,)=0,0,(VLOOKUP($D134,$C$5:$AU$502,19,)/VLOOKUP($D134,$C$5:$AU$502,3,))*$E134)</f>
        <v>0</v>
      </c>
      <c r="V134" s="66">
        <f>IF(VLOOKUP($D134,$C$5:$AU$502,3,)=0,0,(VLOOKUP($D134,$C$5:$AU$502,20,)/VLOOKUP($D134,$C$5:$AU$502,3,))*$E134)</f>
        <v>0</v>
      </c>
      <c r="W134" s="66">
        <f>IF(VLOOKUP($D134,$C$5:$AU$502,3,)=0,0,(VLOOKUP($D134,$C$5:$AU$502,21,)/VLOOKUP($D134,$C$5:$AU$502,3,))*$E134)</f>
        <v>0</v>
      </c>
      <c r="X134" s="66">
        <f>IF(VLOOKUP($D134,$C$5:$AU$502,3,)=0,0,(VLOOKUP($D134,$C$5:$AU$502,22,)/VLOOKUP($D134,$C$5:$AU$502,3,))*$E134)</f>
        <v>0</v>
      </c>
      <c r="Y134" s="66">
        <f>IF(VLOOKUP($D134,$C$5:$AU$502,3,)=0,0,(VLOOKUP($D134,$C$5:$AU$502,23,)/VLOOKUP($D134,$C$5:$AU$502,3,))*$E134)</f>
        <v>0</v>
      </c>
      <c r="Z134" s="66">
        <f>IF(VLOOKUP($D134,$C$5:$AU$502,3,)=0,0,(VLOOKUP($D134,$C$5:$AU$502,24,)/VLOOKUP($D134,$C$5:$AU$502,3,))*$E134)</f>
        <v>0</v>
      </c>
      <c r="AA134" s="66">
        <f>IF(VLOOKUP($D134,$C$5:$AU$502,3,)=0,0,(VLOOKUP($D134,$C$5:$AU$502,25,)/VLOOKUP($D134,$C$5:$AU$502,3,))*$E134)</f>
        <v>0</v>
      </c>
      <c r="AB134" s="66">
        <f>IF(VLOOKUP($D134,$C$5:$AU$502,3,)=0,0,(VLOOKUP($D134,$C$5:$AU$502,26,)/VLOOKUP($D134,$C$5:$AU$502,3,))*$E134)</f>
        <v>0</v>
      </c>
      <c r="AC134" s="66">
        <f>IF(VLOOKUP($D134,$C$5:$AU$502,3,)=0,0,(VLOOKUP($D134,$C$5:$AU$502,27,)/VLOOKUP($D134,$C$5:$AU$502,3,))*$E134)</f>
        <v>0</v>
      </c>
      <c r="AD134" s="66">
        <f>IF(VLOOKUP($D134,$C$5:$AU$502,3,)=0,0,(VLOOKUP($D134,$C$5:$AU$502,28,)/VLOOKUP($D134,$C$5:$AU$502,3,))*$E134)</f>
        <v>0</v>
      </c>
      <c r="AE134" s="66">
        <f>IF(VLOOKUP($D134,$C$5:$AU$502,3,)=0,0,(VLOOKUP($D134,$C$5:$AU$502,29,)/VLOOKUP($D134,$C$5:$AU$502,3,))*$E134)</f>
        <v>0</v>
      </c>
      <c r="AF134" s="66">
        <f>IF(VLOOKUP($D134,$C$5:$AU$502,3,)=0,0,(VLOOKUP($D134,$C$5:$AU$502,30,)/VLOOKUP($D134,$C$5:$AU$502,3,))*$E134)</f>
        <v>0</v>
      </c>
      <c r="AG134" s="93">
        <f>SUM(F134:AF134)</f>
        <v>4501451.7454766259</v>
      </c>
      <c r="AH134" s="30" t="str">
        <f>IF(ABS(E134-AG134)&lt;0.01,"ok","err")</f>
        <v>ok</v>
      </c>
      <c r="AJ134" s="48">
        <f>H134/I134</f>
        <v>2.3820493235585465</v>
      </c>
    </row>
    <row r="135" spans="1:36" x14ac:dyDescent="0.2">
      <c r="A135" s="96" t="s">
        <v>221</v>
      </c>
      <c r="C135" s="14" t="s">
        <v>267</v>
      </c>
      <c r="D135" s="14" t="s">
        <v>223</v>
      </c>
      <c r="E135" s="50">
        <f>'Func &amp; Classif'!P285</f>
        <v>1639360.8728126746</v>
      </c>
      <c r="F135" s="66">
        <f>IF(VLOOKUP($D135,$C$5:$AU$502,3,)=0,0,(VLOOKUP($D135,$C$5:$AU$502,4,)/VLOOKUP($D135,$C$5:$AU$502,3,))*$E135)</f>
        <v>1510351.4099140626</v>
      </c>
      <c r="G135" s="66">
        <f>IF(VLOOKUP($D135,$C$5:$AU$502,3,)=0,0,(VLOOKUP($D135,$C$5:$AU$502,5,)/VLOOKUP($D135,$C$5:$AU$502,3,))*$E135)</f>
        <v>604.7318573372437</v>
      </c>
      <c r="H135" s="66">
        <f>IF(VLOOKUP($D135,$C$5:$AU$502,3,)=0,0,(VLOOKUP($D135,$C$5:$AU$502,6,)/VLOOKUP($D135,$C$5:$AU$502,3,))*$E135)</f>
        <v>85939.116170481633</v>
      </c>
      <c r="I135" s="66">
        <f>IF(VLOOKUP($D135,$C$5:$AU$502,3,)=0,0,(VLOOKUP($D135,$C$5:$AU$502,7,)/VLOOKUP($D135,$C$5:$AU$502,3,))*$E135)</f>
        <v>11489.90528940763</v>
      </c>
      <c r="J135" s="66">
        <f>IF(VLOOKUP($D135,$C$5:$AU$502,3,)=0,0,(VLOOKUP($D135,$C$5:$AU$502,8,)/VLOOKUP($D135,$C$5:$AU$502,3,))*$E135)</f>
        <v>12900.946289861196</v>
      </c>
      <c r="K135" s="66">
        <f>IF(VLOOKUP($D135,$C$5:$AU$502,3,)=0,0,(VLOOKUP($D135,$C$5:$AU$502,9,)/VLOOKUP($D135,$C$5:$AU$502,3,))*$E135)</f>
        <v>3158.0441438722723</v>
      </c>
      <c r="L135" s="66">
        <f>IF(VLOOKUP($D135,$C$5:$AU$502,3,)=0,0,(VLOOKUP($D135,$C$5:$AU$502,10,)/VLOOKUP($D135,$C$5:$AU$502,3,))*$E135)</f>
        <v>4098.738144174652</v>
      </c>
      <c r="M135" s="66">
        <f>IF(VLOOKUP($D135,$C$5:$AU$502,3,)=0,0,(VLOOKUP($D135,$C$5:$AU$502,11,)/VLOOKUP($D135,$C$5:$AU$502,3,))*$E135)</f>
        <v>10817.981003477358</v>
      </c>
      <c r="N135" s="66">
        <f>IF(VLOOKUP($D135,$C$5:$AU$502,3,)=0,0,(VLOOKUP($D135,$C$5:$AU$502,12,)/VLOOKUP($D135,$C$5:$AU$502,3,))*$E135)</f>
        <v>0</v>
      </c>
      <c r="O135" s="66">
        <f>IF(VLOOKUP($D135,$C$5:$AU$502,3,)=0,0,(VLOOKUP($D135,$C$5:$AU$502,13,)/VLOOKUP($D135,$C$5:$AU$502,3,))*$E135)</f>
        <v>0</v>
      </c>
      <c r="P135" s="66">
        <f>IF(VLOOKUP($D135,$C$5:$AU$502,3,)=0,0,(VLOOKUP($D135,$C$5:$AU$502,14,)/VLOOKUP($D135,$C$5:$AU$502,3,))*$E135)</f>
        <v>0</v>
      </c>
      <c r="Q135" s="66">
        <f>IF(VLOOKUP($D135,$C$5:$AU$502,3,)=0,0,(VLOOKUP($D135,$C$5:$AU$502,15,)/VLOOKUP($D135,$C$5:$AU$502,3,))*$E135)</f>
        <v>0</v>
      </c>
      <c r="R135" s="66">
        <f>IF(VLOOKUP($D135,$C$5:$AU$502,3,)=0,0,(VLOOKUP($D135,$C$5:$AU$502,16,)/VLOOKUP($D135,$C$5:$AU$502,3,))*$E135)</f>
        <v>0</v>
      </c>
      <c r="S135" s="66">
        <f>IF(VLOOKUP($D135,$C$5:$AU$502,3,)=0,0,(VLOOKUP($D135,$C$5:$AU$502,17,)/VLOOKUP($D135,$C$5:$AU$502,3,))*$E135)</f>
        <v>0</v>
      </c>
      <c r="T135" s="66">
        <f>IF(VLOOKUP($D135,$C$5:$AU$502,3,)=0,0,(VLOOKUP($D135,$C$5:$AU$502,18,)/VLOOKUP($D135,$C$5:$AU$502,3,))*$E135)</f>
        <v>0</v>
      </c>
      <c r="U135" s="66">
        <f>IF(VLOOKUP($D135,$C$5:$AU$502,3,)=0,0,(VLOOKUP($D135,$C$5:$AU$502,19,)/VLOOKUP($D135,$C$5:$AU$502,3,))*$E135)</f>
        <v>0</v>
      </c>
      <c r="V135" s="66">
        <f>IF(VLOOKUP($D135,$C$5:$AU$502,3,)=0,0,(VLOOKUP($D135,$C$5:$AU$502,20,)/VLOOKUP($D135,$C$5:$AU$502,3,))*$E135)</f>
        <v>0</v>
      </c>
      <c r="W135" s="66">
        <f>IF(VLOOKUP($D135,$C$5:$AU$502,3,)=0,0,(VLOOKUP($D135,$C$5:$AU$502,21,)/VLOOKUP($D135,$C$5:$AU$502,3,))*$E135)</f>
        <v>0</v>
      </c>
      <c r="X135" s="66">
        <f>IF(VLOOKUP($D135,$C$5:$AU$502,3,)=0,0,(VLOOKUP($D135,$C$5:$AU$502,22,)/VLOOKUP($D135,$C$5:$AU$502,3,))*$E135)</f>
        <v>0</v>
      </c>
      <c r="Y135" s="66">
        <f>IF(VLOOKUP($D135,$C$5:$AU$502,3,)=0,0,(VLOOKUP($D135,$C$5:$AU$502,23,)/VLOOKUP($D135,$C$5:$AU$502,3,))*$E135)</f>
        <v>0</v>
      </c>
      <c r="Z135" s="66">
        <f>IF(VLOOKUP($D135,$C$5:$AU$502,3,)=0,0,(VLOOKUP($D135,$C$5:$AU$502,24,)/VLOOKUP($D135,$C$5:$AU$502,3,))*$E135)</f>
        <v>0</v>
      </c>
      <c r="AA135" s="66">
        <f>IF(VLOOKUP($D135,$C$5:$AU$502,3,)=0,0,(VLOOKUP($D135,$C$5:$AU$502,25,)/VLOOKUP($D135,$C$5:$AU$502,3,))*$E135)</f>
        <v>0</v>
      </c>
      <c r="AB135" s="66">
        <f>IF(VLOOKUP($D135,$C$5:$AU$502,3,)=0,0,(VLOOKUP($D135,$C$5:$AU$502,26,)/VLOOKUP($D135,$C$5:$AU$502,3,))*$E135)</f>
        <v>0</v>
      </c>
      <c r="AC135" s="66">
        <f>IF(VLOOKUP($D135,$C$5:$AU$502,3,)=0,0,(VLOOKUP($D135,$C$5:$AU$502,27,)/VLOOKUP($D135,$C$5:$AU$502,3,))*$E135)</f>
        <v>0</v>
      </c>
      <c r="AD135" s="66">
        <f>IF(VLOOKUP($D135,$C$5:$AU$502,3,)=0,0,(VLOOKUP($D135,$C$5:$AU$502,28,)/VLOOKUP($D135,$C$5:$AU$502,3,))*$E135)</f>
        <v>0</v>
      </c>
      <c r="AE135" s="66">
        <f>IF(VLOOKUP($D135,$C$5:$AU$502,3,)=0,0,(VLOOKUP($D135,$C$5:$AU$502,29,)/VLOOKUP($D135,$C$5:$AU$502,3,))*$E135)</f>
        <v>0</v>
      </c>
      <c r="AF135" s="66">
        <f>IF(VLOOKUP($D135,$C$5:$AU$502,3,)=0,0,(VLOOKUP($D135,$C$5:$AU$502,30,)/VLOOKUP($D135,$C$5:$AU$502,3,))*$E135)</f>
        <v>0</v>
      </c>
      <c r="AG135" s="93">
        <f>SUM(F135:AF135)</f>
        <v>1639360.8728126746</v>
      </c>
      <c r="AH135" s="30" t="str">
        <f>IF(ABS(E135-AG135)&lt;0.01,"ok","err")</f>
        <v>ok</v>
      </c>
      <c r="AJ135" s="48">
        <f>H135/I135</f>
        <v>7.4795321637426904</v>
      </c>
    </row>
    <row r="136" spans="1:36" x14ac:dyDescent="0.2">
      <c r="A136" s="14" t="s">
        <v>224</v>
      </c>
      <c r="E136" s="66">
        <f t="shared" ref="E136:T136" si="27">E134+E135</f>
        <v>6140812.6182893002</v>
      </c>
      <c r="F136" s="66">
        <f t="shared" si="27"/>
        <v>5140407.478098114</v>
      </c>
      <c r="G136" s="66">
        <f t="shared" si="27"/>
        <v>1272.7623166997721</v>
      </c>
      <c r="H136" s="66">
        <f t="shared" si="27"/>
        <v>245811.34854367244</v>
      </c>
      <c r="I136" s="66">
        <f t="shared" si="27"/>
        <v>78605.321747013761</v>
      </c>
      <c r="J136" s="66">
        <f t="shared" si="27"/>
        <v>22191.204287420223</v>
      </c>
      <c r="K136" s="66">
        <f t="shared" si="27"/>
        <v>134590.18799530584</v>
      </c>
      <c r="L136" s="66">
        <f t="shared" si="27"/>
        <v>465515.42716838152</v>
      </c>
      <c r="M136" s="66">
        <f t="shared" si="27"/>
        <v>52418.888132693348</v>
      </c>
      <c r="N136" s="66">
        <f t="shared" si="27"/>
        <v>0</v>
      </c>
      <c r="O136" s="66">
        <f t="shared" si="27"/>
        <v>0</v>
      </c>
      <c r="P136" s="66">
        <f t="shared" si="27"/>
        <v>0</v>
      </c>
      <c r="Q136" s="66">
        <f t="shared" si="27"/>
        <v>0</v>
      </c>
      <c r="R136" s="66">
        <f t="shared" si="27"/>
        <v>0</v>
      </c>
      <c r="S136" s="66">
        <f t="shared" si="27"/>
        <v>0</v>
      </c>
      <c r="T136" s="66">
        <f t="shared" si="27"/>
        <v>0</v>
      </c>
      <c r="U136" s="66">
        <f t="shared" ref="U136:AF136" si="28">U134+U135</f>
        <v>0</v>
      </c>
      <c r="V136" s="66">
        <f t="shared" si="28"/>
        <v>0</v>
      </c>
      <c r="W136" s="66">
        <f t="shared" si="28"/>
        <v>0</v>
      </c>
      <c r="X136" s="66">
        <f t="shared" si="28"/>
        <v>0</v>
      </c>
      <c r="Y136" s="66">
        <f t="shared" si="28"/>
        <v>0</v>
      </c>
      <c r="Z136" s="66">
        <f t="shared" si="28"/>
        <v>0</v>
      </c>
      <c r="AA136" s="66">
        <f t="shared" si="28"/>
        <v>0</v>
      </c>
      <c r="AB136" s="66">
        <f t="shared" si="28"/>
        <v>0</v>
      </c>
      <c r="AC136" s="66">
        <f t="shared" si="28"/>
        <v>0</v>
      </c>
      <c r="AD136" s="66">
        <f t="shared" si="28"/>
        <v>0</v>
      </c>
      <c r="AE136" s="66">
        <f t="shared" si="28"/>
        <v>0</v>
      </c>
      <c r="AF136" s="66">
        <f t="shared" si="28"/>
        <v>0</v>
      </c>
      <c r="AG136" s="93">
        <f>SUM(F136:AF136)</f>
        <v>6140812.6182893012</v>
      </c>
      <c r="AH136" s="30" t="str">
        <f>IF(ABS(E136-AG136)&lt;0.01,"ok","err")</f>
        <v>ok</v>
      </c>
      <c r="AJ136" s="48">
        <f>H136/I136</f>
        <v>3.1271591169717574</v>
      </c>
    </row>
    <row r="137" spans="1:36" x14ac:dyDescent="0.2">
      <c r="E137" s="50"/>
    </row>
    <row r="138" spans="1:36" x14ac:dyDescent="0.2">
      <c r="A138" s="13" t="s">
        <v>3</v>
      </c>
      <c r="E138" s="50"/>
    </row>
    <row r="139" spans="1:36" x14ac:dyDescent="0.2">
      <c r="A139" s="96" t="s">
        <v>209</v>
      </c>
      <c r="C139" s="14" t="s">
        <v>268</v>
      </c>
      <c r="D139" s="14" t="s">
        <v>701</v>
      </c>
      <c r="E139" s="66">
        <f>'Func &amp; Classif'!R285</f>
        <v>0</v>
      </c>
      <c r="F139" s="66">
        <f>IF(VLOOKUP($D139,$C$5:$AU$502,3,)=0,0,(VLOOKUP($D139,$C$5:$AU$502,4,)/VLOOKUP($D139,$C$5:$AU$502,3,))*$E139)</f>
        <v>0</v>
      </c>
      <c r="G139" s="66">
        <f>IF(VLOOKUP($D139,$C$5:$AU$502,3,)=0,0,(VLOOKUP($D139,$C$5:$AU$502,5,)/VLOOKUP($D139,$C$5:$AU$502,3,))*$E139)</f>
        <v>0</v>
      </c>
      <c r="H139" s="66">
        <f>IF(VLOOKUP($D139,$C$5:$AU$502,3,)=0,0,(VLOOKUP($D139,$C$5:$AU$502,6,)/VLOOKUP($D139,$C$5:$AU$502,3,))*$E139)</f>
        <v>0</v>
      </c>
      <c r="I139" s="66">
        <f>IF(VLOOKUP($D139,$C$5:$AU$502,3,)=0,0,(VLOOKUP($D139,$C$5:$AU$502,7,)/VLOOKUP($D139,$C$5:$AU$502,3,))*$E139)</f>
        <v>0</v>
      </c>
      <c r="J139" s="66">
        <f>IF(VLOOKUP($D139,$C$5:$AU$502,3,)=0,0,(VLOOKUP($D139,$C$5:$AU$502,8,)/VLOOKUP($D139,$C$5:$AU$502,3,))*$E139)</f>
        <v>0</v>
      </c>
      <c r="K139" s="66">
        <f>IF(VLOOKUP($D139,$C$5:$AU$502,3,)=0,0,(VLOOKUP($D139,$C$5:$AU$502,9,)/VLOOKUP($D139,$C$5:$AU$502,3,))*$E139)</f>
        <v>0</v>
      </c>
      <c r="L139" s="66">
        <f>IF(VLOOKUP($D139,$C$5:$AU$502,3,)=0,0,(VLOOKUP($D139,$C$5:$AU$502,10,)/VLOOKUP($D139,$C$5:$AU$502,3,))*$E139)</f>
        <v>0</v>
      </c>
      <c r="M139" s="66">
        <f>IF(VLOOKUP($D139,$C$5:$AU$502,3,)=0,0,(VLOOKUP($D139,$C$5:$AU$502,11,)/VLOOKUP($D139,$C$5:$AU$502,3,))*$E139)</f>
        <v>0</v>
      </c>
      <c r="N139" s="66">
        <f>IF(VLOOKUP($D139,$C$5:$AU$502,3,)=0,0,(VLOOKUP($D139,$C$5:$AU$502,12,)/VLOOKUP($D139,$C$5:$AU$502,3,))*$E139)</f>
        <v>0</v>
      </c>
      <c r="O139" s="66">
        <f>IF(VLOOKUP($D139,$C$5:$AU$502,3,)=0,0,(VLOOKUP($D139,$C$5:$AU$502,13,)/VLOOKUP($D139,$C$5:$AU$502,3,))*$E139)</f>
        <v>0</v>
      </c>
      <c r="P139" s="66">
        <f>IF(VLOOKUP($D139,$C$5:$AU$502,3,)=0,0,(VLOOKUP($D139,$C$5:$AU$502,14,)/VLOOKUP($D139,$C$5:$AU$502,3,))*$E139)</f>
        <v>0</v>
      </c>
      <c r="Q139" s="66">
        <f>IF(VLOOKUP($D139,$C$5:$AU$502,3,)=0,0,(VLOOKUP($D139,$C$5:$AU$502,15,)/VLOOKUP($D139,$C$5:$AU$502,3,))*$E139)</f>
        <v>0</v>
      </c>
      <c r="R139" s="66">
        <f>IF(VLOOKUP($D139,$C$5:$AU$502,3,)=0,0,(VLOOKUP($D139,$C$5:$AU$502,16,)/VLOOKUP($D139,$C$5:$AU$502,3,))*$E139)</f>
        <v>0</v>
      </c>
      <c r="S139" s="66">
        <f>IF(VLOOKUP($D139,$C$5:$AU$502,3,)=0,0,(VLOOKUP($D139,$C$5:$AU$502,17,)/VLOOKUP($D139,$C$5:$AU$502,3,))*$E139)</f>
        <v>0</v>
      </c>
      <c r="T139" s="66">
        <f>IF(VLOOKUP($D139,$C$5:$AU$502,3,)=0,0,(VLOOKUP($D139,$C$5:$AU$502,18,)/VLOOKUP($D139,$C$5:$AU$502,3,))*$E139)</f>
        <v>0</v>
      </c>
      <c r="U139" s="66">
        <f>IF(VLOOKUP($D139,$C$5:$AU$502,3,)=0,0,(VLOOKUP($D139,$C$5:$AU$502,19,)/VLOOKUP($D139,$C$5:$AU$502,3,))*$E139)</f>
        <v>0</v>
      </c>
      <c r="V139" s="66">
        <f>IF(VLOOKUP($D139,$C$5:$AU$502,3,)=0,0,(VLOOKUP($D139,$C$5:$AU$502,20,)/VLOOKUP($D139,$C$5:$AU$502,3,))*$E139)</f>
        <v>0</v>
      </c>
      <c r="W139" s="66">
        <f>IF(VLOOKUP($D139,$C$5:$AU$502,3,)=0,0,(VLOOKUP($D139,$C$5:$AU$502,21,)/VLOOKUP($D139,$C$5:$AU$502,3,))*$E139)</f>
        <v>0</v>
      </c>
      <c r="X139" s="66">
        <f>IF(VLOOKUP($D139,$C$5:$AU$502,3,)=0,0,(VLOOKUP($D139,$C$5:$AU$502,22,)/VLOOKUP($D139,$C$5:$AU$502,3,))*$E139)</f>
        <v>0</v>
      </c>
      <c r="Y139" s="66">
        <f>IF(VLOOKUP($D139,$C$5:$AU$502,3,)=0,0,(VLOOKUP($D139,$C$5:$AU$502,23,)/VLOOKUP($D139,$C$5:$AU$502,3,))*$E139)</f>
        <v>0</v>
      </c>
      <c r="Z139" s="66">
        <f>IF(VLOOKUP($D139,$C$5:$AU$502,3,)=0,0,(VLOOKUP($D139,$C$5:$AU$502,24,)/VLOOKUP($D139,$C$5:$AU$502,3,))*$E139)</f>
        <v>0</v>
      </c>
      <c r="AA139" s="66">
        <f>IF(VLOOKUP($D139,$C$5:$AU$502,3,)=0,0,(VLOOKUP($D139,$C$5:$AU$502,25,)/VLOOKUP($D139,$C$5:$AU$502,3,))*$E139)</f>
        <v>0</v>
      </c>
      <c r="AB139" s="66">
        <f>IF(VLOOKUP($D139,$C$5:$AU$502,3,)=0,0,(VLOOKUP($D139,$C$5:$AU$502,26,)/VLOOKUP($D139,$C$5:$AU$502,3,))*$E139)</f>
        <v>0</v>
      </c>
      <c r="AC139" s="66">
        <f>IF(VLOOKUP($D139,$C$5:$AU$502,3,)=0,0,(VLOOKUP($D139,$C$5:$AU$502,27,)/VLOOKUP($D139,$C$5:$AU$502,3,))*$E139)</f>
        <v>0</v>
      </c>
      <c r="AD139" s="66">
        <f>IF(VLOOKUP($D139,$C$5:$AU$502,3,)=0,0,(VLOOKUP($D139,$C$5:$AU$502,28,)/VLOOKUP($D139,$C$5:$AU$502,3,))*$E139)</f>
        <v>0</v>
      </c>
      <c r="AE139" s="66">
        <f>IF(VLOOKUP($D139,$C$5:$AU$502,3,)=0,0,(VLOOKUP($D139,$C$5:$AU$502,29,)/VLOOKUP($D139,$C$5:$AU$502,3,))*$E139)</f>
        <v>0</v>
      </c>
      <c r="AF139" s="66">
        <f>IF(VLOOKUP($D139,$C$5:$AU$502,3,)=0,0,(VLOOKUP($D139,$C$5:$AU$502,30,)/VLOOKUP($D139,$C$5:$AU$502,3,))*$E139)</f>
        <v>0</v>
      </c>
      <c r="AG139" s="93">
        <f>SUM(F139:AF139)</f>
        <v>0</v>
      </c>
      <c r="AH139" s="30" t="str">
        <f>IF(ABS(E139-AG139)&lt;0.01,"ok","err")</f>
        <v>ok</v>
      </c>
      <c r="AJ139" s="48" t="e">
        <f>H139/I139</f>
        <v>#DIV/0!</v>
      </c>
    </row>
    <row r="140" spans="1:36" x14ac:dyDescent="0.2">
      <c r="A140" s="96" t="s">
        <v>221</v>
      </c>
      <c r="C140" s="14" t="s">
        <v>269</v>
      </c>
      <c r="D140" s="14" t="s">
        <v>701</v>
      </c>
      <c r="E140" s="50">
        <f>'Func &amp; Classif'!S285</f>
        <v>265876.33542756998</v>
      </c>
      <c r="F140" s="66">
        <f>IF(VLOOKUP($D140,$C$5:$AU$502,3,)=0,0,(VLOOKUP($D140,$C$5:$AU$502,4,)/VLOOKUP($D140,$C$5:$AU$502,3,))*$E140)</f>
        <v>238951.73617622422</v>
      </c>
      <c r="G140" s="66">
        <f>IF(VLOOKUP($D140,$C$5:$AU$502,3,)=0,0,(VLOOKUP($D140,$C$5:$AU$502,5,)/VLOOKUP($D140,$C$5:$AU$502,3,))*$E140)</f>
        <v>95.674242618828117</v>
      </c>
      <c r="H140" s="66">
        <f>IF(VLOOKUP($D140,$C$5:$AU$502,3,)=0,0,(VLOOKUP($D140,$C$5:$AU$502,6,)/VLOOKUP($D140,$C$5:$AU$502,3,))*$E140)</f>
        <v>21397.61760289962</v>
      </c>
      <c r="I140" s="66">
        <f>IF(VLOOKUP($D140,$C$5:$AU$502,3,)=0,0,(VLOOKUP($D140,$C$5:$AU$502,7,)/VLOOKUP($D140,$C$5:$AU$502,3,))*$E140)</f>
        <v>2145.6246331432294</v>
      </c>
      <c r="J140" s="66">
        <f>IF(VLOOKUP($D140,$C$5:$AU$502,3,)=0,0,(VLOOKUP($D140,$C$5:$AU$502,8,)/VLOOKUP($D140,$C$5:$AU$502,3,))*$E140)</f>
        <v>2041.050509201666</v>
      </c>
      <c r="K140" s="66">
        <f>IF(VLOOKUP($D140,$C$5:$AU$502,3,)=0,0,(VLOOKUP($D140,$C$5:$AU$502,9,)/VLOOKUP($D140,$C$5:$AU$502,3,))*$E140)</f>
        <v>589.73308630252507</v>
      </c>
      <c r="L140" s="66">
        <f>IF(VLOOKUP($D140,$C$5:$AU$502,3,)=0,0,(VLOOKUP($D140,$C$5:$AU$502,10,)/VLOOKUP($D140,$C$5:$AU$502,3,))*$E140)</f>
        <v>654.89917717990488</v>
      </c>
      <c r="M140" s="66">
        <f>IF(VLOOKUP($D140,$C$5:$AU$502,3,)=0,0,(VLOOKUP($D140,$C$5:$AU$502,11,)/VLOOKUP($D140,$C$5:$AU$502,3,))*$E140)</f>
        <v>0</v>
      </c>
      <c r="N140" s="66">
        <f>IF(VLOOKUP($D140,$C$5:$AU$502,3,)=0,0,(VLOOKUP($D140,$C$5:$AU$502,12,)/VLOOKUP($D140,$C$5:$AU$502,3,))*$E140)</f>
        <v>0</v>
      </c>
      <c r="O140" s="66">
        <f>IF(VLOOKUP($D140,$C$5:$AU$502,3,)=0,0,(VLOOKUP($D140,$C$5:$AU$502,13,)/VLOOKUP($D140,$C$5:$AU$502,3,))*$E140)</f>
        <v>0</v>
      </c>
      <c r="P140" s="66">
        <f>IF(VLOOKUP($D140,$C$5:$AU$502,3,)=0,0,(VLOOKUP($D140,$C$5:$AU$502,14,)/VLOOKUP($D140,$C$5:$AU$502,3,))*$E140)</f>
        <v>0</v>
      </c>
      <c r="Q140" s="66">
        <f>IF(VLOOKUP($D140,$C$5:$AU$502,3,)=0,0,(VLOOKUP($D140,$C$5:$AU$502,15,)/VLOOKUP($D140,$C$5:$AU$502,3,))*$E140)</f>
        <v>0</v>
      </c>
      <c r="R140" s="66">
        <f>IF(VLOOKUP($D140,$C$5:$AU$502,3,)=0,0,(VLOOKUP($D140,$C$5:$AU$502,16,)/VLOOKUP($D140,$C$5:$AU$502,3,))*$E140)</f>
        <v>0</v>
      </c>
      <c r="S140" s="66">
        <f>IF(VLOOKUP($D140,$C$5:$AU$502,3,)=0,0,(VLOOKUP($D140,$C$5:$AU$502,17,)/VLOOKUP($D140,$C$5:$AU$502,3,))*$E140)</f>
        <v>0</v>
      </c>
      <c r="T140" s="66">
        <f>IF(VLOOKUP($D140,$C$5:$AU$502,3,)=0,0,(VLOOKUP($D140,$C$5:$AU$502,18,)/VLOOKUP($D140,$C$5:$AU$502,3,))*$E140)</f>
        <v>0</v>
      </c>
      <c r="U140" s="66">
        <f>IF(VLOOKUP($D140,$C$5:$AU$502,3,)=0,0,(VLOOKUP($D140,$C$5:$AU$502,19,)/VLOOKUP($D140,$C$5:$AU$502,3,))*$E140)</f>
        <v>0</v>
      </c>
      <c r="V140" s="66">
        <f>IF(VLOOKUP($D140,$C$5:$AU$502,3,)=0,0,(VLOOKUP($D140,$C$5:$AU$502,20,)/VLOOKUP($D140,$C$5:$AU$502,3,))*$E140)</f>
        <v>0</v>
      </c>
      <c r="W140" s="66">
        <f>IF(VLOOKUP($D140,$C$5:$AU$502,3,)=0,0,(VLOOKUP($D140,$C$5:$AU$502,21,)/VLOOKUP($D140,$C$5:$AU$502,3,))*$E140)</f>
        <v>0</v>
      </c>
      <c r="X140" s="66">
        <f>IF(VLOOKUP($D140,$C$5:$AU$502,3,)=0,0,(VLOOKUP($D140,$C$5:$AU$502,22,)/VLOOKUP($D140,$C$5:$AU$502,3,))*$E140)</f>
        <v>0</v>
      </c>
      <c r="Y140" s="66">
        <f>IF(VLOOKUP($D140,$C$5:$AU$502,3,)=0,0,(VLOOKUP($D140,$C$5:$AU$502,23,)/VLOOKUP($D140,$C$5:$AU$502,3,))*$E140)</f>
        <v>0</v>
      </c>
      <c r="Z140" s="66">
        <f>IF(VLOOKUP($D140,$C$5:$AU$502,3,)=0,0,(VLOOKUP($D140,$C$5:$AU$502,24,)/VLOOKUP($D140,$C$5:$AU$502,3,))*$E140)</f>
        <v>0</v>
      </c>
      <c r="AA140" s="66">
        <f>IF(VLOOKUP($D140,$C$5:$AU$502,3,)=0,0,(VLOOKUP($D140,$C$5:$AU$502,25,)/VLOOKUP($D140,$C$5:$AU$502,3,))*$E140)</f>
        <v>0</v>
      </c>
      <c r="AB140" s="66">
        <f>IF(VLOOKUP($D140,$C$5:$AU$502,3,)=0,0,(VLOOKUP($D140,$C$5:$AU$502,26,)/VLOOKUP($D140,$C$5:$AU$502,3,))*$E140)</f>
        <v>0</v>
      </c>
      <c r="AC140" s="66">
        <f>IF(VLOOKUP($D140,$C$5:$AU$502,3,)=0,0,(VLOOKUP($D140,$C$5:$AU$502,27,)/VLOOKUP($D140,$C$5:$AU$502,3,))*$E140)</f>
        <v>0</v>
      </c>
      <c r="AD140" s="66">
        <f>IF(VLOOKUP($D140,$C$5:$AU$502,3,)=0,0,(VLOOKUP($D140,$C$5:$AU$502,28,)/VLOOKUP($D140,$C$5:$AU$502,3,))*$E140)</f>
        <v>0</v>
      </c>
      <c r="AE140" s="66">
        <f>IF(VLOOKUP($D140,$C$5:$AU$502,3,)=0,0,(VLOOKUP($D140,$C$5:$AU$502,29,)/VLOOKUP($D140,$C$5:$AU$502,3,))*$E140)</f>
        <v>0</v>
      </c>
      <c r="AF140" s="66">
        <f>IF(VLOOKUP($D140,$C$5:$AU$502,3,)=0,0,(VLOOKUP($D140,$C$5:$AU$502,30,)/VLOOKUP($D140,$C$5:$AU$502,3,))*$E140)</f>
        <v>0</v>
      </c>
      <c r="AG140" s="93">
        <f>SUM(F140:AF140)</f>
        <v>265876.33542756998</v>
      </c>
      <c r="AH140" s="30" t="str">
        <f>IF(ABS(E140-AG140)&lt;0.01,"ok","err")</f>
        <v>ok</v>
      </c>
      <c r="AJ140" s="48">
        <f>H140/I140</f>
        <v>9.9726752165187502</v>
      </c>
    </row>
    <row r="141" spans="1:36" x14ac:dyDescent="0.2">
      <c r="A141" s="14" t="s">
        <v>228</v>
      </c>
      <c r="E141" s="66">
        <f t="shared" ref="E141:T141" si="29">E139+E140</f>
        <v>265876.33542756998</v>
      </c>
      <c r="F141" s="66">
        <f t="shared" si="29"/>
        <v>238951.73617622422</v>
      </c>
      <c r="G141" s="66">
        <f t="shared" si="29"/>
        <v>95.674242618828117</v>
      </c>
      <c r="H141" s="66">
        <f t="shared" si="29"/>
        <v>21397.61760289962</v>
      </c>
      <c r="I141" s="66">
        <f t="shared" si="29"/>
        <v>2145.6246331432294</v>
      </c>
      <c r="J141" s="66">
        <f t="shared" si="29"/>
        <v>2041.050509201666</v>
      </c>
      <c r="K141" s="66">
        <f t="shared" si="29"/>
        <v>589.73308630252507</v>
      </c>
      <c r="L141" s="66">
        <f t="shared" si="29"/>
        <v>654.89917717990488</v>
      </c>
      <c r="M141" s="66">
        <f t="shared" si="29"/>
        <v>0</v>
      </c>
      <c r="N141" s="66">
        <f t="shared" si="29"/>
        <v>0</v>
      </c>
      <c r="O141" s="66">
        <f t="shared" si="29"/>
        <v>0</v>
      </c>
      <c r="P141" s="66">
        <f t="shared" si="29"/>
        <v>0</v>
      </c>
      <c r="Q141" s="66">
        <f t="shared" si="29"/>
        <v>0</v>
      </c>
      <c r="R141" s="66">
        <f t="shared" si="29"/>
        <v>0</v>
      </c>
      <c r="S141" s="66">
        <f t="shared" si="29"/>
        <v>0</v>
      </c>
      <c r="T141" s="66">
        <f t="shared" si="29"/>
        <v>0</v>
      </c>
      <c r="U141" s="66">
        <f t="shared" ref="U141:AF141" si="30">U139+U140</f>
        <v>0</v>
      </c>
      <c r="V141" s="66">
        <f t="shared" si="30"/>
        <v>0</v>
      </c>
      <c r="W141" s="66">
        <f t="shared" si="30"/>
        <v>0</v>
      </c>
      <c r="X141" s="66">
        <f t="shared" si="30"/>
        <v>0</v>
      </c>
      <c r="Y141" s="66">
        <f t="shared" si="30"/>
        <v>0</v>
      </c>
      <c r="Z141" s="66">
        <f t="shared" si="30"/>
        <v>0</v>
      </c>
      <c r="AA141" s="66">
        <f t="shared" si="30"/>
        <v>0</v>
      </c>
      <c r="AB141" s="66">
        <f t="shared" si="30"/>
        <v>0</v>
      </c>
      <c r="AC141" s="66">
        <f t="shared" si="30"/>
        <v>0</v>
      </c>
      <c r="AD141" s="66">
        <f t="shared" si="30"/>
        <v>0</v>
      </c>
      <c r="AE141" s="66">
        <f t="shared" si="30"/>
        <v>0</v>
      </c>
      <c r="AF141" s="66">
        <f t="shared" si="30"/>
        <v>0</v>
      </c>
      <c r="AG141" s="93">
        <f>SUM(F141:AF141)</f>
        <v>265876.33542756998</v>
      </c>
      <c r="AH141" s="30" t="str">
        <f>IF(ABS(E141-AG141)&lt;0.01,"ok","err")</f>
        <v>ok</v>
      </c>
      <c r="AJ141" s="48">
        <f>H141/I141</f>
        <v>9.9726752165187502</v>
      </c>
    </row>
    <row r="142" spans="1:36" x14ac:dyDescent="0.2">
      <c r="E142" s="50"/>
    </row>
    <row r="143" spans="1:36" x14ac:dyDescent="0.2">
      <c r="A143" s="13" t="s">
        <v>4</v>
      </c>
      <c r="E143" s="50"/>
    </row>
    <row r="144" spans="1:36" x14ac:dyDescent="0.2">
      <c r="A144" s="96" t="s">
        <v>221</v>
      </c>
      <c r="C144" s="14" t="s">
        <v>270</v>
      </c>
      <c r="D144" s="14" t="s">
        <v>230</v>
      </c>
      <c r="E144" s="66">
        <f>'Func &amp; Classif'!U285</f>
        <v>615441.1343927352</v>
      </c>
      <c r="F144" s="66">
        <f>IF(VLOOKUP($D144,$C$5:$AU$502,3,)=0,0,(VLOOKUP($D144,$C$5:$AU$502,4,)/VLOOKUP($D144,$C$5:$AU$502,3,))*$E144)</f>
        <v>547353.9746148705</v>
      </c>
      <c r="G144" s="66">
        <f>IF(VLOOKUP($D144,$C$5:$AU$502,3,)=0,0,(VLOOKUP($D144,$C$5:$AU$502,5,)/VLOOKUP($D144,$C$5:$AU$502,3,))*$E144)</f>
        <v>219.15587559097051</v>
      </c>
      <c r="H144" s="66">
        <f>IF(VLOOKUP($D144,$C$5:$AU$502,3,)=0,0,(VLOOKUP($D144,$C$5:$AU$502,6,)/VLOOKUP($D144,$C$5:$AU$502,3,))*$E144)</f>
        <v>31144.484986761254</v>
      </c>
      <c r="I144" s="66">
        <f>IF(VLOOKUP($D144,$C$5:$AU$502,3,)=0,0,(VLOOKUP($D144,$C$5:$AU$502,7,)/VLOOKUP($D144,$C$5:$AU$502,3,))*$E144)</f>
        <v>9437.892321335903</v>
      </c>
      <c r="J144" s="66">
        <f>IF(VLOOKUP($D144,$C$5:$AU$502,3,)=0,0,(VLOOKUP($D144,$C$5:$AU$502,8,)/VLOOKUP($D144,$C$5:$AU$502,3,))*$E144)</f>
        <v>4675.3253459407033</v>
      </c>
      <c r="K144" s="66">
        <f>IF(VLOOKUP($D144,$C$5:$AU$502,3,)=0,0,(VLOOKUP($D144,$C$5:$AU$502,9,)/VLOOKUP($D144,$C$5:$AU$502,3,))*$E144)</f>
        <v>5805.7425233970225</v>
      </c>
      <c r="L144" s="66">
        <f>IF(VLOOKUP($D144,$C$5:$AU$502,3,)=0,0,(VLOOKUP($D144,$C$5:$AU$502,10,)/VLOOKUP($D144,$C$5:$AU$502,3,))*$E144)</f>
        <v>16804.558724838891</v>
      </c>
      <c r="M144" s="66">
        <f>IF(VLOOKUP($D144,$C$5:$AU$502,3,)=0,0,(VLOOKUP($D144,$C$5:$AU$502,11,)/VLOOKUP($D144,$C$5:$AU$502,3,))*$E144)</f>
        <v>0</v>
      </c>
      <c r="N144" s="66">
        <f>IF(VLOOKUP($D144,$C$5:$AU$502,3,)=0,0,(VLOOKUP($D144,$C$5:$AU$502,12,)/VLOOKUP($D144,$C$5:$AU$502,3,))*$E144)</f>
        <v>0</v>
      </c>
      <c r="O144" s="66">
        <f>IF(VLOOKUP($D144,$C$5:$AU$502,3,)=0,0,(VLOOKUP($D144,$C$5:$AU$502,13,)/VLOOKUP($D144,$C$5:$AU$502,3,))*$E144)</f>
        <v>0</v>
      </c>
      <c r="P144" s="66">
        <f>IF(VLOOKUP($D144,$C$5:$AU$502,3,)=0,0,(VLOOKUP($D144,$C$5:$AU$502,14,)/VLOOKUP($D144,$C$5:$AU$502,3,))*$E144)</f>
        <v>0</v>
      </c>
      <c r="Q144" s="66">
        <f>IF(VLOOKUP($D144,$C$5:$AU$502,3,)=0,0,(VLOOKUP($D144,$C$5:$AU$502,15,)/VLOOKUP($D144,$C$5:$AU$502,3,))*$E144)</f>
        <v>0</v>
      </c>
      <c r="R144" s="66">
        <f>IF(VLOOKUP($D144,$C$5:$AU$502,3,)=0,0,(VLOOKUP($D144,$C$5:$AU$502,16,)/VLOOKUP($D144,$C$5:$AU$502,3,))*$E144)</f>
        <v>0</v>
      </c>
      <c r="S144" s="66">
        <f>IF(VLOOKUP($D144,$C$5:$AU$502,3,)=0,0,(VLOOKUP($D144,$C$5:$AU$502,17,)/VLOOKUP($D144,$C$5:$AU$502,3,))*$E144)</f>
        <v>0</v>
      </c>
      <c r="T144" s="66">
        <f>IF(VLOOKUP($D144,$C$5:$AU$502,3,)=0,0,(VLOOKUP($D144,$C$5:$AU$502,18,)/VLOOKUP($D144,$C$5:$AU$502,3,))*$E144)</f>
        <v>0</v>
      </c>
      <c r="U144" s="66">
        <f>IF(VLOOKUP($D144,$C$5:$AU$502,3,)=0,0,(VLOOKUP($D144,$C$5:$AU$502,19,)/VLOOKUP($D144,$C$5:$AU$502,3,))*$E144)</f>
        <v>0</v>
      </c>
      <c r="V144" s="66">
        <f>IF(VLOOKUP($D144,$C$5:$AU$502,3,)=0,0,(VLOOKUP($D144,$C$5:$AU$502,20,)/VLOOKUP($D144,$C$5:$AU$502,3,))*$E144)</f>
        <v>0</v>
      </c>
      <c r="W144" s="66">
        <f>IF(VLOOKUP($D144,$C$5:$AU$502,3,)=0,0,(VLOOKUP($D144,$C$5:$AU$502,21,)/VLOOKUP($D144,$C$5:$AU$502,3,))*$E144)</f>
        <v>0</v>
      </c>
      <c r="X144" s="66">
        <f>IF(VLOOKUP($D144,$C$5:$AU$502,3,)=0,0,(VLOOKUP($D144,$C$5:$AU$502,22,)/VLOOKUP($D144,$C$5:$AU$502,3,))*$E144)</f>
        <v>0</v>
      </c>
      <c r="Y144" s="66">
        <f>IF(VLOOKUP($D144,$C$5:$AU$502,3,)=0,0,(VLOOKUP($D144,$C$5:$AU$502,23,)/VLOOKUP($D144,$C$5:$AU$502,3,))*$E144)</f>
        <v>0</v>
      </c>
      <c r="Z144" s="66">
        <f>IF(VLOOKUP($D144,$C$5:$AU$502,3,)=0,0,(VLOOKUP($D144,$C$5:$AU$502,24,)/VLOOKUP($D144,$C$5:$AU$502,3,))*$E144)</f>
        <v>0</v>
      </c>
      <c r="AA144" s="66">
        <f>IF(VLOOKUP($D144,$C$5:$AU$502,3,)=0,0,(VLOOKUP($D144,$C$5:$AU$502,25,)/VLOOKUP($D144,$C$5:$AU$502,3,))*$E144)</f>
        <v>0</v>
      </c>
      <c r="AB144" s="66">
        <f>IF(VLOOKUP($D144,$C$5:$AU$502,3,)=0,0,(VLOOKUP($D144,$C$5:$AU$502,26,)/VLOOKUP($D144,$C$5:$AU$502,3,))*$E144)</f>
        <v>0</v>
      </c>
      <c r="AC144" s="66">
        <f>IF(VLOOKUP($D144,$C$5:$AU$502,3,)=0,0,(VLOOKUP($D144,$C$5:$AU$502,27,)/VLOOKUP($D144,$C$5:$AU$502,3,))*$E144)</f>
        <v>0</v>
      </c>
      <c r="AD144" s="66">
        <f>IF(VLOOKUP($D144,$C$5:$AU$502,3,)=0,0,(VLOOKUP($D144,$C$5:$AU$502,28,)/VLOOKUP($D144,$C$5:$AU$502,3,))*$E144)</f>
        <v>0</v>
      </c>
      <c r="AE144" s="66">
        <f>IF(VLOOKUP($D144,$C$5:$AU$502,3,)=0,0,(VLOOKUP($D144,$C$5:$AU$502,29,)/VLOOKUP($D144,$C$5:$AU$502,3,))*$E144)</f>
        <v>0</v>
      </c>
      <c r="AF144" s="66">
        <f>IF(VLOOKUP($D144,$C$5:$AU$502,3,)=0,0,(VLOOKUP($D144,$C$5:$AU$502,30,)/VLOOKUP($D144,$C$5:$AU$502,3,))*$E144)</f>
        <v>0</v>
      </c>
      <c r="AG144" s="93">
        <f>SUM(F144:AF144)</f>
        <v>615441.13439273508</v>
      </c>
      <c r="AH144" s="30" t="str">
        <f>IF(ABS(E144-AG144)&lt;0.01,"ok","err")</f>
        <v>ok</v>
      </c>
      <c r="AJ144" s="48">
        <f>H144/I144</f>
        <v>3.2999406992972404</v>
      </c>
    </row>
    <row r="145" spans="1:36" x14ac:dyDescent="0.2">
      <c r="E145" s="50"/>
    </row>
    <row r="146" spans="1:36" x14ac:dyDescent="0.2">
      <c r="A146" s="13" t="s">
        <v>5</v>
      </c>
      <c r="E146" s="50"/>
    </row>
    <row r="147" spans="1:36" x14ac:dyDescent="0.2">
      <c r="A147" s="96" t="s">
        <v>221</v>
      </c>
      <c r="C147" s="14" t="s">
        <v>271</v>
      </c>
      <c r="D147" s="14" t="s">
        <v>232</v>
      </c>
      <c r="E147" s="66">
        <f>'Func &amp; Classif'!W285</f>
        <v>44456.628514505079</v>
      </c>
      <c r="F147" s="66">
        <f>IF(VLOOKUP($D147,$C$5:$AU$502,3,)=0,0,(VLOOKUP($D147,$C$5:$AU$502,4,)/VLOOKUP($D147,$C$5:$AU$502,3,))*$E147)</f>
        <v>0</v>
      </c>
      <c r="G147" s="66">
        <f>IF(VLOOKUP($D147,$C$5:$AU$502,3,)=0,0,(VLOOKUP($D147,$C$5:$AU$502,5,)/VLOOKUP($D147,$C$5:$AU$502,3,))*$E147)</f>
        <v>0</v>
      </c>
      <c r="H147" s="66">
        <f>IF(VLOOKUP($D147,$C$5:$AU$502,3,)=0,0,(VLOOKUP($D147,$C$5:$AU$502,6,)/VLOOKUP($D147,$C$5:$AU$502,3,))*$E147)</f>
        <v>0</v>
      </c>
      <c r="I147" s="66">
        <f>IF(VLOOKUP($D147,$C$5:$AU$502,3,)=0,0,(VLOOKUP($D147,$C$5:$AU$502,7,)/VLOOKUP($D147,$C$5:$AU$502,3,))*$E147)</f>
        <v>0</v>
      </c>
      <c r="J147" s="66">
        <f>IF(VLOOKUP($D147,$C$5:$AU$502,3,)=0,0,(VLOOKUP($D147,$C$5:$AU$502,8,)/VLOOKUP($D147,$C$5:$AU$502,3,))*$E147)</f>
        <v>0</v>
      </c>
      <c r="K147" s="66">
        <f>IF(VLOOKUP($D147,$C$5:$AU$502,3,)=0,0,(VLOOKUP($D147,$C$5:$AU$502,9,)/VLOOKUP($D147,$C$5:$AU$502,3,))*$E147)</f>
        <v>0</v>
      </c>
      <c r="L147" s="66">
        <f>IF(VLOOKUP($D147,$C$5:$AU$502,3,)=0,0,(VLOOKUP($D147,$C$5:$AU$502,10,)/VLOOKUP($D147,$C$5:$AU$502,3,))*$E147)</f>
        <v>0</v>
      </c>
      <c r="M147" s="66">
        <f>IF(VLOOKUP($D147,$C$5:$AU$502,3,)=0,0,(VLOOKUP($D147,$C$5:$AU$502,11,)/VLOOKUP($D147,$C$5:$AU$502,3,))*$E147)</f>
        <v>44456.628514505079</v>
      </c>
      <c r="N147" s="66">
        <f>IF(VLOOKUP($D147,$C$5:$AU$502,3,)=0,0,(VLOOKUP($D147,$C$5:$AU$502,12,)/VLOOKUP($D147,$C$5:$AU$502,3,))*$E147)</f>
        <v>0</v>
      </c>
      <c r="O147" s="66">
        <f>IF(VLOOKUP($D147,$C$5:$AU$502,3,)=0,0,(VLOOKUP($D147,$C$5:$AU$502,13,)/VLOOKUP($D147,$C$5:$AU$502,3,))*$E147)</f>
        <v>0</v>
      </c>
      <c r="P147" s="66">
        <f>IF(VLOOKUP($D147,$C$5:$AU$502,3,)=0,0,(VLOOKUP($D147,$C$5:$AU$502,14,)/VLOOKUP($D147,$C$5:$AU$502,3,))*$E147)</f>
        <v>0</v>
      </c>
      <c r="Q147" s="66">
        <f>IF(VLOOKUP($D147,$C$5:$AU$502,3,)=0,0,(VLOOKUP($D147,$C$5:$AU$502,15,)/VLOOKUP($D147,$C$5:$AU$502,3,))*$E147)</f>
        <v>0</v>
      </c>
      <c r="R147" s="66">
        <f>IF(VLOOKUP($D147,$C$5:$AU$502,3,)=0,0,(VLOOKUP($D147,$C$5:$AU$502,16,)/VLOOKUP($D147,$C$5:$AU$502,3,))*$E147)</f>
        <v>0</v>
      </c>
      <c r="S147" s="66">
        <f>IF(VLOOKUP($D147,$C$5:$AU$502,3,)=0,0,(VLOOKUP($D147,$C$5:$AU$502,17,)/VLOOKUP($D147,$C$5:$AU$502,3,))*$E147)</f>
        <v>0</v>
      </c>
      <c r="T147" s="66">
        <f>IF(VLOOKUP($D147,$C$5:$AU$502,3,)=0,0,(VLOOKUP($D147,$C$5:$AU$502,18,)/VLOOKUP($D147,$C$5:$AU$502,3,))*$E147)</f>
        <v>0</v>
      </c>
      <c r="U147" s="66">
        <f>IF(VLOOKUP($D147,$C$5:$AU$502,3,)=0,0,(VLOOKUP($D147,$C$5:$AU$502,19,)/VLOOKUP($D147,$C$5:$AU$502,3,))*$E147)</f>
        <v>0</v>
      </c>
      <c r="V147" s="66">
        <f>IF(VLOOKUP($D147,$C$5:$AU$502,3,)=0,0,(VLOOKUP($D147,$C$5:$AU$502,20,)/VLOOKUP($D147,$C$5:$AU$502,3,))*$E147)</f>
        <v>0</v>
      </c>
      <c r="W147" s="66">
        <f>IF(VLOOKUP($D147,$C$5:$AU$502,3,)=0,0,(VLOOKUP($D147,$C$5:$AU$502,21,)/VLOOKUP($D147,$C$5:$AU$502,3,))*$E147)</f>
        <v>0</v>
      </c>
      <c r="X147" s="66">
        <f>IF(VLOOKUP($D147,$C$5:$AU$502,3,)=0,0,(VLOOKUP($D147,$C$5:$AU$502,22,)/VLOOKUP($D147,$C$5:$AU$502,3,))*$E147)</f>
        <v>0</v>
      </c>
      <c r="Y147" s="66">
        <f>IF(VLOOKUP($D147,$C$5:$AU$502,3,)=0,0,(VLOOKUP($D147,$C$5:$AU$502,23,)/VLOOKUP($D147,$C$5:$AU$502,3,))*$E147)</f>
        <v>0</v>
      </c>
      <c r="Z147" s="66">
        <f>IF(VLOOKUP($D147,$C$5:$AU$502,3,)=0,0,(VLOOKUP($D147,$C$5:$AU$502,24,)/VLOOKUP($D147,$C$5:$AU$502,3,))*$E147)</f>
        <v>0</v>
      </c>
      <c r="AA147" s="66">
        <f>IF(VLOOKUP($D147,$C$5:$AU$502,3,)=0,0,(VLOOKUP($D147,$C$5:$AU$502,25,)/VLOOKUP($D147,$C$5:$AU$502,3,))*$E147)</f>
        <v>0</v>
      </c>
      <c r="AB147" s="66">
        <f>IF(VLOOKUP($D147,$C$5:$AU$502,3,)=0,0,(VLOOKUP($D147,$C$5:$AU$502,26,)/VLOOKUP($D147,$C$5:$AU$502,3,))*$E147)</f>
        <v>0</v>
      </c>
      <c r="AC147" s="66">
        <f>IF(VLOOKUP($D147,$C$5:$AU$502,3,)=0,0,(VLOOKUP($D147,$C$5:$AU$502,27,)/VLOOKUP($D147,$C$5:$AU$502,3,))*$E147)</f>
        <v>0</v>
      </c>
      <c r="AD147" s="66">
        <f>IF(VLOOKUP($D147,$C$5:$AU$502,3,)=0,0,(VLOOKUP($D147,$C$5:$AU$502,28,)/VLOOKUP($D147,$C$5:$AU$502,3,))*$E147)</f>
        <v>0</v>
      </c>
      <c r="AE147" s="66">
        <f>IF(VLOOKUP($D147,$C$5:$AU$502,3,)=0,0,(VLOOKUP($D147,$C$5:$AU$502,29,)/VLOOKUP($D147,$C$5:$AU$502,3,))*$E147)</f>
        <v>0</v>
      </c>
      <c r="AF147" s="66">
        <f>IF(VLOOKUP($D147,$C$5:$AU$502,3,)=0,0,(VLOOKUP($D147,$C$5:$AU$502,30,)/VLOOKUP($D147,$C$5:$AU$502,3,))*$E147)</f>
        <v>0</v>
      </c>
      <c r="AG147" s="93">
        <f>SUM(F147:AF147)</f>
        <v>44456.628514505079</v>
      </c>
      <c r="AH147" s="30" t="str">
        <f>IF(ABS(E147-AG147)&lt;0.01,"ok","err")</f>
        <v>ok</v>
      </c>
      <c r="AJ147" s="48" t="e">
        <f>H147/I147</f>
        <v>#DIV/0!</v>
      </c>
    </row>
    <row r="148" spans="1:36" x14ac:dyDescent="0.2">
      <c r="E148" s="50"/>
    </row>
    <row r="149" spans="1:36" x14ac:dyDescent="0.2">
      <c r="A149" s="13" t="s">
        <v>545</v>
      </c>
      <c r="E149" s="50"/>
    </row>
    <row r="150" spans="1:36" x14ac:dyDescent="0.2">
      <c r="A150" s="96" t="s">
        <v>221</v>
      </c>
      <c r="C150" s="14" t="s">
        <v>272</v>
      </c>
      <c r="D150" s="14" t="s">
        <v>234</v>
      </c>
      <c r="E150" s="66">
        <f>'Func &amp; Classif'!Y285</f>
        <v>2328536.6474664905</v>
      </c>
      <c r="F150" s="66">
        <f>IF(VLOOKUP($D150,$C$5:$AU$502,3,)=0,0,(VLOOKUP($D150,$C$5:$AU$502,4,)/VLOOKUP($D150,$C$5:$AU$502,3,))*$E150)</f>
        <v>2159224.3898466206</v>
      </c>
      <c r="G150" s="66">
        <f>IF(VLOOKUP($D150,$C$5:$AU$502,3,)=0,0,(VLOOKUP($D150,$C$5:$AU$502,5,)/VLOOKUP($D150,$C$5:$AU$502,3,))*$E150)</f>
        <v>864.53507912712814</v>
      </c>
      <c r="H150" s="66">
        <f>IF(VLOOKUP($D150,$C$5:$AU$502,3,)=0,0,(VLOOKUP($D150,$C$5:$AU$502,6,)/VLOOKUP($D150,$C$5:$AU$502,3,))*$E150)</f>
        <v>122860.04068928854</v>
      </c>
      <c r="I150" s="66">
        <f>IF(VLOOKUP($D150,$C$5:$AU$502,3,)=0,0,(VLOOKUP($D150,$C$5:$AU$502,7,)/VLOOKUP($D150,$C$5:$AU$502,3,))*$E150)</f>
        <v>16426.166503415436</v>
      </c>
      <c r="J150" s="66">
        <f>IF(VLOOKUP($D150,$C$5:$AU$502,3,)=0,0,(VLOOKUP($D150,$C$5:$AU$502,8,)/VLOOKUP($D150,$C$5:$AU$502,3,))*$E150)</f>
        <v>18443.415021378736</v>
      </c>
      <c r="K150" s="66">
        <f>IF(VLOOKUP($D150,$C$5:$AU$502,3,)=0,0,(VLOOKUP($D150,$C$5:$AU$502,9,)/VLOOKUP($D150,$C$5:$AU$502,3,))*$E150)</f>
        <v>4514.7943021083365</v>
      </c>
      <c r="L150" s="66">
        <f>IF(VLOOKUP($D150,$C$5:$AU$502,3,)=0,0,(VLOOKUP($D150,$C$5:$AU$502,10,)/VLOOKUP($D150,$C$5:$AU$502,3,))*$E150)</f>
        <v>5859.6266474172016</v>
      </c>
      <c r="M150" s="66">
        <f>IF(VLOOKUP($D150,$C$5:$AU$502,3,)=0,0,(VLOOKUP($D150,$C$5:$AU$502,11,)/VLOOKUP($D150,$C$5:$AU$502,3,))*$E150)</f>
        <v>343.67937713448799</v>
      </c>
      <c r="N150" s="66">
        <f>IF(VLOOKUP($D150,$C$5:$AU$502,3,)=0,0,(VLOOKUP($D150,$C$5:$AU$502,12,)/VLOOKUP($D150,$C$5:$AU$502,3,))*$E150)</f>
        <v>0</v>
      </c>
      <c r="O150" s="66">
        <f>IF(VLOOKUP($D150,$C$5:$AU$502,3,)=0,0,(VLOOKUP($D150,$C$5:$AU$502,13,)/VLOOKUP($D150,$C$5:$AU$502,3,))*$E150)</f>
        <v>0</v>
      </c>
      <c r="P150" s="66">
        <f>IF(VLOOKUP($D150,$C$5:$AU$502,3,)=0,0,(VLOOKUP($D150,$C$5:$AU$502,14,)/VLOOKUP($D150,$C$5:$AU$502,3,))*$E150)</f>
        <v>0</v>
      </c>
      <c r="Q150" s="66">
        <f>IF(VLOOKUP($D150,$C$5:$AU$502,3,)=0,0,(VLOOKUP($D150,$C$5:$AU$502,15,)/VLOOKUP($D150,$C$5:$AU$502,3,))*$E150)</f>
        <v>0</v>
      </c>
      <c r="R150" s="66">
        <f>IF(VLOOKUP($D150,$C$5:$AU$502,3,)=0,0,(VLOOKUP($D150,$C$5:$AU$502,16,)/VLOOKUP($D150,$C$5:$AU$502,3,))*$E150)</f>
        <v>0</v>
      </c>
      <c r="S150" s="66">
        <f>IF(VLOOKUP($D150,$C$5:$AU$502,3,)=0,0,(VLOOKUP($D150,$C$5:$AU$502,17,)/VLOOKUP($D150,$C$5:$AU$502,3,))*$E150)</f>
        <v>0</v>
      </c>
      <c r="T150" s="66">
        <f>IF(VLOOKUP($D150,$C$5:$AU$502,3,)=0,0,(VLOOKUP($D150,$C$5:$AU$502,18,)/VLOOKUP($D150,$C$5:$AU$502,3,))*$E150)</f>
        <v>0</v>
      </c>
      <c r="U150" s="66">
        <f>IF(VLOOKUP($D150,$C$5:$AU$502,3,)=0,0,(VLOOKUP($D150,$C$5:$AU$502,19,)/VLOOKUP($D150,$C$5:$AU$502,3,))*$E150)</f>
        <v>0</v>
      </c>
      <c r="V150" s="66">
        <f>IF(VLOOKUP($D150,$C$5:$AU$502,3,)=0,0,(VLOOKUP($D150,$C$5:$AU$502,20,)/VLOOKUP($D150,$C$5:$AU$502,3,))*$E150)</f>
        <v>0</v>
      </c>
      <c r="W150" s="66">
        <f>IF(VLOOKUP($D150,$C$5:$AU$502,3,)=0,0,(VLOOKUP($D150,$C$5:$AU$502,21,)/VLOOKUP($D150,$C$5:$AU$502,3,))*$E150)</f>
        <v>0</v>
      </c>
      <c r="X150" s="66">
        <f>IF(VLOOKUP($D150,$C$5:$AU$502,3,)=0,0,(VLOOKUP($D150,$C$5:$AU$502,22,)/VLOOKUP($D150,$C$5:$AU$502,3,))*$E150)</f>
        <v>0</v>
      </c>
      <c r="Y150" s="66">
        <f>IF(VLOOKUP($D150,$C$5:$AU$502,3,)=0,0,(VLOOKUP($D150,$C$5:$AU$502,23,)/VLOOKUP($D150,$C$5:$AU$502,3,))*$E150)</f>
        <v>0</v>
      </c>
      <c r="Z150" s="66">
        <f>IF(VLOOKUP($D150,$C$5:$AU$502,3,)=0,0,(VLOOKUP($D150,$C$5:$AU$502,24,)/VLOOKUP($D150,$C$5:$AU$502,3,))*$E150)</f>
        <v>0</v>
      </c>
      <c r="AA150" s="66">
        <f>IF(VLOOKUP($D150,$C$5:$AU$502,3,)=0,0,(VLOOKUP($D150,$C$5:$AU$502,25,)/VLOOKUP($D150,$C$5:$AU$502,3,))*$E150)</f>
        <v>0</v>
      </c>
      <c r="AB150" s="66">
        <f>IF(VLOOKUP($D150,$C$5:$AU$502,3,)=0,0,(VLOOKUP($D150,$C$5:$AU$502,26,)/VLOOKUP($D150,$C$5:$AU$502,3,))*$E150)</f>
        <v>0</v>
      </c>
      <c r="AC150" s="66">
        <f>IF(VLOOKUP($D150,$C$5:$AU$502,3,)=0,0,(VLOOKUP($D150,$C$5:$AU$502,27,)/VLOOKUP($D150,$C$5:$AU$502,3,))*$E150)</f>
        <v>0</v>
      </c>
      <c r="AD150" s="66">
        <f>IF(VLOOKUP($D150,$C$5:$AU$502,3,)=0,0,(VLOOKUP($D150,$C$5:$AU$502,28,)/VLOOKUP($D150,$C$5:$AU$502,3,))*$E150)</f>
        <v>0</v>
      </c>
      <c r="AE150" s="66">
        <f>IF(VLOOKUP($D150,$C$5:$AU$502,3,)=0,0,(VLOOKUP($D150,$C$5:$AU$502,29,)/VLOOKUP($D150,$C$5:$AU$502,3,))*$E150)</f>
        <v>0</v>
      </c>
      <c r="AF150" s="66">
        <f>IF(VLOOKUP($D150,$C$5:$AU$502,3,)=0,0,(VLOOKUP($D150,$C$5:$AU$502,30,)/VLOOKUP($D150,$C$5:$AU$502,3,))*$E150)</f>
        <v>0</v>
      </c>
      <c r="AG150" s="93">
        <f>SUM(F150:AF150)</f>
        <v>2328536.6474664905</v>
      </c>
      <c r="AH150" s="30" t="str">
        <f>IF(ABS(E150-AG150)&lt;0.01,"ok","err")</f>
        <v>ok</v>
      </c>
      <c r="AJ150" s="48">
        <f>H150/I150</f>
        <v>7.4795321637426895</v>
      </c>
    </row>
    <row r="151" spans="1:36" x14ac:dyDescent="0.2">
      <c r="E151" s="50"/>
    </row>
    <row r="152" spans="1:36" x14ac:dyDescent="0.2">
      <c r="A152" s="13" t="s">
        <v>470</v>
      </c>
      <c r="E152" s="50"/>
    </row>
    <row r="153" spans="1:36" x14ac:dyDescent="0.2">
      <c r="A153" s="96" t="s">
        <v>221</v>
      </c>
      <c r="C153" s="14" t="s">
        <v>269</v>
      </c>
      <c r="D153" s="14" t="s">
        <v>235</v>
      </c>
      <c r="E153" s="66">
        <f>'Func &amp; Classif'!AA285</f>
        <v>0</v>
      </c>
      <c r="F153" s="66">
        <f>IF(VLOOKUP($D153,$C$5:$AU$502,3,)=0,0,(VLOOKUP($D153,$C$5:$AU$502,4,)/VLOOKUP($D153,$C$5:$AU$502,3,))*$E153)</f>
        <v>0</v>
      </c>
      <c r="G153" s="66">
        <f>IF(VLOOKUP($D153,$C$5:$AU$502,3,)=0,0,(VLOOKUP($D153,$C$5:$AU$502,5,)/VLOOKUP($D153,$C$5:$AU$502,3,))*$E153)</f>
        <v>0</v>
      </c>
      <c r="H153" s="66">
        <f>IF(VLOOKUP($D153,$C$5:$AU$502,3,)=0,0,(VLOOKUP($D153,$C$5:$AU$502,6,)/VLOOKUP($D153,$C$5:$AU$502,3,))*$E153)</f>
        <v>0</v>
      </c>
      <c r="I153" s="66">
        <f>IF(VLOOKUP($D153,$C$5:$AU$502,3,)=0,0,(VLOOKUP($D153,$C$5:$AU$502,7,)/VLOOKUP($D153,$C$5:$AU$502,3,))*$E153)</f>
        <v>0</v>
      </c>
      <c r="J153" s="66">
        <f>IF(VLOOKUP($D153,$C$5:$AU$502,3,)=0,0,(VLOOKUP($D153,$C$5:$AU$502,8,)/VLOOKUP($D153,$C$5:$AU$502,3,))*$E153)</f>
        <v>0</v>
      </c>
      <c r="K153" s="66">
        <f>IF(VLOOKUP($D153,$C$5:$AU$502,3,)=0,0,(VLOOKUP($D153,$C$5:$AU$502,9,)/VLOOKUP($D153,$C$5:$AU$502,3,))*$E153)</f>
        <v>0</v>
      </c>
      <c r="L153" s="66">
        <f>IF(VLOOKUP($D153,$C$5:$AU$502,3,)=0,0,(VLOOKUP($D153,$C$5:$AU$502,10,)/VLOOKUP($D153,$C$5:$AU$502,3,))*$E153)</f>
        <v>0</v>
      </c>
      <c r="M153" s="66">
        <f>IF(VLOOKUP($D153,$C$5:$AU$502,3,)=0,0,(VLOOKUP($D153,$C$5:$AU$502,11,)/VLOOKUP($D153,$C$5:$AU$502,3,))*$E153)</f>
        <v>0</v>
      </c>
      <c r="N153" s="66">
        <f>IF(VLOOKUP($D153,$C$5:$AU$502,3,)=0,0,(VLOOKUP($D153,$C$5:$AU$502,12,)/VLOOKUP($D153,$C$5:$AU$502,3,))*$E153)</f>
        <v>0</v>
      </c>
      <c r="O153" s="66">
        <f>IF(VLOOKUP($D153,$C$5:$AU$502,3,)=0,0,(VLOOKUP($D153,$C$5:$AU$502,13,)/VLOOKUP($D153,$C$5:$AU$502,3,))*$E153)</f>
        <v>0</v>
      </c>
      <c r="P153" s="66">
        <f>IF(VLOOKUP($D153,$C$5:$AU$502,3,)=0,0,(VLOOKUP($D153,$C$5:$AU$502,14,)/VLOOKUP($D153,$C$5:$AU$502,3,))*$E153)</f>
        <v>0</v>
      </c>
      <c r="Q153" s="66">
        <f>IF(VLOOKUP($D153,$C$5:$AU$502,3,)=0,0,(VLOOKUP($D153,$C$5:$AU$502,15,)/VLOOKUP($D153,$C$5:$AU$502,3,))*$E153)</f>
        <v>0</v>
      </c>
      <c r="R153" s="66">
        <f>IF(VLOOKUP($D153,$C$5:$AU$502,3,)=0,0,(VLOOKUP($D153,$C$5:$AU$502,16,)/VLOOKUP($D153,$C$5:$AU$502,3,))*$E153)</f>
        <v>0</v>
      </c>
      <c r="S153" s="66">
        <f>IF(VLOOKUP($D153,$C$5:$AU$502,3,)=0,0,(VLOOKUP($D153,$C$5:$AU$502,17,)/VLOOKUP($D153,$C$5:$AU$502,3,))*$E153)</f>
        <v>0</v>
      </c>
      <c r="T153" s="66">
        <f>IF(VLOOKUP($D153,$C$5:$AU$502,3,)=0,0,(VLOOKUP($D153,$C$5:$AU$502,18,)/VLOOKUP($D153,$C$5:$AU$502,3,))*$E153)</f>
        <v>0</v>
      </c>
      <c r="U153" s="66">
        <f>IF(VLOOKUP($D153,$C$5:$AU$502,3,)=0,0,(VLOOKUP($D153,$C$5:$AU$502,19,)/VLOOKUP($D153,$C$5:$AU$502,3,))*$E153)</f>
        <v>0</v>
      </c>
      <c r="V153" s="66">
        <f>IF(VLOOKUP($D153,$C$5:$AU$502,3,)=0,0,(VLOOKUP($D153,$C$5:$AU$502,20,)/VLOOKUP($D153,$C$5:$AU$502,3,))*$E153)</f>
        <v>0</v>
      </c>
      <c r="W153" s="66">
        <f>IF(VLOOKUP($D153,$C$5:$AU$502,3,)=0,0,(VLOOKUP($D153,$C$5:$AU$502,21,)/VLOOKUP($D153,$C$5:$AU$502,3,))*$E153)</f>
        <v>0</v>
      </c>
      <c r="X153" s="66">
        <f>IF(VLOOKUP($D153,$C$5:$AU$502,3,)=0,0,(VLOOKUP($D153,$C$5:$AU$502,22,)/VLOOKUP($D153,$C$5:$AU$502,3,))*$E153)</f>
        <v>0</v>
      </c>
      <c r="Y153" s="66">
        <f>IF(VLOOKUP($D153,$C$5:$AU$502,3,)=0,0,(VLOOKUP($D153,$C$5:$AU$502,23,)/VLOOKUP($D153,$C$5:$AU$502,3,))*$E153)</f>
        <v>0</v>
      </c>
      <c r="Z153" s="66">
        <f>IF(VLOOKUP($D153,$C$5:$AU$502,3,)=0,0,(VLOOKUP($D153,$C$5:$AU$502,24,)/VLOOKUP($D153,$C$5:$AU$502,3,))*$E153)</f>
        <v>0</v>
      </c>
      <c r="AA153" s="66">
        <f>IF(VLOOKUP($D153,$C$5:$AU$502,3,)=0,0,(VLOOKUP($D153,$C$5:$AU$502,25,)/VLOOKUP($D153,$C$5:$AU$502,3,))*$E153)</f>
        <v>0</v>
      </c>
      <c r="AB153" s="66">
        <f>IF(VLOOKUP($D153,$C$5:$AU$502,3,)=0,0,(VLOOKUP($D153,$C$5:$AU$502,26,)/VLOOKUP($D153,$C$5:$AU$502,3,))*$E153)</f>
        <v>0</v>
      </c>
      <c r="AC153" s="66">
        <f>IF(VLOOKUP($D153,$C$5:$AU$502,3,)=0,0,(VLOOKUP($D153,$C$5:$AU$502,27,)/VLOOKUP($D153,$C$5:$AU$502,3,))*$E153)</f>
        <v>0</v>
      </c>
      <c r="AD153" s="66">
        <f>IF(VLOOKUP($D153,$C$5:$AU$502,3,)=0,0,(VLOOKUP($D153,$C$5:$AU$502,28,)/VLOOKUP($D153,$C$5:$AU$502,3,))*$E153)</f>
        <v>0</v>
      </c>
      <c r="AE153" s="66">
        <f>IF(VLOOKUP($D153,$C$5:$AU$502,3,)=0,0,(VLOOKUP($D153,$C$5:$AU$502,29,)/VLOOKUP($D153,$C$5:$AU$502,3,))*$E153)</f>
        <v>0</v>
      </c>
      <c r="AF153" s="66">
        <f>IF(VLOOKUP($D153,$C$5:$AU$502,3,)=0,0,(VLOOKUP($D153,$C$5:$AU$502,30,)/VLOOKUP($D153,$C$5:$AU$502,3,))*$E153)</f>
        <v>0</v>
      </c>
      <c r="AG153" s="93">
        <f>SUM(F153:AF153)</f>
        <v>0</v>
      </c>
      <c r="AH153" s="30" t="str">
        <f>IF(ABS(E153-AG153)&lt;0.01,"ok","err")</f>
        <v>ok</v>
      </c>
      <c r="AJ153" s="48" t="e">
        <f>H153/I153</f>
        <v>#DIV/0!</v>
      </c>
    </row>
    <row r="154" spans="1:36" x14ac:dyDescent="0.2">
      <c r="E154" s="50"/>
    </row>
    <row r="155" spans="1:36" x14ac:dyDescent="0.2">
      <c r="A155" s="14" t="s">
        <v>0</v>
      </c>
      <c r="C155" s="14" t="s">
        <v>273</v>
      </c>
      <c r="E155" s="66">
        <f>E125+E128+E131+E136+E141+E144+E147+E150+E153</f>
        <v>45208496.339999996</v>
      </c>
      <c r="F155" s="66">
        <f t="shared" ref="F155:R155" si="31">F125+F128+F131+F136+F141+F144+F147+F150+F153</f>
        <v>32572118.789333779</v>
      </c>
      <c r="G155" s="66">
        <f t="shared" si="31"/>
        <v>7055.8063881329435</v>
      </c>
      <c r="H155" s="66">
        <f t="shared" si="31"/>
        <v>1915622.3337125827</v>
      </c>
      <c r="I155" s="66">
        <f t="shared" si="31"/>
        <v>1086789.073560087</v>
      </c>
      <c r="J155" s="66">
        <f t="shared" si="31"/>
        <v>109826.77017532283</v>
      </c>
      <c r="K155" s="66">
        <f t="shared" si="31"/>
        <v>1109106.8918306099</v>
      </c>
      <c r="L155" s="66">
        <f t="shared" si="31"/>
        <v>7624861.635731509</v>
      </c>
      <c r="M155" s="66">
        <f t="shared" si="31"/>
        <v>783115.04352404969</v>
      </c>
      <c r="N155" s="66">
        <f t="shared" si="31"/>
        <v>0</v>
      </c>
      <c r="O155" s="66">
        <f t="shared" si="31"/>
        <v>0</v>
      </c>
      <c r="P155" s="66">
        <f t="shared" si="31"/>
        <v>0</v>
      </c>
      <c r="Q155" s="66">
        <f t="shared" si="31"/>
        <v>0</v>
      </c>
      <c r="R155" s="66">
        <f t="shared" si="31"/>
        <v>0</v>
      </c>
      <c r="S155" s="66">
        <f t="shared" ref="S155:AF155" si="32">S125+S131+S136+S141+S144+S147+S150+S153</f>
        <v>0</v>
      </c>
      <c r="T155" s="66">
        <f t="shared" si="32"/>
        <v>0</v>
      </c>
      <c r="U155" s="66">
        <f t="shared" si="32"/>
        <v>0</v>
      </c>
      <c r="V155" s="66">
        <f t="shared" si="32"/>
        <v>0</v>
      </c>
      <c r="W155" s="66">
        <f t="shared" si="32"/>
        <v>0</v>
      </c>
      <c r="X155" s="66">
        <f t="shared" si="32"/>
        <v>0</v>
      </c>
      <c r="Y155" s="66">
        <f t="shared" si="32"/>
        <v>0</v>
      </c>
      <c r="Z155" s="66">
        <f t="shared" si="32"/>
        <v>0</v>
      </c>
      <c r="AA155" s="66">
        <f t="shared" si="32"/>
        <v>0</v>
      </c>
      <c r="AB155" s="66">
        <f t="shared" si="32"/>
        <v>0</v>
      </c>
      <c r="AC155" s="66">
        <f t="shared" si="32"/>
        <v>0</v>
      </c>
      <c r="AD155" s="66">
        <f t="shared" si="32"/>
        <v>0</v>
      </c>
      <c r="AE155" s="66">
        <f t="shared" si="32"/>
        <v>0</v>
      </c>
      <c r="AF155" s="66">
        <f t="shared" si="32"/>
        <v>0</v>
      </c>
      <c r="AG155" s="93">
        <f>SUM(F155:AF155)</f>
        <v>45208496.344256073</v>
      </c>
      <c r="AH155" s="30" t="str">
        <f>IF(ABS(E155-AG155)&lt;0.01,"ok","err")</f>
        <v>ok</v>
      </c>
      <c r="AJ155" s="48">
        <f>H155/I155</f>
        <v>1.7626440864347452</v>
      </c>
    </row>
    <row r="158" spans="1:36" x14ac:dyDescent="0.2">
      <c r="A158" s="28" t="s">
        <v>183</v>
      </c>
    </row>
    <row r="160" spans="1:36" x14ac:dyDescent="0.2">
      <c r="A160" s="13" t="s">
        <v>895</v>
      </c>
    </row>
    <row r="161" spans="1:34" x14ac:dyDescent="0.2">
      <c r="A161" s="96" t="s">
        <v>209</v>
      </c>
      <c r="C161" s="14" t="s">
        <v>274</v>
      </c>
      <c r="D161" s="14" t="s">
        <v>657</v>
      </c>
      <c r="E161" s="66">
        <f>'Func &amp; Classif'!H463</f>
        <v>0</v>
      </c>
      <c r="F161" s="66">
        <f>IF(VLOOKUP($D161,$C$5:$AU$502,3,)=0,0,(VLOOKUP($D161,$C$5:$AU$502,4,)/VLOOKUP($D161,$C$5:$AU$502,3,))*$E161)</f>
        <v>0</v>
      </c>
      <c r="G161" s="66">
        <f>IF(VLOOKUP($D161,$C$5:$AU$502,3,)=0,0,(VLOOKUP($D161,$C$5:$AU$502,5,)/VLOOKUP($D161,$C$5:$AU$502,3,))*$E161)</f>
        <v>0</v>
      </c>
      <c r="H161" s="66">
        <f>IF(VLOOKUP($D161,$C$5:$AU$502,3,)=0,0,(VLOOKUP($D161,$C$5:$AU$502,6,)/VLOOKUP($D161,$C$5:$AU$502,3,))*$E161)</f>
        <v>0</v>
      </c>
      <c r="I161" s="66">
        <f>IF(VLOOKUP($D161,$C$5:$AU$502,3,)=0,0,(VLOOKUP($D161,$C$5:$AU$502,7,)/VLOOKUP($D161,$C$5:$AU$502,3,))*$E161)</f>
        <v>0</v>
      </c>
      <c r="J161" s="66">
        <f>IF(VLOOKUP($D161,$C$5:$AU$502,3,)=0,0,(VLOOKUP($D161,$C$5:$AU$502,8,)/VLOOKUP($D161,$C$5:$AU$502,3,))*$E161)</f>
        <v>0</v>
      </c>
      <c r="K161" s="66">
        <f>IF(VLOOKUP($D161,$C$5:$AU$502,3,)=0,0,(VLOOKUP($D161,$C$5:$AU$502,9,)/VLOOKUP($D161,$C$5:$AU$502,3,))*$E161)</f>
        <v>0</v>
      </c>
      <c r="L161" s="66">
        <f>IF(VLOOKUP($D161,$C$5:$AU$502,3,)=0,0,(VLOOKUP($D161,$C$5:$AU$502,10,)/VLOOKUP($D161,$C$5:$AU$502,3,))*$E161)</f>
        <v>0</v>
      </c>
      <c r="M161" s="66">
        <f>IF(VLOOKUP($D161,$C$5:$AU$502,3,)=0,0,(VLOOKUP($D161,$C$5:$AU$502,11,)/VLOOKUP($D161,$C$5:$AU$502,3,))*$E161)</f>
        <v>0</v>
      </c>
      <c r="N161" s="66">
        <f>IF(VLOOKUP($D161,$C$5:$AU$502,3,)=0,0,(VLOOKUP($D161,$C$5:$AU$502,12,)/VLOOKUP($D161,$C$5:$AU$502,3,))*$E161)</f>
        <v>0</v>
      </c>
      <c r="O161" s="66">
        <f>IF(VLOOKUP($D161,$C$5:$AU$502,3,)=0,0,(VLOOKUP($D161,$C$5:$AU$502,13,)/VLOOKUP($D161,$C$5:$AU$502,3,))*$E161)</f>
        <v>0</v>
      </c>
      <c r="P161" s="66">
        <f>IF(VLOOKUP($D161,$C$5:$AU$502,3,)=0,0,(VLOOKUP($D161,$C$5:$AU$502,14,)/VLOOKUP($D161,$C$5:$AU$502,3,))*$E161)</f>
        <v>0</v>
      </c>
      <c r="Q161" s="66">
        <f>IF(VLOOKUP($D161,$C$5:$AU$502,3,)=0,0,(VLOOKUP($D161,$C$5:$AU$502,15,)/VLOOKUP($D161,$C$5:$AU$502,3,))*$E161)</f>
        <v>0</v>
      </c>
      <c r="R161" s="66">
        <f>IF(VLOOKUP($D161,$C$5:$AU$502,3,)=0,0,(VLOOKUP($D161,$C$5:$AU$502,16,)/VLOOKUP($D161,$C$5:$AU$502,3,))*$E161)</f>
        <v>0</v>
      </c>
      <c r="S161" s="66">
        <f>IF(VLOOKUP($D161,$C$5:$AU$502,3,)=0,0,(VLOOKUP($D161,$C$5:$AU$502,17,)/VLOOKUP($D161,$C$5:$AU$502,3,))*$E161)</f>
        <v>0</v>
      </c>
      <c r="T161" s="66">
        <f>IF(VLOOKUP($D161,$C$5:$AU$502,3,)=0,0,(VLOOKUP($D161,$C$5:$AU$502,18,)/VLOOKUP($D161,$C$5:$AU$502,3,))*$E161)</f>
        <v>0</v>
      </c>
      <c r="U161" s="66">
        <f>IF(VLOOKUP($D161,$C$5:$AU$502,3,)=0,0,(VLOOKUP($D161,$C$5:$AU$502,19,)/VLOOKUP($D161,$C$5:$AU$502,3,))*$E161)</f>
        <v>0</v>
      </c>
      <c r="V161" s="66">
        <f>IF(VLOOKUP($D161,$C$5:$AU$502,3,)=0,0,(VLOOKUP($D161,$C$5:$AU$502,20,)/VLOOKUP($D161,$C$5:$AU$502,3,))*$E161)</f>
        <v>0</v>
      </c>
      <c r="W161" s="66">
        <f>IF(VLOOKUP($D161,$C$5:$AU$502,3,)=0,0,(VLOOKUP($D161,$C$5:$AU$502,21,)/VLOOKUP($D161,$C$5:$AU$502,3,))*$E161)</f>
        <v>0</v>
      </c>
      <c r="X161" s="66">
        <f>IF(VLOOKUP($D161,$C$5:$AU$502,3,)=0,0,(VLOOKUP($D161,$C$5:$AU$502,22,)/VLOOKUP($D161,$C$5:$AU$502,3,))*$E161)</f>
        <v>0</v>
      </c>
      <c r="Y161" s="66">
        <f>IF(VLOOKUP($D161,$C$5:$AU$502,3,)=0,0,(VLOOKUP($D161,$C$5:$AU$502,23,)/VLOOKUP($D161,$C$5:$AU$502,3,))*$E161)</f>
        <v>0</v>
      </c>
      <c r="Z161" s="66">
        <f>IF(VLOOKUP($D161,$C$5:$AU$502,3,)=0,0,(VLOOKUP($D161,$C$5:$AU$502,24,)/VLOOKUP($D161,$C$5:$AU$502,3,))*$E161)</f>
        <v>0</v>
      </c>
      <c r="AA161" s="66">
        <f>IF(VLOOKUP($D161,$C$5:$AU$502,3,)=0,0,(VLOOKUP($D161,$C$5:$AU$502,25,)/VLOOKUP($D161,$C$5:$AU$502,3,))*$E161)</f>
        <v>0</v>
      </c>
      <c r="AB161" s="66">
        <f>IF(VLOOKUP($D161,$C$5:$AU$502,3,)=0,0,(VLOOKUP($D161,$C$5:$AU$502,26,)/VLOOKUP($D161,$C$5:$AU$502,3,))*$E161)</f>
        <v>0</v>
      </c>
      <c r="AC161" s="66">
        <f>IF(VLOOKUP($D161,$C$5:$AU$502,3,)=0,0,(VLOOKUP($D161,$C$5:$AU$502,27,)/VLOOKUP($D161,$C$5:$AU$502,3,))*$E161)</f>
        <v>0</v>
      </c>
      <c r="AD161" s="66">
        <f>IF(VLOOKUP($D161,$C$5:$AU$502,3,)=0,0,(VLOOKUP($D161,$C$5:$AU$502,28,)/VLOOKUP($D161,$C$5:$AU$502,3,))*$E161)</f>
        <v>0</v>
      </c>
      <c r="AE161" s="66">
        <f>IF(VLOOKUP($D161,$C$5:$AU$502,3,)=0,0,(VLOOKUP($D161,$C$5:$AU$502,29,)/VLOOKUP($D161,$C$5:$AU$502,3,))*$E161)</f>
        <v>0</v>
      </c>
      <c r="AF161" s="66">
        <f>IF(VLOOKUP($D161,$C$5:$AU$502,3,)=0,0,(VLOOKUP($D161,$C$5:$AU$502,30,)/VLOOKUP($D161,$C$5:$AU$502,3,))*$E161)</f>
        <v>0</v>
      </c>
      <c r="AG161" s="93">
        <f>SUM(F161:AF161)</f>
        <v>0</v>
      </c>
      <c r="AH161" s="30" t="str">
        <f>IF(ABS(E161-AG161)&lt;0.01,"ok","err")</f>
        <v>ok</v>
      </c>
    </row>
    <row r="162" spans="1:34" x14ac:dyDescent="0.2">
      <c r="A162" s="96" t="s">
        <v>212</v>
      </c>
      <c r="C162" s="14" t="s">
        <v>275</v>
      </c>
      <c r="D162" s="14" t="s">
        <v>666</v>
      </c>
      <c r="E162" s="50">
        <f>'Func &amp; Classif'!I463</f>
        <v>0</v>
      </c>
      <c r="F162" s="66">
        <f>IF(VLOOKUP($D162,$C$5:$AU$502,3,)=0,0,(VLOOKUP($D162,$C$5:$AU$502,4,)/VLOOKUP($D162,$C$5:$AU$502,3,))*$E162)</f>
        <v>0</v>
      </c>
      <c r="G162" s="66">
        <f>IF(VLOOKUP($D162,$C$5:$AU$502,3,)=0,0,(VLOOKUP($D162,$C$5:$AU$502,5,)/VLOOKUP($D162,$C$5:$AU$502,3,))*$E162)</f>
        <v>0</v>
      </c>
      <c r="H162" s="66">
        <f>IF(VLOOKUP($D162,$C$5:$AU$502,3,)=0,0,(VLOOKUP($D162,$C$5:$AU$502,6,)/VLOOKUP($D162,$C$5:$AU$502,3,))*$E162)</f>
        <v>0</v>
      </c>
      <c r="I162" s="66">
        <f>IF(VLOOKUP($D162,$C$5:$AU$502,3,)=0,0,(VLOOKUP($D162,$C$5:$AU$502,7,)/VLOOKUP($D162,$C$5:$AU$502,3,))*$E162)</f>
        <v>0</v>
      </c>
      <c r="J162" s="66">
        <f>IF(VLOOKUP($D162,$C$5:$AU$502,3,)=0,0,(VLOOKUP($D162,$C$5:$AU$502,8,)/VLOOKUP($D162,$C$5:$AU$502,3,))*$E162)</f>
        <v>0</v>
      </c>
      <c r="K162" s="66">
        <f>IF(VLOOKUP($D162,$C$5:$AU$502,3,)=0,0,(VLOOKUP($D162,$C$5:$AU$502,9,)/VLOOKUP($D162,$C$5:$AU$502,3,))*$E162)</f>
        <v>0</v>
      </c>
      <c r="L162" s="66">
        <f>IF(VLOOKUP($D162,$C$5:$AU$502,3,)=0,0,(VLOOKUP($D162,$C$5:$AU$502,10,)/VLOOKUP($D162,$C$5:$AU$502,3,))*$E162)</f>
        <v>0</v>
      </c>
      <c r="M162" s="66">
        <f>IF(VLOOKUP($D162,$C$5:$AU$502,3,)=0,0,(VLOOKUP($D162,$C$5:$AU$502,11,)/VLOOKUP($D162,$C$5:$AU$502,3,))*$E162)</f>
        <v>0</v>
      </c>
      <c r="N162" s="66">
        <f>IF(VLOOKUP($D162,$C$5:$AU$502,3,)=0,0,(VLOOKUP($D162,$C$5:$AU$502,12,)/VLOOKUP($D162,$C$5:$AU$502,3,))*$E162)</f>
        <v>0</v>
      </c>
      <c r="O162" s="66">
        <f>IF(VLOOKUP($D162,$C$5:$AU$502,3,)=0,0,(VLOOKUP($D162,$C$5:$AU$502,13,)/VLOOKUP($D162,$C$5:$AU$502,3,))*$E162)</f>
        <v>0</v>
      </c>
      <c r="P162" s="66">
        <f>IF(VLOOKUP($D162,$C$5:$AU$502,3,)=0,0,(VLOOKUP($D162,$C$5:$AU$502,14,)/VLOOKUP($D162,$C$5:$AU$502,3,))*$E162)</f>
        <v>0</v>
      </c>
      <c r="Q162" s="66">
        <f>IF(VLOOKUP($D162,$C$5:$AU$502,3,)=0,0,(VLOOKUP($D162,$C$5:$AU$502,15,)/VLOOKUP($D162,$C$5:$AU$502,3,))*$E162)</f>
        <v>0</v>
      </c>
      <c r="R162" s="66">
        <f>IF(VLOOKUP($D162,$C$5:$AU$502,3,)=0,0,(VLOOKUP($D162,$C$5:$AU$502,16,)/VLOOKUP($D162,$C$5:$AU$502,3,))*$E162)</f>
        <v>0</v>
      </c>
      <c r="S162" s="66">
        <f>IF(VLOOKUP($D162,$C$5:$AU$502,3,)=0,0,(VLOOKUP($D162,$C$5:$AU$502,17,)/VLOOKUP($D162,$C$5:$AU$502,3,))*$E162)</f>
        <v>0</v>
      </c>
      <c r="T162" s="66">
        <f>IF(VLOOKUP($D162,$C$5:$AU$502,3,)=0,0,(VLOOKUP($D162,$C$5:$AU$502,18,)/VLOOKUP($D162,$C$5:$AU$502,3,))*$E162)</f>
        <v>0</v>
      </c>
      <c r="U162" s="66">
        <f>IF(VLOOKUP($D162,$C$5:$AU$502,3,)=0,0,(VLOOKUP($D162,$C$5:$AU$502,19,)/VLOOKUP($D162,$C$5:$AU$502,3,))*$E162)</f>
        <v>0</v>
      </c>
      <c r="V162" s="66">
        <f>IF(VLOOKUP($D162,$C$5:$AU$502,3,)=0,0,(VLOOKUP($D162,$C$5:$AU$502,20,)/VLOOKUP($D162,$C$5:$AU$502,3,))*$E162)</f>
        <v>0</v>
      </c>
      <c r="W162" s="66">
        <f>IF(VLOOKUP($D162,$C$5:$AU$502,3,)=0,0,(VLOOKUP($D162,$C$5:$AU$502,21,)/VLOOKUP($D162,$C$5:$AU$502,3,))*$E162)</f>
        <v>0</v>
      </c>
      <c r="X162" s="66">
        <f>IF(VLOOKUP($D162,$C$5:$AU$502,3,)=0,0,(VLOOKUP($D162,$C$5:$AU$502,22,)/VLOOKUP($D162,$C$5:$AU$502,3,))*$E162)</f>
        <v>0</v>
      </c>
      <c r="Y162" s="66">
        <f>IF(VLOOKUP($D162,$C$5:$AU$502,3,)=0,0,(VLOOKUP($D162,$C$5:$AU$502,23,)/VLOOKUP($D162,$C$5:$AU$502,3,))*$E162)</f>
        <v>0</v>
      </c>
      <c r="Z162" s="66">
        <f>IF(VLOOKUP($D162,$C$5:$AU$502,3,)=0,0,(VLOOKUP($D162,$C$5:$AU$502,24,)/VLOOKUP($D162,$C$5:$AU$502,3,))*$E162)</f>
        <v>0</v>
      </c>
      <c r="AA162" s="66">
        <f>IF(VLOOKUP($D162,$C$5:$AU$502,3,)=0,0,(VLOOKUP($D162,$C$5:$AU$502,25,)/VLOOKUP($D162,$C$5:$AU$502,3,))*$E162)</f>
        <v>0</v>
      </c>
      <c r="AB162" s="66">
        <f>IF(VLOOKUP($D162,$C$5:$AU$502,3,)=0,0,(VLOOKUP($D162,$C$5:$AU$502,26,)/VLOOKUP($D162,$C$5:$AU$502,3,))*$E162)</f>
        <v>0</v>
      </c>
      <c r="AC162" s="66">
        <f>IF(VLOOKUP($D162,$C$5:$AU$502,3,)=0,0,(VLOOKUP($D162,$C$5:$AU$502,27,)/VLOOKUP($D162,$C$5:$AU$502,3,))*$E162)</f>
        <v>0</v>
      </c>
      <c r="AD162" s="66">
        <f>IF(VLOOKUP($D162,$C$5:$AU$502,3,)=0,0,(VLOOKUP($D162,$C$5:$AU$502,28,)/VLOOKUP($D162,$C$5:$AU$502,3,))*$E162)</f>
        <v>0</v>
      </c>
      <c r="AE162" s="66">
        <f>IF(VLOOKUP($D162,$C$5:$AU$502,3,)=0,0,(VLOOKUP($D162,$C$5:$AU$502,29,)/VLOOKUP($D162,$C$5:$AU$502,3,))*$E162)</f>
        <v>0</v>
      </c>
      <c r="AF162" s="66">
        <f>IF(VLOOKUP($D162,$C$5:$AU$502,3,)=0,0,(VLOOKUP($D162,$C$5:$AU$502,30,)/VLOOKUP($D162,$C$5:$AU$502,3,))*$E162)</f>
        <v>0</v>
      </c>
      <c r="AG162" s="93">
        <f>SUM(F162:AF162)</f>
        <v>0</v>
      </c>
      <c r="AH162" s="30" t="str">
        <f>IF(ABS(E162-AG162)&lt;0.01,"ok","err")</f>
        <v>ok</v>
      </c>
    </row>
    <row r="163" spans="1:34" x14ac:dyDescent="0.2">
      <c r="A163" s="14" t="s">
        <v>215</v>
      </c>
      <c r="C163" s="14" t="s">
        <v>276</v>
      </c>
      <c r="E163" s="50">
        <f t="shared" ref="E163:T163" si="33">E161+E162</f>
        <v>0</v>
      </c>
      <c r="F163" s="66">
        <f t="shared" si="33"/>
        <v>0</v>
      </c>
      <c r="G163" s="66">
        <f t="shared" si="33"/>
        <v>0</v>
      </c>
      <c r="H163" s="66">
        <f t="shared" si="33"/>
        <v>0</v>
      </c>
      <c r="I163" s="66">
        <f t="shared" si="33"/>
        <v>0</v>
      </c>
      <c r="J163" s="66">
        <f t="shared" si="33"/>
        <v>0</v>
      </c>
      <c r="K163" s="66">
        <f t="shared" si="33"/>
        <v>0</v>
      </c>
      <c r="L163" s="66">
        <f t="shared" si="33"/>
        <v>0</v>
      </c>
      <c r="M163" s="66">
        <f t="shared" si="33"/>
        <v>0</v>
      </c>
      <c r="N163" s="66">
        <f t="shared" si="33"/>
        <v>0</v>
      </c>
      <c r="O163" s="66">
        <f t="shared" si="33"/>
        <v>0</v>
      </c>
      <c r="P163" s="66">
        <f t="shared" si="33"/>
        <v>0</v>
      </c>
      <c r="Q163" s="66">
        <f t="shared" si="33"/>
        <v>0</v>
      </c>
      <c r="R163" s="66">
        <f t="shared" si="33"/>
        <v>0</v>
      </c>
      <c r="S163" s="66">
        <f t="shared" si="33"/>
        <v>0</v>
      </c>
      <c r="T163" s="66">
        <f t="shared" si="33"/>
        <v>0</v>
      </c>
      <c r="U163" s="66">
        <f t="shared" ref="U163:AF163" si="34">U161+U162</f>
        <v>0</v>
      </c>
      <c r="V163" s="66">
        <f t="shared" si="34"/>
        <v>0</v>
      </c>
      <c r="W163" s="66">
        <f t="shared" si="34"/>
        <v>0</v>
      </c>
      <c r="X163" s="66">
        <f t="shared" si="34"/>
        <v>0</v>
      </c>
      <c r="Y163" s="66">
        <f t="shared" si="34"/>
        <v>0</v>
      </c>
      <c r="Z163" s="66">
        <f t="shared" si="34"/>
        <v>0</v>
      </c>
      <c r="AA163" s="66">
        <f t="shared" si="34"/>
        <v>0</v>
      </c>
      <c r="AB163" s="66">
        <f t="shared" si="34"/>
        <v>0</v>
      </c>
      <c r="AC163" s="66">
        <f t="shared" si="34"/>
        <v>0</v>
      </c>
      <c r="AD163" s="66">
        <f t="shared" si="34"/>
        <v>0</v>
      </c>
      <c r="AE163" s="66">
        <f t="shared" si="34"/>
        <v>0</v>
      </c>
      <c r="AF163" s="66">
        <f t="shared" si="34"/>
        <v>0</v>
      </c>
      <c r="AG163" s="93">
        <f>SUM(F163:AF163)</f>
        <v>0</v>
      </c>
      <c r="AH163" s="30" t="str">
        <f>IF(ABS(E163-AG163)&lt;0.01,"ok","err")</f>
        <v>ok</v>
      </c>
    </row>
    <row r="164" spans="1:34" x14ac:dyDescent="0.2">
      <c r="E164" s="50"/>
      <c r="F164" s="50"/>
    </row>
    <row r="165" spans="1:34" x14ac:dyDescent="0.2">
      <c r="A165" s="13" t="s">
        <v>350</v>
      </c>
      <c r="E165" s="50"/>
      <c r="F165" s="50"/>
    </row>
    <row r="166" spans="1:34" x14ac:dyDescent="0.2">
      <c r="A166" s="96" t="s">
        <v>209</v>
      </c>
      <c r="C166" s="14" t="s">
        <v>888</v>
      </c>
      <c r="D166" s="14" t="s">
        <v>625</v>
      </c>
      <c r="E166" s="66">
        <f>'Func &amp; Classif'!K463</f>
        <v>0</v>
      </c>
      <c r="F166" s="66">
        <f>IF(VLOOKUP($D166,$C$5:$AU$502,3,)=0,0,(VLOOKUP($D166,$C$5:$AU$502,4,)/VLOOKUP($D166,$C$5:$AU$502,3,))*$E166)</f>
        <v>0</v>
      </c>
      <c r="G166" s="66">
        <f>IF(VLOOKUP($D166,$C$5:$AU$502,3,)=0,0,(VLOOKUP($D166,$C$5:$AU$502,5,)/VLOOKUP($D166,$C$5:$AU$502,3,))*$E166)</f>
        <v>0</v>
      </c>
      <c r="H166" s="66">
        <f>IF(VLOOKUP($D166,$C$5:$AU$502,3,)=0,0,(VLOOKUP($D166,$C$5:$AU$502,6,)/VLOOKUP($D166,$C$5:$AU$502,3,))*$E166)</f>
        <v>0</v>
      </c>
      <c r="I166" s="66">
        <f>IF(VLOOKUP($D166,$C$5:$AU$502,3,)=0,0,(VLOOKUP($D166,$C$5:$AU$502,7,)/VLOOKUP($D166,$C$5:$AU$502,3,))*$E166)</f>
        <v>0</v>
      </c>
      <c r="J166" s="66">
        <f>IF(VLOOKUP($D166,$C$5:$AU$502,3,)=0,0,(VLOOKUP($D166,$C$5:$AU$502,8,)/VLOOKUP($D166,$C$5:$AU$502,3,))*$E166)</f>
        <v>0</v>
      </c>
      <c r="K166" s="66">
        <f>IF(VLOOKUP($D166,$C$5:$AU$502,3,)=0,0,(VLOOKUP($D166,$C$5:$AU$502,9,)/VLOOKUP($D166,$C$5:$AU$502,3,))*$E166)</f>
        <v>0</v>
      </c>
      <c r="L166" s="66">
        <f>IF(VLOOKUP($D166,$C$5:$AU$502,3,)=0,0,(VLOOKUP($D166,$C$5:$AU$502,10,)/VLOOKUP($D166,$C$5:$AU$502,3,))*$E166)</f>
        <v>0</v>
      </c>
      <c r="M166" s="66">
        <f>IF(VLOOKUP($D166,$C$5:$AU$502,3,)=0,0,(VLOOKUP($D166,$C$5:$AU$502,11,)/VLOOKUP($D166,$C$5:$AU$502,3,))*$E166)</f>
        <v>0</v>
      </c>
      <c r="N166" s="66">
        <f>IF(VLOOKUP($D166,$C$5:$AU$502,3,)=0,0,(VLOOKUP($D166,$C$5:$AU$502,12,)/VLOOKUP($D166,$C$5:$AU$502,3,))*$E166)</f>
        <v>0</v>
      </c>
      <c r="O166" s="66">
        <f>IF(VLOOKUP($D166,$C$5:$AU$502,3,)=0,0,(VLOOKUP($D166,$C$5:$AU$502,13,)/VLOOKUP($D166,$C$5:$AU$502,3,))*$E166)</f>
        <v>0</v>
      </c>
      <c r="P166" s="66">
        <f>IF(VLOOKUP($D166,$C$5:$AU$502,3,)=0,0,(VLOOKUP($D166,$C$5:$AU$502,14,)/VLOOKUP($D166,$C$5:$AU$502,3,))*$E166)</f>
        <v>0</v>
      </c>
      <c r="Q166" s="66">
        <f>IF(VLOOKUP($D166,$C$5:$AU$502,3,)=0,0,(VLOOKUP($D166,$C$5:$AU$502,15,)/VLOOKUP($D166,$C$5:$AU$502,3,))*$E166)</f>
        <v>0</v>
      </c>
      <c r="R166" s="66">
        <f>IF(VLOOKUP($D166,$C$5:$AU$502,3,)=0,0,(VLOOKUP($D166,$C$5:$AU$502,16,)/VLOOKUP($D166,$C$5:$AU$502,3,))*$E166)</f>
        <v>0</v>
      </c>
      <c r="S166" s="66">
        <f>IF(VLOOKUP($D166,$C$5:$AU$502,3,)=0,0,(VLOOKUP($D166,$C$5:$AU$502,17,)/VLOOKUP($D166,$C$5:$AU$502,3,))*$E166)</f>
        <v>0</v>
      </c>
      <c r="T166" s="66">
        <f>IF(VLOOKUP($D166,$C$5:$AU$502,3,)=0,0,(VLOOKUP($D166,$C$5:$AU$502,18,)/VLOOKUP($D166,$C$5:$AU$502,3,))*$E166)</f>
        <v>0</v>
      </c>
      <c r="U166" s="66">
        <f>IF(VLOOKUP($D166,$C$5:$AU$502,3,)=0,0,(VLOOKUP($D166,$C$5:$AU$502,19,)/VLOOKUP($D166,$C$5:$AU$502,3,))*$E166)</f>
        <v>0</v>
      </c>
      <c r="V166" s="66">
        <f>IF(VLOOKUP($D166,$C$5:$AU$502,3,)=0,0,(VLOOKUP($D166,$C$5:$AU$502,20,)/VLOOKUP($D166,$C$5:$AU$502,3,))*$E166)</f>
        <v>0</v>
      </c>
      <c r="W166" s="66">
        <f>IF(VLOOKUP($D166,$C$5:$AU$502,3,)=0,0,(VLOOKUP($D166,$C$5:$AU$502,21,)/VLOOKUP($D166,$C$5:$AU$502,3,))*$E166)</f>
        <v>0</v>
      </c>
      <c r="X166" s="66">
        <f>IF(VLOOKUP($D166,$C$5:$AU$502,3,)=0,0,(VLOOKUP($D166,$C$5:$AU$502,22,)/VLOOKUP($D166,$C$5:$AU$502,3,))*$E166)</f>
        <v>0</v>
      </c>
      <c r="Y166" s="66">
        <f>IF(VLOOKUP($D166,$C$5:$AU$502,3,)=0,0,(VLOOKUP($D166,$C$5:$AU$502,23,)/VLOOKUP($D166,$C$5:$AU$502,3,))*$E166)</f>
        <v>0</v>
      </c>
      <c r="Z166" s="66">
        <f>IF(VLOOKUP($D166,$C$5:$AU$502,3,)=0,0,(VLOOKUP($D166,$C$5:$AU$502,24,)/VLOOKUP($D166,$C$5:$AU$502,3,))*$E166)</f>
        <v>0</v>
      </c>
      <c r="AA166" s="66">
        <f>IF(VLOOKUP($D166,$C$5:$AU$502,3,)=0,0,(VLOOKUP($D166,$C$5:$AU$502,25,)/VLOOKUP($D166,$C$5:$AU$502,3,))*$E166)</f>
        <v>0</v>
      </c>
      <c r="AB166" s="66">
        <f>IF(VLOOKUP($D166,$C$5:$AU$502,3,)=0,0,(VLOOKUP($D166,$C$5:$AU$502,26,)/VLOOKUP($D166,$C$5:$AU$502,3,))*$E166)</f>
        <v>0</v>
      </c>
      <c r="AC166" s="66">
        <f>IF(VLOOKUP($D166,$C$5:$AU$502,3,)=0,0,(VLOOKUP($D166,$C$5:$AU$502,27,)/VLOOKUP($D166,$C$5:$AU$502,3,))*$E166)</f>
        <v>0</v>
      </c>
      <c r="AD166" s="66">
        <f>IF(VLOOKUP($D166,$C$5:$AU$502,3,)=0,0,(VLOOKUP($D166,$C$5:$AU$502,28,)/VLOOKUP($D166,$C$5:$AU$502,3,))*$E166)</f>
        <v>0</v>
      </c>
      <c r="AE166" s="66">
        <f>IF(VLOOKUP($D166,$C$5:$AU$502,3,)=0,0,(VLOOKUP($D166,$C$5:$AU$502,29,)/VLOOKUP($D166,$C$5:$AU$502,3,))*$E166)</f>
        <v>0</v>
      </c>
      <c r="AF166" s="66">
        <f>IF(VLOOKUP($D166,$C$5:$AU$502,3,)=0,0,(VLOOKUP($D166,$C$5:$AU$502,30,)/VLOOKUP($D166,$C$5:$AU$502,3,))*$E166)</f>
        <v>0</v>
      </c>
      <c r="AG166" s="93">
        <f>SUM(F166:AF166)</f>
        <v>0</v>
      </c>
      <c r="AH166" s="30" t="str">
        <f>IF(ABS(E166-AG166)&lt;0.01,"ok","err")</f>
        <v>ok</v>
      </c>
    </row>
    <row r="167" spans="1:34" x14ac:dyDescent="0.2">
      <c r="E167" s="50"/>
    </row>
    <row r="168" spans="1:34" x14ac:dyDescent="0.2">
      <c r="A168" s="13" t="s">
        <v>1</v>
      </c>
      <c r="E168" s="50"/>
      <c r="F168" s="50"/>
    </row>
    <row r="169" spans="1:34" x14ac:dyDescent="0.2">
      <c r="A169" s="96" t="s">
        <v>209</v>
      </c>
      <c r="C169" s="14" t="s">
        <v>277</v>
      </c>
      <c r="D169" s="14" t="s">
        <v>632</v>
      </c>
      <c r="E169" s="66">
        <f>'Func &amp; Classif'!M463</f>
        <v>14.679320623370934</v>
      </c>
      <c r="F169" s="66">
        <f>IF(VLOOKUP($D169,$C$5:$AU$502,3,)=0,0,(VLOOKUP($D169,$C$5:$AU$502,4,)/VLOOKUP($D169,$C$5:$AU$502,3,))*$E169)</f>
        <v>10.058813489211417</v>
      </c>
      <c r="G169" s="66">
        <f>IF(VLOOKUP($D169,$C$5:$AU$502,3,)=0,0,(VLOOKUP($D169,$C$5:$AU$502,5,)/VLOOKUP($D169,$C$5:$AU$502,3,))*$E169)</f>
        <v>1.9815015510845999E-3</v>
      </c>
      <c r="H169" s="66">
        <f>IF(VLOOKUP($D169,$C$5:$AU$502,3,)=0,0,(VLOOKUP($D169,$C$5:$AU$502,6,)/VLOOKUP($D169,$C$5:$AU$502,3,))*$E169)</f>
        <v>0.74992935346611522</v>
      </c>
      <c r="I169" s="66">
        <f>IF(VLOOKUP($D169,$C$5:$AU$502,3,)=0,0,(VLOOKUP($D169,$C$5:$AU$502,7,)/VLOOKUP($D169,$C$5:$AU$502,3,))*$E169)</f>
        <v>0.49141931869192468</v>
      </c>
      <c r="J169" s="66">
        <f>IF(VLOOKUP($D169,$C$5:$AU$502,3,)=0,0,(VLOOKUP($D169,$C$5:$AU$502,8,)/VLOOKUP($D169,$C$5:$AU$502,3,))*$E169)</f>
        <v>2.5422699592517764E-2</v>
      </c>
      <c r="K169" s="66">
        <f>IF(VLOOKUP($D169,$C$5:$AU$502,3,)=0,0,(VLOOKUP($D169,$C$5:$AU$502,9,)/VLOOKUP($D169,$C$5:$AU$502,3,))*$E169)</f>
        <v>0.19812644908986918</v>
      </c>
      <c r="L169" s="66">
        <f>IF(VLOOKUP($D169,$C$5:$AU$502,3,)=0,0,(VLOOKUP($D169,$C$5:$AU$502,10,)/VLOOKUP($D169,$C$5:$AU$502,3,))*$E169)</f>
        <v>2.980628570986334</v>
      </c>
      <c r="M169" s="66">
        <f>IF(VLOOKUP($D169,$C$5:$AU$502,3,)=0,0,(VLOOKUP($D169,$C$5:$AU$502,11,)/VLOOKUP($D169,$C$5:$AU$502,3,))*$E169)</f>
        <v>0.17299923645038745</v>
      </c>
      <c r="N169" s="66">
        <f>IF(VLOOKUP($D169,$C$5:$AU$502,3,)=0,0,(VLOOKUP($D169,$C$5:$AU$502,12,)/VLOOKUP($D169,$C$5:$AU$502,3,))*$E169)</f>
        <v>0</v>
      </c>
      <c r="O169" s="66">
        <f>IF(VLOOKUP($D169,$C$5:$AU$502,3,)=0,0,(VLOOKUP($D169,$C$5:$AU$502,13,)/VLOOKUP($D169,$C$5:$AU$502,3,))*$E169)</f>
        <v>0</v>
      </c>
      <c r="P169" s="66">
        <f>IF(VLOOKUP($D169,$C$5:$AU$502,3,)=0,0,(VLOOKUP($D169,$C$5:$AU$502,14,)/VLOOKUP($D169,$C$5:$AU$502,3,))*$E169)</f>
        <v>0</v>
      </c>
      <c r="Q169" s="66">
        <f>IF(VLOOKUP($D169,$C$5:$AU$502,3,)=0,0,(VLOOKUP($D169,$C$5:$AU$502,15,)/VLOOKUP($D169,$C$5:$AU$502,3,))*$E169)</f>
        <v>0</v>
      </c>
      <c r="R169" s="66">
        <f>IF(VLOOKUP($D169,$C$5:$AU$502,3,)=0,0,(VLOOKUP($D169,$C$5:$AU$502,16,)/VLOOKUP($D169,$C$5:$AU$502,3,))*$E169)</f>
        <v>0</v>
      </c>
      <c r="S169" s="66">
        <f>IF(VLOOKUP($D169,$C$5:$AU$502,3,)=0,0,(VLOOKUP($D169,$C$5:$AU$502,17,)/VLOOKUP($D169,$C$5:$AU$502,3,))*$E169)</f>
        <v>0</v>
      </c>
      <c r="T169" s="66">
        <f>IF(VLOOKUP($D169,$C$5:$AU$502,3,)=0,0,(VLOOKUP($D169,$C$5:$AU$502,18,)/VLOOKUP($D169,$C$5:$AU$502,3,))*$E169)</f>
        <v>0</v>
      </c>
      <c r="U169" s="66">
        <f>IF(VLOOKUP($D169,$C$5:$AU$502,3,)=0,0,(VLOOKUP($D169,$C$5:$AU$502,19,)/VLOOKUP($D169,$C$5:$AU$502,3,))*$E169)</f>
        <v>0</v>
      </c>
      <c r="V169" s="66">
        <f>IF(VLOOKUP($D169,$C$5:$AU$502,3,)=0,0,(VLOOKUP($D169,$C$5:$AU$502,20,)/VLOOKUP($D169,$C$5:$AU$502,3,))*$E169)</f>
        <v>0</v>
      </c>
      <c r="W169" s="66">
        <f>IF(VLOOKUP($D169,$C$5:$AU$502,3,)=0,0,(VLOOKUP($D169,$C$5:$AU$502,21,)/VLOOKUP($D169,$C$5:$AU$502,3,))*$E169)</f>
        <v>0</v>
      </c>
      <c r="X169" s="66">
        <f>IF(VLOOKUP($D169,$C$5:$AU$502,3,)=0,0,(VLOOKUP($D169,$C$5:$AU$502,22,)/VLOOKUP($D169,$C$5:$AU$502,3,))*$E169)</f>
        <v>0</v>
      </c>
      <c r="Y169" s="66">
        <f>IF(VLOOKUP($D169,$C$5:$AU$502,3,)=0,0,(VLOOKUP($D169,$C$5:$AU$502,23,)/VLOOKUP($D169,$C$5:$AU$502,3,))*$E169)</f>
        <v>0</v>
      </c>
      <c r="Z169" s="66">
        <f>IF(VLOOKUP($D169,$C$5:$AU$502,3,)=0,0,(VLOOKUP($D169,$C$5:$AU$502,24,)/VLOOKUP($D169,$C$5:$AU$502,3,))*$E169)</f>
        <v>0</v>
      </c>
      <c r="AA169" s="66">
        <f>IF(VLOOKUP($D169,$C$5:$AU$502,3,)=0,0,(VLOOKUP($D169,$C$5:$AU$502,25,)/VLOOKUP($D169,$C$5:$AU$502,3,))*$E169)</f>
        <v>0</v>
      </c>
      <c r="AB169" s="66">
        <f>IF(VLOOKUP($D169,$C$5:$AU$502,3,)=0,0,(VLOOKUP($D169,$C$5:$AU$502,26,)/VLOOKUP($D169,$C$5:$AU$502,3,))*$E169)</f>
        <v>0</v>
      </c>
      <c r="AC169" s="66">
        <f>IF(VLOOKUP($D169,$C$5:$AU$502,3,)=0,0,(VLOOKUP($D169,$C$5:$AU$502,27,)/VLOOKUP($D169,$C$5:$AU$502,3,))*$E169)</f>
        <v>0</v>
      </c>
      <c r="AD169" s="66">
        <f>IF(VLOOKUP($D169,$C$5:$AU$502,3,)=0,0,(VLOOKUP($D169,$C$5:$AU$502,28,)/VLOOKUP($D169,$C$5:$AU$502,3,))*$E169)</f>
        <v>0</v>
      </c>
      <c r="AE169" s="66">
        <f>IF(VLOOKUP($D169,$C$5:$AU$502,3,)=0,0,(VLOOKUP($D169,$C$5:$AU$502,29,)/VLOOKUP($D169,$C$5:$AU$502,3,))*$E169)</f>
        <v>0</v>
      </c>
      <c r="AF169" s="66">
        <f>IF(VLOOKUP($D169,$C$5:$AU$502,3,)=0,0,(VLOOKUP($D169,$C$5:$AU$502,30,)/VLOOKUP($D169,$C$5:$AU$502,3,))*$E169)</f>
        <v>0</v>
      </c>
      <c r="AG169" s="93">
        <f>SUM(F169:AF169)</f>
        <v>14.67932061903965</v>
      </c>
      <c r="AH169" s="30" t="str">
        <f>IF(ABS(E169-AG169)&lt;0.01,"ok","err")</f>
        <v>ok</v>
      </c>
    </row>
    <row r="170" spans="1:34" x14ac:dyDescent="0.2">
      <c r="E170" s="50"/>
    </row>
    <row r="171" spans="1:34" x14ac:dyDescent="0.2">
      <c r="A171" s="13" t="s">
        <v>2</v>
      </c>
      <c r="E171" s="50"/>
    </row>
    <row r="172" spans="1:34" x14ac:dyDescent="0.2">
      <c r="A172" s="96" t="s">
        <v>209</v>
      </c>
      <c r="C172" s="14" t="s">
        <v>278</v>
      </c>
      <c r="D172" s="14" t="s">
        <v>629</v>
      </c>
      <c r="E172" s="66">
        <f>'Func &amp; Classif'!O463</f>
        <v>2102750.3588432465</v>
      </c>
      <c r="F172" s="66">
        <f>IF(VLOOKUP($D172,$C$5:$AU$502,3,)=0,0,(VLOOKUP($D172,$C$5:$AU$502,4,)/VLOOKUP($D172,$C$5:$AU$502,3,))*$E172)</f>
        <v>1695697.7729829922</v>
      </c>
      <c r="G172" s="66">
        <f>IF(VLOOKUP($D172,$C$5:$AU$502,3,)=0,0,(VLOOKUP($D172,$C$5:$AU$502,5,)/VLOOKUP($D172,$C$5:$AU$502,3,))*$E172)</f>
        <v>312.05516965817031</v>
      </c>
      <c r="H172" s="66">
        <f>IF(VLOOKUP($D172,$C$5:$AU$502,3,)=0,0,(VLOOKUP($D172,$C$5:$AU$502,6,)/VLOOKUP($D172,$C$5:$AU$502,3,))*$E172)</f>
        <v>74680.661484288139</v>
      </c>
      <c r="I172" s="66">
        <f>IF(VLOOKUP($D172,$C$5:$AU$502,3,)=0,0,(VLOOKUP($D172,$C$5:$AU$502,7,)/VLOOKUP($D172,$C$5:$AU$502,3,))*$E172)</f>
        <v>31351.433719568242</v>
      </c>
      <c r="J172" s="66">
        <f>IF(VLOOKUP($D172,$C$5:$AU$502,3,)=0,0,(VLOOKUP($D172,$C$5:$AU$502,8,)/VLOOKUP($D172,$C$5:$AU$502,3,))*$E172)</f>
        <v>4339.7318115747457</v>
      </c>
      <c r="K172" s="66">
        <f>IF(VLOOKUP($D172,$C$5:$AU$502,3,)=0,0,(VLOOKUP($D172,$C$5:$AU$502,9,)/VLOOKUP($D172,$C$5:$AU$502,3,))*$E172)</f>
        <v>61395.523771826294</v>
      </c>
      <c r="L172" s="66">
        <f>IF(VLOOKUP($D172,$C$5:$AU$502,3,)=0,0,(VLOOKUP($D172,$C$5:$AU$502,10,)/VLOOKUP($D172,$C$5:$AU$502,3,))*$E172)</f>
        <v>215540.26640336265</v>
      </c>
      <c r="M172" s="66">
        <f>IF(VLOOKUP($D172,$C$5:$AU$502,3,)=0,0,(VLOOKUP($D172,$C$5:$AU$502,11,)/VLOOKUP($D172,$C$5:$AU$502,3,))*$E172)</f>
        <v>19432.913499976054</v>
      </c>
      <c r="N172" s="66">
        <f>IF(VLOOKUP($D172,$C$5:$AU$502,3,)=0,0,(VLOOKUP($D172,$C$5:$AU$502,12,)/VLOOKUP($D172,$C$5:$AU$502,3,))*$E172)</f>
        <v>0</v>
      </c>
      <c r="O172" s="66">
        <f>IF(VLOOKUP($D172,$C$5:$AU$502,3,)=0,0,(VLOOKUP($D172,$C$5:$AU$502,13,)/VLOOKUP($D172,$C$5:$AU$502,3,))*$E172)</f>
        <v>0</v>
      </c>
      <c r="P172" s="66">
        <f>IF(VLOOKUP($D172,$C$5:$AU$502,3,)=0,0,(VLOOKUP($D172,$C$5:$AU$502,14,)/VLOOKUP($D172,$C$5:$AU$502,3,))*$E172)</f>
        <v>0</v>
      </c>
      <c r="Q172" s="66">
        <f>IF(VLOOKUP($D172,$C$5:$AU$502,3,)=0,0,(VLOOKUP($D172,$C$5:$AU$502,15,)/VLOOKUP($D172,$C$5:$AU$502,3,))*$E172)</f>
        <v>0</v>
      </c>
      <c r="R172" s="66">
        <f>IF(VLOOKUP($D172,$C$5:$AU$502,3,)=0,0,(VLOOKUP($D172,$C$5:$AU$502,16,)/VLOOKUP($D172,$C$5:$AU$502,3,))*$E172)</f>
        <v>0</v>
      </c>
      <c r="S172" s="66">
        <f>IF(VLOOKUP($D172,$C$5:$AU$502,3,)=0,0,(VLOOKUP($D172,$C$5:$AU$502,17,)/VLOOKUP($D172,$C$5:$AU$502,3,))*$E172)</f>
        <v>0</v>
      </c>
      <c r="T172" s="66">
        <f>IF(VLOOKUP($D172,$C$5:$AU$502,3,)=0,0,(VLOOKUP($D172,$C$5:$AU$502,18,)/VLOOKUP($D172,$C$5:$AU$502,3,))*$E172)</f>
        <v>0</v>
      </c>
      <c r="U172" s="66">
        <f>IF(VLOOKUP($D172,$C$5:$AU$502,3,)=0,0,(VLOOKUP($D172,$C$5:$AU$502,19,)/VLOOKUP($D172,$C$5:$AU$502,3,))*$E172)</f>
        <v>0</v>
      </c>
      <c r="V172" s="66">
        <f>IF(VLOOKUP($D172,$C$5:$AU$502,3,)=0,0,(VLOOKUP($D172,$C$5:$AU$502,20,)/VLOOKUP($D172,$C$5:$AU$502,3,))*$E172)</f>
        <v>0</v>
      </c>
      <c r="W172" s="66">
        <f>IF(VLOOKUP($D172,$C$5:$AU$502,3,)=0,0,(VLOOKUP($D172,$C$5:$AU$502,21,)/VLOOKUP($D172,$C$5:$AU$502,3,))*$E172)</f>
        <v>0</v>
      </c>
      <c r="X172" s="66">
        <f>IF(VLOOKUP($D172,$C$5:$AU$502,3,)=0,0,(VLOOKUP($D172,$C$5:$AU$502,22,)/VLOOKUP($D172,$C$5:$AU$502,3,))*$E172)</f>
        <v>0</v>
      </c>
      <c r="Y172" s="66">
        <f>IF(VLOOKUP($D172,$C$5:$AU$502,3,)=0,0,(VLOOKUP($D172,$C$5:$AU$502,23,)/VLOOKUP($D172,$C$5:$AU$502,3,))*$E172)</f>
        <v>0</v>
      </c>
      <c r="Z172" s="66">
        <f>IF(VLOOKUP($D172,$C$5:$AU$502,3,)=0,0,(VLOOKUP($D172,$C$5:$AU$502,24,)/VLOOKUP($D172,$C$5:$AU$502,3,))*$E172)</f>
        <v>0</v>
      </c>
      <c r="AA172" s="66">
        <f>IF(VLOOKUP($D172,$C$5:$AU$502,3,)=0,0,(VLOOKUP($D172,$C$5:$AU$502,25,)/VLOOKUP($D172,$C$5:$AU$502,3,))*$E172)</f>
        <v>0</v>
      </c>
      <c r="AB172" s="66">
        <f>IF(VLOOKUP($D172,$C$5:$AU$502,3,)=0,0,(VLOOKUP($D172,$C$5:$AU$502,26,)/VLOOKUP($D172,$C$5:$AU$502,3,))*$E172)</f>
        <v>0</v>
      </c>
      <c r="AC172" s="66">
        <f>IF(VLOOKUP($D172,$C$5:$AU$502,3,)=0,0,(VLOOKUP($D172,$C$5:$AU$502,27,)/VLOOKUP($D172,$C$5:$AU$502,3,))*$E172)</f>
        <v>0</v>
      </c>
      <c r="AD172" s="66">
        <f>IF(VLOOKUP($D172,$C$5:$AU$502,3,)=0,0,(VLOOKUP($D172,$C$5:$AU$502,28,)/VLOOKUP($D172,$C$5:$AU$502,3,))*$E172)</f>
        <v>0</v>
      </c>
      <c r="AE172" s="66">
        <f>IF(VLOOKUP($D172,$C$5:$AU$502,3,)=0,0,(VLOOKUP($D172,$C$5:$AU$502,29,)/VLOOKUP($D172,$C$5:$AU$502,3,))*$E172)</f>
        <v>0</v>
      </c>
      <c r="AF172" s="66">
        <f>IF(VLOOKUP($D172,$C$5:$AU$502,3,)=0,0,(VLOOKUP($D172,$C$5:$AU$502,30,)/VLOOKUP($D172,$C$5:$AU$502,3,))*$E172)</f>
        <v>0</v>
      </c>
      <c r="AG172" s="93">
        <f>SUM(F172:AF172)</f>
        <v>2102750.3588432465</v>
      </c>
      <c r="AH172" s="30" t="str">
        <f>IF(ABS(E172-AG172)&lt;0.01,"ok","err")</f>
        <v>ok</v>
      </c>
    </row>
    <row r="173" spans="1:34" x14ac:dyDescent="0.2">
      <c r="A173" s="96" t="s">
        <v>221</v>
      </c>
      <c r="C173" s="14" t="s">
        <v>279</v>
      </c>
      <c r="D173" s="14" t="s">
        <v>223</v>
      </c>
      <c r="E173" s="50">
        <f>'Func &amp; Classif'!P463</f>
        <v>702219.03858982853</v>
      </c>
      <c r="F173" s="66">
        <f>IF(VLOOKUP($D173,$C$5:$AU$502,3,)=0,0,(VLOOKUP($D173,$C$5:$AU$502,4,)/VLOOKUP($D173,$C$5:$AU$502,3,))*$E173)</f>
        <v>646957.92890491709</v>
      </c>
      <c r="G173" s="66">
        <f>IF(VLOOKUP($D173,$C$5:$AU$502,3,)=0,0,(VLOOKUP($D173,$C$5:$AU$502,5,)/VLOOKUP($D173,$C$5:$AU$502,3,))*$E173)</f>
        <v>259.03645164802265</v>
      </c>
      <c r="H173" s="66">
        <f>IF(VLOOKUP($D173,$C$5:$AU$502,3,)=0,0,(VLOOKUP($D173,$C$5:$AU$502,6,)/VLOOKUP($D173,$C$5:$AU$502,3,))*$E173)</f>
        <v>36811.957961980108</v>
      </c>
      <c r="I173" s="66">
        <f>IF(VLOOKUP($D173,$C$5:$AU$502,3,)=0,0,(VLOOKUP($D173,$C$5:$AU$502,7,)/VLOOKUP($D173,$C$5:$AU$502,3,))*$E173)</f>
        <v>4921.6925813124308</v>
      </c>
      <c r="J173" s="66">
        <f>IF(VLOOKUP($D173,$C$5:$AU$502,3,)=0,0,(VLOOKUP($D173,$C$5:$AU$502,8,)/VLOOKUP($D173,$C$5:$AU$502,3,))*$E173)</f>
        <v>5526.1109684911498</v>
      </c>
      <c r="K173" s="66">
        <f>IF(VLOOKUP($D173,$C$5:$AU$502,3,)=0,0,(VLOOKUP($D173,$C$5:$AU$502,9,)/VLOOKUP($D173,$C$5:$AU$502,3,))*$E173)</f>
        <v>1352.7459141618961</v>
      </c>
      <c r="L173" s="66">
        <f>IF(VLOOKUP($D173,$C$5:$AU$502,3,)=0,0,(VLOOKUP($D173,$C$5:$AU$502,10,)/VLOOKUP($D173,$C$5:$AU$502,3,))*$E173)</f>
        <v>1755.6915056143757</v>
      </c>
      <c r="M173" s="66">
        <f>IF(VLOOKUP($D173,$C$5:$AU$502,3,)=0,0,(VLOOKUP($D173,$C$5:$AU$502,11,)/VLOOKUP($D173,$C$5:$AU$502,3,))*$E173)</f>
        <v>4633.8743017035158</v>
      </c>
      <c r="N173" s="66">
        <f>IF(VLOOKUP($D173,$C$5:$AU$502,3,)=0,0,(VLOOKUP($D173,$C$5:$AU$502,12,)/VLOOKUP($D173,$C$5:$AU$502,3,))*$E173)</f>
        <v>0</v>
      </c>
      <c r="O173" s="66">
        <f>IF(VLOOKUP($D173,$C$5:$AU$502,3,)=0,0,(VLOOKUP($D173,$C$5:$AU$502,13,)/VLOOKUP($D173,$C$5:$AU$502,3,))*$E173)</f>
        <v>0</v>
      </c>
      <c r="P173" s="66">
        <f>IF(VLOOKUP($D173,$C$5:$AU$502,3,)=0,0,(VLOOKUP($D173,$C$5:$AU$502,14,)/VLOOKUP($D173,$C$5:$AU$502,3,))*$E173)</f>
        <v>0</v>
      </c>
      <c r="Q173" s="66">
        <f>IF(VLOOKUP($D173,$C$5:$AU$502,3,)=0,0,(VLOOKUP($D173,$C$5:$AU$502,15,)/VLOOKUP($D173,$C$5:$AU$502,3,))*$E173)</f>
        <v>0</v>
      </c>
      <c r="R173" s="66">
        <f>IF(VLOOKUP($D173,$C$5:$AU$502,3,)=0,0,(VLOOKUP($D173,$C$5:$AU$502,16,)/VLOOKUP($D173,$C$5:$AU$502,3,))*$E173)</f>
        <v>0</v>
      </c>
      <c r="S173" s="66">
        <f>IF(VLOOKUP($D173,$C$5:$AU$502,3,)=0,0,(VLOOKUP($D173,$C$5:$AU$502,17,)/VLOOKUP($D173,$C$5:$AU$502,3,))*$E173)</f>
        <v>0</v>
      </c>
      <c r="T173" s="66">
        <f>IF(VLOOKUP($D173,$C$5:$AU$502,3,)=0,0,(VLOOKUP($D173,$C$5:$AU$502,18,)/VLOOKUP($D173,$C$5:$AU$502,3,))*$E173)</f>
        <v>0</v>
      </c>
      <c r="U173" s="66">
        <f>IF(VLOOKUP($D173,$C$5:$AU$502,3,)=0,0,(VLOOKUP($D173,$C$5:$AU$502,19,)/VLOOKUP($D173,$C$5:$AU$502,3,))*$E173)</f>
        <v>0</v>
      </c>
      <c r="V173" s="66">
        <f>IF(VLOOKUP($D173,$C$5:$AU$502,3,)=0,0,(VLOOKUP($D173,$C$5:$AU$502,20,)/VLOOKUP($D173,$C$5:$AU$502,3,))*$E173)</f>
        <v>0</v>
      </c>
      <c r="W173" s="66">
        <f>IF(VLOOKUP($D173,$C$5:$AU$502,3,)=0,0,(VLOOKUP($D173,$C$5:$AU$502,21,)/VLOOKUP($D173,$C$5:$AU$502,3,))*$E173)</f>
        <v>0</v>
      </c>
      <c r="X173" s="66">
        <f>IF(VLOOKUP($D173,$C$5:$AU$502,3,)=0,0,(VLOOKUP($D173,$C$5:$AU$502,22,)/VLOOKUP($D173,$C$5:$AU$502,3,))*$E173)</f>
        <v>0</v>
      </c>
      <c r="Y173" s="66">
        <f>IF(VLOOKUP($D173,$C$5:$AU$502,3,)=0,0,(VLOOKUP($D173,$C$5:$AU$502,23,)/VLOOKUP($D173,$C$5:$AU$502,3,))*$E173)</f>
        <v>0</v>
      </c>
      <c r="Z173" s="66">
        <f>IF(VLOOKUP($D173,$C$5:$AU$502,3,)=0,0,(VLOOKUP($D173,$C$5:$AU$502,24,)/VLOOKUP($D173,$C$5:$AU$502,3,))*$E173)</f>
        <v>0</v>
      </c>
      <c r="AA173" s="66">
        <f>IF(VLOOKUP($D173,$C$5:$AU$502,3,)=0,0,(VLOOKUP($D173,$C$5:$AU$502,25,)/VLOOKUP($D173,$C$5:$AU$502,3,))*$E173)</f>
        <v>0</v>
      </c>
      <c r="AB173" s="66">
        <f>IF(VLOOKUP($D173,$C$5:$AU$502,3,)=0,0,(VLOOKUP($D173,$C$5:$AU$502,26,)/VLOOKUP($D173,$C$5:$AU$502,3,))*$E173)</f>
        <v>0</v>
      </c>
      <c r="AC173" s="66">
        <f>IF(VLOOKUP($D173,$C$5:$AU$502,3,)=0,0,(VLOOKUP($D173,$C$5:$AU$502,27,)/VLOOKUP($D173,$C$5:$AU$502,3,))*$E173)</f>
        <v>0</v>
      </c>
      <c r="AD173" s="66">
        <f>IF(VLOOKUP($D173,$C$5:$AU$502,3,)=0,0,(VLOOKUP($D173,$C$5:$AU$502,28,)/VLOOKUP($D173,$C$5:$AU$502,3,))*$E173)</f>
        <v>0</v>
      </c>
      <c r="AE173" s="66">
        <f>IF(VLOOKUP($D173,$C$5:$AU$502,3,)=0,0,(VLOOKUP($D173,$C$5:$AU$502,29,)/VLOOKUP($D173,$C$5:$AU$502,3,))*$E173)</f>
        <v>0</v>
      </c>
      <c r="AF173" s="66">
        <f>IF(VLOOKUP($D173,$C$5:$AU$502,3,)=0,0,(VLOOKUP($D173,$C$5:$AU$502,30,)/VLOOKUP($D173,$C$5:$AU$502,3,))*$E173)</f>
        <v>0</v>
      </c>
      <c r="AG173" s="93">
        <f>SUM(F173:AF173)</f>
        <v>702219.03858982853</v>
      </c>
      <c r="AH173" s="30" t="str">
        <f>IF(ABS(E173-AG173)&lt;0.01,"ok","err")</f>
        <v>ok</v>
      </c>
    </row>
    <row r="174" spans="1:34" x14ac:dyDescent="0.2">
      <c r="A174" s="14" t="s">
        <v>224</v>
      </c>
      <c r="E174" s="66">
        <f t="shared" ref="E174:T174" si="35">E172+E173</f>
        <v>2804969.3974330751</v>
      </c>
      <c r="F174" s="66">
        <f t="shared" si="35"/>
        <v>2342655.7018879093</v>
      </c>
      <c r="G174" s="66">
        <f t="shared" si="35"/>
        <v>571.09162130619302</v>
      </c>
      <c r="H174" s="66">
        <f t="shared" si="35"/>
        <v>111492.61944626825</v>
      </c>
      <c r="I174" s="66">
        <f t="shared" si="35"/>
        <v>36273.126300880671</v>
      </c>
      <c r="J174" s="66">
        <f t="shared" si="35"/>
        <v>9865.8427800658956</v>
      </c>
      <c r="K174" s="66">
        <f t="shared" si="35"/>
        <v>62748.269685988191</v>
      </c>
      <c r="L174" s="66">
        <f t="shared" si="35"/>
        <v>217295.95790897703</v>
      </c>
      <c r="M174" s="66">
        <f t="shared" si="35"/>
        <v>24066.787801679569</v>
      </c>
      <c r="N174" s="66">
        <f t="shared" si="35"/>
        <v>0</v>
      </c>
      <c r="O174" s="66">
        <f t="shared" si="35"/>
        <v>0</v>
      </c>
      <c r="P174" s="66">
        <f t="shared" si="35"/>
        <v>0</v>
      </c>
      <c r="Q174" s="66">
        <f t="shared" si="35"/>
        <v>0</v>
      </c>
      <c r="R174" s="66">
        <f t="shared" si="35"/>
        <v>0</v>
      </c>
      <c r="S174" s="66">
        <f t="shared" si="35"/>
        <v>0</v>
      </c>
      <c r="T174" s="66">
        <f t="shared" si="35"/>
        <v>0</v>
      </c>
      <c r="U174" s="66">
        <f t="shared" ref="U174:AF174" si="36">U172+U173</f>
        <v>0</v>
      </c>
      <c r="V174" s="66">
        <f t="shared" si="36"/>
        <v>0</v>
      </c>
      <c r="W174" s="66">
        <f t="shared" si="36"/>
        <v>0</v>
      </c>
      <c r="X174" s="66">
        <f t="shared" si="36"/>
        <v>0</v>
      </c>
      <c r="Y174" s="66">
        <f t="shared" si="36"/>
        <v>0</v>
      </c>
      <c r="Z174" s="66">
        <f t="shared" si="36"/>
        <v>0</v>
      </c>
      <c r="AA174" s="66">
        <f t="shared" si="36"/>
        <v>0</v>
      </c>
      <c r="AB174" s="66">
        <f t="shared" si="36"/>
        <v>0</v>
      </c>
      <c r="AC174" s="66">
        <f t="shared" si="36"/>
        <v>0</v>
      </c>
      <c r="AD174" s="66">
        <f t="shared" si="36"/>
        <v>0</v>
      </c>
      <c r="AE174" s="66">
        <f t="shared" si="36"/>
        <v>0</v>
      </c>
      <c r="AF174" s="66">
        <f t="shared" si="36"/>
        <v>0</v>
      </c>
      <c r="AG174" s="93">
        <f>SUM(F174:AF174)</f>
        <v>2804969.3974330751</v>
      </c>
      <c r="AH174" s="30" t="str">
        <f>IF(ABS(E174-AG174)&lt;0.01,"ok","err")</f>
        <v>ok</v>
      </c>
    </row>
    <row r="175" spans="1:34" x14ac:dyDescent="0.2">
      <c r="E175" s="50"/>
    </row>
    <row r="176" spans="1:34" x14ac:dyDescent="0.2">
      <c r="A176" s="13" t="s">
        <v>3</v>
      </c>
      <c r="E176" s="50"/>
    </row>
    <row r="177" spans="1:34" x14ac:dyDescent="0.2">
      <c r="A177" s="96" t="s">
        <v>209</v>
      </c>
      <c r="C177" s="14" t="s">
        <v>280</v>
      </c>
      <c r="D177" s="14" t="s">
        <v>701</v>
      </c>
      <c r="E177" s="66">
        <f>'Func &amp; Classif'!R463</f>
        <v>0</v>
      </c>
      <c r="F177" s="66">
        <f>IF(VLOOKUP($D177,$C$5:$AU$502,3,)=0,0,(VLOOKUP($D177,$C$5:$AU$502,4,)/VLOOKUP($D177,$C$5:$AU$502,3,))*$E177)</f>
        <v>0</v>
      </c>
      <c r="G177" s="66">
        <f>IF(VLOOKUP($D177,$C$5:$AU$502,3,)=0,0,(VLOOKUP($D177,$C$5:$AU$502,5,)/VLOOKUP($D177,$C$5:$AU$502,3,))*$E177)</f>
        <v>0</v>
      </c>
      <c r="H177" s="66">
        <f>IF(VLOOKUP($D177,$C$5:$AU$502,3,)=0,0,(VLOOKUP($D177,$C$5:$AU$502,6,)/VLOOKUP($D177,$C$5:$AU$502,3,))*$E177)</f>
        <v>0</v>
      </c>
      <c r="I177" s="66">
        <f>IF(VLOOKUP($D177,$C$5:$AU$502,3,)=0,0,(VLOOKUP($D177,$C$5:$AU$502,7,)/VLOOKUP($D177,$C$5:$AU$502,3,))*$E177)</f>
        <v>0</v>
      </c>
      <c r="J177" s="66">
        <f>IF(VLOOKUP($D177,$C$5:$AU$502,3,)=0,0,(VLOOKUP($D177,$C$5:$AU$502,8,)/VLOOKUP($D177,$C$5:$AU$502,3,))*$E177)</f>
        <v>0</v>
      </c>
      <c r="K177" s="66">
        <f>IF(VLOOKUP($D177,$C$5:$AU$502,3,)=0,0,(VLOOKUP($D177,$C$5:$AU$502,9,)/VLOOKUP($D177,$C$5:$AU$502,3,))*$E177)</f>
        <v>0</v>
      </c>
      <c r="L177" s="66">
        <f>IF(VLOOKUP($D177,$C$5:$AU$502,3,)=0,0,(VLOOKUP($D177,$C$5:$AU$502,10,)/VLOOKUP($D177,$C$5:$AU$502,3,))*$E177)</f>
        <v>0</v>
      </c>
      <c r="M177" s="66">
        <f>IF(VLOOKUP($D177,$C$5:$AU$502,3,)=0,0,(VLOOKUP($D177,$C$5:$AU$502,11,)/VLOOKUP($D177,$C$5:$AU$502,3,))*$E177)</f>
        <v>0</v>
      </c>
      <c r="N177" s="66">
        <f>IF(VLOOKUP($D177,$C$5:$AU$502,3,)=0,0,(VLOOKUP($D177,$C$5:$AU$502,12,)/VLOOKUP($D177,$C$5:$AU$502,3,))*$E177)</f>
        <v>0</v>
      </c>
      <c r="O177" s="66">
        <f>IF(VLOOKUP($D177,$C$5:$AU$502,3,)=0,0,(VLOOKUP($D177,$C$5:$AU$502,13,)/VLOOKUP($D177,$C$5:$AU$502,3,))*$E177)</f>
        <v>0</v>
      </c>
      <c r="P177" s="66">
        <f>IF(VLOOKUP($D177,$C$5:$AU$502,3,)=0,0,(VLOOKUP($D177,$C$5:$AU$502,14,)/VLOOKUP($D177,$C$5:$AU$502,3,))*$E177)</f>
        <v>0</v>
      </c>
      <c r="Q177" s="66">
        <f>IF(VLOOKUP($D177,$C$5:$AU$502,3,)=0,0,(VLOOKUP($D177,$C$5:$AU$502,15,)/VLOOKUP($D177,$C$5:$AU$502,3,))*$E177)</f>
        <v>0</v>
      </c>
      <c r="R177" s="66">
        <f>IF(VLOOKUP($D177,$C$5:$AU$502,3,)=0,0,(VLOOKUP($D177,$C$5:$AU$502,16,)/VLOOKUP($D177,$C$5:$AU$502,3,))*$E177)</f>
        <v>0</v>
      </c>
      <c r="S177" s="66">
        <f>IF(VLOOKUP($D177,$C$5:$AU$502,3,)=0,0,(VLOOKUP($D177,$C$5:$AU$502,17,)/VLOOKUP($D177,$C$5:$AU$502,3,))*$E177)</f>
        <v>0</v>
      </c>
      <c r="T177" s="66">
        <f>IF(VLOOKUP($D177,$C$5:$AU$502,3,)=0,0,(VLOOKUP($D177,$C$5:$AU$502,18,)/VLOOKUP($D177,$C$5:$AU$502,3,))*$E177)</f>
        <v>0</v>
      </c>
      <c r="U177" s="66">
        <f>IF(VLOOKUP($D177,$C$5:$AU$502,3,)=0,0,(VLOOKUP($D177,$C$5:$AU$502,19,)/VLOOKUP($D177,$C$5:$AU$502,3,))*$E177)</f>
        <v>0</v>
      </c>
      <c r="V177" s="66">
        <f>IF(VLOOKUP($D177,$C$5:$AU$502,3,)=0,0,(VLOOKUP($D177,$C$5:$AU$502,20,)/VLOOKUP($D177,$C$5:$AU$502,3,))*$E177)</f>
        <v>0</v>
      </c>
      <c r="W177" s="66">
        <f>IF(VLOOKUP($D177,$C$5:$AU$502,3,)=0,0,(VLOOKUP($D177,$C$5:$AU$502,21,)/VLOOKUP($D177,$C$5:$AU$502,3,))*$E177)</f>
        <v>0</v>
      </c>
      <c r="X177" s="66">
        <f>IF(VLOOKUP($D177,$C$5:$AU$502,3,)=0,0,(VLOOKUP($D177,$C$5:$AU$502,22,)/VLOOKUP($D177,$C$5:$AU$502,3,))*$E177)</f>
        <v>0</v>
      </c>
      <c r="Y177" s="66">
        <f>IF(VLOOKUP($D177,$C$5:$AU$502,3,)=0,0,(VLOOKUP($D177,$C$5:$AU$502,23,)/VLOOKUP($D177,$C$5:$AU$502,3,))*$E177)</f>
        <v>0</v>
      </c>
      <c r="Z177" s="66">
        <f>IF(VLOOKUP($D177,$C$5:$AU$502,3,)=0,0,(VLOOKUP($D177,$C$5:$AU$502,24,)/VLOOKUP($D177,$C$5:$AU$502,3,))*$E177)</f>
        <v>0</v>
      </c>
      <c r="AA177" s="66">
        <f>IF(VLOOKUP($D177,$C$5:$AU$502,3,)=0,0,(VLOOKUP($D177,$C$5:$AU$502,25,)/VLOOKUP($D177,$C$5:$AU$502,3,))*$E177)</f>
        <v>0</v>
      </c>
      <c r="AB177" s="66">
        <f>IF(VLOOKUP($D177,$C$5:$AU$502,3,)=0,0,(VLOOKUP($D177,$C$5:$AU$502,26,)/VLOOKUP($D177,$C$5:$AU$502,3,))*$E177)</f>
        <v>0</v>
      </c>
      <c r="AC177" s="66">
        <f>IF(VLOOKUP($D177,$C$5:$AU$502,3,)=0,0,(VLOOKUP($D177,$C$5:$AU$502,27,)/VLOOKUP($D177,$C$5:$AU$502,3,))*$E177)</f>
        <v>0</v>
      </c>
      <c r="AD177" s="66">
        <f>IF(VLOOKUP($D177,$C$5:$AU$502,3,)=0,0,(VLOOKUP($D177,$C$5:$AU$502,28,)/VLOOKUP($D177,$C$5:$AU$502,3,))*$E177)</f>
        <v>0</v>
      </c>
      <c r="AE177" s="66">
        <f>IF(VLOOKUP($D177,$C$5:$AU$502,3,)=0,0,(VLOOKUP($D177,$C$5:$AU$502,29,)/VLOOKUP($D177,$C$5:$AU$502,3,))*$E177)</f>
        <v>0</v>
      </c>
      <c r="AF177" s="66">
        <f>IF(VLOOKUP($D177,$C$5:$AU$502,3,)=0,0,(VLOOKUP($D177,$C$5:$AU$502,30,)/VLOOKUP($D177,$C$5:$AU$502,3,))*$E177)</f>
        <v>0</v>
      </c>
      <c r="AG177" s="93">
        <f>SUM(F177:AF177)</f>
        <v>0</v>
      </c>
      <c r="AH177" s="30" t="str">
        <f>IF(ABS(E177-AG177)&lt;0.01,"ok","err")</f>
        <v>ok</v>
      </c>
    </row>
    <row r="178" spans="1:34" x14ac:dyDescent="0.2">
      <c r="A178" s="96" t="s">
        <v>221</v>
      </c>
      <c r="C178" s="14" t="s">
        <v>281</v>
      </c>
      <c r="D178" s="14" t="s">
        <v>701</v>
      </c>
      <c r="E178" s="50">
        <f>'Func &amp; Classif'!S463</f>
        <v>66968.485032568278</v>
      </c>
      <c r="F178" s="66">
        <f>IF(VLOOKUP($D178,$C$5:$AU$502,3,)=0,0,(VLOOKUP($D178,$C$5:$AU$502,4,)/VLOOKUP($D178,$C$5:$AU$502,3,))*$E178)</f>
        <v>60186.762172306997</v>
      </c>
      <c r="G178" s="66">
        <f>IF(VLOOKUP($D178,$C$5:$AU$502,3,)=0,0,(VLOOKUP($D178,$C$5:$AU$502,5,)/VLOOKUP($D178,$C$5:$AU$502,3,))*$E178)</f>
        <v>24.098267619484076</v>
      </c>
      <c r="H178" s="66">
        <f>IF(VLOOKUP($D178,$C$5:$AU$502,3,)=0,0,(VLOOKUP($D178,$C$5:$AU$502,6,)/VLOOKUP($D178,$C$5:$AU$502,3,))*$E178)</f>
        <v>5389.5960009677929</v>
      </c>
      <c r="I178" s="66">
        <f>IF(VLOOKUP($D178,$C$5:$AU$502,3,)=0,0,(VLOOKUP($D178,$C$5:$AU$502,7,)/VLOOKUP($D178,$C$5:$AU$502,3,))*$E178)</f>
        <v>540.43633066887207</v>
      </c>
      <c r="J178" s="66">
        <f>IF(VLOOKUP($D178,$C$5:$AU$502,3,)=0,0,(VLOOKUP($D178,$C$5:$AU$502,8,)/VLOOKUP($D178,$C$5:$AU$502,3,))*$E178)</f>
        <v>514.09637588232692</v>
      </c>
      <c r="K178" s="66">
        <f>IF(VLOOKUP($D178,$C$5:$AU$502,3,)=0,0,(VLOOKUP($D178,$C$5:$AU$502,9,)/VLOOKUP($D178,$C$5:$AU$502,3,))*$E178)</f>
        <v>148.54097977448532</v>
      </c>
      <c r="L178" s="66">
        <f>IF(VLOOKUP($D178,$C$5:$AU$502,3,)=0,0,(VLOOKUP($D178,$C$5:$AU$502,10,)/VLOOKUP($D178,$C$5:$AU$502,3,))*$E178)</f>
        <v>164.95490534832285</v>
      </c>
      <c r="M178" s="66">
        <f>IF(VLOOKUP($D178,$C$5:$AU$502,3,)=0,0,(VLOOKUP($D178,$C$5:$AU$502,11,)/VLOOKUP($D178,$C$5:$AU$502,3,))*$E178)</f>
        <v>0</v>
      </c>
      <c r="N178" s="66">
        <f>IF(VLOOKUP($D178,$C$5:$AU$502,3,)=0,0,(VLOOKUP($D178,$C$5:$AU$502,12,)/VLOOKUP($D178,$C$5:$AU$502,3,))*$E178)</f>
        <v>0</v>
      </c>
      <c r="O178" s="66">
        <f>IF(VLOOKUP($D178,$C$5:$AU$502,3,)=0,0,(VLOOKUP($D178,$C$5:$AU$502,13,)/VLOOKUP($D178,$C$5:$AU$502,3,))*$E178)</f>
        <v>0</v>
      </c>
      <c r="P178" s="66">
        <f>IF(VLOOKUP($D178,$C$5:$AU$502,3,)=0,0,(VLOOKUP($D178,$C$5:$AU$502,14,)/VLOOKUP($D178,$C$5:$AU$502,3,))*$E178)</f>
        <v>0</v>
      </c>
      <c r="Q178" s="66">
        <f>IF(VLOOKUP($D178,$C$5:$AU$502,3,)=0,0,(VLOOKUP($D178,$C$5:$AU$502,15,)/VLOOKUP($D178,$C$5:$AU$502,3,))*$E178)</f>
        <v>0</v>
      </c>
      <c r="R178" s="66">
        <f>IF(VLOOKUP($D178,$C$5:$AU$502,3,)=0,0,(VLOOKUP($D178,$C$5:$AU$502,16,)/VLOOKUP($D178,$C$5:$AU$502,3,))*$E178)</f>
        <v>0</v>
      </c>
      <c r="S178" s="66">
        <f>IF(VLOOKUP($D178,$C$5:$AU$502,3,)=0,0,(VLOOKUP($D178,$C$5:$AU$502,17,)/VLOOKUP($D178,$C$5:$AU$502,3,))*$E178)</f>
        <v>0</v>
      </c>
      <c r="T178" s="66">
        <f>IF(VLOOKUP($D178,$C$5:$AU$502,3,)=0,0,(VLOOKUP($D178,$C$5:$AU$502,18,)/VLOOKUP($D178,$C$5:$AU$502,3,))*$E178)</f>
        <v>0</v>
      </c>
      <c r="U178" s="66">
        <f>IF(VLOOKUP($D178,$C$5:$AU$502,3,)=0,0,(VLOOKUP($D178,$C$5:$AU$502,19,)/VLOOKUP($D178,$C$5:$AU$502,3,))*$E178)</f>
        <v>0</v>
      </c>
      <c r="V178" s="66">
        <f>IF(VLOOKUP($D178,$C$5:$AU$502,3,)=0,0,(VLOOKUP($D178,$C$5:$AU$502,20,)/VLOOKUP($D178,$C$5:$AU$502,3,))*$E178)</f>
        <v>0</v>
      </c>
      <c r="W178" s="66">
        <f>IF(VLOOKUP($D178,$C$5:$AU$502,3,)=0,0,(VLOOKUP($D178,$C$5:$AU$502,21,)/VLOOKUP($D178,$C$5:$AU$502,3,))*$E178)</f>
        <v>0</v>
      </c>
      <c r="X178" s="66">
        <f>IF(VLOOKUP($D178,$C$5:$AU$502,3,)=0,0,(VLOOKUP($D178,$C$5:$AU$502,22,)/VLOOKUP($D178,$C$5:$AU$502,3,))*$E178)</f>
        <v>0</v>
      </c>
      <c r="Y178" s="66">
        <f>IF(VLOOKUP($D178,$C$5:$AU$502,3,)=0,0,(VLOOKUP($D178,$C$5:$AU$502,23,)/VLOOKUP($D178,$C$5:$AU$502,3,))*$E178)</f>
        <v>0</v>
      </c>
      <c r="Z178" s="66">
        <f>IF(VLOOKUP($D178,$C$5:$AU$502,3,)=0,0,(VLOOKUP($D178,$C$5:$AU$502,24,)/VLOOKUP($D178,$C$5:$AU$502,3,))*$E178)</f>
        <v>0</v>
      </c>
      <c r="AA178" s="66">
        <f>IF(VLOOKUP($D178,$C$5:$AU$502,3,)=0,0,(VLOOKUP($D178,$C$5:$AU$502,25,)/VLOOKUP($D178,$C$5:$AU$502,3,))*$E178)</f>
        <v>0</v>
      </c>
      <c r="AB178" s="66">
        <f>IF(VLOOKUP($D178,$C$5:$AU$502,3,)=0,0,(VLOOKUP($D178,$C$5:$AU$502,26,)/VLOOKUP($D178,$C$5:$AU$502,3,))*$E178)</f>
        <v>0</v>
      </c>
      <c r="AC178" s="66">
        <f>IF(VLOOKUP($D178,$C$5:$AU$502,3,)=0,0,(VLOOKUP($D178,$C$5:$AU$502,27,)/VLOOKUP($D178,$C$5:$AU$502,3,))*$E178)</f>
        <v>0</v>
      </c>
      <c r="AD178" s="66">
        <f>IF(VLOOKUP($D178,$C$5:$AU$502,3,)=0,0,(VLOOKUP($D178,$C$5:$AU$502,28,)/VLOOKUP($D178,$C$5:$AU$502,3,))*$E178)</f>
        <v>0</v>
      </c>
      <c r="AE178" s="66">
        <f>IF(VLOOKUP($D178,$C$5:$AU$502,3,)=0,0,(VLOOKUP($D178,$C$5:$AU$502,29,)/VLOOKUP($D178,$C$5:$AU$502,3,))*$E178)</f>
        <v>0</v>
      </c>
      <c r="AF178" s="66">
        <f>IF(VLOOKUP($D178,$C$5:$AU$502,3,)=0,0,(VLOOKUP($D178,$C$5:$AU$502,30,)/VLOOKUP($D178,$C$5:$AU$502,3,))*$E178)</f>
        <v>0</v>
      </c>
      <c r="AG178" s="93">
        <f>SUM(F178:AF178)</f>
        <v>66968.485032568264</v>
      </c>
      <c r="AH178" s="30" t="str">
        <f>IF(ABS(E178-AG178)&lt;0.01,"ok","err")</f>
        <v>ok</v>
      </c>
    </row>
    <row r="179" spans="1:34" x14ac:dyDescent="0.2">
      <c r="A179" s="14" t="s">
        <v>228</v>
      </c>
      <c r="E179" s="66">
        <f t="shared" ref="E179:T179" si="37">E177+E178</f>
        <v>66968.485032568278</v>
      </c>
      <c r="F179" s="66">
        <f t="shared" si="37"/>
        <v>60186.762172306997</v>
      </c>
      <c r="G179" s="66">
        <f t="shared" si="37"/>
        <v>24.098267619484076</v>
      </c>
      <c r="H179" s="66">
        <f t="shared" si="37"/>
        <v>5389.5960009677929</v>
      </c>
      <c r="I179" s="66">
        <f t="shared" si="37"/>
        <v>540.43633066887207</v>
      </c>
      <c r="J179" s="66">
        <f t="shared" si="37"/>
        <v>514.09637588232692</v>
      </c>
      <c r="K179" s="66">
        <f t="shared" si="37"/>
        <v>148.54097977448532</v>
      </c>
      <c r="L179" s="66">
        <f t="shared" si="37"/>
        <v>164.95490534832285</v>
      </c>
      <c r="M179" s="66">
        <f t="shared" si="37"/>
        <v>0</v>
      </c>
      <c r="N179" s="66">
        <f t="shared" si="37"/>
        <v>0</v>
      </c>
      <c r="O179" s="66">
        <f t="shared" si="37"/>
        <v>0</v>
      </c>
      <c r="P179" s="66">
        <f t="shared" si="37"/>
        <v>0</v>
      </c>
      <c r="Q179" s="66">
        <f t="shared" si="37"/>
        <v>0</v>
      </c>
      <c r="R179" s="66">
        <f t="shared" si="37"/>
        <v>0</v>
      </c>
      <c r="S179" s="66">
        <f t="shared" si="37"/>
        <v>0</v>
      </c>
      <c r="T179" s="66">
        <f t="shared" si="37"/>
        <v>0</v>
      </c>
      <c r="U179" s="66">
        <f t="shared" ref="U179:AF179" si="38">U177+U178</f>
        <v>0</v>
      </c>
      <c r="V179" s="66">
        <f t="shared" si="38"/>
        <v>0</v>
      </c>
      <c r="W179" s="66">
        <f t="shared" si="38"/>
        <v>0</v>
      </c>
      <c r="X179" s="66">
        <f t="shared" si="38"/>
        <v>0</v>
      </c>
      <c r="Y179" s="66">
        <f t="shared" si="38"/>
        <v>0</v>
      </c>
      <c r="Z179" s="66">
        <f t="shared" si="38"/>
        <v>0</v>
      </c>
      <c r="AA179" s="66">
        <f t="shared" si="38"/>
        <v>0</v>
      </c>
      <c r="AB179" s="66">
        <f t="shared" si="38"/>
        <v>0</v>
      </c>
      <c r="AC179" s="66">
        <f t="shared" si="38"/>
        <v>0</v>
      </c>
      <c r="AD179" s="66">
        <f t="shared" si="38"/>
        <v>0</v>
      </c>
      <c r="AE179" s="66">
        <f t="shared" si="38"/>
        <v>0</v>
      </c>
      <c r="AF179" s="66">
        <f t="shared" si="38"/>
        <v>0</v>
      </c>
      <c r="AG179" s="93">
        <f>SUM(F179:AF179)</f>
        <v>66968.485032568264</v>
      </c>
      <c r="AH179" s="30" t="str">
        <f>IF(ABS(E179-AG179)&lt;0.01,"ok","err")</f>
        <v>ok</v>
      </c>
    </row>
    <row r="180" spans="1:34" x14ac:dyDescent="0.2">
      <c r="E180" s="50"/>
    </row>
    <row r="181" spans="1:34" x14ac:dyDescent="0.2">
      <c r="A181" s="13" t="s">
        <v>4</v>
      </c>
      <c r="E181" s="50"/>
    </row>
    <row r="182" spans="1:34" x14ac:dyDescent="0.2">
      <c r="A182" s="96" t="s">
        <v>221</v>
      </c>
      <c r="C182" s="14" t="s">
        <v>282</v>
      </c>
      <c r="D182" s="14" t="s">
        <v>230</v>
      </c>
      <c r="E182" s="66">
        <f>'Func &amp; Classif'!U463</f>
        <v>384755.78010461677</v>
      </c>
      <c r="F182" s="66">
        <f>IF(VLOOKUP($D182,$C$5:$AU$502,3,)=0,0,(VLOOKUP($D182,$C$5:$AU$502,4,)/VLOOKUP($D182,$C$5:$AU$502,3,))*$E182)</f>
        <v>342189.68107178411</v>
      </c>
      <c r="G182" s="66">
        <f>IF(VLOOKUP($D182,$C$5:$AU$502,3,)=0,0,(VLOOKUP($D182,$C$5:$AU$502,5,)/VLOOKUP($D182,$C$5:$AU$502,3,))*$E182)</f>
        <v>137.00983760325909</v>
      </c>
      <c r="H182" s="66">
        <f>IF(VLOOKUP($D182,$C$5:$AU$502,3,)=0,0,(VLOOKUP($D182,$C$5:$AU$502,6,)/VLOOKUP($D182,$C$5:$AU$502,3,))*$E182)</f>
        <v>19470.620254952042</v>
      </c>
      <c r="I182" s="66">
        <f>IF(VLOOKUP($D182,$C$5:$AU$502,3,)=0,0,(VLOOKUP($D182,$C$5:$AU$502,7,)/VLOOKUP($D182,$C$5:$AU$502,3,))*$E182)</f>
        <v>5900.2939837975064</v>
      </c>
      <c r="J182" s="66">
        <f>IF(VLOOKUP($D182,$C$5:$AU$502,3,)=0,0,(VLOOKUP($D182,$C$5:$AU$502,8,)/VLOOKUP($D182,$C$5:$AU$502,3,))*$E182)</f>
        <v>2922.8765355361934</v>
      </c>
      <c r="K182" s="66">
        <f>IF(VLOOKUP($D182,$C$5:$AU$502,3,)=0,0,(VLOOKUP($D182,$C$5:$AU$502,9,)/VLOOKUP($D182,$C$5:$AU$502,3,))*$E182)</f>
        <v>3629.5802617748063</v>
      </c>
      <c r="L182" s="66">
        <f>IF(VLOOKUP($D182,$C$5:$AU$502,3,)=0,0,(VLOOKUP($D182,$C$5:$AU$502,10,)/VLOOKUP($D182,$C$5:$AU$502,3,))*$E182)</f>
        <v>10505.718159168844</v>
      </c>
      <c r="M182" s="66">
        <f>IF(VLOOKUP($D182,$C$5:$AU$502,3,)=0,0,(VLOOKUP($D182,$C$5:$AU$502,11,)/VLOOKUP($D182,$C$5:$AU$502,3,))*$E182)</f>
        <v>0</v>
      </c>
      <c r="N182" s="66">
        <f>IF(VLOOKUP($D182,$C$5:$AU$502,3,)=0,0,(VLOOKUP($D182,$C$5:$AU$502,12,)/VLOOKUP($D182,$C$5:$AU$502,3,))*$E182)</f>
        <v>0</v>
      </c>
      <c r="O182" s="66">
        <f>IF(VLOOKUP($D182,$C$5:$AU$502,3,)=0,0,(VLOOKUP($D182,$C$5:$AU$502,13,)/VLOOKUP($D182,$C$5:$AU$502,3,))*$E182)</f>
        <v>0</v>
      </c>
      <c r="P182" s="66">
        <f>IF(VLOOKUP($D182,$C$5:$AU$502,3,)=0,0,(VLOOKUP($D182,$C$5:$AU$502,14,)/VLOOKUP($D182,$C$5:$AU$502,3,))*$E182)</f>
        <v>0</v>
      </c>
      <c r="Q182" s="66">
        <f>IF(VLOOKUP($D182,$C$5:$AU$502,3,)=0,0,(VLOOKUP($D182,$C$5:$AU$502,15,)/VLOOKUP($D182,$C$5:$AU$502,3,))*$E182)</f>
        <v>0</v>
      </c>
      <c r="R182" s="66">
        <f>IF(VLOOKUP($D182,$C$5:$AU$502,3,)=0,0,(VLOOKUP($D182,$C$5:$AU$502,16,)/VLOOKUP($D182,$C$5:$AU$502,3,))*$E182)</f>
        <v>0</v>
      </c>
      <c r="S182" s="66">
        <f>IF(VLOOKUP($D182,$C$5:$AU$502,3,)=0,0,(VLOOKUP($D182,$C$5:$AU$502,17,)/VLOOKUP($D182,$C$5:$AU$502,3,))*$E182)</f>
        <v>0</v>
      </c>
      <c r="T182" s="66">
        <f>IF(VLOOKUP($D182,$C$5:$AU$502,3,)=0,0,(VLOOKUP($D182,$C$5:$AU$502,18,)/VLOOKUP($D182,$C$5:$AU$502,3,))*$E182)</f>
        <v>0</v>
      </c>
      <c r="U182" s="66">
        <f>IF(VLOOKUP($D182,$C$5:$AU$502,3,)=0,0,(VLOOKUP($D182,$C$5:$AU$502,19,)/VLOOKUP($D182,$C$5:$AU$502,3,))*$E182)</f>
        <v>0</v>
      </c>
      <c r="V182" s="66">
        <f>IF(VLOOKUP($D182,$C$5:$AU$502,3,)=0,0,(VLOOKUP($D182,$C$5:$AU$502,20,)/VLOOKUP($D182,$C$5:$AU$502,3,))*$E182)</f>
        <v>0</v>
      </c>
      <c r="W182" s="66">
        <f>IF(VLOOKUP($D182,$C$5:$AU$502,3,)=0,0,(VLOOKUP($D182,$C$5:$AU$502,21,)/VLOOKUP($D182,$C$5:$AU$502,3,))*$E182)</f>
        <v>0</v>
      </c>
      <c r="X182" s="66">
        <f>IF(VLOOKUP($D182,$C$5:$AU$502,3,)=0,0,(VLOOKUP($D182,$C$5:$AU$502,22,)/VLOOKUP($D182,$C$5:$AU$502,3,))*$E182)</f>
        <v>0</v>
      </c>
      <c r="Y182" s="66">
        <f>IF(VLOOKUP($D182,$C$5:$AU$502,3,)=0,0,(VLOOKUP($D182,$C$5:$AU$502,23,)/VLOOKUP($D182,$C$5:$AU$502,3,))*$E182)</f>
        <v>0</v>
      </c>
      <c r="Z182" s="66">
        <f>IF(VLOOKUP($D182,$C$5:$AU$502,3,)=0,0,(VLOOKUP($D182,$C$5:$AU$502,24,)/VLOOKUP($D182,$C$5:$AU$502,3,))*$E182)</f>
        <v>0</v>
      </c>
      <c r="AA182" s="66">
        <f>IF(VLOOKUP($D182,$C$5:$AU$502,3,)=0,0,(VLOOKUP($D182,$C$5:$AU$502,25,)/VLOOKUP($D182,$C$5:$AU$502,3,))*$E182)</f>
        <v>0</v>
      </c>
      <c r="AB182" s="66">
        <f>IF(VLOOKUP($D182,$C$5:$AU$502,3,)=0,0,(VLOOKUP($D182,$C$5:$AU$502,26,)/VLOOKUP($D182,$C$5:$AU$502,3,))*$E182)</f>
        <v>0</v>
      </c>
      <c r="AC182" s="66">
        <f>IF(VLOOKUP($D182,$C$5:$AU$502,3,)=0,0,(VLOOKUP($D182,$C$5:$AU$502,27,)/VLOOKUP($D182,$C$5:$AU$502,3,))*$E182)</f>
        <v>0</v>
      </c>
      <c r="AD182" s="66">
        <f>IF(VLOOKUP($D182,$C$5:$AU$502,3,)=0,0,(VLOOKUP($D182,$C$5:$AU$502,28,)/VLOOKUP($D182,$C$5:$AU$502,3,))*$E182)</f>
        <v>0</v>
      </c>
      <c r="AE182" s="66">
        <f>IF(VLOOKUP($D182,$C$5:$AU$502,3,)=0,0,(VLOOKUP($D182,$C$5:$AU$502,29,)/VLOOKUP($D182,$C$5:$AU$502,3,))*$E182)</f>
        <v>0</v>
      </c>
      <c r="AF182" s="66">
        <f>IF(VLOOKUP($D182,$C$5:$AU$502,3,)=0,0,(VLOOKUP($D182,$C$5:$AU$502,30,)/VLOOKUP($D182,$C$5:$AU$502,3,))*$E182)</f>
        <v>0</v>
      </c>
      <c r="AG182" s="93">
        <f>SUM(F182:AF182)</f>
        <v>384755.78010461677</v>
      </c>
      <c r="AH182" s="30" t="str">
        <f>IF(ABS(E182-AG182)&lt;0.01,"ok","err")</f>
        <v>ok</v>
      </c>
    </row>
    <row r="183" spans="1:34" x14ac:dyDescent="0.2">
      <c r="E183" s="50"/>
    </row>
    <row r="184" spans="1:34" x14ac:dyDescent="0.2">
      <c r="A184" s="13" t="s">
        <v>5</v>
      </c>
      <c r="E184" s="50"/>
    </row>
    <row r="185" spans="1:34" x14ac:dyDescent="0.2">
      <c r="A185" s="96" t="s">
        <v>221</v>
      </c>
      <c r="C185" s="14" t="s">
        <v>283</v>
      </c>
      <c r="D185" s="14" t="s">
        <v>232</v>
      </c>
      <c r="E185" s="66">
        <f>'Func &amp; Classif'!W463</f>
        <v>19789.995657768246</v>
      </c>
      <c r="F185" s="66">
        <f>IF(VLOOKUP($D185,$C$5:$AU$502,3,)=0,0,(VLOOKUP($D185,$C$5:$AU$502,4,)/VLOOKUP($D185,$C$5:$AU$502,3,))*$E185)</f>
        <v>0</v>
      </c>
      <c r="G185" s="66">
        <f>IF(VLOOKUP($D185,$C$5:$AU$502,3,)=0,0,(VLOOKUP($D185,$C$5:$AU$502,5,)/VLOOKUP($D185,$C$5:$AU$502,3,))*$E185)</f>
        <v>0</v>
      </c>
      <c r="H185" s="66">
        <f>IF(VLOOKUP($D185,$C$5:$AU$502,3,)=0,0,(VLOOKUP($D185,$C$5:$AU$502,6,)/VLOOKUP($D185,$C$5:$AU$502,3,))*$E185)</f>
        <v>0</v>
      </c>
      <c r="I185" s="66">
        <f>IF(VLOOKUP($D185,$C$5:$AU$502,3,)=0,0,(VLOOKUP($D185,$C$5:$AU$502,7,)/VLOOKUP($D185,$C$5:$AU$502,3,))*$E185)</f>
        <v>0</v>
      </c>
      <c r="J185" s="66">
        <f>IF(VLOOKUP($D185,$C$5:$AU$502,3,)=0,0,(VLOOKUP($D185,$C$5:$AU$502,8,)/VLOOKUP($D185,$C$5:$AU$502,3,))*$E185)</f>
        <v>0</v>
      </c>
      <c r="K185" s="66">
        <f>IF(VLOOKUP($D185,$C$5:$AU$502,3,)=0,0,(VLOOKUP($D185,$C$5:$AU$502,9,)/VLOOKUP($D185,$C$5:$AU$502,3,))*$E185)</f>
        <v>0</v>
      </c>
      <c r="L185" s="66">
        <f>IF(VLOOKUP($D185,$C$5:$AU$502,3,)=0,0,(VLOOKUP($D185,$C$5:$AU$502,10,)/VLOOKUP($D185,$C$5:$AU$502,3,))*$E185)</f>
        <v>0</v>
      </c>
      <c r="M185" s="66">
        <f>IF(VLOOKUP($D185,$C$5:$AU$502,3,)=0,0,(VLOOKUP($D185,$C$5:$AU$502,11,)/VLOOKUP($D185,$C$5:$AU$502,3,))*$E185)</f>
        <v>19789.995657768246</v>
      </c>
      <c r="N185" s="66">
        <f>IF(VLOOKUP($D185,$C$5:$AU$502,3,)=0,0,(VLOOKUP($D185,$C$5:$AU$502,12,)/VLOOKUP($D185,$C$5:$AU$502,3,))*$E185)</f>
        <v>0</v>
      </c>
      <c r="O185" s="66">
        <f>IF(VLOOKUP($D185,$C$5:$AU$502,3,)=0,0,(VLOOKUP($D185,$C$5:$AU$502,13,)/VLOOKUP($D185,$C$5:$AU$502,3,))*$E185)</f>
        <v>0</v>
      </c>
      <c r="P185" s="66">
        <f>IF(VLOOKUP($D185,$C$5:$AU$502,3,)=0,0,(VLOOKUP($D185,$C$5:$AU$502,14,)/VLOOKUP($D185,$C$5:$AU$502,3,))*$E185)</f>
        <v>0</v>
      </c>
      <c r="Q185" s="66">
        <f>IF(VLOOKUP($D185,$C$5:$AU$502,3,)=0,0,(VLOOKUP($D185,$C$5:$AU$502,15,)/VLOOKUP($D185,$C$5:$AU$502,3,))*$E185)</f>
        <v>0</v>
      </c>
      <c r="R185" s="66">
        <f>IF(VLOOKUP($D185,$C$5:$AU$502,3,)=0,0,(VLOOKUP($D185,$C$5:$AU$502,16,)/VLOOKUP($D185,$C$5:$AU$502,3,))*$E185)</f>
        <v>0</v>
      </c>
      <c r="S185" s="66">
        <f>IF(VLOOKUP($D185,$C$5:$AU$502,3,)=0,0,(VLOOKUP($D185,$C$5:$AU$502,17,)/VLOOKUP($D185,$C$5:$AU$502,3,))*$E185)</f>
        <v>0</v>
      </c>
      <c r="T185" s="66">
        <f>IF(VLOOKUP($D185,$C$5:$AU$502,3,)=0,0,(VLOOKUP($D185,$C$5:$AU$502,18,)/VLOOKUP($D185,$C$5:$AU$502,3,))*$E185)</f>
        <v>0</v>
      </c>
      <c r="U185" s="66">
        <f>IF(VLOOKUP($D185,$C$5:$AU$502,3,)=0,0,(VLOOKUP($D185,$C$5:$AU$502,19,)/VLOOKUP($D185,$C$5:$AU$502,3,))*$E185)</f>
        <v>0</v>
      </c>
      <c r="V185" s="66">
        <f>IF(VLOOKUP($D185,$C$5:$AU$502,3,)=0,0,(VLOOKUP($D185,$C$5:$AU$502,20,)/VLOOKUP($D185,$C$5:$AU$502,3,))*$E185)</f>
        <v>0</v>
      </c>
      <c r="W185" s="66">
        <f>IF(VLOOKUP($D185,$C$5:$AU$502,3,)=0,0,(VLOOKUP($D185,$C$5:$AU$502,21,)/VLOOKUP($D185,$C$5:$AU$502,3,))*$E185)</f>
        <v>0</v>
      </c>
      <c r="X185" s="66">
        <f>IF(VLOOKUP($D185,$C$5:$AU$502,3,)=0,0,(VLOOKUP($D185,$C$5:$AU$502,22,)/VLOOKUP($D185,$C$5:$AU$502,3,))*$E185)</f>
        <v>0</v>
      </c>
      <c r="Y185" s="66">
        <f>IF(VLOOKUP($D185,$C$5:$AU$502,3,)=0,0,(VLOOKUP($D185,$C$5:$AU$502,23,)/VLOOKUP($D185,$C$5:$AU$502,3,))*$E185)</f>
        <v>0</v>
      </c>
      <c r="Z185" s="66">
        <f>IF(VLOOKUP($D185,$C$5:$AU$502,3,)=0,0,(VLOOKUP($D185,$C$5:$AU$502,24,)/VLOOKUP($D185,$C$5:$AU$502,3,))*$E185)</f>
        <v>0</v>
      </c>
      <c r="AA185" s="66">
        <f>IF(VLOOKUP($D185,$C$5:$AU$502,3,)=0,0,(VLOOKUP($D185,$C$5:$AU$502,25,)/VLOOKUP($D185,$C$5:$AU$502,3,))*$E185)</f>
        <v>0</v>
      </c>
      <c r="AB185" s="66">
        <f>IF(VLOOKUP($D185,$C$5:$AU$502,3,)=0,0,(VLOOKUP($D185,$C$5:$AU$502,26,)/VLOOKUP($D185,$C$5:$AU$502,3,))*$E185)</f>
        <v>0</v>
      </c>
      <c r="AC185" s="66">
        <f>IF(VLOOKUP($D185,$C$5:$AU$502,3,)=0,0,(VLOOKUP($D185,$C$5:$AU$502,27,)/VLOOKUP($D185,$C$5:$AU$502,3,))*$E185)</f>
        <v>0</v>
      </c>
      <c r="AD185" s="66">
        <f>IF(VLOOKUP($D185,$C$5:$AU$502,3,)=0,0,(VLOOKUP($D185,$C$5:$AU$502,28,)/VLOOKUP($D185,$C$5:$AU$502,3,))*$E185)</f>
        <v>0</v>
      </c>
      <c r="AE185" s="66">
        <f>IF(VLOOKUP($D185,$C$5:$AU$502,3,)=0,0,(VLOOKUP($D185,$C$5:$AU$502,29,)/VLOOKUP($D185,$C$5:$AU$502,3,))*$E185)</f>
        <v>0</v>
      </c>
      <c r="AF185" s="66">
        <f>IF(VLOOKUP($D185,$C$5:$AU$502,3,)=0,0,(VLOOKUP($D185,$C$5:$AU$502,30,)/VLOOKUP($D185,$C$5:$AU$502,3,))*$E185)</f>
        <v>0</v>
      </c>
      <c r="AG185" s="93">
        <f>SUM(F185:AF185)</f>
        <v>19789.995657768246</v>
      </c>
      <c r="AH185" s="30" t="str">
        <f>IF(ABS(E185-AG185)&lt;0.01,"ok","err")</f>
        <v>ok</v>
      </c>
    </row>
    <row r="186" spans="1:34" x14ac:dyDescent="0.2">
      <c r="E186" s="50"/>
    </row>
    <row r="187" spans="1:34" x14ac:dyDescent="0.2">
      <c r="A187" s="13" t="s">
        <v>545</v>
      </c>
      <c r="E187" s="50"/>
    </row>
    <row r="188" spans="1:34" x14ac:dyDescent="0.2">
      <c r="A188" s="96" t="s">
        <v>221</v>
      </c>
      <c r="C188" s="14" t="s">
        <v>284</v>
      </c>
      <c r="D188" s="14" t="s">
        <v>234</v>
      </c>
      <c r="E188" s="66">
        <f>'Func &amp; Classif'!Y463</f>
        <v>1530995.0824513482</v>
      </c>
      <c r="F188" s="66">
        <f>IF(VLOOKUP($D188,$C$5:$AU$502,3,)=0,0,(VLOOKUP($D188,$C$5:$AU$502,4,)/VLOOKUP($D188,$C$5:$AU$502,3,))*$E188)</f>
        <v>1419673.5646660083</v>
      </c>
      <c r="G188" s="66">
        <f>IF(VLOOKUP($D188,$C$5:$AU$502,3,)=0,0,(VLOOKUP($D188,$C$5:$AU$502,5,)/VLOOKUP($D188,$C$5:$AU$502,3,))*$E188)</f>
        <v>568.42521941427515</v>
      </c>
      <c r="H188" s="66">
        <f>IF(VLOOKUP($D188,$C$5:$AU$502,3,)=0,0,(VLOOKUP($D188,$C$5:$AU$502,6,)/VLOOKUP($D188,$C$5:$AU$502,3,))*$E188)</f>
        <v>80779.539514539763</v>
      </c>
      <c r="I188" s="66">
        <f>IF(VLOOKUP($D188,$C$5:$AU$502,3,)=0,0,(VLOOKUP($D188,$C$5:$AU$502,7,)/VLOOKUP($D188,$C$5:$AU$502,3,))*$E188)</f>
        <v>10800.079168871227</v>
      </c>
      <c r="J188" s="66">
        <f>IF(VLOOKUP($D188,$C$5:$AU$502,3,)=0,0,(VLOOKUP($D188,$C$5:$AU$502,8,)/VLOOKUP($D188,$C$5:$AU$502,3,))*$E188)</f>
        <v>12126.40468083787</v>
      </c>
      <c r="K188" s="66">
        <f>IF(VLOOKUP($D188,$C$5:$AU$502,3,)=0,0,(VLOOKUP($D188,$C$5:$AU$502,9,)/VLOOKUP($D188,$C$5:$AU$502,3,))*$E188)</f>
        <v>2968.4428124967699</v>
      </c>
      <c r="L188" s="66">
        <f>IF(VLOOKUP($D188,$C$5:$AU$502,3,)=0,0,(VLOOKUP($D188,$C$5:$AU$502,10,)/VLOOKUP($D188,$C$5:$AU$502,3,))*$E188)</f>
        <v>3852.659820474531</v>
      </c>
      <c r="M188" s="66">
        <f>IF(VLOOKUP($D188,$C$5:$AU$502,3,)=0,0,(VLOOKUP($D188,$C$5:$AU$502,11,)/VLOOKUP($D188,$C$5:$AU$502,3,))*$E188)</f>
        <v>225.9665687054279</v>
      </c>
      <c r="N188" s="66">
        <f>IF(VLOOKUP($D188,$C$5:$AU$502,3,)=0,0,(VLOOKUP($D188,$C$5:$AU$502,12,)/VLOOKUP($D188,$C$5:$AU$502,3,))*$E188)</f>
        <v>0</v>
      </c>
      <c r="O188" s="66">
        <f>IF(VLOOKUP($D188,$C$5:$AU$502,3,)=0,0,(VLOOKUP($D188,$C$5:$AU$502,13,)/VLOOKUP($D188,$C$5:$AU$502,3,))*$E188)</f>
        <v>0</v>
      </c>
      <c r="P188" s="66">
        <f>IF(VLOOKUP($D188,$C$5:$AU$502,3,)=0,0,(VLOOKUP($D188,$C$5:$AU$502,14,)/VLOOKUP($D188,$C$5:$AU$502,3,))*$E188)</f>
        <v>0</v>
      </c>
      <c r="Q188" s="66">
        <f>IF(VLOOKUP($D188,$C$5:$AU$502,3,)=0,0,(VLOOKUP($D188,$C$5:$AU$502,15,)/VLOOKUP($D188,$C$5:$AU$502,3,))*$E188)</f>
        <v>0</v>
      </c>
      <c r="R188" s="66">
        <f>IF(VLOOKUP($D188,$C$5:$AU$502,3,)=0,0,(VLOOKUP($D188,$C$5:$AU$502,16,)/VLOOKUP($D188,$C$5:$AU$502,3,))*$E188)</f>
        <v>0</v>
      </c>
      <c r="S188" s="66">
        <f>IF(VLOOKUP($D188,$C$5:$AU$502,3,)=0,0,(VLOOKUP($D188,$C$5:$AU$502,17,)/VLOOKUP($D188,$C$5:$AU$502,3,))*$E188)</f>
        <v>0</v>
      </c>
      <c r="T188" s="66">
        <f>IF(VLOOKUP($D188,$C$5:$AU$502,3,)=0,0,(VLOOKUP($D188,$C$5:$AU$502,18,)/VLOOKUP($D188,$C$5:$AU$502,3,))*$E188)</f>
        <v>0</v>
      </c>
      <c r="U188" s="66">
        <f>IF(VLOOKUP($D188,$C$5:$AU$502,3,)=0,0,(VLOOKUP($D188,$C$5:$AU$502,19,)/VLOOKUP($D188,$C$5:$AU$502,3,))*$E188)</f>
        <v>0</v>
      </c>
      <c r="V188" s="66">
        <f>IF(VLOOKUP($D188,$C$5:$AU$502,3,)=0,0,(VLOOKUP($D188,$C$5:$AU$502,20,)/VLOOKUP($D188,$C$5:$AU$502,3,))*$E188)</f>
        <v>0</v>
      </c>
      <c r="W188" s="66">
        <f>IF(VLOOKUP($D188,$C$5:$AU$502,3,)=0,0,(VLOOKUP($D188,$C$5:$AU$502,21,)/VLOOKUP($D188,$C$5:$AU$502,3,))*$E188)</f>
        <v>0</v>
      </c>
      <c r="X188" s="66">
        <f>IF(VLOOKUP($D188,$C$5:$AU$502,3,)=0,0,(VLOOKUP($D188,$C$5:$AU$502,22,)/VLOOKUP($D188,$C$5:$AU$502,3,))*$E188)</f>
        <v>0</v>
      </c>
      <c r="Y188" s="66">
        <f>IF(VLOOKUP($D188,$C$5:$AU$502,3,)=0,0,(VLOOKUP($D188,$C$5:$AU$502,23,)/VLOOKUP($D188,$C$5:$AU$502,3,))*$E188)</f>
        <v>0</v>
      </c>
      <c r="Z188" s="66">
        <f>IF(VLOOKUP($D188,$C$5:$AU$502,3,)=0,0,(VLOOKUP($D188,$C$5:$AU$502,24,)/VLOOKUP($D188,$C$5:$AU$502,3,))*$E188)</f>
        <v>0</v>
      </c>
      <c r="AA188" s="66">
        <f>IF(VLOOKUP($D188,$C$5:$AU$502,3,)=0,0,(VLOOKUP($D188,$C$5:$AU$502,25,)/VLOOKUP($D188,$C$5:$AU$502,3,))*$E188)</f>
        <v>0</v>
      </c>
      <c r="AB188" s="66">
        <f>IF(VLOOKUP($D188,$C$5:$AU$502,3,)=0,0,(VLOOKUP($D188,$C$5:$AU$502,26,)/VLOOKUP($D188,$C$5:$AU$502,3,))*$E188)</f>
        <v>0</v>
      </c>
      <c r="AC188" s="66">
        <f>IF(VLOOKUP($D188,$C$5:$AU$502,3,)=0,0,(VLOOKUP($D188,$C$5:$AU$502,27,)/VLOOKUP($D188,$C$5:$AU$502,3,))*$E188)</f>
        <v>0</v>
      </c>
      <c r="AD188" s="66">
        <f>IF(VLOOKUP($D188,$C$5:$AU$502,3,)=0,0,(VLOOKUP($D188,$C$5:$AU$502,28,)/VLOOKUP($D188,$C$5:$AU$502,3,))*$E188)</f>
        <v>0</v>
      </c>
      <c r="AE188" s="66">
        <f>IF(VLOOKUP($D188,$C$5:$AU$502,3,)=0,0,(VLOOKUP($D188,$C$5:$AU$502,29,)/VLOOKUP($D188,$C$5:$AU$502,3,))*$E188)</f>
        <v>0</v>
      </c>
      <c r="AF188" s="66">
        <f>IF(VLOOKUP($D188,$C$5:$AU$502,3,)=0,0,(VLOOKUP($D188,$C$5:$AU$502,30,)/VLOOKUP($D188,$C$5:$AU$502,3,))*$E188)</f>
        <v>0</v>
      </c>
      <c r="AG188" s="93">
        <f>SUM(F188:AF188)</f>
        <v>1530995.0824513482</v>
      </c>
      <c r="AH188" s="30" t="str">
        <f>IF(ABS(E188-AG188)&lt;0.01,"ok","err")</f>
        <v>ok</v>
      </c>
    </row>
    <row r="189" spans="1:34" x14ac:dyDescent="0.2">
      <c r="E189" s="50"/>
    </row>
    <row r="190" spans="1:34" x14ac:dyDescent="0.2">
      <c r="A190" s="13" t="s">
        <v>470</v>
      </c>
      <c r="E190" s="50"/>
    </row>
    <row r="191" spans="1:34" x14ac:dyDescent="0.2">
      <c r="A191" s="96" t="s">
        <v>221</v>
      </c>
      <c r="C191" s="14" t="s">
        <v>281</v>
      </c>
      <c r="D191" s="14" t="s">
        <v>235</v>
      </c>
      <c r="E191" s="66">
        <f>'Func &amp; Classif'!AA463</f>
        <v>0</v>
      </c>
      <c r="F191" s="66">
        <f>IF(VLOOKUP($D191,$C$5:$AU$502,3,)=0,0,(VLOOKUP($D191,$C$5:$AU$502,4,)/VLOOKUP($D191,$C$5:$AU$502,3,))*$E191)</f>
        <v>0</v>
      </c>
      <c r="G191" s="66">
        <f>IF(VLOOKUP($D191,$C$5:$AU$502,3,)=0,0,(VLOOKUP($D191,$C$5:$AU$502,5,)/VLOOKUP($D191,$C$5:$AU$502,3,))*$E191)</f>
        <v>0</v>
      </c>
      <c r="H191" s="66">
        <f>IF(VLOOKUP($D191,$C$5:$AU$502,3,)=0,0,(VLOOKUP($D191,$C$5:$AU$502,6,)/VLOOKUP($D191,$C$5:$AU$502,3,))*$E191)</f>
        <v>0</v>
      </c>
      <c r="I191" s="66">
        <f>IF(VLOOKUP($D191,$C$5:$AU$502,3,)=0,0,(VLOOKUP($D191,$C$5:$AU$502,7,)/VLOOKUP($D191,$C$5:$AU$502,3,))*$E191)</f>
        <v>0</v>
      </c>
      <c r="J191" s="66">
        <f>IF(VLOOKUP($D191,$C$5:$AU$502,3,)=0,0,(VLOOKUP($D191,$C$5:$AU$502,8,)/VLOOKUP($D191,$C$5:$AU$502,3,))*$E191)</f>
        <v>0</v>
      </c>
      <c r="K191" s="66">
        <f>IF(VLOOKUP($D191,$C$5:$AU$502,3,)=0,0,(VLOOKUP($D191,$C$5:$AU$502,9,)/VLOOKUP($D191,$C$5:$AU$502,3,))*$E191)</f>
        <v>0</v>
      </c>
      <c r="L191" s="66">
        <f>IF(VLOOKUP($D191,$C$5:$AU$502,3,)=0,0,(VLOOKUP($D191,$C$5:$AU$502,10,)/VLOOKUP($D191,$C$5:$AU$502,3,))*$E191)</f>
        <v>0</v>
      </c>
      <c r="M191" s="66">
        <f>IF(VLOOKUP($D191,$C$5:$AU$502,3,)=0,0,(VLOOKUP($D191,$C$5:$AU$502,11,)/VLOOKUP($D191,$C$5:$AU$502,3,))*$E191)</f>
        <v>0</v>
      </c>
      <c r="N191" s="66">
        <f>IF(VLOOKUP($D191,$C$5:$AU$502,3,)=0,0,(VLOOKUP($D191,$C$5:$AU$502,12,)/VLOOKUP($D191,$C$5:$AU$502,3,))*$E191)</f>
        <v>0</v>
      </c>
      <c r="O191" s="66">
        <f>IF(VLOOKUP($D191,$C$5:$AU$502,3,)=0,0,(VLOOKUP($D191,$C$5:$AU$502,13,)/VLOOKUP($D191,$C$5:$AU$502,3,))*$E191)</f>
        <v>0</v>
      </c>
      <c r="P191" s="66">
        <f>IF(VLOOKUP($D191,$C$5:$AU$502,3,)=0,0,(VLOOKUP($D191,$C$5:$AU$502,14,)/VLOOKUP($D191,$C$5:$AU$502,3,))*$E191)</f>
        <v>0</v>
      </c>
      <c r="Q191" s="66">
        <f>IF(VLOOKUP($D191,$C$5:$AU$502,3,)=0,0,(VLOOKUP($D191,$C$5:$AU$502,15,)/VLOOKUP($D191,$C$5:$AU$502,3,))*$E191)</f>
        <v>0</v>
      </c>
      <c r="R191" s="66">
        <f>IF(VLOOKUP($D191,$C$5:$AU$502,3,)=0,0,(VLOOKUP($D191,$C$5:$AU$502,16,)/VLOOKUP($D191,$C$5:$AU$502,3,))*$E191)</f>
        <v>0</v>
      </c>
      <c r="S191" s="66">
        <f>IF(VLOOKUP($D191,$C$5:$AU$502,3,)=0,0,(VLOOKUP($D191,$C$5:$AU$502,17,)/VLOOKUP($D191,$C$5:$AU$502,3,))*$E191)</f>
        <v>0</v>
      </c>
      <c r="T191" s="66">
        <f>IF(VLOOKUP($D191,$C$5:$AU$502,3,)=0,0,(VLOOKUP($D191,$C$5:$AU$502,18,)/VLOOKUP($D191,$C$5:$AU$502,3,))*$E191)</f>
        <v>0</v>
      </c>
      <c r="U191" s="66">
        <f>IF(VLOOKUP($D191,$C$5:$AU$502,3,)=0,0,(VLOOKUP($D191,$C$5:$AU$502,19,)/VLOOKUP($D191,$C$5:$AU$502,3,))*$E191)</f>
        <v>0</v>
      </c>
      <c r="V191" s="66">
        <f>IF(VLOOKUP($D191,$C$5:$AU$502,3,)=0,0,(VLOOKUP($D191,$C$5:$AU$502,20,)/VLOOKUP($D191,$C$5:$AU$502,3,))*$E191)</f>
        <v>0</v>
      </c>
      <c r="W191" s="66">
        <f>IF(VLOOKUP($D191,$C$5:$AU$502,3,)=0,0,(VLOOKUP($D191,$C$5:$AU$502,21,)/VLOOKUP($D191,$C$5:$AU$502,3,))*$E191)</f>
        <v>0</v>
      </c>
      <c r="X191" s="66">
        <f>IF(VLOOKUP($D191,$C$5:$AU$502,3,)=0,0,(VLOOKUP($D191,$C$5:$AU$502,22,)/VLOOKUP($D191,$C$5:$AU$502,3,))*$E191)</f>
        <v>0</v>
      </c>
      <c r="Y191" s="66">
        <f>IF(VLOOKUP($D191,$C$5:$AU$502,3,)=0,0,(VLOOKUP($D191,$C$5:$AU$502,23,)/VLOOKUP($D191,$C$5:$AU$502,3,))*$E191)</f>
        <v>0</v>
      </c>
      <c r="Z191" s="66">
        <f>IF(VLOOKUP($D191,$C$5:$AU$502,3,)=0,0,(VLOOKUP($D191,$C$5:$AU$502,24,)/VLOOKUP($D191,$C$5:$AU$502,3,))*$E191)</f>
        <v>0</v>
      </c>
      <c r="AA191" s="66">
        <f>IF(VLOOKUP($D191,$C$5:$AU$502,3,)=0,0,(VLOOKUP($D191,$C$5:$AU$502,25,)/VLOOKUP($D191,$C$5:$AU$502,3,))*$E191)</f>
        <v>0</v>
      </c>
      <c r="AB191" s="66">
        <f>IF(VLOOKUP($D191,$C$5:$AU$502,3,)=0,0,(VLOOKUP($D191,$C$5:$AU$502,26,)/VLOOKUP($D191,$C$5:$AU$502,3,))*$E191)</f>
        <v>0</v>
      </c>
      <c r="AC191" s="66">
        <f>IF(VLOOKUP($D191,$C$5:$AU$502,3,)=0,0,(VLOOKUP($D191,$C$5:$AU$502,27,)/VLOOKUP($D191,$C$5:$AU$502,3,))*$E191)</f>
        <v>0</v>
      </c>
      <c r="AD191" s="66">
        <f>IF(VLOOKUP($D191,$C$5:$AU$502,3,)=0,0,(VLOOKUP($D191,$C$5:$AU$502,28,)/VLOOKUP($D191,$C$5:$AU$502,3,))*$E191)</f>
        <v>0</v>
      </c>
      <c r="AE191" s="66">
        <f>IF(VLOOKUP($D191,$C$5:$AU$502,3,)=0,0,(VLOOKUP($D191,$C$5:$AU$502,29,)/VLOOKUP($D191,$C$5:$AU$502,3,))*$E191)</f>
        <v>0</v>
      </c>
      <c r="AF191" s="66">
        <f>IF(VLOOKUP($D191,$C$5:$AU$502,3,)=0,0,(VLOOKUP($D191,$C$5:$AU$502,30,)/VLOOKUP($D191,$C$5:$AU$502,3,))*$E191)</f>
        <v>0</v>
      </c>
      <c r="AG191" s="93">
        <f>SUM(F191:AF191)</f>
        <v>0</v>
      </c>
      <c r="AH191" s="30" t="str">
        <f>IF(ABS(E191-AG191)&lt;0.01,"ok","err")</f>
        <v>ok</v>
      </c>
    </row>
    <row r="192" spans="1:34" x14ac:dyDescent="0.2">
      <c r="E192" s="50"/>
    </row>
    <row r="193" spans="1:34" x14ac:dyDescent="0.2">
      <c r="A193" s="14" t="s">
        <v>0</v>
      </c>
      <c r="C193" s="14" t="s">
        <v>285</v>
      </c>
      <c r="E193" s="66">
        <f>E163+E166+E169+E174+E179+E182+E185+E188+E191</f>
        <v>4807493.42</v>
      </c>
      <c r="F193" s="66">
        <f t="shared" ref="F193:R193" si="39">F163+F166+F169+F174+F179+F182+F185+F188+F191</f>
        <v>4164715.7686114982</v>
      </c>
      <c r="G193" s="66">
        <f t="shared" si="39"/>
        <v>1300.6269274447623</v>
      </c>
      <c r="H193" s="66">
        <f t="shared" si="39"/>
        <v>217133.12514608132</v>
      </c>
      <c r="I193" s="66">
        <f t="shared" si="39"/>
        <v>53514.427203536972</v>
      </c>
      <c r="J193" s="66">
        <f t="shared" si="39"/>
        <v>25429.245795021881</v>
      </c>
      <c r="K193" s="66">
        <f t="shared" si="39"/>
        <v>69495.031866483347</v>
      </c>
      <c r="L193" s="66">
        <f t="shared" si="39"/>
        <v>231822.27142253972</v>
      </c>
      <c r="M193" s="66">
        <f t="shared" si="39"/>
        <v>44082.92302738969</v>
      </c>
      <c r="N193" s="66">
        <f t="shared" si="39"/>
        <v>0</v>
      </c>
      <c r="O193" s="66">
        <f t="shared" si="39"/>
        <v>0</v>
      </c>
      <c r="P193" s="66">
        <f t="shared" si="39"/>
        <v>0</v>
      </c>
      <c r="Q193" s="66">
        <f t="shared" si="39"/>
        <v>0</v>
      </c>
      <c r="R193" s="66">
        <f t="shared" si="39"/>
        <v>0</v>
      </c>
      <c r="S193" s="66">
        <f t="shared" ref="S193:AF193" si="40">S163+S169+S174+S179+S182+S185+S188+S191</f>
        <v>0</v>
      </c>
      <c r="T193" s="66">
        <f t="shared" si="40"/>
        <v>0</v>
      </c>
      <c r="U193" s="66">
        <f t="shared" si="40"/>
        <v>0</v>
      </c>
      <c r="V193" s="66">
        <f t="shared" si="40"/>
        <v>0</v>
      </c>
      <c r="W193" s="66">
        <f t="shared" si="40"/>
        <v>0</v>
      </c>
      <c r="X193" s="66">
        <f t="shared" si="40"/>
        <v>0</v>
      </c>
      <c r="Y193" s="66">
        <f t="shared" si="40"/>
        <v>0</v>
      </c>
      <c r="Z193" s="66">
        <f t="shared" si="40"/>
        <v>0</v>
      </c>
      <c r="AA193" s="66">
        <f t="shared" si="40"/>
        <v>0</v>
      </c>
      <c r="AB193" s="66">
        <f t="shared" si="40"/>
        <v>0</v>
      </c>
      <c r="AC193" s="66">
        <f t="shared" si="40"/>
        <v>0</v>
      </c>
      <c r="AD193" s="66">
        <f t="shared" si="40"/>
        <v>0</v>
      </c>
      <c r="AE193" s="66">
        <f t="shared" si="40"/>
        <v>0</v>
      </c>
      <c r="AF193" s="66">
        <f t="shared" si="40"/>
        <v>0</v>
      </c>
      <c r="AG193" s="93">
        <f>SUM(F193:AF193)</f>
        <v>4807493.4199999962</v>
      </c>
      <c r="AH193" s="30" t="str">
        <f>IF(ABS(E193-AG193)&lt;0.01,"ok","err")</f>
        <v>ok</v>
      </c>
    </row>
    <row r="196" spans="1:34" x14ac:dyDescent="0.2">
      <c r="A196" s="28" t="s">
        <v>185</v>
      </c>
    </row>
    <row r="198" spans="1:34" x14ac:dyDescent="0.2">
      <c r="A198" s="13" t="s">
        <v>895</v>
      </c>
    </row>
    <row r="199" spans="1:34" x14ac:dyDescent="0.2">
      <c r="A199" s="96" t="s">
        <v>209</v>
      </c>
      <c r="C199" s="14" t="s">
        <v>286</v>
      </c>
      <c r="D199" s="14" t="s">
        <v>657</v>
      </c>
      <c r="E199" s="66">
        <f>'Func &amp; Classif'!H312</f>
        <v>0</v>
      </c>
      <c r="F199" s="66">
        <f>IF(VLOOKUP($D199,$C$5:$AU$502,3,)=0,0,(VLOOKUP($D199,$C$5:$AU$502,4,)/VLOOKUP($D199,$C$5:$AU$502,3,))*$E199)</f>
        <v>0</v>
      </c>
      <c r="G199" s="66">
        <f>IF(VLOOKUP($D199,$C$5:$AU$502,3,)=0,0,(VLOOKUP($D199,$C$5:$AU$502,5,)/VLOOKUP($D199,$C$5:$AU$502,3,))*$E199)</f>
        <v>0</v>
      </c>
      <c r="H199" s="66">
        <f>IF(VLOOKUP($D199,$C$5:$AU$502,3,)=0,0,(VLOOKUP($D199,$C$5:$AU$502,6,)/VLOOKUP($D199,$C$5:$AU$502,3,))*$E199)</f>
        <v>0</v>
      </c>
      <c r="I199" s="66">
        <f>IF(VLOOKUP($D199,$C$5:$AU$502,3,)=0,0,(VLOOKUP($D199,$C$5:$AU$502,7,)/VLOOKUP($D199,$C$5:$AU$502,3,))*$E199)</f>
        <v>0</v>
      </c>
      <c r="J199" s="66">
        <f>IF(VLOOKUP($D199,$C$5:$AU$502,3,)=0,0,(VLOOKUP($D199,$C$5:$AU$502,8,)/VLOOKUP($D199,$C$5:$AU$502,3,))*$E199)</f>
        <v>0</v>
      </c>
      <c r="K199" s="66">
        <f>IF(VLOOKUP($D199,$C$5:$AU$502,3,)=0,0,(VLOOKUP($D199,$C$5:$AU$502,9,)/VLOOKUP($D199,$C$5:$AU$502,3,))*$E199)</f>
        <v>0</v>
      </c>
      <c r="L199" s="66">
        <f>IF(VLOOKUP($D199,$C$5:$AU$502,3,)=0,0,(VLOOKUP($D199,$C$5:$AU$502,10,)/VLOOKUP($D199,$C$5:$AU$502,3,))*$E199)</f>
        <v>0</v>
      </c>
      <c r="M199" s="66">
        <f>IF(VLOOKUP($D199,$C$5:$AU$502,3,)=0,0,(VLOOKUP($D199,$C$5:$AU$502,11,)/VLOOKUP($D199,$C$5:$AU$502,3,))*$E199)</f>
        <v>0</v>
      </c>
      <c r="N199" s="66">
        <f>IF(VLOOKUP($D199,$C$5:$AU$502,3,)=0,0,(VLOOKUP($D199,$C$5:$AU$502,12,)/VLOOKUP($D199,$C$5:$AU$502,3,))*$E199)</f>
        <v>0</v>
      </c>
      <c r="O199" s="66">
        <f>IF(VLOOKUP($D199,$C$5:$AU$502,3,)=0,0,(VLOOKUP($D199,$C$5:$AU$502,13,)/VLOOKUP($D199,$C$5:$AU$502,3,))*$E199)</f>
        <v>0</v>
      </c>
      <c r="P199" s="66">
        <f>IF(VLOOKUP($D199,$C$5:$AU$502,3,)=0,0,(VLOOKUP($D199,$C$5:$AU$502,14,)/VLOOKUP($D199,$C$5:$AU$502,3,))*$E199)</f>
        <v>0</v>
      </c>
      <c r="Q199" s="66">
        <f>IF(VLOOKUP($D199,$C$5:$AU$502,3,)=0,0,(VLOOKUP($D199,$C$5:$AU$502,15,)/VLOOKUP($D199,$C$5:$AU$502,3,))*$E199)</f>
        <v>0</v>
      </c>
      <c r="R199" s="66">
        <f>IF(VLOOKUP($D199,$C$5:$AU$502,3,)=0,0,(VLOOKUP($D199,$C$5:$AU$502,16,)/VLOOKUP($D199,$C$5:$AU$502,3,))*$E199)</f>
        <v>0</v>
      </c>
      <c r="S199" s="66">
        <f>IF(VLOOKUP($D199,$C$5:$AU$502,3,)=0,0,(VLOOKUP($D199,$C$5:$AU$502,17,)/VLOOKUP($D199,$C$5:$AU$502,3,))*$E199)</f>
        <v>0</v>
      </c>
      <c r="T199" s="66">
        <f>IF(VLOOKUP($D199,$C$5:$AU$502,3,)=0,0,(VLOOKUP($D199,$C$5:$AU$502,18,)/VLOOKUP($D199,$C$5:$AU$502,3,))*$E199)</f>
        <v>0</v>
      </c>
      <c r="U199" s="66">
        <f>IF(VLOOKUP($D199,$C$5:$AU$502,3,)=0,0,(VLOOKUP($D199,$C$5:$AU$502,19,)/VLOOKUP($D199,$C$5:$AU$502,3,))*$E199)</f>
        <v>0</v>
      </c>
      <c r="V199" s="66">
        <f>IF(VLOOKUP($D199,$C$5:$AU$502,3,)=0,0,(VLOOKUP($D199,$C$5:$AU$502,20,)/VLOOKUP($D199,$C$5:$AU$502,3,))*$E199)</f>
        <v>0</v>
      </c>
      <c r="W199" s="66">
        <f>IF(VLOOKUP($D199,$C$5:$AU$502,3,)=0,0,(VLOOKUP($D199,$C$5:$AU$502,21,)/VLOOKUP($D199,$C$5:$AU$502,3,))*$E199)</f>
        <v>0</v>
      </c>
      <c r="X199" s="66">
        <f>IF(VLOOKUP($D199,$C$5:$AU$502,3,)=0,0,(VLOOKUP($D199,$C$5:$AU$502,22,)/VLOOKUP($D199,$C$5:$AU$502,3,))*$E199)</f>
        <v>0</v>
      </c>
      <c r="Y199" s="66">
        <f>IF(VLOOKUP($D199,$C$5:$AU$502,3,)=0,0,(VLOOKUP($D199,$C$5:$AU$502,23,)/VLOOKUP($D199,$C$5:$AU$502,3,))*$E199)</f>
        <v>0</v>
      </c>
      <c r="Z199" s="66">
        <f>IF(VLOOKUP($D199,$C$5:$AU$502,3,)=0,0,(VLOOKUP($D199,$C$5:$AU$502,24,)/VLOOKUP($D199,$C$5:$AU$502,3,))*$E199)</f>
        <v>0</v>
      </c>
      <c r="AA199" s="66">
        <f>IF(VLOOKUP($D199,$C$5:$AU$502,3,)=0,0,(VLOOKUP($D199,$C$5:$AU$502,25,)/VLOOKUP($D199,$C$5:$AU$502,3,))*$E199)</f>
        <v>0</v>
      </c>
      <c r="AB199" s="66">
        <f>IF(VLOOKUP($D199,$C$5:$AU$502,3,)=0,0,(VLOOKUP($D199,$C$5:$AU$502,26,)/VLOOKUP($D199,$C$5:$AU$502,3,))*$E199)</f>
        <v>0</v>
      </c>
      <c r="AC199" s="66">
        <f>IF(VLOOKUP($D199,$C$5:$AU$502,3,)=0,0,(VLOOKUP($D199,$C$5:$AU$502,27,)/VLOOKUP($D199,$C$5:$AU$502,3,))*$E199)</f>
        <v>0</v>
      </c>
      <c r="AD199" s="66">
        <f>IF(VLOOKUP($D199,$C$5:$AU$502,3,)=0,0,(VLOOKUP($D199,$C$5:$AU$502,28,)/VLOOKUP($D199,$C$5:$AU$502,3,))*$E199)</f>
        <v>0</v>
      </c>
      <c r="AE199" s="66">
        <f>IF(VLOOKUP($D199,$C$5:$AU$502,3,)=0,0,(VLOOKUP($D199,$C$5:$AU$502,29,)/VLOOKUP($D199,$C$5:$AU$502,3,))*$E199)</f>
        <v>0</v>
      </c>
      <c r="AF199" s="66">
        <f>IF(VLOOKUP($D199,$C$5:$AU$502,3,)=0,0,(VLOOKUP($D199,$C$5:$AU$502,30,)/VLOOKUP($D199,$C$5:$AU$502,3,))*$E199)</f>
        <v>0</v>
      </c>
      <c r="AG199" s="93">
        <f>SUM(F199:AF199)</f>
        <v>0</v>
      </c>
      <c r="AH199" s="30" t="str">
        <f>IF(ABS(E199-AG199)&lt;0.01,"ok","err")</f>
        <v>ok</v>
      </c>
    </row>
    <row r="200" spans="1:34" x14ac:dyDescent="0.2">
      <c r="A200" s="96" t="s">
        <v>212</v>
      </c>
      <c r="C200" s="14" t="s">
        <v>287</v>
      </c>
      <c r="D200" s="14" t="s">
        <v>666</v>
      </c>
      <c r="E200" s="50">
        <f>'Func &amp; Classif'!I312</f>
        <v>0</v>
      </c>
      <c r="F200" s="66">
        <f>IF(VLOOKUP($D200,$C$5:$AU$502,3,)=0,0,(VLOOKUP($D200,$C$5:$AU$502,4,)/VLOOKUP($D200,$C$5:$AU$502,3,))*$E200)</f>
        <v>0</v>
      </c>
      <c r="G200" s="66">
        <f>IF(VLOOKUP($D200,$C$5:$AU$502,3,)=0,0,(VLOOKUP($D200,$C$5:$AU$502,5,)/VLOOKUP($D200,$C$5:$AU$502,3,))*$E200)</f>
        <v>0</v>
      </c>
      <c r="H200" s="66">
        <f>IF(VLOOKUP($D200,$C$5:$AU$502,3,)=0,0,(VLOOKUP($D200,$C$5:$AU$502,6,)/VLOOKUP($D200,$C$5:$AU$502,3,))*$E200)</f>
        <v>0</v>
      </c>
      <c r="I200" s="66">
        <f>IF(VLOOKUP($D200,$C$5:$AU$502,3,)=0,0,(VLOOKUP($D200,$C$5:$AU$502,7,)/VLOOKUP($D200,$C$5:$AU$502,3,))*$E200)</f>
        <v>0</v>
      </c>
      <c r="J200" s="66">
        <f>IF(VLOOKUP($D200,$C$5:$AU$502,3,)=0,0,(VLOOKUP($D200,$C$5:$AU$502,8,)/VLOOKUP($D200,$C$5:$AU$502,3,))*$E200)</f>
        <v>0</v>
      </c>
      <c r="K200" s="66">
        <f>IF(VLOOKUP($D200,$C$5:$AU$502,3,)=0,0,(VLOOKUP($D200,$C$5:$AU$502,9,)/VLOOKUP($D200,$C$5:$AU$502,3,))*$E200)</f>
        <v>0</v>
      </c>
      <c r="L200" s="66">
        <f>IF(VLOOKUP($D200,$C$5:$AU$502,3,)=0,0,(VLOOKUP($D200,$C$5:$AU$502,10,)/VLOOKUP($D200,$C$5:$AU$502,3,))*$E200)</f>
        <v>0</v>
      </c>
      <c r="M200" s="66">
        <f>IF(VLOOKUP($D200,$C$5:$AU$502,3,)=0,0,(VLOOKUP($D200,$C$5:$AU$502,11,)/VLOOKUP($D200,$C$5:$AU$502,3,))*$E200)</f>
        <v>0</v>
      </c>
      <c r="N200" s="66">
        <f>IF(VLOOKUP($D200,$C$5:$AU$502,3,)=0,0,(VLOOKUP($D200,$C$5:$AU$502,12,)/VLOOKUP($D200,$C$5:$AU$502,3,))*$E200)</f>
        <v>0</v>
      </c>
      <c r="O200" s="66">
        <f>IF(VLOOKUP($D200,$C$5:$AU$502,3,)=0,0,(VLOOKUP($D200,$C$5:$AU$502,13,)/VLOOKUP($D200,$C$5:$AU$502,3,))*$E200)</f>
        <v>0</v>
      </c>
      <c r="P200" s="66">
        <f>IF(VLOOKUP($D200,$C$5:$AU$502,3,)=0,0,(VLOOKUP($D200,$C$5:$AU$502,14,)/VLOOKUP($D200,$C$5:$AU$502,3,))*$E200)</f>
        <v>0</v>
      </c>
      <c r="Q200" s="66">
        <f>IF(VLOOKUP($D200,$C$5:$AU$502,3,)=0,0,(VLOOKUP($D200,$C$5:$AU$502,15,)/VLOOKUP($D200,$C$5:$AU$502,3,))*$E200)</f>
        <v>0</v>
      </c>
      <c r="R200" s="66">
        <f>IF(VLOOKUP($D200,$C$5:$AU$502,3,)=0,0,(VLOOKUP($D200,$C$5:$AU$502,16,)/VLOOKUP($D200,$C$5:$AU$502,3,))*$E200)</f>
        <v>0</v>
      </c>
      <c r="S200" s="66">
        <f>IF(VLOOKUP($D200,$C$5:$AU$502,3,)=0,0,(VLOOKUP($D200,$C$5:$AU$502,17,)/VLOOKUP($D200,$C$5:$AU$502,3,))*$E200)</f>
        <v>0</v>
      </c>
      <c r="T200" s="66">
        <f>IF(VLOOKUP($D200,$C$5:$AU$502,3,)=0,0,(VLOOKUP($D200,$C$5:$AU$502,18,)/VLOOKUP($D200,$C$5:$AU$502,3,))*$E200)</f>
        <v>0</v>
      </c>
      <c r="U200" s="66">
        <f>IF(VLOOKUP($D200,$C$5:$AU$502,3,)=0,0,(VLOOKUP($D200,$C$5:$AU$502,19,)/VLOOKUP($D200,$C$5:$AU$502,3,))*$E200)</f>
        <v>0</v>
      </c>
      <c r="V200" s="66">
        <f>IF(VLOOKUP($D200,$C$5:$AU$502,3,)=0,0,(VLOOKUP($D200,$C$5:$AU$502,20,)/VLOOKUP($D200,$C$5:$AU$502,3,))*$E200)</f>
        <v>0</v>
      </c>
      <c r="W200" s="66">
        <f>IF(VLOOKUP($D200,$C$5:$AU$502,3,)=0,0,(VLOOKUP($D200,$C$5:$AU$502,21,)/VLOOKUP($D200,$C$5:$AU$502,3,))*$E200)</f>
        <v>0</v>
      </c>
      <c r="X200" s="66">
        <f>IF(VLOOKUP($D200,$C$5:$AU$502,3,)=0,0,(VLOOKUP($D200,$C$5:$AU$502,22,)/VLOOKUP($D200,$C$5:$AU$502,3,))*$E200)</f>
        <v>0</v>
      </c>
      <c r="Y200" s="66">
        <f>IF(VLOOKUP($D200,$C$5:$AU$502,3,)=0,0,(VLOOKUP($D200,$C$5:$AU$502,23,)/VLOOKUP($D200,$C$5:$AU$502,3,))*$E200)</f>
        <v>0</v>
      </c>
      <c r="Z200" s="66">
        <f>IF(VLOOKUP($D200,$C$5:$AU$502,3,)=0,0,(VLOOKUP($D200,$C$5:$AU$502,24,)/VLOOKUP($D200,$C$5:$AU$502,3,))*$E200)</f>
        <v>0</v>
      </c>
      <c r="AA200" s="66">
        <f>IF(VLOOKUP($D200,$C$5:$AU$502,3,)=0,0,(VLOOKUP($D200,$C$5:$AU$502,25,)/VLOOKUP($D200,$C$5:$AU$502,3,))*$E200)</f>
        <v>0</v>
      </c>
      <c r="AB200" s="66">
        <f>IF(VLOOKUP($D200,$C$5:$AU$502,3,)=0,0,(VLOOKUP($D200,$C$5:$AU$502,26,)/VLOOKUP($D200,$C$5:$AU$502,3,))*$E200)</f>
        <v>0</v>
      </c>
      <c r="AC200" s="66">
        <f>IF(VLOOKUP($D200,$C$5:$AU$502,3,)=0,0,(VLOOKUP($D200,$C$5:$AU$502,27,)/VLOOKUP($D200,$C$5:$AU$502,3,))*$E200)</f>
        <v>0</v>
      </c>
      <c r="AD200" s="66">
        <f>IF(VLOOKUP($D200,$C$5:$AU$502,3,)=0,0,(VLOOKUP($D200,$C$5:$AU$502,28,)/VLOOKUP($D200,$C$5:$AU$502,3,))*$E200)</f>
        <v>0</v>
      </c>
      <c r="AE200" s="66">
        <f>IF(VLOOKUP($D200,$C$5:$AU$502,3,)=0,0,(VLOOKUP($D200,$C$5:$AU$502,29,)/VLOOKUP($D200,$C$5:$AU$502,3,))*$E200)</f>
        <v>0</v>
      </c>
      <c r="AF200" s="66">
        <f>IF(VLOOKUP($D200,$C$5:$AU$502,3,)=0,0,(VLOOKUP($D200,$C$5:$AU$502,30,)/VLOOKUP($D200,$C$5:$AU$502,3,))*$E200)</f>
        <v>0</v>
      </c>
      <c r="AG200" s="93">
        <f>SUM(F200:AF200)</f>
        <v>0</v>
      </c>
      <c r="AH200" s="30" t="str">
        <f>IF(ABS(E200-AG200)&lt;0.01,"ok","err")</f>
        <v>ok</v>
      </c>
    </row>
    <row r="201" spans="1:34" x14ac:dyDescent="0.2">
      <c r="A201" s="14" t="s">
        <v>215</v>
      </c>
      <c r="C201" s="14" t="s">
        <v>288</v>
      </c>
      <c r="E201" s="50">
        <f t="shared" ref="E201:T201" si="41">E199+E200</f>
        <v>0</v>
      </c>
      <c r="F201" s="66">
        <f t="shared" si="41"/>
        <v>0</v>
      </c>
      <c r="G201" s="66">
        <f t="shared" si="41"/>
        <v>0</v>
      </c>
      <c r="H201" s="66">
        <f t="shared" si="41"/>
        <v>0</v>
      </c>
      <c r="I201" s="66">
        <f t="shared" si="41"/>
        <v>0</v>
      </c>
      <c r="J201" s="66">
        <f t="shared" si="41"/>
        <v>0</v>
      </c>
      <c r="K201" s="66">
        <f t="shared" si="41"/>
        <v>0</v>
      </c>
      <c r="L201" s="66">
        <f t="shared" si="41"/>
        <v>0</v>
      </c>
      <c r="M201" s="66">
        <f t="shared" si="41"/>
        <v>0</v>
      </c>
      <c r="N201" s="66">
        <f t="shared" si="41"/>
        <v>0</v>
      </c>
      <c r="O201" s="66">
        <f t="shared" si="41"/>
        <v>0</v>
      </c>
      <c r="P201" s="66">
        <f t="shared" si="41"/>
        <v>0</v>
      </c>
      <c r="Q201" s="66">
        <f t="shared" si="41"/>
        <v>0</v>
      </c>
      <c r="R201" s="66">
        <f t="shared" si="41"/>
        <v>0</v>
      </c>
      <c r="S201" s="66">
        <f t="shared" si="41"/>
        <v>0</v>
      </c>
      <c r="T201" s="66">
        <f t="shared" si="41"/>
        <v>0</v>
      </c>
      <c r="U201" s="66">
        <f t="shared" ref="U201:AF201" si="42">U199+U200</f>
        <v>0</v>
      </c>
      <c r="V201" s="66">
        <f t="shared" si="42"/>
        <v>0</v>
      </c>
      <c r="W201" s="66">
        <f t="shared" si="42"/>
        <v>0</v>
      </c>
      <c r="X201" s="66">
        <f t="shared" si="42"/>
        <v>0</v>
      </c>
      <c r="Y201" s="66">
        <f t="shared" si="42"/>
        <v>0</v>
      </c>
      <c r="Z201" s="66">
        <f t="shared" si="42"/>
        <v>0</v>
      </c>
      <c r="AA201" s="66">
        <f t="shared" si="42"/>
        <v>0</v>
      </c>
      <c r="AB201" s="66">
        <f t="shared" si="42"/>
        <v>0</v>
      </c>
      <c r="AC201" s="66">
        <f t="shared" si="42"/>
        <v>0</v>
      </c>
      <c r="AD201" s="66">
        <f t="shared" si="42"/>
        <v>0</v>
      </c>
      <c r="AE201" s="66">
        <f t="shared" si="42"/>
        <v>0</v>
      </c>
      <c r="AF201" s="66">
        <f t="shared" si="42"/>
        <v>0</v>
      </c>
      <c r="AG201" s="93">
        <f>SUM(F201:AF201)</f>
        <v>0</v>
      </c>
      <c r="AH201" s="30" t="str">
        <f>IF(ABS(E201-AG201)&lt;0.01,"ok","err")</f>
        <v>ok</v>
      </c>
    </row>
    <row r="202" spans="1:34" x14ac:dyDescent="0.2">
      <c r="E202" s="50"/>
      <c r="F202" s="50"/>
    </row>
    <row r="203" spans="1:34" x14ac:dyDescent="0.2">
      <c r="A203" s="13" t="s">
        <v>350</v>
      </c>
      <c r="E203" s="50"/>
      <c r="F203" s="50"/>
    </row>
    <row r="204" spans="1:34" x14ac:dyDescent="0.2">
      <c r="A204" s="96" t="s">
        <v>209</v>
      </c>
      <c r="C204" s="14" t="s">
        <v>889</v>
      </c>
      <c r="D204" s="14" t="s">
        <v>599</v>
      </c>
      <c r="E204" s="66">
        <f>'Func &amp; Classif'!K312</f>
        <v>0</v>
      </c>
      <c r="F204" s="66">
        <f>IF(VLOOKUP($D204,$C$5:$AU$502,3,)=0,0,(VLOOKUP($D204,$C$5:$AU$502,4,)/VLOOKUP($D204,$C$5:$AU$502,3,))*$E204)</f>
        <v>0</v>
      </c>
      <c r="G204" s="66">
        <f>IF(VLOOKUP($D204,$C$5:$AU$502,3,)=0,0,(VLOOKUP($D204,$C$5:$AU$502,5,)/VLOOKUP($D204,$C$5:$AU$502,3,))*$E204)</f>
        <v>0</v>
      </c>
      <c r="H204" s="66">
        <f>IF(VLOOKUP($D204,$C$5:$AU$502,3,)=0,0,(VLOOKUP($D204,$C$5:$AU$502,6,)/VLOOKUP($D204,$C$5:$AU$502,3,))*$E204)</f>
        <v>0</v>
      </c>
      <c r="I204" s="66">
        <f>IF(VLOOKUP($D204,$C$5:$AU$502,3,)=0,0,(VLOOKUP($D204,$C$5:$AU$502,7,)/VLOOKUP($D204,$C$5:$AU$502,3,))*$E204)</f>
        <v>0</v>
      </c>
      <c r="J204" s="66">
        <f>IF(VLOOKUP($D204,$C$5:$AU$502,3,)=0,0,(VLOOKUP($D204,$C$5:$AU$502,8,)/VLOOKUP($D204,$C$5:$AU$502,3,))*$E204)</f>
        <v>0</v>
      </c>
      <c r="K204" s="66">
        <f>IF(VLOOKUP($D204,$C$5:$AU$502,3,)=0,0,(VLOOKUP($D204,$C$5:$AU$502,9,)/VLOOKUP($D204,$C$5:$AU$502,3,))*$E204)</f>
        <v>0</v>
      </c>
      <c r="L204" s="66">
        <f>IF(VLOOKUP($D204,$C$5:$AU$502,3,)=0,0,(VLOOKUP($D204,$C$5:$AU$502,10,)/VLOOKUP($D204,$C$5:$AU$502,3,))*$E204)</f>
        <v>0</v>
      </c>
      <c r="M204" s="66">
        <f>IF(VLOOKUP($D204,$C$5:$AU$502,3,)=0,0,(VLOOKUP($D204,$C$5:$AU$502,11,)/VLOOKUP($D204,$C$5:$AU$502,3,))*$E204)</f>
        <v>0</v>
      </c>
      <c r="N204" s="66">
        <f>IF(VLOOKUP($D204,$C$5:$AU$502,3,)=0,0,(VLOOKUP($D204,$C$5:$AU$502,12,)/VLOOKUP($D204,$C$5:$AU$502,3,))*$E204)</f>
        <v>0</v>
      </c>
      <c r="O204" s="66">
        <f>IF(VLOOKUP($D204,$C$5:$AU$502,3,)=0,0,(VLOOKUP($D204,$C$5:$AU$502,13,)/VLOOKUP($D204,$C$5:$AU$502,3,))*$E204)</f>
        <v>0</v>
      </c>
      <c r="P204" s="66">
        <f>IF(VLOOKUP($D204,$C$5:$AU$502,3,)=0,0,(VLOOKUP($D204,$C$5:$AU$502,14,)/VLOOKUP($D204,$C$5:$AU$502,3,))*$E204)</f>
        <v>0</v>
      </c>
      <c r="Q204" s="66">
        <f>IF(VLOOKUP($D204,$C$5:$AU$502,3,)=0,0,(VLOOKUP($D204,$C$5:$AU$502,15,)/VLOOKUP($D204,$C$5:$AU$502,3,))*$E204)</f>
        <v>0</v>
      </c>
      <c r="R204" s="66">
        <f>IF(VLOOKUP($D204,$C$5:$AU$502,3,)=0,0,(VLOOKUP($D204,$C$5:$AU$502,16,)/VLOOKUP($D204,$C$5:$AU$502,3,))*$E204)</f>
        <v>0</v>
      </c>
      <c r="S204" s="66">
        <f>IF(VLOOKUP($D204,$C$5:$AU$502,3,)=0,0,(VLOOKUP($D204,$C$5:$AU$502,17,)/VLOOKUP($D204,$C$5:$AU$502,3,))*$E204)</f>
        <v>0</v>
      </c>
      <c r="T204" s="66">
        <f>IF(VLOOKUP($D204,$C$5:$AU$502,3,)=0,0,(VLOOKUP($D204,$C$5:$AU$502,18,)/VLOOKUP($D204,$C$5:$AU$502,3,))*$E204)</f>
        <v>0</v>
      </c>
      <c r="U204" s="66">
        <f>IF(VLOOKUP($D204,$C$5:$AU$502,3,)=0,0,(VLOOKUP($D204,$C$5:$AU$502,19,)/VLOOKUP($D204,$C$5:$AU$502,3,))*$E204)</f>
        <v>0</v>
      </c>
      <c r="V204" s="66">
        <f>IF(VLOOKUP($D204,$C$5:$AU$502,3,)=0,0,(VLOOKUP($D204,$C$5:$AU$502,20,)/VLOOKUP($D204,$C$5:$AU$502,3,))*$E204)</f>
        <v>0</v>
      </c>
      <c r="W204" s="66">
        <f>IF(VLOOKUP($D204,$C$5:$AU$502,3,)=0,0,(VLOOKUP($D204,$C$5:$AU$502,21,)/VLOOKUP($D204,$C$5:$AU$502,3,))*$E204)</f>
        <v>0</v>
      </c>
      <c r="X204" s="66">
        <f>IF(VLOOKUP($D204,$C$5:$AU$502,3,)=0,0,(VLOOKUP($D204,$C$5:$AU$502,22,)/VLOOKUP($D204,$C$5:$AU$502,3,))*$E204)</f>
        <v>0</v>
      </c>
      <c r="Y204" s="66">
        <f>IF(VLOOKUP($D204,$C$5:$AU$502,3,)=0,0,(VLOOKUP($D204,$C$5:$AU$502,23,)/VLOOKUP($D204,$C$5:$AU$502,3,))*$E204)</f>
        <v>0</v>
      </c>
      <c r="Z204" s="66">
        <f>IF(VLOOKUP($D204,$C$5:$AU$502,3,)=0,0,(VLOOKUP($D204,$C$5:$AU$502,24,)/VLOOKUP($D204,$C$5:$AU$502,3,))*$E204)</f>
        <v>0</v>
      </c>
      <c r="AA204" s="66">
        <f>IF(VLOOKUP($D204,$C$5:$AU$502,3,)=0,0,(VLOOKUP($D204,$C$5:$AU$502,25,)/VLOOKUP($D204,$C$5:$AU$502,3,))*$E204)</f>
        <v>0</v>
      </c>
      <c r="AB204" s="66">
        <f>IF(VLOOKUP($D204,$C$5:$AU$502,3,)=0,0,(VLOOKUP($D204,$C$5:$AU$502,26,)/VLOOKUP($D204,$C$5:$AU$502,3,))*$E204)</f>
        <v>0</v>
      </c>
      <c r="AC204" s="66">
        <f>IF(VLOOKUP($D204,$C$5:$AU$502,3,)=0,0,(VLOOKUP($D204,$C$5:$AU$502,27,)/VLOOKUP($D204,$C$5:$AU$502,3,))*$E204)</f>
        <v>0</v>
      </c>
      <c r="AD204" s="66">
        <f>IF(VLOOKUP($D204,$C$5:$AU$502,3,)=0,0,(VLOOKUP($D204,$C$5:$AU$502,28,)/VLOOKUP($D204,$C$5:$AU$502,3,))*$E204)</f>
        <v>0</v>
      </c>
      <c r="AE204" s="66">
        <f>IF(VLOOKUP($D204,$C$5:$AU$502,3,)=0,0,(VLOOKUP($D204,$C$5:$AU$502,29,)/VLOOKUP($D204,$C$5:$AU$502,3,))*$E204)</f>
        <v>0</v>
      </c>
      <c r="AF204" s="66">
        <f>IF(VLOOKUP($D204,$C$5:$AU$502,3,)=0,0,(VLOOKUP($D204,$C$5:$AU$502,30,)/VLOOKUP($D204,$C$5:$AU$502,3,))*$E204)</f>
        <v>0</v>
      </c>
      <c r="AG204" s="93">
        <f>SUM(F204:AF204)</f>
        <v>0</v>
      </c>
      <c r="AH204" s="30" t="str">
        <f>IF(ABS(E204-AG204)&lt;0.01,"ok","err")</f>
        <v>ok</v>
      </c>
    </row>
    <row r="205" spans="1:34" x14ac:dyDescent="0.2">
      <c r="E205" s="50"/>
    </row>
    <row r="206" spans="1:34" x14ac:dyDescent="0.2">
      <c r="A206" s="13" t="s">
        <v>1</v>
      </c>
      <c r="E206" s="50"/>
      <c r="F206" s="50"/>
    </row>
    <row r="207" spans="1:34" x14ac:dyDescent="0.2">
      <c r="A207" s="96" t="s">
        <v>209</v>
      </c>
      <c r="C207" s="14" t="s">
        <v>289</v>
      </c>
      <c r="D207" s="14" t="s">
        <v>615</v>
      </c>
      <c r="E207" s="66">
        <f>'Func &amp; Classif'!M312</f>
        <v>210.63562583942095</v>
      </c>
      <c r="F207" s="66">
        <f>IF(VLOOKUP($D207,$C$5:$AU$502,3,)=0,0,(VLOOKUP($D207,$C$5:$AU$502,4,)/VLOOKUP($D207,$C$5:$AU$502,3,))*$E207)</f>
        <v>144.33532238057427</v>
      </c>
      <c r="G207" s="66">
        <f>IF(VLOOKUP($D207,$C$5:$AU$502,3,)=0,0,(VLOOKUP($D207,$C$5:$AU$502,5,)/VLOOKUP($D207,$C$5:$AU$502,3,))*$E207)</f>
        <v>2.8432843046563471E-2</v>
      </c>
      <c r="H207" s="66">
        <f>IF(VLOOKUP($D207,$C$5:$AU$502,3,)=0,0,(VLOOKUP($D207,$C$5:$AU$502,6,)/VLOOKUP($D207,$C$5:$AU$502,3,))*$E207)</f>
        <v>10.760841237515898</v>
      </c>
      <c r="I207" s="66">
        <f>IF(VLOOKUP($D207,$C$5:$AU$502,3,)=0,0,(VLOOKUP($D207,$C$5:$AU$502,7,)/VLOOKUP($D207,$C$5:$AU$502,3,))*$E207)</f>
        <v>7.0514445728133053</v>
      </c>
      <c r="J207" s="66">
        <f>IF(VLOOKUP($D207,$C$5:$AU$502,3,)=0,0,(VLOOKUP($D207,$C$5:$AU$502,8,)/VLOOKUP($D207,$C$5:$AU$502,3,))*$E207)</f>
        <v>0.36479387408924074</v>
      </c>
      <c r="K207" s="66">
        <f>IF(VLOOKUP($D207,$C$5:$AU$502,3,)=0,0,(VLOOKUP($D207,$C$5:$AU$502,9,)/VLOOKUP($D207,$C$5:$AU$502,3,))*$E207)</f>
        <v>2.8429441436781828</v>
      </c>
      <c r="L207" s="66">
        <f>IF(VLOOKUP($D207,$C$5:$AU$502,3,)=0,0,(VLOOKUP($D207,$C$5:$AU$502,10,)/VLOOKUP($D207,$C$5:$AU$502,3,))*$E207)</f>
        <v>42.769456472324968</v>
      </c>
      <c r="M207" s="66">
        <f>IF(VLOOKUP($D207,$C$5:$AU$502,3,)=0,0,(VLOOKUP($D207,$C$5:$AU$502,11,)/VLOOKUP($D207,$C$5:$AU$502,3,))*$E207)</f>
        <v>2.48239025322831</v>
      </c>
      <c r="N207" s="66">
        <f>IF(VLOOKUP($D207,$C$5:$AU$502,3,)=0,0,(VLOOKUP($D207,$C$5:$AU$502,12,)/VLOOKUP($D207,$C$5:$AU$502,3,))*$E207)</f>
        <v>0</v>
      </c>
      <c r="O207" s="66">
        <f>IF(VLOOKUP($D207,$C$5:$AU$502,3,)=0,0,(VLOOKUP($D207,$C$5:$AU$502,13,)/VLOOKUP($D207,$C$5:$AU$502,3,))*$E207)</f>
        <v>0</v>
      </c>
      <c r="P207" s="66">
        <f>IF(VLOOKUP($D207,$C$5:$AU$502,3,)=0,0,(VLOOKUP($D207,$C$5:$AU$502,14,)/VLOOKUP($D207,$C$5:$AU$502,3,))*$E207)</f>
        <v>0</v>
      </c>
      <c r="Q207" s="66">
        <f>IF(VLOOKUP($D207,$C$5:$AU$502,3,)=0,0,(VLOOKUP($D207,$C$5:$AU$502,15,)/VLOOKUP($D207,$C$5:$AU$502,3,))*$E207)</f>
        <v>0</v>
      </c>
      <c r="R207" s="66">
        <f>IF(VLOOKUP($D207,$C$5:$AU$502,3,)=0,0,(VLOOKUP($D207,$C$5:$AU$502,16,)/VLOOKUP($D207,$C$5:$AU$502,3,))*$E207)</f>
        <v>0</v>
      </c>
      <c r="S207" s="66">
        <f>IF(VLOOKUP($D207,$C$5:$AU$502,3,)=0,0,(VLOOKUP($D207,$C$5:$AU$502,17,)/VLOOKUP($D207,$C$5:$AU$502,3,))*$E207)</f>
        <v>0</v>
      </c>
      <c r="T207" s="66">
        <f>IF(VLOOKUP($D207,$C$5:$AU$502,3,)=0,0,(VLOOKUP($D207,$C$5:$AU$502,18,)/VLOOKUP($D207,$C$5:$AU$502,3,))*$E207)</f>
        <v>0</v>
      </c>
      <c r="U207" s="66">
        <f>IF(VLOOKUP($D207,$C$5:$AU$502,3,)=0,0,(VLOOKUP($D207,$C$5:$AU$502,19,)/VLOOKUP($D207,$C$5:$AU$502,3,))*$E207)</f>
        <v>0</v>
      </c>
      <c r="V207" s="66">
        <f>IF(VLOOKUP($D207,$C$5:$AU$502,3,)=0,0,(VLOOKUP($D207,$C$5:$AU$502,20,)/VLOOKUP($D207,$C$5:$AU$502,3,))*$E207)</f>
        <v>0</v>
      </c>
      <c r="W207" s="66">
        <f>IF(VLOOKUP($D207,$C$5:$AU$502,3,)=0,0,(VLOOKUP($D207,$C$5:$AU$502,21,)/VLOOKUP($D207,$C$5:$AU$502,3,))*$E207)</f>
        <v>0</v>
      </c>
      <c r="X207" s="66">
        <f>IF(VLOOKUP($D207,$C$5:$AU$502,3,)=0,0,(VLOOKUP($D207,$C$5:$AU$502,22,)/VLOOKUP($D207,$C$5:$AU$502,3,))*$E207)</f>
        <v>0</v>
      </c>
      <c r="Y207" s="66">
        <f>IF(VLOOKUP($D207,$C$5:$AU$502,3,)=0,0,(VLOOKUP($D207,$C$5:$AU$502,23,)/VLOOKUP($D207,$C$5:$AU$502,3,))*$E207)</f>
        <v>0</v>
      </c>
      <c r="Z207" s="66">
        <f>IF(VLOOKUP($D207,$C$5:$AU$502,3,)=0,0,(VLOOKUP($D207,$C$5:$AU$502,24,)/VLOOKUP($D207,$C$5:$AU$502,3,))*$E207)</f>
        <v>0</v>
      </c>
      <c r="AA207" s="66">
        <f>IF(VLOOKUP($D207,$C$5:$AU$502,3,)=0,0,(VLOOKUP($D207,$C$5:$AU$502,25,)/VLOOKUP($D207,$C$5:$AU$502,3,))*$E207)</f>
        <v>0</v>
      </c>
      <c r="AB207" s="66">
        <f>IF(VLOOKUP($D207,$C$5:$AU$502,3,)=0,0,(VLOOKUP($D207,$C$5:$AU$502,26,)/VLOOKUP($D207,$C$5:$AU$502,3,))*$E207)</f>
        <v>0</v>
      </c>
      <c r="AC207" s="66">
        <f>IF(VLOOKUP($D207,$C$5:$AU$502,3,)=0,0,(VLOOKUP($D207,$C$5:$AU$502,27,)/VLOOKUP($D207,$C$5:$AU$502,3,))*$E207)</f>
        <v>0</v>
      </c>
      <c r="AD207" s="66">
        <f>IF(VLOOKUP($D207,$C$5:$AU$502,3,)=0,0,(VLOOKUP($D207,$C$5:$AU$502,28,)/VLOOKUP($D207,$C$5:$AU$502,3,))*$E207)</f>
        <v>0</v>
      </c>
      <c r="AE207" s="66">
        <f>IF(VLOOKUP($D207,$C$5:$AU$502,3,)=0,0,(VLOOKUP($D207,$C$5:$AU$502,29,)/VLOOKUP($D207,$C$5:$AU$502,3,))*$E207)</f>
        <v>0</v>
      </c>
      <c r="AF207" s="66">
        <f>IF(VLOOKUP($D207,$C$5:$AU$502,3,)=0,0,(VLOOKUP($D207,$C$5:$AU$502,30,)/VLOOKUP($D207,$C$5:$AU$502,3,))*$E207)</f>
        <v>0</v>
      </c>
      <c r="AG207" s="93">
        <f>SUM(F207:AF207)</f>
        <v>210.63562577727075</v>
      </c>
      <c r="AH207" s="30" t="str">
        <f>IF(ABS(E207-AG207)&lt;0.01,"ok","err")</f>
        <v>ok</v>
      </c>
    </row>
    <row r="208" spans="1:34" x14ac:dyDescent="0.2">
      <c r="E208" s="50"/>
    </row>
    <row r="209" spans="1:34" x14ac:dyDescent="0.2">
      <c r="A209" s="13" t="s">
        <v>2</v>
      </c>
      <c r="E209" s="50"/>
    </row>
    <row r="210" spans="1:34" x14ac:dyDescent="0.2">
      <c r="A210" s="96" t="s">
        <v>209</v>
      </c>
      <c r="C210" s="14" t="s">
        <v>290</v>
      </c>
      <c r="D210" s="14" t="s">
        <v>607</v>
      </c>
      <c r="E210" s="66">
        <f>'Func &amp; Classif'!O312</f>
        <v>2293517.2986872643</v>
      </c>
      <c r="F210" s="66">
        <f>IF(VLOOKUP($D210,$C$5:$AU$502,3,)=0,0,(VLOOKUP($D210,$C$5:$AU$502,4,)/VLOOKUP($D210,$C$5:$AU$502,3,))*$E210)</f>
        <v>1849535.8516174119</v>
      </c>
      <c r="G210" s="66">
        <f>IF(VLOOKUP($D210,$C$5:$AU$502,3,)=0,0,(VLOOKUP($D210,$C$5:$AU$502,5,)/VLOOKUP($D210,$C$5:$AU$502,3,))*$E210)</f>
        <v>340.36562007746932</v>
      </c>
      <c r="H210" s="66">
        <f>IF(VLOOKUP($D210,$C$5:$AU$502,3,)=0,0,(VLOOKUP($D210,$C$5:$AU$502,6,)/VLOOKUP($D210,$C$5:$AU$502,3,))*$E210)</f>
        <v>81455.8838481649</v>
      </c>
      <c r="I210" s="66">
        <f>IF(VLOOKUP($D210,$C$5:$AU$502,3,)=0,0,(VLOOKUP($D210,$C$5:$AU$502,7,)/VLOOKUP($D210,$C$5:$AU$502,3,))*$E210)</f>
        <v>34195.716706015919</v>
      </c>
      <c r="J210" s="66">
        <f>IF(VLOOKUP($D210,$C$5:$AU$502,3,)=0,0,(VLOOKUP($D210,$C$5:$AU$502,8,)/VLOOKUP($D210,$C$5:$AU$502,3,))*$E210)</f>
        <v>4733.4434825565913</v>
      </c>
      <c r="K210" s="66">
        <f>IF(VLOOKUP($D210,$C$5:$AU$502,3,)=0,0,(VLOOKUP($D210,$C$5:$AU$502,9,)/VLOOKUP($D210,$C$5:$AU$502,3,))*$E210)</f>
        <v>66965.484152912628</v>
      </c>
      <c r="L210" s="66">
        <f>IF(VLOOKUP($D210,$C$5:$AU$502,3,)=0,0,(VLOOKUP($D210,$C$5:$AU$502,10,)/VLOOKUP($D210,$C$5:$AU$502,3,))*$E210)</f>
        <v>235094.63569023958</v>
      </c>
      <c r="M210" s="66">
        <f>IF(VLOOKUP($D210,$C$5:$AU$502,3,)=0,0,(VLOOKUP($D210,$C$5:$AU$502,11,)/VLOOKUP($D210,$C$5:$AU$502,3,))*$E210)</f>
        <v>21195.917569885376</v>
      </c>
      <c r="N210" s="66">
        <f>IF(VLOOKUP($D210,$C$5:$AU$502,3,)=0,0,(VLOOKUP($D210,$C$5:$AU$502,12,)/VLOOKUP($D210,$C$5:$AU$502,3,))*$E210)</f>
        <v>0</v>
      </c>
      <c r="O210" s="66">
        <f>IF(VLOOKUP($D210,$C$5:$AU$502,3,)=0,0,(VLOOKUP($D210,$C$5:$AU$502,13,)/VLOOKUP($D210,$C$5:$AU$502,3,))*$E210)</f>
        <v>0</v>
      </c>
      <c r="P210" s="66">
        <f>IF(VLOOKUP($D210,$C$5:$AU$502,3,)=0,0,(VLOOKUP($D210,$C$5:$AU$502,14,)/VLOOKUP($D210,$C$5:$AU$502,3,))*$E210)</f>
        <v>0</v>
      </c>
      <c r="Q210" s="66">
        <f>IF(VLOOKUP($D210,$C$5:$AU$502,3,)=0,0,(VLOOKUP($D210,$C$5:$AU$502,15,)/VLOOKUP($D210,$C$5:$AU$502,3,))*$E210)</f>
        <v>0</v>
      </c>
      <c r="R210" s="66">
        <f>IF(VLOOKUP($D210,$C$5:$AU$502,3,)=0,0,(VLOOKUP($D210,$C$5:$AU$502,16,)/VLOOKUP($D210,$C$5:$AU$502,3,))*$E210)</f>
        <v>0</v>
      </c>
      <c r="S210" s="66">
        <f>IF(VLOOKUP($D210,$C$5:$AU$502,3,)=0,0,(VLOOKUP($D210,$C$5:$AU$502,17,)/VLOOKUP($D210,$C$5:$AU$502,3,))*$E210)</f>
        <v>0</v>
      </c>
      <c r="T210" s="66">
        <f>IF(VLOOKUP($D210,$C$5:$AU$502,3,)=0,0,(VLOOKUP($D210,$C$5:$AU$502,18,)/VLOOKUP($D210,$C$5:$AU$502,3,))*$E210)</f>
        <v>0</v>
      </c>
      <c r="U210" s="66">
        <f>IF(VLOOKUP($D210,$C$5:$AU$502,3,)=0,0,(VLOOKUP($D210,$C$5:$AU$502,19,)/VLOOKUP($D210,$C$5:$AU$502,3,))*$E210)</f>
        <v>0</v>
      </c>
      <c r="V210" s="66">
        <f>IF(VLOOKUP($D210,$C$5:$AU$502,3,)=0,0,(VLOOKUP($D210,$C$5:$AU$502,20,)/VLOOKUP($D210,$C$5:$AU$502,3,))*$E210)</f>
        <v>0</v>
      </c>
      <c r="W210" s="66">
        <f>IF(VLOOKUP($D210,$C$5:$AU$502,3,)=0,0,(VLOOKUP($D210,$C$5:$AU$502,21,)/VLOOKUP($D210,$C$5:$AU$502,3,))*$E210)</f>
        <v>0</v>
      </c>
      <c r="X210" s="66">
        <f>IF(VLOOKUP($D210,$C$5:$AU$502,3,)=0,0,(VLOOKUP($D210,$C$5:$AU$502,22,)/VLOOKUP($D210,$C$5:$AU$502,3,))*$E210)</f>
        <v>0</v>
      </c>
      <c r="Y210" s="66">
        <f>IF(VLOOKUP($D210,$C$5:$AU$502,3,)=0,0,(VLOOKUP($D210,$C$5:$AU$502,23,)/VLOOKUP($D210,$C$5:$AU$502,3,))*$E210)</f>
        <v>0</v>
      </c>
      <c r="Z210" s="66">
        <f>IF(VLOOKUP($D210,$C$5:$AU$502,3,)=0,0,(VLOOKUP($D210,$C$5:$AU$502,24,)/VLOOKUP($D210,$C$5:$AU$502,3,))*$E210)</f>
        <v>0</v>
      </c>
      <c r="AA210" s="66">
        <f>IF(VLOOKUP($D210,$C$5:$AU$502,3,)=0,0,(VLOOKUP($D210,$C$5:$AU$502,25,)/VLOOKUP($D210,$C$5:$AU$502,3,))*$E210)</f>
        <v>0</v>
      </c>
      <c r="AB210" s="66">
        <f>IF(VLOOKUP($D210,$C$5:$AU$502,3,)=0,0,(VLOOKUP($D210,$C$5:$AU$502,26,)/VLOOKUP($D210,$C$5:$AU$502,3,))*$E210)</f>
        <v>0</v>
      </c>
      <c r="AC210" s="66">
        <f>IF(VLOOKUP($D210,$C$5:$AU$502,3,)=0,0,(VLOOKUP($D210,$C$5:$AU$502,27,)/VLOOKUP($D210,$C$5:$AU$502,3,))*$E210)</f>
        <v>0</v>
      </c>
      <c r="AD210" s="66">
        <f>IF(VLOOKUP($D210,$C$5:$AU$502,3,)=0,0,(VLOOKUP($D210,$C$5:$AU$502,28,)/VLOOKUP($D210,$C$5:$AU$502,3,))*$E210)</f>
        <v>0</v>
      </c>
      <c r="AE210" s="66">
        <f>IF(VLOOKUP($D210,$C$5:$AU$502,3,)=0,0,(VLOOKUP($D210,$C$5:$AU$502,29,)/VLOOKUP($D210,$C$5:$AU$502,3,))*$E210)</f>
        <v>0</v>
      </c>
      <c r="AF210" s="66">
        <f>IF(VLOOKUP($D210,$C$5:$AU$502,3,)=0,0,(VLOOKUP($D210,$C$5:$AU$502,30,)/VLOOKUP($D210,$C$5:$AU$502,3,))*$E210)</f>
        <v>0</v>
      </c>
      <c r="AG210" s="93">
        <f>SUM(F210:AF210)</f>
        <v>2293517.2986872643</v>
      </c>
      <c r="AH210" s="30" t="str">
        <f>IF(ABS(E210-AG210)&lt;0.01,"ok","err")</f>
        <v>ok</v>
      </c>
    </row>
    <row r="211" spans="1:34" x14ac:dyDescent="0.2">
      <c r="A211" s="96" t="s">
        <v>221</v>
      </c>
      <c r="C211" s="14" t="s">
        <v>291</v>
      </c>
      <c r="D211" s="14" t="s">
        <v>223</v>
      </c>
      <c r="E211" s="50">
        <f>'Func &amp; Classif'!P312</f>
        <v>1178929.7290115587</v>
      </c>
      <c r="F211" s="66">
        <f>IF(VLOOKUP($D211,$C$5:$AU$502,3,)=0,0,(VLOOKUP($D211,$C$5:$AU$502,4,)/VLOOKUP($D211,$C$5:$AU$502,3,))*$E211)</f>
        <v>1086153.8834626533</v>
      </c>
      <c r="G211" s="66">
        <f>IF(VLOOKUP($D211,$C$5:$AU$502,3,)=0,0,(VLOOKUP($D211,$C$5:$AU$502,5,)/VLOOKUP($D211,$C$5:$AU$502,3,))*$E211)</f>
        <v>434.8867760104938</v>
      </c>
      <c r="H211" s="66">
        <f>IF(VLOOKUP($D211,$C$5:$AU$502,3,)=0,0,(VLOOKUP($D211,$C$5:$AU$502,6,)/VLOOKUP($D211,$C$5:$AU$502,3,))*$E211)</f>
        <v>61802.242946380175</v>
      </c>
      <c r="I211" s="66">
        <f>IF(VLOOKUP($D211,$C$5:$AU$502,3,)=0,0,(VLOOKUP($D211,$C$5:$AU$502,7,)/VLOOKUP($D211,$C$5:$AU$502,3,))*$E211)</f>
        <v>8262.8487441993821</v>
      </c>
      <c r="J211" s="66">
        <f>IF(VLOOKUP($D211,$C$5:$AU$502,3,)=0,0,(VLOOKUP($D211,$C$5:$AU$502,8,)/VLOOKUP($D211,$C$5:$AU$502,3,))*$E211)</f>
        <v>9277.5845548905345</v>
      </c>
      <c r="K211" s="66">
        <f>IF(VLOOKUP($D211,$C$5:$AU$502,3,)=0,0,(VLOOKUP($D211,$C$5:$AU$502,9,)/VLOOKUP($D211,$C$5:$AU$502,3,))*$E211)</f>
        <v>2271.0753858325788</v>
      </c>
      <c r="L211" s="66">
        <f>IF(VLOOKUP($D211,$C$5:$AU$502,3,)=0,0,(VLOOKUP($D211,$C$5:$AU$502,10,)/VLOOKUP($D211,$C$5:$AU$502,3,))*$E211)</f>
        <v>2947.5659262933473</v>
      </c>
      <c r="M211" s="66">
        <f>IF(VLOOKUP($D211,$C$5:$AU$502,3,)=0,0,(VLOOKUP($D211,$C$5:$AU$502,11,)/VLOOKUP($D211,$C$5:$AU$502,3,))*$E211)</f>
        <v>7779.6412152988332</v>
      </c>
      <c r="N211" s="66">
        <f>IF(VLOOKUP($D211,$C$5:$AU$502,3,)=0,0,(VLOOKUP($D211,$C$5:$AU$502,12,)/VLOOKUP($D211,$C$5:$AU$502,3,))*$E211)</f>
        <v>0</v>
      </c>
      <c r="O211" s="66">
        <f>IF(VLOOKUP($D211,$C$5:$AU$502,3,)=0,0,(VLOOKUP($D211,$C$5:$AU$502,13,)/VLOOKUP($D211,$C$5:$AU$502,3,))*$E211)</f>
        <v>0</v>
      </c>
      <c r="P211" s="66">
        <f>IF(VLOOKUP($D211,$C$5:$AU$502,3,)=0,0,(VLOOKUP($D211,$C$5:$AU$502,14,)/VLOOKUP($D211,$C$5:$AU$502,3,))*$E211)</f>
        <v>0</v>
      </c>
      <c r="Q211" s="66">
        <f>IF(VLOOKUP($D211,$C$5:$AU$502,3,)=0,0,(VLOOKUP($D211,$C$5:$AU$502,15,)/VLOOKUP($D211,$C$5:$AU$502,3,))*$E211)</f>
        <v>0</v>
      </c>
      <c r="R211" s="66">
        <f>IF(VLOOKUP($D211,$C$5:$AU$502,3,)=0,0,(VLOOKUP($D211,$C$5:$AU$502,16,)/VLOOKUP($D211,$C$5:$AU$502,3,))*$E211)</f>
        <v>0</v>
      </c>
      <c r="S211" s="66">
        <f>IF(VLOOKUP($D211,$C$5:$AU$502,3,)=0,0,(VLOOKUP($D211,$C$5:$AU$502,17,)/VLOOKUP($D211,$C$5:$AU$502,3,))*$E211)</f>
        <v>0</v>
      </c>
      <c r="T211" s="66">
        <f>IF(VLOOKUP($D211,$C$5:$AU$502,3,)=0,0,(VLOOKUP($D211,$C$5:$AU$502,18,)/VLOOKUP($D211,$C$5:$AU$502,3,))*$E211)</f>
        <v>0</v>
      </c>
      <c r="U211" s="66">
        <f>IF(VLOOKUP($D211,$C$5:$AU$502,3,)=0,0,(VLOOKUP($D211,$C$5:$AU$502,19,)/VLOOKUP($D211,$C$5:$AU$502,3,))*$E211)</f>
        <v>0</v>
      </c>
      <c r="V211" s="66">
        <f>IF(VLOOKUP($D211,$C$5:$AU$502,3,)=0,0,(VLOOKUP($D211,$C$5:$AU$502,20,)/VLOOKUP($D211,$C$5:$AU$502,3,))*$E211)</f>
        <v>0</v>
      </c>
      <c r="W211" s="66">
        <f>IF(VLOOKUP($D211,$C$5:$AU$502,3,)=0,0,(VLOOKUP($D211,$C$5:$AU$502,21,)/VLOOKUP($D211,$C$5:$AU$502,3,))*$E211)</f>
        <v>0</v>
      </c>
      <c r="X211" s="66">
        <f>IF(VLOOKUP($D211,$C$5:$AU$502,3,)=0,0,(VLOOKUP($D211,$C$5:$AU$502,22,)/VLOOKUP($D211,$C$5:$AU$502,3,))*$E211)</f>
        <v>0</v>
      </c>
      <c r="Y211" s="66">
        <f>IF(VLOOKUP($D211,$C$5:$AU$502,3,)=0,0,(VLOOKUP($D211,$C$5:$AU$502,23,)/VLOOKUP($D211,$C$5:$AU$502,3,))*$E211)</f>
        <v>0</v>
      </c>
      <c r="Z211" s="66">
        <f>IF(VLOOKUP($D211,$C$5:$AU$502,3,)=0,0,(VLOOKUP($D211,$C$5:$AU$502,24,)/VLOOKUP($D211,$C$5:$AU$502,3,))*$E211)</f>
        <v>0</v>
      </c>
      <c r="AA211" s="66">
        <f>IF(VLOOKUP($D211,$C$5:$AU$502,3,)=0,0,(VLOOKUP($D211,$C$5:$AU$502,25,)/VLOOKUP($D211,$C$5:$AU$502,3,))*$E211)</f>
        <v>0</v>
      </c>
      <c r="AB211" s="66">
        <f>IF(VLOOKUP($D211,$C$5:$AU$502,3,)=0,0,(VLOOKUP($D211,$C$5:$AU$502,26,)/VLOOKUP($D211,$C$5:$AU$502,3,))*$E211)</f>
        <v>0</v>
      </c>
      <c r="AC211" s="66">
        <f>IF(VLOOKUP($D211,$C$5:$AU$502,3,)=0,0,(VLOOKUP($D211,$C$5:$AU$502,27,)/VLOOKUP($D211,$C$5:$AU$502,3,))*$E211)</f>
        <v>0</v>
      </c>
      <c r="AD211" s="66">
        <f>IF(VLOOKUP($D211,$C$5:$AU$502,3,)=0,0,(VLOOKUP($D211,$C$5:$AU$502,28,)/VLOOKUP($D211,$C$5:$AU$502,3,))*$E211)</f>
        <v>0</v>
      </c>
      <c r="AE211" s="66">
        <f>IF(VLOOKUP($D211,$C$5:$AU$502,3,)=0,0,(VLOOKUP($D211,$C$5:$AU$502,29,)/VLOOKUP($D211,$C$5:$AU$502,3,))*$E211)</f>
        <v>0</v>
      </c>
      <c r="AF211" s="66">
        <f>IF(VLOOKUP($D211,$C$5:$AU$502,3,)=0,0,(VLOOKUP($D211,$C$5:$AU$502,30,)/VLOOKUP($D211,$C$5:$AU$502,3,))*$E211)</f>
        <v>0</v>
      </c>
      <c r="AG211" s="93">
        <f>SUM(F211:AF211)</f>
        <v>1178929.7290115589</v>
      </c>
      <c r="AH211" s="30" t="str">
        <f>IF(ABS(E211-AG211)&lt;0.01,"ok","err")</f>
        <v>ok</v>
      </c>
    </row>
    <row r="212" spans="1:34" x14ac:dyDescent="0.2">
      <c r="A212" s="14" t="s">
        <v>224</v>
      </c>
      <c r="E212" s="66">
        <f t="shared" ref="E212:T212" si="43">E210+E211</f>
        <v>3472447.0276988233</v>
      </c>
      <c r="F212" s="66">
        <f t="shared" si="43"/>
        <v>2935689.7350800652</v>
      </c>
      <c r="G212" s="66">
        <f t="shared" si="43"/>
        <v>775.25239608796312</v>
      </c>
      <c r="H212" s="66">
        <f t="shared" si="43"/>
        <v>143258.12679454507</v>
      </c>
      <c r="I212" s="66">
        <f t="shared" si="43"/>
        <v>42458.565450215305</v>
      </c>
      <c r="J212" s="66">
        <f t="shared" si="43"/>
        <v>14011.028037447126</v>
      </c>
      <c r="K212" s="66">
        <f t="shared" si="43"/>
        <v>69236.559538745205</v>
      </c>
      <c r="L212" s="66">
        <f t="shared" si="43"/>
        <v>238042.20161653293</v>
      </c>
      <c r="M212" s="66">
        <f t="shared" si="43"/>
        <v>28975.55878518421</v>
      </c>
      <c r="N212" s="66">
        <f t="shared" si="43"/>
        <v>0</v>
      </c>
      <c r="O212" s="66">
        <f t="shared" si="43"/>
        <v>0</v>
      </c>
      <c r="P212" s="66">
        <f t="shared" si="43"/>
        <v>0</v>
      </c>
      <c r="Q212" s="66">
        <f t="shared" si="43"/>
        <v>0</v>
      </c>
      <c r="R212" s="66">
        <f t="shared" si="43"/>
        <v>0</v>
      </c>
      <c r="S212" s="66">
        <f t="shared" si="43"/>
        <v>0</v>
      </c>
      <c r="T212" s="66">
        <f t="shared" si="43"/>
        <v>0</v>
      </c>
      <c r="U212" s="66">
        <f t="shared" ref="U212:AF212" si="44">U210+U211</f>
        <v>0</v>
      </c>
      <c r="V212" s="66">
        <f t="shared" si="44"/>
        <v>0</v>
      </c>
      <c r="W212" s="66">
        <f t="shared" si="44"/>
        <v>0</v>
      </c>
      <c r="X212" s="66">
        <f t="shared" si="44"/>
        <v>0</v>
      </c>
      <c r="Y212" s="66">
        <f t="shared" si="44"/>
        <v>0</v>
      </c>
      <c r="Z212" s="66">
        <f t="shared" si="44"/>
        <v>0</v>
      </c>
      <c r="AA212" s="66">
        <f t="shared" si="44"/>
        <v>0</v>
      </c>
      <c r="AB212" s="66">
        <f t="shared" si="44"/>
        <v>0</v>
      </c>
      <c r="AC212" s="66">
        <f t="shared" si="44"/>
        <v>0</v>
      </c>
      <c r="AD212" s="66">
        <f t="shared" si="44"/>
        <v>0</v>
      </c>
      <c r="AE212" s="66">
        <f t="shared" si="44"/>
        <v>0</v>
      </c>
      <c r="AF212" s="66">
        <f t="shared" si="44"/>
        <v>0</v>
      </c>
      <c r="AG212" s="93">
        <f>SUM(F212:AF212)</f>
        <v>3472447.0276988233</v>
      </c>
      <c r="AH212" s="30" t="str">
        <f>IF(ABS(E212-AG212)&lt;0.01,"ok","err")</f>
        <v>ok</v>
      </c>
    </row>
    <row r="213" spans="1:34" x14ac:dyDescent="0.2">
      <c r="E213" s="50"/>
    </row>
    <row r="214" spans="1:34" x14ac:dyDescent="0.2">
      <c r="A214" s="13" t="s">
        <v>3</v>
      </c>
      <c r="E214" s="50"/>
    </row>
    <row r="215" spans="1:34" x14ac:dyDescent="0.2">
      <c r="A215" s="96" t="s">
        <v>209</v>
      </c>
      <c r="C215" s="14" t="s">
        <v>292</v>
      </c>
      <c r="D215" s="14" t="s">
        <v>701</v>
      </c>
      <c r="E215" s="66">
        <f>'Func &amp; Classif'!R312</f>
        <v>0</v>
      </c>
      <c r="F215" s="66">
        <f>IF(VLOOKUP($D215,$C$5:$AU$502,3,)=0,0,(VLOOKUP($D215,$C$5:$AU$502,4,)/VLOOKUP($D215,$C$5:$AU$502,3,))*$E215)</f>
        <v>0</v>
      </c>
      <c r="G215" s="66">
        <f>IF(VLOOKUP($D215,$C$5:$AU$502,3,)=0,0,(VLOOKUP($D215,$C$5:$AU$502,5,)/VLOOKUP($D215,$C$5:$AU$502,3,))*$E215)</f>
        <v>0</v>
      </c>
      <c r="H215" s="66">
        <f>IF(VLOOKUP($D215,$C$5:$AU$502,3,)=0,0,(VLOOKUP($D215,$C$5:$AU$502,6,)/VLOOKUP($D215,$C$5:$AU$502,3,))*$E215)</f>
        <v>0</v>
      </c>
      <c r="I215" s="66">
        <f>IF(VLOOKUP($D215,$C$5:$AU$502,3,)=0,0,(VLOOKUP($D215,$C$5:$AU$502,7,)/VLOOKUP($D215,$C$5:$AU$502,3,))*$E215)</f>
        <v>0</v>
      </c>
      <c r="J215" s="66">
        <f>IF(VLOOKUP($D215,$C$5:$AU$502,3,)=0,0,(VLOOKUP($D215,$C$5:$AU$502,8,)/VLOOKUP($D215,$C$5:$AU$502,3,))*$E215)</f>
        <v>0</v>
      </c>
      <c r="K215" s="66">
        <f>IF(VLOOKUP($D215,$C$5:$AU$502,3,)=0,0,(VLOOKUP($D215,$C$5:$AU$502,9,)/VLOOKUP($D215,$C$5:$AU$502,3,))*$E215)</f>
        <v>0</v>
      </c>
      <c r="L215" s="66">
        <f>IF(VLOOKUP($D215,$C$5:$AU$502,3,)=0,0,(VLOOKUP($D215,$C$5:$AU$502,10,)/VLOOKUP($D215,$C$5:$AU$502,3,))*$E215)</f>
        <v>0</v>
      </c>
      <c r="M215" s="66">
        <f>IF(VLOOKUP($D215,$C$5:$AU$502,3,)=0,0,(VLOOKUP($D215,$C$5:$AU$502,11,)/VLOOKUP($D215,$C$5:$AU$502,3,))*$E215)</f>
        <v>0</v>
      </c>
      <c r="N215" s="66">
        <f>IF(VLOOKUP($D215,$C$5:$AU$502,3,)=0,0,(VLOOKUP($D215,$C$5:$AU$502,12,)/VLOOKUP($D215,$C$5:$AU$502,3,))*$E215)</f>
        <v>0</v>
      </c>
      <c r="O215" s="66">
        <f>IF(VLOOKUP($D215,$C$5:$AU$502,3,)=0,0,(VLOOKUP($D215,$C$5:$AU$502,13,)/VLOOKUP($D215,$C$5:$AU$502,3,))*$E215)</f>
        <v>0</v>
      </c>
      <c r="P215" s="66">
        <f>IF(VLOOKUP($D215,$C$5:$AU$502,3,)=0,0,(VLOOKUP($D215,$C$5:$AU$502,14,)/VLOOKUP($D215,$C$5:$AU$502,3,))*$E215)</f>
        <v>0</v>
      </c>
      <c r="Q215" s="66">
        <f>IF(VLOOKUP($D215,$C$5:$AU$502,3,)=0,0,(VLOOKUP($D215,$C$5:$AU$502,15,)/VLOOKUP($D215,$C$5:$AU$502,3,))*$E215)</f>
        <v>0</v>
      </c>
      <c r="R215" s="66">
        <f>IF(VLOOKUP($D215,$C$5:$AU$502,3,)=0,0,(VLOOKUP($D215,$C$5:$AU$502,16,)/VLOOKUP($D215,$C$5:$AU$502,3,))*$E215)</f>
        <v>0</v>
      </c>
      <c r="S215" s="66">
        <f>IF(VLOOKUP($D215,$C$5:$AU$502,3,)=0,0,(VLOOKUP($D215,$C$5:$AU$502,17,)/VLOOKUP($D215,$C$5:$AU$502,3,))*$E215)</f>
        <v>0</v>
      </c>
      <c r="T215" s="66">
        <f>IF(VLOOKUP($D215,$C$5:$AU$502,3,)=0,0,(VLOOKUP($D215,$C$5:$AU$502,18,)/VLOOKUP($D215,$C$5:$AU$502,3,))*$E215)</f>
        <v>0</v>
      </c>
      <c r="U215" s="66">
        <f>IF(VLOOKUP($D215,$C$5:$AU$502,3,)=0,0,(VLOOKUP($D215,$C$5:$AU$502,19,)/VLOOKUP($D215,$C$5:$AU$502,3,))*$E215)</f>
        <v>0</v>
      </c>
      <c r="V215" s="66">
        <f>IF(VLOOKUP($D215,$C$5:$AU$502,3,)=0,0,(VLOOKUP($D215,$C$5:$AU$502,20,)/VLOOKUP($D215,$C$5:$AU$502,3,))*$E215)</f>
        <v>0</v>
      </c>
      <c r="W215" s="66">
        <f>IF(VLOOKUP($D215,$C$5:$AU$502,3,)=0,0,(VLOOKUP($D215,$C$5:$AU$502,21,)/VLOOKUP($D215,$C$5:$AU$502,3,))*$E215)</f>
        <v>0</v>
      </c>
      <c r="X215" s="66">
        <f>IF(VLOOKUP($D215,$C$5:$AU$502,3,)=0,0,(VLOOKUP($D215,$C$5:$AU$502,22,)/VLOOKUP($D215,$C$5:$AU$502,3,))*$E215)</f>
        <v>0</v>
      </c>
      <c r="Y215" s="66">
        <f>IF(VLOOKUP($D215,$C$5:$AU$502,3,)=0,0,(VLOOKUP($D215,$C$5:$AU$502,23,)/VLOOKUP($D215,$C$5:$AU$502,3,))*$E215)</f>
        <v>0</v>
      </c>
      <c r="Z215" s="66">
        <f>IF(VLOOKUP($D215,$C$5:$AU$502,3,)=0,0,(VLOOKUP($D215,$C$5:$AU$502,24,)/VLOOKUP($D215,$C$5:$AU$502,3,))*$E215)</f>
        <v>0</v>
      </c>
      <c r="AA215" s="66">
        <f>IF(VLOOKUP($D215,$C$5:$AU$502,3,)=0,0,(VLOOKUP($D215,$C$5:$AU$502,25,)/VLOOKUP($D215,$C$5:$AU$502,3,))*$E215)</f>
        <v>0</v>
      </c>
      <c r="AB215" s="66">
        <f>IF(VLOOKUP($D215,$C$5:$AU$502,3,)=0,0,(VLOOKUP($D215,$C$5:$AU$502,26,)/VLOOKUP($D215,$C$5:$AU$502,3,))*$E215)</f>
        <v>0</v>
      </c>
      <c r="AC215" s="66">
        <f>IF(VLOOKUP($D215,$C$5:$AU$502,3,)=0,0,(VLOOKUP($D215,$C$5:$AU$502,27,)/VLOOKUP($D215,$C$5:$AU$502,3,))*$E215)</f>
        <v>0</v>
      </c>
      <c r="AD215" s="66">
        <f>IF(VLOOKUP($D215,$C$5:$AU$502,3,)=0,0,(VLOOKUP($D215,$C$5:$AU$502,28,)/VLOOKUP($D215,$C$5:$AU$502,3,))*$E215)</f>
        <v>0</v>
      </c>
      <c r="AE215" s="66">
        <f>IF(VLOOKUP($D215,$C$5:$AU$502,3,)=0,0,(VLOOKUP($D215,$C$5:$AU$502,29,)/VLOOKUP($D215,$C$5:$AU$502,3,))*$E215)</f>
        <v>0</v>
      </c>
      <c r="AF215" s="66">
        <f>IF(VLOOKUP($D215,$C$5:$AU$502,3,)=0,0,(VLOOKUP($D215,$C$5:$AU$502,30,)/VLOOKUP($D215,$C$5:$AU$502,3,))*$E215)</f>
        <v>0</v>
      </c>
      <c r="AG215" s="93">
        <f>SUM(F215:AF215)</f>
        <v>0</v>
      </c>
      <c r="AH215" s="30" t="str">
        <f>IF(ABS(E215-AG215)&lt;0.01,"ok","err")</f>
        <v>ok</v>
      </c>
    </row>
    <row r="216" spans="1:34" x14ac:dyDescent="0.2">
      <c r="A216" s="96" t="s">
        <v>221</v>
      </c>
      <c r="C216" s="14" t="s">
        <v>293</v>
      </c>
      <c r="D216" s="14" t="s">
        <v>701</v>
      </c>
      <c r="E216" s="50">
        <f>'Func &amp; Classif'!S312</f>
        <v>369702.43559638719</v>
      </c>
      <c r="F216" s="66">
        <f>IF(VLOOKUP($D216,$C$5:$AU$502,3,)=0,0,(VLOOKUP($D216,$C$5:$AU$502,4,)/VLOOKUP($D216,$C$5:$AU$502,3,))*$E216)</f>
        <v>332263.63945579994</v>
      </c>
      <c r="G216" s="66">
        <f>IF(VLOOKUP($D216,$C$5:$AU$502,3,)=0,0,(VLOOKUP($D216,$C$5:$AU$502,5,)/VLOOKUP($D216,$C$5:$AU$502,3,))*$E216)</f>
        <v>133.03553497207045</v>
      </c>
      <c r="H216" s="66">
        <f>IF(VLOOKUP($D216,$C$5:$AU$502,3,)=0,0,(VLOOKUP($D216,$C$5:$AU$502,6,)/VLOOKUP($D216,$C$5:$AU$502,3,))*$E216)</f>
        <v>29753.499238773598</v>
      </c>
      <c r="I216" s="66">
        <f>IF(VLOOKUP($D216,$C$5:$AU$502,3,)=0,0,(VLOOKUP($D216,$C$5:$AU$502,7,)/VLOOKUP($D216,$C$5:$AU$502,3,))*$E216)</f>
        <v>2983.5022792570112</v>
      </c>
      <c r="J216" s="66">
        <f>IF(VLOOKUP($D216,$C$5:$AU$502,3,)=0,0,(VLOOKUP($D216,$C$5:$AU$502,8,)/VLOOKUP($D216,$C$5:$AU$502,3,))*$E216)</f>
        <v>2838.0914127375027</v>
      </c>
      <c r="K216" s="66">
        <f>IF(VLOOKUP($D216,$C$5:$AU$502,3,)=0,0,(VLOOKUP($D216,$C$5:$AU$502,9,)/VLOOKUP($D216,$C$5:$AU$502,3,))*$E216)</f>
        <v>820.02694225192704</v>
      </c>
      <c r="L216" s="66">
        <f>IF(VLOOKUP($D216,$C$5:$AU$502,3,)=0,0,(VLOOKUP($D216,$C$5:$AU$502,10,)/VLOOKUP($D216,$C$5:$AU$502,3,))*$E216)</f>
        <v>910.64073259516738</v>
      </c>
      <c r="M216" s="66">
        <f>IF(VLOOKUP($D216,$C$5:$AU$502,3,)=0,0,(VLOOKUP($D216,$C$5:$AU$502,11,)/VLOOKUP($D216,$C$5:$AU$502,3,))*$E216)</f>
        <v>0</v>
      </c>
      <c r="N216" s="66">
        <f>IF(VLOOKUP($D216,$C$5:$AU$502,3,)=0,0,(VLOOKUP($D216,$C$5:$AU$502,12,)/VLOOKUP($D216,$C$5:$AU$502,3,))*$E216)</f>
        <v>0</v>
      </c>
      <c r="O216" s="66">
        <f>IF(VLOOKUP($D216,$C$5:$AU$502,3,)=0,0,(VLOOKUP($D216,$C$5:$AU$502,13,)/VLOOKUP($D216,$C$5:$AU$502,3,))*$E216)</f>
        <v>0</v>
      </c>
      <c r="P216" s="66">
        <f>IF(VLOOKUP($D216,$C$5:$AU$502,3,)=0,0,(VLOOKUP($D216,$C$5:$AU$502,14,)/VLOOKUP($D216,$C$5:$AU$502,3,))*$E216)</f>
        <v>0</v>
      </c>
      <c r="Q216" s="66">
        <f>IF(VLOOKUP($D216,$C$5:$AU$502,3,)=0,0,(VLOOKUP($D216,$C$5:$AU$502,15,)/VLOOKUP($D216,$C$5:$AU$502,3,))*$E216)</f>
        <v>0</v>
      </c>
      <c r="R216" s="66">
        <f>IF(VLOOKUP($D216,$C$5:$AU$502,3,)=0,0,(VLOOKUP($D216,$C$5:$AU$502,16,)/VLOOKUP($D216,$C$5:$AU$502,3,))*$E216)</f>
        <v>0</v>
      </c>
      <c r="S216" s="66">
        <f>IF(VLOOKUP($D216,$C$5:$AU$502,3,)=0,0,(VLOOKUP($D216,$C$5:$AU$502,17,)/VLOOKUP($D216,$C$5:$AU$502,3,))*$E216)</f>
        <v>0</v>
      </c>
      <c r="T216" s="66">
        <f>IF(VLOOKUP($D216,$C$5:$AU$502,3,)=0,0,(VLOOKUP($D216,$C$5:$AU$502,18,)/VLOOKUP($D216,$C$5:$AU$502,3,))*$E216)</f>
        <v>0</v>
      </c>
      <c r="U216" s="66">
        <f>IF(VLOOKUP($D216,$C$5:$AU$502,3,)=0,0,(VLOOKUP($D216,$C$5:$AU$502,19,)/VLOOKUP($D216,$C$5:$AU$502,3,))*$E216)</f>
        <v>0</v>
      </c>
      <c r="V216" s="66">
        <f>IF(VLOOKUP($D216,$C$5:$AU$502,3,)=0,0,(VLOOKUP($D216,$C$5:$AU$502,20,)/VLOOKUP($D216,$C$5:$AU$502,3,))*$E216)</f>
        <v>0</v>
      </c>
      <c r="W216" s="66">
        <f>IF(VLOOKUP($D216,$C$5:$AU$502,3,)=0,0,(VLOOKUP($D216,$C$5:$AU$502,21,)/VLOOKUP($D216,$C$5:$AU$502,3,))*$E216)</f>
        <v>0</v>
      </c>
      <c r="X216" s="66">
        <f>IF(VLOOKUP($D216,$C$5:$AU$502,3,)=0,0,(VLOOKUP($D216,$C$5:$AU$502,22,)/VLOOKUP($D216,$C$5:$AU$502,3,))*$E216)</f>
        <v>0</v>
      </c>
      <c r="Y216" s="66">
        <f>IF(VLOOKUP($D216,$C$5:$AU$502,3,)=0,0,(VLOOKUP($D216,$C$5:$AU$502,23,)/VLOOKUP($D216,$C$5:$AU$502,3,))*$E216)</f>
        <v>0</v>
      </c>
      <c r="Z216" s="66">
        <f>IF(VLOOKUP($D216,$C$5:$AU$502,3,)=0,0,(VLOOKUP($D216,$C$5:$AU$502,24,)/VLOOKUP($D216,$C$5:$AU$502,3,))*$E216)</f>
        <v>0</v>
      </c>
      <c r="AA216" s="66">
        <f>IF(VLOOKUP($D216,$C$5:$AU$502,3,)=0,0,(VLOOKUP($D216,$C$5:$AU$502,25,)/VLOOKUP($D216,$C$5:$AU$502,3,))*$E216)</f>
        <v>0</v>
      </c>
      <c r="AB216" s="66">
        <f>IF(VLOOKUP($D216,$C$5:$AU$502,3,)=0,0,(VLOOKUP($D216,$C$5:$AU$502,26,)/VLOOKUP($D216,$C$5:$AU$502,3,))*$E216)</f>
        <v>0</v>
      </c>
      <c r="AC216" s="66">
        <f>IF(VLOOKUP($D216,$C$5:$AU$502,3,)=0,0,(VLOOKUP($D216,$C$5:$AU$502,27,)/VLOOKUP($D216,$C$5:$AU$502,3,))*$E216)</f>
        <v>0</v>
      </c>
      <c r="AD216" s="66">
        <f>IF(VLOOKUP($D216,$C$5:$AU$502,3,)=0,0,(VLOOKUP($D216,$C$5:$AU$502,28,)/VLOOKUP($D216,$C$5:$AU$502,3,))*$E216)</f>
        <v>0</v>
      </c>
      <c r="AE216" s="66">
        <f>IF(VLOOKUP($D216,$C$5:$AU$502,3,)=0,0,(VLOOKUP($D216,$C$5:$AU$502,29,)/VLOOKUP($D216,$C$5:$AU$502,3,))*$E216)</f>
        <v>0</v>
      </c>
      <c r="AF216" s="66">
        <f>IF(VLOOKUP($D216,$C$5:$AU$502,3,)=0,0,(VLOOKUP($D216,$C$5:$AU$502,30,)/VLOOKUP($D216,$C$5:$AU$502,3,))*$E216)</f>
        <v>0</v>
      </c>
      <c r="AG216" s="93">
        <f>SUM(F216:AF216)</f>
        <v>369702.43559638725</v>
      </c>
      <c r="AH216" s="30" t="str">
        <f>IF(ABS(E216-AG216)&lt;0.01,"ok","err")</f>
        <v>ok</v>
      </c>
    </row>
    <row r="217" spans="1:34" x14ac:dyDescent="0.2">
      <c r="A217" s="14" t="s">
        <v>228</v>
      </c>
      <c r="E217" s="66">
        <f t="shared" ref="E217:T217" si="45">E215+E216</f>
        <v>369702.43559638719</v>
      </c>
      <c r="F217" s="66">
        <f t="shared" si="45"/>
        <v>332263.63945579994</v>
      </c>
      <c r="G217" s="66">
        <f t="shared" si="45"/>
        <v>133.03553497207045</v>
      </c>
      <c r="H217" s="66">
        <f t="shared" si="45"/>
        <v>29753.499238773598</v>
      </c>
      <c r="I217" s="66">
        <f t="shared" si="45"/>
        <v>2983.5022792570112</v>
      </c>
      <c r="J217" s="66">
        <f t="shared" si="45"/>
        <v>2838.0914127375027</v>
      </c>
      <c r="K217" s="66">
        <f t="shared" si="45"/>
        <v>820.02694225192704</v>
      </c>
      <c r="L217" s="66">
        <f t="shared" si="45"/>
        <v>910.64073259516738</v>
      </c>
      <c r="M217" s="66">
        <f t="shared" si="45"/>
        <v>0</v>
      </c>
      <c r="N217" s="66">
        <f t="shared" si="45"/>
        <v>0</v>
      </c>
      <c r="O217" s="66">
        <f t="shared" si="45"/>
        <v>0</v>
      </c>
      <c r="P217" s="66">
        <f t="shared" si="45"/>
        <v>0</v>
      </c>
      <c r="Q217" s="66">
        <f t="shared" si="45"/>
        <v>0</v>
      </c>
      <c r="R217" s="66">
        <f t="shared" si="45"/>
        <v>0</v>
      </c>
      <c r="S217" s="66">
        <f t="shared" si="45"/>
        <v>0</v>
      </c>
      <c r="T217" s="66">
        <f t="shared" si="45"/>
        <v>0</v>
      </c>
      <c r="U217" s="66">
        <f t="shared" ref="U217:AF217" si="46">U215+U216</f>
        <v>0</v>
      </c>
      <c r="V217" s="66">
        <f t="shared" si="46"/>
        <v>0</v>
      </c>
      <c r="W217" s="66">
        <f t="shared" si="46"/>
        <v>0</v>
      </c>
      <c r="X217" s="66">
        <f t="shared" si="46"/>
        <v>0</v>
      </c>
      <c r="Y217" s="66">
        <f t="shared" si="46"/>
        <v>0</v>
      </c>
      <c r="Z217" s="66">
        <f t="shared" si="46"/>
        <v>0</v>
      </c>
      <c r="AA217" s="66">
        <f t="shared" si="46"/>
        <v>0</v>
      </c>
      <c r="AB217" s="66">
        <f t="shared" si="46"/>
        <v>0</v>
      </c>
      <c r="AC217" s="66">
        <f t="shared" si="46"/>
        <v>0</v>
      </c>
      <c r="AD217" s="66">
        <f t="shared" si="46"/>
        <v>0</v>
      </c>
      <c r="AE217" s="66">
        <f t="shared" si="46"/>
        <v>0</v>
      </c>
      <c r="AF217" s="66">
        <f t="shared" si="46"/>
        <v>0</v>
      </c>
      <c r="AG217" s="93">
        <f>SUM(F217:AF217)</f>
        <v>369702.43559638725</v>
      </c>
      <c r="AH217" s="30" t="str">
        <f>IF(ABS(E217-AG217)&lt;0.01,"ok","err")</f>
        <v>ok</v>
      </c>
    </row>
    <row r="218" spans="1:34" x14ac:dyDescent="0.2">
      <c r="E218" s="50"/>
    </row>
    <row r="219" spans="1:34" x14ac:dyDescent="0.2">
      <c r="A219" s="13" t="s">
        <v>4</v>
      </c>
      <c r="E219" s="50"/>
    </row>
    <row r="220" spans="1:34" x14ac:dyDescent="0.2">
      <c r="A220" s="96" t="s">
        <v>221</v>
      </c>
      <c r="C220" s="14" t="s">
        <v>294</v>
      </c>
      <c r="D220" s="14" t="s">
        <v>230</v>
      </c>
      <c r="E220" s="66">
        <f>'Func &amp; Classif'!U312</f>
        <v>218377.52398638992</v>
      </c>
      <c r="F220" s="66">
        <f>IF(VLOOKUP($D220,$C$5:$AU$502,3,)=0,0,(VLOOKUP($D220,$C$5:$AU$502,4,)/VLOOKUP($D220,$C$5:$AU$502,3,))*$E220)</f>
        <v>194218.09664777532</v>
      </c>
      <c r="G220" s="66">
        <f>IF(VLOOKUP($D220,$C$5:$AU$502,3,)=0,0,(VLOOKUP($D220,$C$5:$AU$502,5,)/VLOOKUP($D220,$C$5:$AU$502,3,))*$E220)</f>
        <v>77.763273860217922</v>
      </c>
      <c r="H220" s="66">
        <f>IF(VLOOKUP($D220,$C$5:$AU$502,3,)=0,0,(VLOOKUP($D220,$C$5:$AU$502,6,)/VLOOKUP($D220,$C$5:$AU$502,3,))*$E220)</f>
        <v>11051.025251913192</v>
      </c>
      <c r="I220" s="66">
        <f>IF(VLOOKUP($D220,$C$5:$AU$502,3,)=0,0,(VLOOKUP($D220,$C$5:$AU$502,7,)/VLOOKUP($D220,$C$5:$AU$502,3,))*$E220)</f>
        <v>3348.8557095182446</v>
      </c>
      <c r="J220" s="66">
        <f>IF(VLOOKUP($D220,$C$5:$AU$502,3,)=0,0,(VLOOKUP($D220,$C$5:$AU$502,8,)/VLOOKUP($D220,$C$5:$AU$502,3,))*$E220)</f>
        <v>1658.9498423513153</v>
      </c>
      <c r="K220" s="66">
        <f>IF(VLOOKUP($D220,$C$5:$AU$502,3,)=0,0,(VLOOKUP($D220,$C$5:$AU$502,9,)/VLOOKUP($D220,$C$5:$AU$502,3,))*$E220)</f>
        <v>2060.0567727942612</v>
      </c>
      <c r="L220" s="66">
        <f>IF(VLOOKUP($D220,$C$5:$AU$502,3,)=0,0,(VLOOKUP($D220,$C$5:$AU$502,10,)/VLOOKUP($D220,$C$5:$AU$502,3,))*$E220)</f>
        <v>5962.7764881773574</v>
      </c>
      <c r="M220" s="66">
        <f>IF(VLOOKUP($D220,$C$5:$AU$502,3,)=0,0,(VLOOKUP($D220,$C$5:$AU$502,11,)/VLOOKUP($D220,$C$5:$AU$502,3,))*$E220)</f>
        <v>0</v>
      </c>
      <c r="N220" s="66">
        <f>IF(VLOOKUP($D220,$C$5:$AU$502,3,)=0,0,(VLOOKUP($D220,$C$5:$AU$502,12,)/VLOOKUP($D220,$C$5:$AU$502,3,))*$E220)</f>
        <v>0</v>
      </c>
      <c r="O220" s="66">
        <f>IF(VLOOKUP($D220,$C$5:$AU$502,3,)=0,0,(VLOOKUP($D220,$C$5:$AU$502,13,)/VLOOKUP($D220,$C$5:$AU$502,3,))*$E220)</f>
        <v>0</v>
      </c>
      <c r="P220" s="66">
        <f>IF(VLOOKUP($D220,$C$5:$AU$502,3,)=0,0,(VLOOKUP($D220,$C$5:$AU$502,14,)/VLOOKUP($D220,$C$5:$AU$502,3,))*$E220)</f>
        <v>0</v>
      </c>
      <c r="Q220" s="66">
        <f>IF(VLOOKUP($D220,$C$5:$AU$502,3,)=0,0,(VLOOKUP($D220,$C$5:$AU$502,15,)/VLOOKUP($D220,$C$5:$AU$502,3,))*$E220)</f>
        <v>0</v>
      </c>
      <c r="R220" s="66">
        <f>IF(VLOOKUP($D220,$C$5:$AU$502,3,)=0,0,(VLOOKUP($D220,$C$5:$AU$502,16,)/VLOOKUP($D220,$C$5:$AU$502,3,))*$E220)</f>
        <v>0</v>
      </c>
      <c r="S220" s="66">
        <f>IF(VLOOKUP($D220,$C$5:$AU$502,3,)=0,0,(VLOOKUP($D220,$C$5:$AU$502,17,)/VLOOKUP($D220,$C$5:$AU$502,3,))*$E220)</f>
        <v>0</v>
      </c>
      <c r="T220" s="66">
        <f>IF(VLOOKUP($D220,$C$5:$AU$502,3,)=0,0,(VLOOKUP($D220,$C$5:$AU$502,18,)/VLOOKUP($D220,$C$5:$AU$502,3,))*$E220)</f>
        <v>0</v>
      </c>
      <c r="U220" s="66">
        <f>IF(VLOOKUP($D220,$C$5:$AU$502,3,)=0,0,(VLOOKUP($D220,$C$5:$AU$502,19,)/VLOOKUP($D220,$C$5:$AU$502,3,))*$E220)</f>
        <v>0</v>
      </c>
      <c r="V220" s="66">
        <f>IF(VLOOKUP($D220,$C$5:$AU$502,3,)=0,0,(VLOOKUP($D220,$C$5:$AU$502,20,)/VLOOKUP($D220,$C$5:$AU$502,3,))*$E220)</f>
        <v>0</v>
      </c>
      <c r="W220" s="66">
        <f>IF(VLOOKUP($D220,$C$5:$AU$502,3,)=0,0,(VLOOKUP($D220,$C$5:$AU$502,21,)/VLOOKUP($D220,$C$5:$AU$502,3,))*$E220)</f>
        <v>0</v>
      </c>
      <c r="X220" s="66">
        <f>IF(VLOOKUP($D220,$C$5:$AU$502,3,)=0,0,(VLOOKUP($D220,$C$5:$AU$502,22,)/VLOOKUP($D220,$C$5:$AU$502,3,))*$E220)</f>
        <v>0</v>
      </c>
      <c r="Y220" s="66">
        <f>IF(VLOOKUP($D220,$C$5:$AU$502,3,)=0,0,(VLOOKUP($D220,$C$5:$AU$502,23,)/VLOOKUP($D220,$C$5:$AU$502,3,))*$E220)</f>
        <v>0</v>
      </c>
      <c r="Z220" s="66">
        <f>IF(VLOOKUP($D220,$C$5:$AU$502,3,)=0,0,(VLOOKUP($D220,$C$5:$AU$502,24,)/VLOOKUP($D220,$C$5:$AU$502,3,))*$E220)</f>
        <v>0</v>
      </c>
      <c r="AA220" s="66">
        <f>IF(VLOOKUP($D220,$C$5:$AU$502,3,)=0,0,(VLOOKUP($D220,$C$5:$AU$502,25,)/VLOOKUP($D220,$C$5:$AU$502,3,))*$E220)</f>
        <v>0</v>
      </c>
      <c r="AB220" s="66">
        <f>IF(VLOOKUP($D220,$C$5:$AU$502,3,)=0,0,(VLOOKUP($D220,$C$5:$AU$502,26,)/VLOOKUP($D220,$C$5:$AU$502,3,))*$E220)</f>
        <v>0</v>
      </c>
      <c r="AC220" s="66">
        <f>IF(VLOOKUP($D220,$C$5:$AU$502,3,)=0,0,(VLOOKUP($D220,$C$5:$AU$502,27,)/VLOOKUP($D220,$C$5:$AU$502,3,))*$E220)</f>
        <v>0</v>
      </c>
      <c r="AD220" s="66">
        <f>IF(VLOOKUP($D220,$C$5:$AU$502,3,)=0,0,(VLOOKUP($D220,$C$5:$AU$502,28,)/VLOOKUP($D220,$C$5:$AU$502,3,))*$E220)</f>
        <v>0</v>
      </c>
      <c r="AE220" s="66">
        <f>IF(VLOOKUP($D220,$C$5:$AU$502,3,)=0,0,(VLOOKUP($D220,$C$5:$AU$502,29,)/VLOOKUP($D220,$C$5:$AU$502,3,))*$E220)</f>
        <v>0</v>
      </c>
      <c r="AF220" s="66">
        <f>IF(VLOOKUP($D220,$C$5:$AU$502,3,)=0,0,(VLOOKUP($D220,$C$5:$AU$502,30,)/VLOOKUP($D220,$C$5:$AU$502,3,))*$E220)</f>
        <v>0</v>
      </c>
      <c r="AG220" s="93">
        <f>SUM(F220:AF220)</f>
        <v>218377.52398638992</v>
      </c>
      <c r="AH220" s="30" t="str">
        <f>IF(ABS(E220-AG220)&lt;0.01,"ok","err")</f>
        <v>ok</v>
      </c>
    </row>
    <row r="221" spans="1:34" x14ac:dyDescent="0.2">
      <c r="E221" s="50"/>
    </row>
    <row r="222" spans="1:34" x14ac:dyDescent="0.2">
      <c r="A222" s="13" t="s">
        <v>5</v>
      </c>
      <c r="E222" s="50"/>
    </row>
    <row r="223" spans="1:34" x14ac:dyDescent="0.2">
      <c r="A223" s="96" t="s">
        <v>221</v>
      </c>
      <c r="C223" s="14" t="s">
        <v>295</v>
      </c>
      <c r="D223" s="14" t="s">
        <v>232</v>
      </c>
      <c r="E223" s="66">
        <f>'Func &amp; Classif'!W312</f>
        <v>283969.41709255986</v>
      </c>
      <c r="F223" s="66">
        <f>IF(VLOOKUP($D223,$C$5:$AU$502,3,)=0,0,(VLOOKUP($D223,$C$5:$AU$502,4,)/VLOOKUP($D223,$C$5:$AU$502,3,))*$E223)</f>
        <v>0</v>
      </c>
      <c r="G223" s="66">
        <f>IF(VLOOKUP($D223,$C$5:$AU$502,3,)=0,0,(VLOOKUP($D223,$C$5:$AU$502,5,)/VLOOKUP($D223,$C$5:$AU$502,3,))*$E223)</f>
        <v>0</v>
      </c>
      <c r="H223" s="66">
        <f>IF(VLOOKUP($D223,$C$5:$AU$502,3,)=0,0,(VLOOKUP($D223,$C$5:$AU$502,6,)/VLOOKUP($D223,$C$5:$AU$502,3,))*$E223)</f>
        <v>0</v>
      </c>
      <c r="I223" s="66">
        <f>IF(VLOOKUP($D223,$C$5:$AU$502,3,)=0,0,(VLOOKUP($D223,$C$5:$AU$502,7,)/VLOOKUP($D223,$C$5:$AU$502,3,))*$E223)</f>
        <v>0</v>
      </c>
      <c r="J223" s="66">
        <f>IF(VLOOKUP($D223,$C$5:$AU$502,3,)=0,0,(VLOOKUP($D223,$C$5:$AU$502,8,)/VLOOKUP($D223,$C$5:$AU$502,3,))*$E223)</f>
        <v>0</v>
      </c>
      <c r="K223" s="66">
        <f>IF(VLOOKUP($D223,$C$5:$AU$502,3,)=0,0,(VLOOKUP($D223,$C$5:$AU$502,9,)/VLOOKUP($D223,$C$5:$AU$502,3,))*$E223)</f>
        <v>0</v>
      </c>
      <c r="L223" s="66">
        <f>IF(VLOOKUP($D223,$C$5:$AU$502,3,)=0,0,(VLOOKUP($D223,$C$5:$AU$502,10,)/VLOOKUP($D223,$C$5:$AU$502,3,))*$E223)</f>
        <v>0</v>
      </c>
      <c r="M223" s="66">
        <f>IF(VLOOKUP($D223,$C$5:$AU$502,3,)=0,0,(VLOOKUP($D223,$C$5:$AU$502,11,)/VLOOKUP($D223,$C$5:$AU$502,3,))*$E223)</f>
        <v>283969.41709255986</v>
      </c>
      <c r="N223" s="66">
        <f>IF(VLOOKUP($D223,$C$5:$AU$502,3,)=0,0,(VLOOKUP($D223,$C$5:$AU$502,12,)/VLOOKUP($D223,$C$5:$AU$502,3,))*$E223)</f>
        <v>0</v>
      </c>
      <c r="O223" s="66">
        <f>IF(VLOOKUP($D223,$C$5:$AU$502,3,)=0,0,(VLOOKUP($D223,$C$5:$AU$502,13,)/VLOOKUP($D223,$C$5:$AU$502,3,))*$E223)</f>
        <v>0</v>
      </c>
      <c r="P223" s="66">
        <f>IF(VLOOKUP($D223,$C$5:$AU$502,3,)=0,0,(VLOOKUP($D223,$C$5:$AU$502,14,)/VLOOKUP($D223,$C$5:$AU$502,3,))*$E223)</f>
        <v>0</v>
      </c>
      <c r="Q223" s="66">
        <f>IF(VLOOKUP($D223,$C$5:$AU$502,3,)=0,0,(VLOOKUP($D223,$C$5:$AU$502,15,)/VLOOKUP($D223,$C$5:$AU$502,3,))*$E223)</f>
        <v>0</v>
      </c>
      <c r="R223" s="66">
        <f>IF(VLOOKUP($D223,$C$5:$AU$502,3,)=0,0,(VLOOKUP($D223,$C$5:$AU$502,16,)/VLOOKUP($D223,$C$5:$AU$502,3,))*$E223)</f>
        <v>0</v>
      </c>
      <c r="S223" s="66">
        <f>IF(VLOOKUP($D223,$C$5:$AU$502,3,)=0,0,(VLOOKUP($D223,$C$5:$AU$502,17,)/VLOOKUP($D223,$C$5:$AU$502,3,))*$E223)</f>
        <v>0</v>
      </c>
      <c r="T223" s="66">
        <f>IF(VLOOKUP($D223,$C$5:$AU$502,3,)=0,0,(VLOOKUP($D223,$C$5:$AU$502,18,)/VLOOKUP($D223,$C$5:$AU$502,3,))*$E223)</f>
        <v>0</v>
      </c>
      <c r="U223" s="66">
        <f>IF(VLOOKUP($D223,$C$5:$AU$502,3,)=0,0,(VLOOKUP($D223,$C$5:$AU$502,19,)/VLOOKUP($D223,$C$5:$AU$502,3,))*$E223)</f>
        <v>0</v>
      </c>
      <c r="V223" s="66">
        <f>IF(VLOOKUP($D223,$C$5:$AU$502,3,)=0,0,(VLOOKUP($D223,$C$5:$AU$502,20,)/VLOOKUP($D223,$C$5:$AU$502,3,))*$E223)</f>
        <v>0</v>
      </c>
      <c r="W223" s="66">
        <f>IF(VLOOKUP($D223,$C$5:$AU$502,3,)=0,0,(VLOOKUP($D223,$C$5:$AU$502,21,)/VLOOKUP($D223,$C$5:$AU$502,3,))*$E223)</f>
        <v>0</v>
      </c>
      <c r="X223" s="66">
        <f>IF(VLOOKUP($D223,$C$5:$AU$502,3,)=0,0,(VLOOKUP($D223,$C$5:$AU$502,22,)/VLOOKUP($D223,$C$5:$AU$502,3,))*$E223)</f>
        <v>0</v>
      </c>
      <c r="Y223" s="66">
        <f>IF(VLOOKUP($D223,$C$5:$AU$502,3,)=0,0,(VLOOKUP($D223,$C$5:$AU$502,23,)/VLOOKUP($D223,$C$5:$AU$502,3,))*$E223)</f>
        <v>0</v>
      </c>
      <c r="Z223" s="66">
        <f>IF(VLOOKUP($D223,$C$5:$AU$502,3,)=0,0,(VLOOKUP($D223,$C$5:$AU$502,24,)/VLOOKUP($D223,$C$5:$AU$502,3,))*$E223)</f>
        <v>0</v>
      </c>
      <c r="AA223" s="66">
        <f>IF(VLOOKUP($D223,$C$5:$AU$502,3,)=0,0,(VLOOKUP($D223,$C$5:$AU$502,25,)/VLOOKUP($D223,$C$5:$AU$502,3,))*$E223)</f>
        <v>0</v>
      </c>
      <c r="AB223" s="66">
        <f>IF(VLOOKUP($D223,$C$5:$AU$502,3,)=0,0,(VLOOKUP($D223,$C$5:$AU$502,26,)/VLOOKUP($D223,$C$5:$AU$502,3,))*$E223)</f>
        <v>0</v>
      </c>
      <c r="AC223" s="66">
        <f>IF(VLOOKUP($D223,$C$5:$AU$502,3,)=0,0,(VLOOKUP($D223,$C$5:$AU$502,27,)/VLOOKUP($D223,$C$5:$AU$502,3,))*$E223)</f>
        <v>0</v>
      </c>
      <c r="AD223" s="66">
        <f>IF(VLOOKUP($D223,$C$5:$AU$502,3,)=0,0,(VLOOKUP($D223,$C$5:$AU$502,28,)/VLOOKUP($D223,$C$5:$AU$502,3,))*$E223)</f>
        <v>0</v>
      </c>
      <c r="AE223" s="66">
        <f>IF(VLOOKUP($D223,$C$5:$AU$502,3,)=0,0,(VLOOKUP($D223,$C$5:$AU$502,29,)/VLOOKUP($D223,$C$5:$AU$502,3,))*$E223)</f>
        <v>0</v>
      </c>
      <c r="AF223" s="66">
        <f>IF(VLOOKUP($D223,$C$5:$AU$502,3,)=0,0,(VLOOKUP($D223,$C$5:$AU$502,30,)/VLOOKUP($D223,$C$5:$AU$502,3,))*$E223)</f>
        <v>0</v>
      </c>
      <c r="AG223" s="93">
        <f>SUM(F223:AF223)</f>
        <v>283969.41709255986</v>
      </c>
      <c r="AH223" s="30" t="str">
        <f>IF(ABS(E223-AG223)&lt;0.01,"ok","err")</f>
        <v>ok</v>
      </c>
    </row>
    <row r="224" spans="1:34" x14ac:dyDescent="0.2">
      <c r="E224" s="50"/>
    </row>
    <row r="225" spans="1:34" x14ac:dyDescent="0.2">
      <c r="A225" s="13" t="s">
        <v>545</v>
      </c>
      <c r="E225" s="50"/>
    </row>
    <row r="226" spans="1:34" x14ac:dyDescent="0.2">
      <c r="A226" s="96" t="s">
        <v>221</v>
      </c>
      <c r="C226" s="14" t="s">
        <v>296</v>
      </c>
      <c r="D226" s="14" t="s">
        <v>234</v>
      </c>
      <c r="E226" s="66">
        <f>'Func &amp; Classif'!Y312</f>
        <v>0</v>
      </c>
      <c r="F226" s="66">
        <f>IF(VLOOKUP($D226,$C$5:$AU$502,3,)=0,0,(VLOOKUP($D226,$C$5:$AU$502,4,)/VLOOKUP($D226,$C$5:$AU$502,3,))*$E226)</f>
        <v>0</v>
      </c>
      <c r="G226" s="66">
        <f>IF(VLOOKUP($D226,$C$5:$AU$502,3,)=0,0,(VLOOKUP($D226,$C$5:$AU$502,5,)/VLOOKUP($D226,$C$5:$AU$502,3,))*$E226)</f>
        <v>0</v>
      </c>
      <c r="H226" s="66">
        <f>IF(VLOOKUP($D226,$C$5:$AU$502,3,)=0,0,(VLOOKUP($D226,$C$5:$AU$502,6,)/VLOOKUP($D226,$C$5:$AU$502,3,))*$E226)</f>
        <v>0</v>
      </c>
      <c r="I226" s="66">
        <f>IF(VLOOKUP($D226,$C$5:$AU$502,3,)=0,0,(VLOOKUP($D226,$C$5:$AU$502,7,)/VLOOKUP($D226,$C$5:$AU$502,3,))*$E226)</f>
        <v>0</v>
      </c>
      <c r="J226" s="66">
        <f>IF(VLOOKUP($D226,$C$5:$AU$502,3,)=0,0,(VLOOKUP($D226,$C$5:$AU$502,8,)/VLOOKUP($D226,$C$5:$AU$502,3,))*$E226)</f>
        <v>0</v>
      </c>
      <c r="K226" s="66">
        <f>IF(VLOOKUP($D226,$C$5:$AU$502,3,)=0,0,(VLOOKUP($D226,$C$5:$AU$502,9,)/VLOOKUP($D226,$C$5:$AU$502,3,))*$E226)</f>
        <v>0</v>
      </c>
      <c r="L226" s="66">
        <f>IF(VLOOKUP($D226,$C$5:$AU$502,3,)=0,0,(VLOOKUP($D226,$C$5:$AU$502,10,)/VLOOKUP($D226,$C$5:$AU$502,3,))*$E226)</f>
        <v>0</v>
      </c>
      <c r="M226" s="66">
        <f>IF(VLOOKUP($D226,$C$5:$AU$502,3,)=0,0,(VLOOKUP($D226,$C$5:$AU$502,11,)/VLOOKUP($D226,$C$5:$AU$502,3,))*$E226)</f>
        <v>0</v>
      </c>
      <c r="N226" s="66">
        <f>IF(VLOOKUP($D226,$C$5:$AU$502,3,)=0,0,(VLOOKUP($D226,$C$5:$AU$502,12,)/VLOOKUP($D226,$C$5:$AU$502,3,))*$E226)</f>
        <v>0</v>
      </c>
      <c r="O226" s="66">
        <f>IF(VLOOKUP($D226,$C$5:$AU$502,3,)=0,0,(VLOOKUP($D226,$C$5:$AU$502,13,)/VLOOKUP($D226,$C$5:$AU$502,3,))*$E226)</f>
        <v>0</v>
      </c>
      <c r="P226" s="66">
        <f>IF(VLOOKUP($D226,$C$5:$AU$502,3,)=0,0,(VLOOKUP($D226,$C$5:$AU$502,14,)/VLOOKUP($D226,$C$5:$AU$502,3,))*$E226)</f>
        <v>0</v>
      </c>
      <c r="Q226" s="66">
        <f>IF(VLOOKUP($D226,$C$5:$AU$502,3,)=0,0,(VLOOKUP($D226,$C$5:$AU$502,15,)/VLOOKUP($D226,$C$5:$AU$502,3,))*$E226)</f>
        <v>0</v>
      </c>
      <c r="R226" s="66">
        <f>IF(VLOOKUP($D226,$C$5:$AU$502,3,)=0,0,(VLOOKUP($D226,$C$5:$AU$502,16,)/VLOOKUP($D226,$C$5:$AU$502,3,))*$E226)</f>
        <v>0</v>
      </c>
      <c r="S226" s="66">
        <f>IF(VLOOKUP($D226,$C$5:$AU$502,3,)=0,0,(VLOOKUP($D226,$C$5:$AU$502,17,)/VLOOKUP($D226,$C$5:$AU$502,3,))*$E226)</f>
        <v>0</v>
      </c>
      <c r="T226" s="66">
        <f>IF(VLOOKUP($D226,$C$5:$AU$502,3,)=0,0,(VLOOKUP($D226,$C$5:$AU$502,18,)/VLOOKUP($D226,$C$5:$AU$502,3,))*$E226)</f>
        <v>0</v>
      </c>
      <c r="U226" s="66">
        <f>IF(VLOOKUP($D226,$C$5:$AU$502,3,)=0,0,(VLOOKUP($D226,$C$5:$AU$502,19,)/VLOOKUP($D226,$C$5:$AU$502,3,))*$E226)</f>
        <v>0</v>
      </c>
      <c r="V226" s="66">
        <f>IF(VLOOKUP($D226,$C$5:$AU$502,3,)=0,0,(VLOOKUP($D226,$C$5:$AU$502,20,)/VLOOKUP($D226,$C$5:$AU$502,3,))*$E226)</f>
        <v>0</v>
      </c>
      <c r="W226" s="66">
        <f>IF(VLOOKUP($D226,$C$5:$AU$502,3,)=0,0,(VLOOKUP($D226,$C$5:$AU$502,21,)/VLOOKUP($D226,$C$5:$AU$502,3,))*$E226)</f>
        <v>0</v>
      </c>
      <c r="X226" s="66">
        <f>IF(VLOOKUP($D226,$C$5:$AU$502,3,)=0,0,(VLOOKUP($D226,$C$5:$AU$502,22,)/VLOOKUP($D226,$C$5:$AU$502,3,))*$E226)</f>
        <v>0</v>
      </c>
      <c r="Y226" s="66">
        <f>IF(VLOOKUP($D226,$C$5:$AU$502,3,)=0,0,(VLOOKUP($D226,$C$5:$AU$502,23,)/VLOOKUP($D226,$C$5:$AU$502,3,))*$E226)</f>
        <v>0</v>
      </c>
      <c r="Z226" s="66">
        <f>IF(VLOOKUP($D226,$C$5:$AU$502,3,)=0,0,(VLOOKUP($D226,$C$5:$AU$502,24,)/VLOOKUP($D226,$C$5:$AU$502,3,))*$E226)</f>
        <v>0</v>
      </c>
      <c r="AA226" s="66">
        <f>IF(VLOOKUP($D226,$C$5:$AU$502,3,)=0,0,(VLOOKUP($D226,$C$5:$AU$502,25,)/VLOOKUP($D226,$C$5:$AU$502,3,))*$E226)</f>
        <v>0</v>
      </c>
      <c r="AB226" s="66">
        <f>IF(VLOOKUP($D226,$C$5:$AU$502,3,)=0,0,(VLOOKUP($D226,$C$5:$AU$502,26,)/VLOOKUP($D226,$C$5:$AU$502,3,))*$E226)</f>
        <v>0</v>
      </c>
      <c r="AC226" s="66">
        <f>IF(VLOOKUP($D226,$C$5:$AU$502,3,)=0,0,(VLOOKUP($D226,$C$5:$AU$502,27,)/VLOOKUP($D226,$C$5:$AU$502,3,))*$E226)</f>
        <v>0</v>
      </c>
      <c r="AD226" s="66">
        <f>IF(VLOOKUP($D226,$C$5:$AU$502,3,)=0,0,(VLOOKUP($D226,$C$5:$AU$502,28,)/VLOOKUP($D226,$C$5:$AU$502,3,))*$E226)</f>
        <v>0</v>
      </c>
      <c r="AE226" s="66">
        <f>IF(VLOOKUP($D226,$C$5:$AU$502,3,)=0,0,(VLOOKUP($D226,$C$5:$AU$502,29,)/VLOOKUP($D226,$C$5:$AU$502,3,))*$E226)</f>
        <v>0</v>
      </c>
      <c r="AF226" s="66">
        <f>IF(VLOOKUP($D226,$C$5:$AU$502,3,)=0,0,(VLOOKUP($D226,$C$5:$AU$502,30,)/VLOOKUP($D226,$C$5:$AU$502,3,))*$E226)</f>
        <v>0</v>
      </c>
      <c r="AG226" s="93">
        <f>SUM(F226:AF226)</f>
        <v>0</v>
      </c>
      <c r="AH226" s="30" t="str">
        <f>IF(ABS(E226-AG226)&lt;0.01,"ok","err")</f>
        <v>ok</v>
      </c>
    </row>
    <row r="227" spans="1:34" x14ac:dyDescent="0.2">
      <c r="E227" s="50"/>
    </row>
    <row r="228" spans="1:34" x14ac:dyDescent="0.2">
      <c r="A228" s="13" t="s">
        <v>470</v>
      </c>
      <c r="E228" s="50"/>
    </row>
    <row r="229" spans="1:34" x14ac:dyDescent="0.2">
      <c r="A229" s="96" t="s">
        <v>221</v>
      </c>
      <c r="C229" s="14" t="s">
        <v>293</v>
      </c>
      <c r="D229" s="14" t="s">
        <v>235</v>
      </c>
      <c r="E229" s="66">
        <f>'Func &amp; Classif'!AA312</f>
        <v>0</v>
      </c>
      <c r="F229" s="66">
        <f>IF(VLOOKUP($D229,$C$5:$AU$502,3,)=0,0,(VLOOKUP($D229,$C$5:$AU$502,4,)/VLOOKUP($D229,$C$5:$AU$502,3,))*$E229)</f>
        <v>0</v>
      </c>
      <c r="G229" s="66">
        <f>IF(VLOOKUP($D229,$C$5:$AU$502,3,)=0,0,(VLOOKUP($D229,$C$5:$AU$502,5,)/VLOOKUP($D229,$C$5:$AU$502,3,))*$E229)</f>
        <v>0</v>
      </c>
      <c r="H229" s="66">
        <f>IF(VLOOKUP($D229,$C$5:$AU$502,3,)=0,0,(VLOOKUP($D229,$C$5:$AU$502,6,)/VLOOKUP($D229,$C$5:$AU$502,3,))*$E229)</f>
        <v>0</v>
      </c>
      <c r="I229" s="66">
        <f>IF(VLOOKUP($D229,$C$5:$AU$502,3,)=0,0,(VLOOKUP($D229,$C$5:$AU$502,7,)/VLOOKUP($D229,$C$5:$AU$502,3,))*$E229)</f>
        <v>0</v>
      </c>
      <c r="J229" s="66">
        <f>IF(VLOOKUP($D229,$C$5:$AU$502,3,)=0,0,(VLOOKUP($D229,$C$5:$AU$502,8,)/VLOOKUP($D229,$C$5:$AU$502,3,))*$E229)</f>
        <v>0</v>
      </c>
      <c r="K229" s="66">
        <f>IF(VLOOKUP($D229,$C$5:$AU$502,3,)=0,0,(VLOOKUP($D229,$C$5:$AU$502,9,)/VLOOKUP($D229,$C$5:$AU$502,3,))*$E229)</f>
        <v>0</v>
      </c>
      <c r="L229" s="66">
        <f>IF(VLOOKUP($D229,$C$5:$AU$502,3,)=0,0,(VLOOKUP($D229,$C$5:$AU$502,10,)/VLOOKUP($D229,$C$5:$AU$502,3,))*$E229)</f>
        <v>0</v>
      </c>
      <c r="M229" s="66">
        <f>IF(VLOOKUP($D229,$C$5:$AU$502,3,)=0,0,(VLOOKUP($D229,$C$5:$AU$502,11,)/VLOOKUP($D229,$C$5:$AU$502,3,))*$E229)</f>
        <v>0</v>
      </c>
      <c r="N229" s="66">
        <f>IF(VLOOKUP($D229,$C$5:$AU$502,3,)=0,0,(VLOOKUP($D229,$C$5:$AU$502,12,)/VLOOKUP($D229,$C$5:$AU$502,3,))*$E229)</f>
        <v>0</v>
      </c>
      <c r="O229" s="66">
        <f>IF(VLOOKUP($D229,$C$5:$AU$502,3,)=0,0,(VLOOKUP($D229,$C$5:$AU$502,13,)/VLOOKUP($D229,$C$5:$AU$502,3,))*$E229)</f>
        <v>0</v>
      </c>
      <c r="P229" s="66">
        <f>IF(VLOOKUP($D229,$C$5:$AU$502,3,)=0,0,(VLOOKUP($D229,$C$5:$AU$502,14,)/VLOOKUP($D229,$C$5:$AU$502,3,))*$E229)</f>
        <v>0</v>
      </c>
      <c r="Q229" s="66">
        <f>IF(VLOOKUP($D229,$C$5:$AU$502,3,)=0,0,(VLOOKUP($D229,$C$5:$AU$502,15,)/VLOOKUP($D229,$C$5:$AU$502,3,))*$E229)</f>
        <v>0</v>
      </c>
      <c r="R229" s="66">
        <f>IF(VLOOKUP($D229,$C$5:$AU$502,3,)=0,0,(VLOOKUP($D229,$C$5:$AU$502,16,)/VLOOKUP($D229,$C$5:$AU$502,3,))*$E229)</f>
        <v>0</v>
      </c>
      <c r="S229" s="66">
        <f>IF(VLOOKUP($D229,$C$5:$AU$502,3,)=0,0,(VLOOKUP($D229,$C$5:$AU$502,17,)/VLOOKUP($D229,$C$5:$AU$502,3,))*$E229)</f>
        <v>0</v>
      </c>
      <c r="T229" s="66">
        <f>IF(VLOOKUP($D229,$C$5:$AU$502,3,)=0,0,(VLOOKUP($D229,$C$5:$AU$502,18,)/VLOOKUP($D229,$C$5:$AU$502,3,))*$E229)</f>
        <v>0</v>
      </c>
      <c r="U229" s="66">
        <f>IF(VLOOKUP($D229,$C$5:$AU$502,3,)=0,0,(VLOOKUP($D229,$C$5:$AU$502,19,)/VLOOKUP($D229,$C$5:$AU$502,3,))*$E229)</f>
        <v>0</v>
      </c>
      <c r="V229" s="66">
        <f>IF(VLOOKUP($D229,$C$5:$AU$502,3,)=0,0,(VLOOKUP($D229,$C$5:$AU$502,20,)/VLOOKUP($D229,$C$5:$AU$502,3,))*$E229)</f>
        <v>0</v>
      </c>
      <c r="W229" s="66">
        <f>IF(VLOOKUP($D229,$C$5:$AU$502,3,)=0,0,(VLOOKUP($D229,$C$5:$AU$502,21,)/VLOOKUP($D229,$C$5:$AU$502,3,))*$E229)</f>
        <v>0</v>
      </c>
      <c r="X229" s="66">
        <f>IF(VLOOKUP($D229,$C$5:$AU$502,3,)=0,0,(VLOOKUP($D229,$C$5:$AU$502,22,)/VLOOKUP($D229,$C$5:$AU$502,3,))*$E229)</f>
        <v>0</v>
      </c>
      <c r="Y229" s="66">
        <f>IF(VLOOKUP($D229,$C$5:$AU$502,3,)=0,0,(VLOOKUP($D229,$C$5:$AU$502,23,)/VLOOKUP($D229,$C$5:$AU$502,3,))*$E229)</f>
        <v>0</v>
      </c>
      <c r="Z229" s="66">
        <f>IF(VLOOKUP($D229,$C$5:$AU$502,3,)=0,0,(VLOOKUP($D229,$C$5:$AU$502,24,)/VLOOKUP($D229,$C$5:$AU$502,3,))*$E229)</f>
        <v>0</v>
      </c>
      <c r="AA229" s="66">
        <f>IF(VLOOKUP($D229,$C$5:$AU$502,3,)=0,0,(VLOOKUP($D229,$C$5:$AU$502,25,)/VLOOKUP($D229,$C$5:$AU$502,3,))*$E229)</f>
        <v>0</v>
      </c>
      <c r="AB229" s="66">
        <f>IF(VLOOKUP($D229,$C$5:$AU$502,3,)=0,0,(VLOOKUP($D229,$C$5:$AU$502,26,)/VLOOKUP($D229,$C$5:$AU$502,3,))*$E229)</f>
        <v>0</v>
      </c>
      <c r="AC229" s="66">
        <f>IF(VLOOKUP($D229,$C$5:$AU$502,3,)=0,0,(VLOOKUP($D229,$C$5:$AU$502,27,)/VLOOKUP($D229,$C$5:$AU$502,3,))*$E229)</f>
        <v>0</v>
      </c>
      <c r="AD229" s="66">
        <f>IF(VLOOKUP($D229,$C$5:$AU$502,3,)=0,0,(VLOOKUP($D229,$C$5:$AU$502,28,)/VLOOKUP($D229,$C$5:$AU$502,3,))*$E229)</f>
        <v>0</v>
      </c>
      <c r="AE229" s="66">
        <f>IF(VLOOKUP($D229,$C$5:$AU$502,3,)=0,0,(VLOOKUP($D229,$C$5:$AU$502,29,)/VLOOKUP($D229,$C$5:$AU$502,3,))*$E229)</f>
        <v>0</v>
      </c>
      <c r="AF229" s="66">
        <f>IF(VLOOKUP($D229,$C$5:$AU$502,3,)=0,0,(VLOOKUP($D229,$C$5:$AU$502,30,)/VLOOKUP($D229,$C$5:$AU$502,3,))*$E229)</f>
        <v>0</v>
      </c>
      <c r="AG229" s="93">
        <f>SUM(F229:AF229)</f>
        <v>0</v>
      </c>
      <c r="AH229" s="30" t="str">
        <f>IF(ABS(E229-AG229)&lt;0.01,"ok","err")</f>
        <v>ok</v>
      </c>
    </row>
    <row r="230" spans="1:34" x14ac:dyDescent="0.2">
      <c r="E230" s="50"/>
    </row>
    <row r="231" spans="1:34" x14ac:dyDescent="0.2">
      <c r="A231" s="14" t="s">
        <v>0</v>
      </c>
      <c r="C231" s="14" t="s">
        <v>297</v>
      </c>
      <c r="E231" s="66">
        <f>E201+E204+E207+E212+E217+E220+E223+E226+E229</f>
        <v>4344707.0399999991</v>
      </c>
      <c r="F231" s="66">
        <f t="shared" ref="F231:R231" si="47">F201+F204+F207+F212+F217+F220+F223+F226+F229</f>
        <v>3462315.8065060209</v>
      </c>
      <c r="G231" s="66">
        <f t="shared" si="47"/>
        <v>986.07963776329802</v>
      </c>
      <c r="H231" s="66">
        <f t="shared" si="47"/>
        <v>184073.4121264694</v>
      </c>
      <c r="I231" s="66">
        <f t="shared" si="47"/>
        <v>48797.974883563373</v>
      </c>
      <c r="J231" s="66">
        <f t="shared" si="47"/>
        <v>18508.43408641003</v>
      </c>
      <c r="K231" s="66">
        <f t="shared" si="47"/>
        <v>72119.486197935068</v>
      </c>
      <c r="L231" s="66">
        <f t="shared" si="47"/>
        <v>244958.3882937778</v>
      </c>
      <c r="M231" s="66">
        <f t="shared" si="47"/>
        <v>312947.45826799731</v>
      </c>
      <c r="N231" s="66">
        <f t="shared" si="47"/>
        <v>0</v>
      </c>
      <c r="O231" s="66">
        <f t="shared" si="47"/>
        <v>0</v>
      </c>
      <c r="P231" s="66">
        <f t="shared" si="47"/>
        <v>0</v>
      </c>
      <c r="Q231" s="66">
        <f t="shared" si="47"/>
        <v>0</v>
      </c>
      <c r="R231" s="66">
        <f t="shared" si="47"/>
        <v>0</v>
      </c>
      <c r="S231" s="66">
        <f t="shared" ref="S231:AF231" si="48">S201+S207+S212+S217+S220+S223+S226+S229</f>
        <v>0</v>
      </c>
      <c r="T231" s="66">
        <f t="shared" si="48"/>
        <v>0</v>
      </c>
      <c r="U231" s="66">
        <f t="shared" si="48"/>
        <v>0</v>
      </c>
      <c r="V231" s="66">
        <f t="shared" si="48"/>
        <v>0</v>
      </c>
      <c r="W231" s="66">
        <f t="shared" si="48"/>
        <v>0</v>
      </c>
      <c r="X231" s="66">
        <f t="shared" si="48"/>
        <v>0</v>
      </c>
      <c r="Y231" s="66">
        <f t="shared" si="48"/>
        <v>0</v>
      </c>
      <c r="Z231" s="66">
        <f t="shared" si="48"/>
        <v>0</v>
      </c>
      <c r="AA231" s="66">
        <f t="shared" si="48"/>
        <v>0</v>
      </c>
      <c r="AB231" s="66">
        <f t="shared" si="48"/>
        <v>0</v>
      </c>
      <c r="AC231" s="66">
        <f t="shared" si="48"/>
        <v>0</v>
      </c>
      <c r="AD231" s="66">
        <f t="shared" si="48"/>
        <v>0</v>
      </c>
      <c r="AE231" s="66">
        <f t="shared" si="48"/>
        <v>0</v>
      </c>
      <c r="AF231" s="66">
        <f t="shared" si="48"/>
        <v>0</v>
      </c>
      <c r="AG231" s="93">
        <f>SUM(F231:AF231)</f>
        <v>4344707.0399999367</v>
      </c>
      <c r="AH231" s="30" t="str">
        <f>IF(ABS(E231-AG231)&lt;0.01,"ok","err")</f>
        <v>ok</v>
      </c>
    </row>
    <row r="234" spans="1:34" x14ac:dyDescent="0.2">
      <c r="A234" s="28" t="s">
        <v>188</v>
      </c>
    </row>
    <row r="236" spans="1:34" x14ac:dyDescent="0.2">
      <c r="A236" s="13" t="s">
        <v>895</v>
      </c>
    </row>
    <row r="237" spans="1:34" x14ac:dyDescent="0.2">
      <c r="A237" s="96" t="s">
        <v>209</v>
      </c>
      <c r="C237" s="14" t="s">
        <v>298</v>
      </c>
      <c r="D237" s="14" t="s">
        <v>657</v>
      </c>
      <c r="E237" s="66">
        <f>'Func &amp; Classif'!H314</f>
        <v>0</v>
      </c>
      <c r="F237" s="66">
        <f>IF(VLOOKUP($D237,$C$5:$AU$502,3,)=0,0,(VLOOKUP($D237,$C$5:$AU$502,4,)/VLOOKUP($D237,$C$5:$AU$502,3,))*$E237)</f>
        <v>0</v>
      </c>
      <c r="G237" s="66">
        <f>IF(VLOOKUP($D237,$C$5:$AU$502,3,)=0,0,(VLOOKUP($D237,$C$5:$AU$502,5,)/VLOOKUP($D237,$C$5:$AU$502,3,))*$E237)</f>
        <v>0</v>
      </c>
      <c r="H237" s="66">
        <f>IF(VLOOKUP($D237,$C$5:$AU$502,3,)=0,0,(VLOOKUP($D237,$C$5:$AU$502,6,)/VLOOKUP($D237,$C$5:$AU$502,3,))*$E237)</f>
        <v>0</v>
      </c>
      <c r="I237" s="66">
        <f>IF(VLOOKUP($D237,$C$5:$AU$502,3,)=0,0,(VLOOKUP($D237,$C$5:$AU$502,7,)/VLOOKUP($D237,$C$5:$AU$502,3,))*$E237)</f>
        <v>0</v>
      </c>
      <c r="J237" s="66">
        <f>IF(VLOOKUP($D237,$C$5:$AU$502,3,)=0,0,(VLOOKUP($D237,$C$5:$AU$502,8,)/VLOOKUP($D237,$C$5:$AU$502,3,))*$E237)</f>
        <v>0</v>
      </c>
      <c r="K237" s="66">
        <f>IF(VLOOKUP($D237,$C$5:$AU$502,3,)=0,0,(VLOOKUP($D237,$C$5:$AU$502,9,)/VLOOKUP($D237,$C$5:$AU$502,3,))*$E237)</f>
        <v>0</v>
      </c>
      <c r="L237" s="66">
        <f>IF(VLOOKUP($D237,$C$5:$AU$502,3,)=0,0,(VLOOKUP($D237,$C$5:$AU$502,10,)/VLOOKUP($D237,$C$5:$AU$502,3,))*$E237)</f>
        <v>0</v>
      </c>
      <c r="M237" s="66">
        <f>IF(VLOOKUP($D237,$C$5:$AU$502,3,)=0,0,(VLOOKUP($D237,$C$5:$AU$502,11,)/VLOOKUP($D237,$C$5:$AU$502,3,))*$E237)</f>
        <v>0</v>
      </c>
      <c r="N237" s="66">
        <f>IF(VLOOKUP($D237,$C$5:$AU$502,3,)=0,0,(VLOOKUP($D237,$C$5:$AU$502,12,)/VLOOKUP($D237,$C$5:$AU$502,3,))*$E237)</f>
        <v>0</v>
      </c>
      <c r="O237" s="66">
        <f>IF(VLOOKUP($D237,$C$5:$AU$502,3,)=0,0,(VLOOKUP($D237,$C$5:$AU$502,13,)/VLOOKUP($D237,$C$5:$AU$502,3,))*$E237)</f>
        <v>0</v>
      </c>
      <c r="P237" s="66">
        <f>IF(VLOOKUP($D237,$C$5:$AU$502,3,)=0,0,(VLOOKUP($D237,$C$5:$AU$502,14,)/VLOOKUP($D237,$C$5:$AU$502,3,))*$E237)</f>
        <v>0</v>
      </c>
      <c r="Q237" s="66">
        <f>IF(VLOOKUP($D237,$C$5:$AU$502,3,)=0,0,(VLOOKUP($D237,$C$5:$AU$502,15,)/VLOOKUP($D237,$C$5:$AU$502,3,))*$E237)</f>
        <v>0</v>
      </c>
      <c r="R237" s="66">
        <f>IF(VLOOKUP($D237,$C$5:$AU$502,3,)=0,0,(VLOOKUP($D237,$C$5:$AU$502,16,)/VLOOKUP($D237,$C$5:$AU$502,3,))*$E237)</f>
        <v>0</v>
      </c>
      <c r="S237" s="66">
        <f>IF(VLOOKUP($D237,$C$5:$AU$502,3,)=0,0,(VLOOKUP($D237,$C$5:$AU$502,17,)/VLOOKUP($D237,$C$5:$AU$502,3,))*$E237)</f>
        <v>0</v>
      </c>
      <c r="T237" s="66">
        <f>IF(VLOOKUP($D237,$C$5:$AU$502,3,)=0,0,(VLOOKUP($D237,$C$5:$AU$502,18,)/VLOOKUP($D237,$C$5:$AU$502,3,))*$E237)</f>
        <v>0</v>
      </c>
      <c r="U237" s="66">
        <f>IF(VLOOKUP($D237,$C$5:$AU$502,3,)=0,0,(VLOOKUP($D237,$C$5:$AU$502,19,)/VLOOKUP($D237,$C$5:$AU$502,3,))*$E237)</f>
        <v>0</v>
      </c>
      <c r="V237" s="66">
        <f>IF(VLOOKUP($D237,$C$5:$AU$502,3,)=0,0,(VLOOKUP($D237,$C$5:$AU$502,20,)/VLOOKUP($D237,$C$5:$AU$502,3,))*$E237)</f>
        <v>0</v>
      </c>
      <c r="W237" s="66">
        <f>IF(VLOOKUP($D237,$C$5:$AU$502,3,)=0,0,(VLOOKUP($D237,$C$5:$AU$502,21,)/VLOOKUP($D237,$C$5:$AU$502,3,))*$E237)</f>
        <v>0</v>
      </c>
      <c r="X237" s="66">
        <f>IF(VLOOKUP($D237,$C$5:$AU$502,3,)=0,0,(VLOOKUP($D237,$C$5:$AU$502,22,)/VLOOKUP($D237,$C$5:$AU$502,3,))*$E237)</f>
        <v>0</v>
      </c>
      <c r="Y237" s="66">
        <f>IF(VLOOKUP($D237,$C$5:$AU$502,3,)=0,0,(VLOOKUP($D237,$C$5:$AU$502,23,)/VLOOKUP($D237,$C$5:$AU$502,3,))*$E237)</f>
        <v>0</v>
      </c>
      <c r="Z237" s="66">
        <f>IF(VLOOKUP($D237,$C$5:$AU$502,3,)=0,0,(VLOOKUP($D237,$C$5:$AU$502,24,)/VLOOKUP($D237,$C$5:$AU$502,3,))*$E237)</f>
        <v>0</v>
      </c>
      <c r="AA237" s="66">
        <f>IF(VLOOKUP($D237,$C$5:$AU$502,3,)=0,0,(VLOOKUP($D237,$C$5:$AU$502,25,)/VLOOKUP($D237,$C$5:$AU$502,3,))*$E237)</f>
        <v>0</v>
      </c>
      <c r="AB237" s="66">
        <f>IF(VLOOKUP($D237,$C$5:$AU$502,3,)=0,0,(VLOOKUP($D237,$C$5:$AU$502,26,)/VLOOKUP($D237,$C$5:$AU$502,3,))*$E237)</f>
        <v>0</v>
      </c>
      <c r="AC237" s="66">
        <f>IF(VLOOKUP($D237,$C$5:$AU$502,3,)=0,0,(VLOOKUP($D237,$C$5:$AU$502,27,)/VLOOKUP($D237,$C$5:$AU$502,3,))*$E237)</f>
        <v>0</v>
      </c>
      <c r="AD237" s="66">
        <f>IF(VLOOKUP($D237,$C$5:$AU$502,3,)=0,0,(VLOOKUP($D237,$C$5:$AU$502,28,)/VLOOKUP($D237,$C$5:$AU$502,3,))*$E237)</f>
        <v>0</v>
      </c>
      <c r="AE237" s="66">
        <f>IF(VLOOKUP($D237,$C$5:$AU$502,3,)=0,0,(VLOOKUP($D237,$C$5:$AU$502,29,)/VLOOKUP($D237,$C$5:$AU$502,3,))*$E237)</f>
        <v>0</v>
      </c>
      <c r="AF237" s="66">
        <f>IF(VLOOKUP($D237,$C$5:$AU$502,3,)=0,0,(VLOOKUP($D237,$C$5:$AU$502,30,)/VLOOKUP($D237,$C$5:$AU$502,3,))*$E237)</f>
        <v>0</v>
      </c>
      <c r="AG237" s="93">
        <f>SUM(F237:AF237)</f>
        <v>0</v>
      </c>
      <c r="AH237" s="30" t="str">
        <f>IF(ABS(E237-AG237)&lt;0.01,"ok","err")</f>
        <v>ok</v>
      </c>
    </row>
    <row r="238" spans="1:34" x14ac:dyDescent="0.2">
      <c r="A238" s="96" t="s">
        <v>212</v>
      </c>
      <c r="C238" s="14" t="s">
        <v>299</v>
      </c>
      <c r="D238" s="14" t="s">
        <v>666</v>
      </c>
      <c r="E238" s="50">
        <f>'Func &amp; Classif'!I314</f>
        <v>0</v>
      </c>
      <c r="F238" s="66">
        <f>IF(VLOOKUP($D238,$C$5:$AU$502,3,)=0,0,(VLOOKUP($D238,$C$5:$AU$502,4,)/VLOOKUP($D238,$C$5:$AU$502,3,))*$E238)</f>
        <v>0</v>
      </c>
      <c r="G238" s="66">
        <f>IF(VLOOKUP($D238,$C$5:$AU$502,3,)=0,0,(VLOOKUP($D238,$C$5:$AU$502,5,)/VLOOKUP($D238,$C$5:$AU$502,3,))*$E238)</f>
        <v>0</v>
      </c>
      <c r="H238" s="66">
        <f>IF(VLOOKUP($D238,$C$5:$AU$502,3,)=0,0,(VLOOKUP($D238,$C$5:$AU$502,6,)/VLOOKUP($D238,$C$5:$AU$502,3,))*$E238)</f>
        <v>0</v>
      </c>
      <c r="I238" s="66">
        <f>IF(VLOOKUP($D238,$C$5:$AU$502,3,)=0,0,(VLOOKUP($D238,$C$5:$AU$502,7,)/VLOOKUP($D238,$C$5:$AU$502,3,))*$E238)</f>
        <v>0</v>
      </c>
      <c r="J238" s="66">
        <f>IF(VLOOKUP($D238,$C$5:$AU$502,3,)=0,0,(VLOOKUP($D238,$C$5:$AU$502,8,)/VLOOKUP($D238,$C$5:$AU$502,3,))*$E238)</f>
        <v>0</v>
      </c>
      <c r="K238" s="66">
        <f>IF(VLOOKUP($D238,$C$5:$AU$502,3,)=0,0,(VLOOKUP($D238,$C$5:$AU$502,9,)/VLOOKUP($D238,$C$5:$AU$502,3,))*$E238)</f>
        <v>0</v>
      </c>
      <c r="L238" s="66">
        <f>IF(VLOOKUP($D238,$C$5:$AU$502,3,)=0,0,(VLOOKUP($D238,$C$5:$AU$502,10,)/VLOOKUP($D238,$C$5:$AU$502,3,))*$E238)</f>
        <v>0</v>
      </c>
      <c r="M238" s="66">
        <f>IF(VLOOKUP($D238,$C$5:$AU$502,3,)=0,0,(VLOOKUP($D238,$C$5:$AU$502,11,)/VLOOKUP($D238,$C$5:$AU$502,3,))*$E238)</f>
        <v>0</v>
      </c>
      <c r="N238" s="66">
        <f>IF(VLOOKUP($D238,$C$5:$AU$502,3,)=0,0,(VLOOKUP($D238,$C$5:$AU$502,12,)/VLOOKUP($D238,$C$5:$AU$502,3,))*$E238)</f>
        <v>0</v>
      </c>
      <c r="O238" s="66">
        <f>IF(VLOOKUP($D238,$C$5:$AU$502,3,)=0,0,(VLOOKUP($D238,$C$5:$AU$502,13,)/VLOOKUP($D238,$C$5:$AU$502,3,))*$E238)</f>
        <v>0</v>
      </c>
      <c r="P238" s="66">
        <f>IF(VLOOKUP($D238,$C$5:$AU$502,3,)=0,0,(VLOOKUP($D238,$C$5:$AU$502,14,)/VLOOKUP($D238,$C$5:$AU$502,3,))*$E238)</f>
        <v>0</v>
      </c>
      <c r="Q238" s="66">
        <f>IF(VLOOKUP($D238,$C$5:$AU$502,3,)=0,0,(VLOOKUP($D238,$C$5:$AU$502,15,)/VLOOKUP($D238,$C$5:$AU$502,3,))*$E238)</f>
        <v>0</v>
      </c>
      <c r="R238" s="66">
        <f>IF(VLOOKUP($D238,$C$5:$AU$502,3,)=0,0,(VLOOKUP($D238,$C$5:$AU$502,16,)/VLOOKUP($D238,$C$5:$AU$502,3,))*$E238)</f>
        <v>0</v>
      </c>
      <c r="S238" s="66">
        <f>IF(VLOOKUP($D238,$C$5:$AU$502,3,)=0,0,(VLOOKUP($D238,$C$5:$AU$502,17,)/VLOOKUP($D238,$C$5:$AU$502,3,))*$E238)</f>
        <v>0</v>
      </c>
      <c r="T238" s="66">
        <f>IF(VLOOKUP($D238,$C$5:$AU$502,3,)=0,0,(VLOOKUP($D238,$C$5:$AU$502,18,)/VLOOKUP($D238,$C$5:$AU$502,3,))*$E238)</f>
        <v>0</v>
      </c>
      <c r="U238" s="66">
        <f>IF(VLOOKUP($D238,$C$5:$AU$502,3,)=0,0,(VLOOKUP($D238,$C$5:$AU$502,19,)/VLOOKUP($D238,$C$5:$AU$502,3,))*$E238)</f>
        <v>0</v>
      </c>
      <c r="V238" s="66">
        <f>IF(VLOOKUP($D238,$C$5:$AU$502,3,)=0,0,(VLOOKUP($D238,$C$5:$AU$502,20,)/VLOOKUP($D238,$C$5:$AU$502,3,))*$E238)</f>
        <v>0</v>
      </c>
      <c r="W238" s="66">
        <f>IF(VLOOKUP($D238,$C$5:$AU$502,3,)=0,0,(VLOOKUP($D238,$C$5:$AU$502,21,)/VLOOKUP($D238,$C$5:$AU$502,3,))*$E238)</f>
        <v>0</v>
      </c>
      <c r="X238" s="66">
        <f>IF(VLOOKUP($D238,$C$5:$AU$502,3,)=0,0,(VLOOKUP($D238,$C$5:$AU$502,22,)/VLOOKUP($D238,$C$5:$AU$502,3,))*$E238)</f>
        <v>0</v>
      </c>
      <c r="Y238" s="66">
        <f>IF(VLOOKUP($D238,$C$5:$AU$502,3,)=0,0,(VLOOKUP($D238,$C$5:$AU$502,23,)/VLOOKUP($D238,$C$5:$AU$502,3,))*$E238)</f>
        <v>0</v>
      </c>
      <c r="Z238" s="66">
        <f>IF(VLOOKUP($D238,$C$5:$AU$502,3,)=0,0,(VLOOKUP($D238,$C$5:$AU$502,24,)/VLOOKUP($D238,$C$5:$AU$502,3,))*$E238)</f>
        <v>0</v>
      </c>
      <c r="AA238" s="66">
        <f>IF(VLOOKUP($D238,$C$5:$AU$502,3,)=0,0,(VLOOKUP($D238,$C$5:$AU$502,25,)/VLOOKUP($D238,$C$5:$AU$502,3,))*$E238)</f>
        <v>0</v>
      </c>
      <c r="AB238" s="66">
        <f>IF(VLOOKUP($D238,$C$5:$AU$502,3,)=0,0,(VLOOKUP($D238,$C$5:$AU$502,26,)/VLOOKUP($D238,$C$5:$AU$502,3,))*$E238)</f>
        <v>0</v>
      </c>
      <c r="AC238" s="66">
        <f>IF(VLOOKUP($D238,$C$5:$AU$502,3,)=0,0,(VLOOKUP($D238,$C$5:$AU$502,27,)/VLOOKUP($D238,$C$5:$AU$502,3,))*$E238)</f>
        <v>0</v>
      </c>
      <c r="AD238" s="66">
        <f>IF(VLOOKUP($D238,$C$5:$AU$502,3,)=0,0,(VLOOKUP($D238,$C$5:$AU$502,28,)/VLOOKUP($D238,$C$5:$AU$502,3,))*$E238)</f>
        <v>0</v>
      </c>
      <c r="AE238" s="66">
        <f>IF(VLOOKUP($D238,$C$5:$AU$502,3,)=0,0,(VLOOKUP($D238,$C$5:$AU$502,29,)/VLOOKUP($D238,$C$5:$AU$502,3,))*$E238)</f>
        <v>0</v>
      </c>
      <c r="AF238" s="66">
        <f>IF(VLOOKUP($D238,$C$5:$AU$502,3,)=0,0,(VLOOKUP($D238,$C$5:$AU$502,30,)/VLOOKUP($D238,$C$5:$AU$502,3,))*$E238)</f>
        <v>0</v>
      </c>
      <c r="AG238" s="93">
        <f>SUM(F238:AF238)</f>
        <v>0</v>
      </c>
      <c r="AH238" s="30" t="str">
        <f>IF(ABS(E238-AG238)&lt;0.01,"ok","err")</f>
        <v>ok</v>
      </c>
    </row>
    <row r="239" spans="1:34" x14ac:dyDescent="0.2">
      <c r="A239" s="14" t="s">
        <v>215</v>
      </c>
      <c r="C239" s="14" t="s">
        <v>300</v>
      </c>
      <c r="E239" s="50">
        <f t="shared" ref="E239:T239" si="49">E237+E238</f>
        <v>0</v>
      </c>
      <c r="F239" s="66">
        <f t="shared" si="49"/>
        <v>0</v>
      </c>
      <c r="G239" s="66">
        <f t="shared" si="49"/>
        <v>0</v>
      </c>
      <c r="H239" s="66">
        <f t="shared" si="49"/>
        <v>0</v>
      </c>
      <c r="I239" s="66">
        <f t="shared" si="49"/>
        <v>0</v>
      </c>
      <c r="J239" s="66">
        <f t="shared" si="49"/>
        <v>0</v>
      </c>
      <c r="K239" s="66">
        <f t="shared" si="49"/>
        <v>0</v>
      </c>
      <c r="L239" s="66">
        <f t="shared" si="49"/>
        <v>0</v>
      </c>
      <c r="M239" s="66">
        <f t="shared" si="49"/>
        <v>0</v>
      </c>
      <c r="N239" s="66">
        <f t="shared" si="49"/>
        <v>0</v>
      </c>
      <c r="O239" s="66">
        <f t="shared" si="49"/>
        <v>0</v>
      </c>
      <c r="P239" s="66">
        <f t="shared" si="49"/>
        <v>0</v>
      </c>
      <c r="Q239" s="66">
        <f t="shared" si="49"/>
        <v>0</v>
      </c>
      <c r="R239" s="66">
        <f t="shared" si="49"/>
        <v>0</v>
      </c>
      <c r="S239" s="66">
        <f t="shared" si="49"/>
        <v>0</v>
      </c>
      <c r="T239" s="66">
        <f t="shared" si="49"/>
        <v>0</v>
      </c>
      <c r="U239" s="66">
        <f t="shared" ref="U239:AF239" si="50">U237+U238</f>
        <v>0</v>
      </c>
      <c r="V239" s="66">
        <f t="shared" si="50"/>
        <v>0</v>
      </c>
      <c r="W239" s="66">
        <f t="shared" si="50"/>
        <v>0</v>
      </c>
      <c r="X239" s="66">
        <f t="shared" si="50"/>
        <v>0</v>
      </c>
      <c r="Y239" s="66">
        <f t="shared" si="50"/>
        <v>0</v>
      </c>
      <c r="Z239" s="66">
        <f t="shared" si="50"/>
        <v>0</v>
      </c>
      <c r="AA239" s="66">
        <f t="shared" si="50"/>
        <v>0</v>
      </c>
      <c r="AB239" s="66">
        <f t="shared" si="50"/>
        <v>0</v>
      </c>
      <c r="AC239" s="66">
        <f t="shared" si="50"/>
        <v>0</v>
      </c>
      <c r="AD239" s="66">
        <f t="shared" si="50"/>
        <v>0</v>
      </c>
      <c r="AE239" s="66">
        <f t="shared" si="50"/>
        <v>0</v>
      </c>
      <c r="AF239" s="66">
        <f t="shared" si="50"/>
        <v>0</v>
      </c>
      <c r="AG239" s="93">
        <f>SUM(F239:AF239)</f>
        <v>0</v>
      </c>
      <c r="AH239" s="30" t="str">
        <f>IF(ABS(E239-AG239)&lt;0.01,"ok","err")</f>
        <v>ok</v>
      </c>
    </row>
    <row r="240" spans="1:34" x14ac:dyDescent="0.2">
      <c r="E240" s="50"/>
      <c r="F240" s="50"/>
    </row>
    <row r="241" spans="1:34" x14ac:dyDescent="0.2">
      <c r="A241" s="13" t="s">
        <v>350</v>
      </c>
      <c r="E241" s="50"/>
      <c r="F241" s="50"/>
    </row>
    <row r="242" spans="1:34" x14ac:dyDescent="0.2">
      <c r="A242" s="96" t="s">
        <v>209</v>
      </c>
      <c r="C242" s="14" t="s">
        <v>890</v>
      </c>
      <c r="D242" s="14" t="s">
        <v>625</v>
      </c>
      <c r="E242" s="66">
        <f>'Func &amp; Classif'!K314</f>
        <v>0</v>
      </c>
      <c r="F242" s="66">
        <f>IF(VLOOKUP($D242,$C$5:$AU$502,3,)=0,0,(VLOOKUP($D242,$C$5:$AU$502,4,)/VLOOKUP($D242,$C$5:$AU$502,3,))*$E242)</f>
        <v>0</v>
      </c>
      <c r="G242" s="66">
        <f>IF(VLOOKUP($D242,$C$5:$AU$502,3,)=0,0,(VLOOKUP($D242,$C$5:$AU$502,5,)/VLOOKUP($D242,$C$5:$AU$502,3,))*$E242)</f>
        <v>0</v>
      </c>
      <c r="H242" s="66">
        <f>IF(VLOOKUP($D242,$C$5:$AU$502,3,)=0,0,(VLOOKUP($D242,$C$5:$AU$502,6,)/VLOOKUP($D242,$C$5:$AU$502,3,))*$E242)</f>
        <v>0</v>
      </c>
      <c r="I242" s="66">
        <f>IF(VLOOKUP($D242,$C$5:$AU$502,3,)=0,0,(VLOOKUP($D242,$C$5:$AU$502,7,)/VLOOKUP($D242,$C$5:$AU$502,3,))*$E242)</f>
        <v>0</v>
      </c>
      <c r="J242" s="66">
        <f>IF(VLOOKUP($D242,$C$5:$AU$502,3,)=0,0,(VLOOKUP($D242,$C$5:$AU$502,8,)/VLOOKUP($D242,$C$5:$AU$502,3,))*$E242)</f>
        <v>0</v>
      </c>
      <c r="K242" s="66">
        <f>IF(VLOOKUP($D242,$C$5:$AU$502,3,)=0,0,(VLOOKUP($D242,$C$5:$AU$502,9,)/VLOOKUP($D242,$C$5:$AU$502,3,))*$E242)</f>
        <v>0</v>
      </c>
      <c r="L242" s="66">
        <f>IF(VLOOKUP($D242,$C$5:$AU$502,3,)=0,0,(VLOOKUP($D242,$C$5:$AU$502,10,)/VLOOKUP($D242,$C$5:$AU$502,3,))*$E242)</f>
        <v>0</v>
      </c>
      <c r="M242" s="66">
        <f>IF(VLOOKUP($D242,$C$5:$AU$502,3,)=0,0,(VLOOKUP($D242,$C$5:$AU$502,11,)/VLOOKUP($D242,$C$5:$AU$502,3,))*$E242)</f>
        <v>0</v>
      </c>
      <c r="N242" s="66">
        <f>IF(VLOOKUP($D242,$C$5:$AU$502,3,)=0,0,(VLOOKUP($D242,$C$5:$AU$502,12,)/VLOOKUP($D242,$C$5:$AU$502,3,))*$E242)</f>
        <v>0</v>
      </c>
      <c r="O242" s="66">
        <f>IF(VLOOKUP($D242,$C$5:$AU$502,3,)=0,0,(VLOOKUP($D242,$C$5:$AU$502,13,)/VLOOKUP($D242,$C$5:$AU$502,3,))*$E242)</f>
        <v>0</v>
      </c>
      <c r="P242" s="66">
        <f>IF(VLOOKUP($D242,$C$5:$AU$502,3,)=0,0,(VLOOKUP($D242,$C$5:$AU$502,14,)/VLOOKUP($D242,$C$5:$AU$502,3,))*$E242)</f>
        <v>0</v>
      </c>
      <c r="Q242" s="66">
        <f>IF(VLOOKUP($D242,$C$5:$AU$502,3,)=0,0,(VLOOKUP($D242,$C$5:$AU$502,15,)/VLOOKUP($D242,$C$5:$AU$502,3,))*$E242)</f>
        <v>0</v>
      </c>
      <c r="R242" s="66">
        <f>IF(VLOOKUP($D242,$C$5:$AU$502,3,)=0,0,(VLOOKUP($D242,$C$5:$AU$502,16,)/VLOOKUP($D242,$C$5:$AU$502,3,))*$E242)</f>
        <v>0</v>
      </c>
      <c r="S242" s="66">
        <f>IF(VLOOKUP($D242,$C$5:$AU$502,3,)=0,0,(VLOOKUP($D242,$C$5:$AU$502,17,)/VLOOKUP($D242,$C$5:$AU$502,3,))*$E242)</f>
        <v>0</v>
      </c>
      <c r="T242" s="66">
        <f>IF(VLOOKUP($D242,$C$5:$AU$502,3,)=0,0,(VLOOKUP($D242,$C$5:$AU$502,18,)/VLOOKUP($D242,$C$5:$AU$502,3,))*$E242)</f>
        <v>0</v>
      </c>
      <c r="U242" s="66">
        <f>IF(VLOOKUP($D242,$C$5:$AU$502,3,)=0,0,(VLOOKUP($D242,$C$5:$AU$502,19,)/VLOOKUP($D242,$C$5:$AU$502,3,))*$E242)</f>
        <v>0</v>
      </c>
      <c r="V242" s="66">
        <f>IF(VLOOKUP($D242,$C$5:$AU$502,3,)=0,0,(VLOOKUP($D242,$C$5:$AU$502,20,)/VLOOKUP($D242,$C$5:$AU$502,3,))*$E242)</f>
        <v>0</v>
      </c>
      <c r="W242" s="66">
        <f>IF(VLOOKUP($D242,$C$5:$AU$502,3,)=0,0,(VLOOKUP($D242,$C$5:$AU$502,21,)/VLOOKUP($D242,$C$5:$AU$502,3,))*$E242)</f>
        <v>0</v>
      </c>
      <c r="X242" s="66">
        <f>IF(VLOOKUP($D242,$C$5:$AU$502,3,)=0,0,(VLOOKUP($D242,$C$5:$AU$502,22,)/VLOOKUP($D242,$C$5:$AU$502,3,))*$E242)</f>
        <v>0</v>
      </c>
      <c r="Y242" s="66">
        <f>IF(VLOOKUP($D242,$C$5:$AU$502,3,)=0,0,(VLOOKUP($D242,$C$5:$AU$502,23,)/VLOOKUP($D242,$C$5:$AU$502,3,))*$E242)</f>
        <v>0</v>
      </c>
      <c r="Z242" s="66">
        <f>IF(VLOOKUP($D242,$C$5:$AU$502,3,)=0,0,(VLOOKUP($D242,$C$5:$AU$502,24,)/VLOOKUP($D242,$C$5:$AU$502,3,))*$E242)</f>
        <v>0</v>
      </c>
      <c r="AA242" s="66">
        <f>IF(VLOOKUP($D242,$C$5:$AU$502,3,)=0,0,(VLOOKUP($D242,$C$5:$AU$502,25,)/VLOOKUP($D242,$C$5:$AU$502,3,))*$E242)</f>
        <v>0</v>
      </c>
      <c r="AB242" s="66">
        <f>IF(VLOOKUP($D242,$C$5:$AU$502,3,)=0,0,(VLOOKUP($D242,$C$5:$AU$502,26,)/VLOOKUP($D242,$C$5:$AU$502,3,))*$E242)</f>
        <v>0</v>
      </c>
      <c r="AC242" s="66">
        <f>IF(VLOOKUP($D242,$C$5:$AU$502,3,)=0,0,(VLOOKUP($D242,$C$5:$AU$502,27,)/VLOOKUP($D242,$C$5:$AU$502,3,))*$E242)</f>
        <v>0</v>
      </c>
      <c r="AD242" s="66">
        <f>IF(VLOOKUP($D242,$C$5:$AU$502,3,)=0,0,(VLOOKUP($D242,$C$5:$AU$502,28,)/VLOOKUP($D242,$C$5:$AU$502,3,))*$E242)</f>
        <v>0</v>
      </c>
      <c r="AE242" s="66">
        <f>IF(VLOOKUP($D242,$C$5:$AU$502,3,)=0,0,(VLOOKUP($D242,$C$5:$AU$502,29,)/VLOOKUP($D242,$C$5:$AU$502,3,))*$E242)</f>
        <v>0</v>
      </c>
      <c r="AF242" s="66">
        <f>IF(VLOOKUP($D242,$C$5:$AU$502,3,)=0,0,(VLOOKUP($D242,$C$5:$AU$502,30,)/VLOOKUP($D242,$C$5:$AU$502,3,))*$E242)</f>
        <v>0</v>
      </c>
      <c r="AG242" s="93">
        <f>SUM(F242:AF242)</f>
        <v>0</v>
      </c>
      <c r="AH242" s="30" t="str">
        <f>IF(ABS(E242-AG242)&lt;0.01,"ok","err")</f>
        <v>ok</v>
      </c>
    </row>
    <row r="243" spans="1:34" x14ac:dyDescent="0.2">
      <c r="E243" s="50"/>
    </row>
    <row r="244" spans="1:34" x14ac:dyDescent="0.2">
      <c r="A244" s="13" t="s">
        <v>1</v>
      </c>
      <c r="E244" s="50"/>
      <c r="F244" s="50"/>
    </row>
    <row r="245" spans="1:34" x14ac:dyDescent="0.2">
      <c r="A245" s="96" t="s">
        <v>209</v>
      </c>
      <c r="C245" s="14" t="s">
        <v>301</v>
      </c>
      <c r="D245" s="14" t="s">
        <v>632</v>
      </c>
      <c r="E245" s="66">
        <f>'Func &amp; Classif'!M314</f>
        <v>0</v>
      </c>
      <c r="F245" s="66">
        <f>IF(VLOOKUP($D245,$C$5:$AU$502,3,)=0,0,(VLOOKUP($D245,$C$5:$AU$502,4,)/VLOOKUP($D245,$C$5:$AU$502,3,))*$E245)</f>
        <v>0</v>
      </c>
      <c r="G245" s="66">
        <f>IF(VLOOKUP($D245,$C$5:$AU$502,3,)=0,0,(VLOOKUP($D245,$C$5:$AU$502,5,)/VLOOKUP($D245,$C$5:$AU$502,3,))*$E245)</f>
        <v>0</v>
      </c>
      <c r="H245" s="66">
        <f>IF(VLOOKUP($D245,$C$5:$AU$502,3,)=0,0,(VLOOKUP($D245,$C$5:$AU$502,6,)/VLOOKUP($D245,$C$5:$AU$502,3,))*$E245)</f>
        <v>0</v>
      </c>
      <c r="I245" s="66">
        <f>IF(VLOOKUP($D245,$C$5:$AU$502,3,)=0,0,(VLOOKUP($D245,$C$5:$AU$502,7,)/VLOOKUP($D245,$C$5:$AU$502,3,))*$E245)</f>
        <v>0</v>
      </c>
      <c r="J245" s="66">
        <f>IF(VLOOKUP($D245,$C$5:$AU$502,3,)=0,0,(VLOOKUP($D245,$C$5:$AU$502,8,)/VLOOKUP($D245,$C$5:$AU$502,3,))*$E245)</f>
        <v>0</v>
      </c>
      <c r="K245" s="66">
        <f>IF(VLOOKUP($D245,$C$5:$AU$502,3,)=0,0,(VLOOKUP($D245,$C$5:$AU$502,9,)/VLOOKUP($D245,$C$5:$AU$502,3,))*$E245)</f>
        <v>0</v>
      </c>
      <c r="L245" s="66">
        <f>IF(VLOOKUP($D245,$C$5:$AU$502,3,)=0,0,(VLOOKUP($D245,$C$5:$AU$502,10,)/VLOOKUP($D245,$C$5:$AU$502,3,))*$E245)</f>
        <v>0</v>
      </c>
      <c r="M245" s="66">
        <f>IF(VLOOKUP($D245,$C$5:$AU$502,3,)=0,0,(VLOOKUP($D245,$C$5:$AU$502,11,)/VLOOKUP($D245,$C$5:$AU$502,3,))*$E245)</f>
        <v>0</v>
      </c>
      <c r="N245" s="66">
        <f>IF(VLOOKUP($D245,$C$5:$AU$502,3,)=0,0,(VLOOKUP($D245,$C$5:$AU$502,12,)/VLOOKUP($D245,$C$5:$AU$502,3,))*$E245)</f>
        <v>0</v>
      </c>
      <c r="O245" s="66">
        <f>IF(VLOOKUP($D245,$C$5:$AU$502,3,)=0,0,(VLOOKUP($D245,$C$5:$AU$502,13,)/VLOOKUP($D245,$C$5:$AU$502,3,))*$E245)</f>
        <v>0</v>
      </c>
      <c r="P245" s="66">
        <f>IF(VLOOKUP($D245,$C$5:$AU$502,3,)=0,0,(VLOOKUP($D245,$C$5:$AU$502,14,)/VLOOKUP($D245,$C$5:$AU$502,3,))*$E245)</f>
        <v>0</v>
      </c>
      <c r="Q245" s="66">
        <f>IF(VLOOKUP($D245,$C$5:$AU$502,3,)=0,0,(VLOOKUP($D245,$C$5:$AU$502,15,)/VLOOKUP($D245,$C$5:$AU$502,3,))*$E245)</f>
        <v>0</v>
      </c>
      <c r="R245" s="66">
        <f>IF(VLOOKUP($D245,$C$5:$AU$502,3,)=0,0,(VLOOKUP($D245,$C$5:$AU$502,16,)/VLOOKUP($D245,$C$5:$AU$502,3,))*$E245)</f>
        <v>0</v>
      </c>
      <c r="S245" s="66">
        <f>IF(VLOOKUP($D245,$C$5:$AU$502,3,)=0,0,(VLOOKUP($D245,$C$5:$AU$502,17,)/VLOOKUP($D245,$C$5:$AU$502,3,))*$E245)</f>
        <v>0</v>
      </c>
      <c r="T245" s="66">
        <f>IF(VLOOKUP($D245,$C$5:$AU$502,3,)=0,0,(VLOOKUP($D245,$C$5:$AU$502,18,)/VLOOKUP($D245,$C$5:$AU$502,3,))*$E245)</f>
        <v>0</v>
      </c>
      <c r="U245" s="66">
        <f>IF(VLOOKUP($D245,$C$5:$AU$502,3,)=0,0,(VLOOKUP($D245,$C$5:$AU$502,19,)/VLOOKUP($D245,$C$5:$AU$502,3,))*$E245)</f>
        <v>0</v>
      </c>
      <c r="V245" s="66">
        <f>IF(VLOOKUP($D245,$C$5:$AU$502,3,)=0,0,(VLOOKUP($D245,$C$5:$AU$502,20,)/VLOOKUP($D245,$C$5:$AU$502,3,))*$E245)</f>
        <v>0</v>
      </c>
      <c r="W245" s="66">
        <f>IF(VLOOKUP($D245,$C$5:$AU$502,3,)=0,0,(VLOOKUP($D245,$C$5:$AU$502,21,)/VLOOKUP($D245,$C$5:$AU$502,3,))*$E245)</f>
        <v>0</v>
      </c>
      <c r="X245" s="66">
        <f>IF(VLOOKUP($D245,$C$5:$AU$502,3,)=0,0,(VLOOKUP($D245,$C$5:$AU$502,22,)/VLOOKUP($D245,$C$5:$AU$502,3,))*$E245)</f>
        <v>0</v>
      </c>
      <c r="Y245" s="66">
        <f>IF(VLOOKUP($D245,$C$5:$AU$502,3,)=0,0,(VLOOKUP($D245,$C$5:$AU$502,23,)/VLOOKUP($D245,$C$5:$AU$502,3,))*$E245)</f>
        <v>0</v>
      </c>
      <c r="Z245" s="66">
        <f>IF(VLOOKUP($D245,$C$5:$AU$502,3,)=0,0,(VLOOKUP($D245,$C$5:$AU$502,24,)/VLOOKUP($D245,$C$5:$AU$502,3,))*$E245)</f>
        <v>0</v>
      </c>
      <c r="AA245" s="66">
        <f>IF(VLOOKUP($D245,$C$5:$AU$502,3,)=0,0,(VLOOKUP($D245,$C$5:$AU$502,25,)/VLOOKUP($D245,$C$5:$AU$502,3,))*$E245)</f>
        <v>0</v>
      </c>
      <c r="AB245" s="66">
        <f>IF(VLOOKUP($D245,$C$5:$AU$502,3,)=0,0,(VLOOKUP($D245,$C$5:$AU$502,26,)/VLOOKUP($D245,$C$5:$AU$502,3,))*$E245)</f>
        <v>0</v>
      </c>
      <c r="AC245" s="66">
        <f>IF(VLOOKUP($D245,$C$5:$AU$502,3,)=0,0,(VLOOKUP($D245,$C$5:$AU$502,27,)/VLOOKUP($D245,$C$5:$AU$502,3,))*$E245)</f>
        <v>0</v>
      </c>
      <c r="AD245" s="66">
        <f>IF(VLOOKUP($D245,$C$5:$AU$502,3,)=0,0,(VLOOKUP($D245,$C$5:$AU$502,28,)/VLOOKUP($D245,$C$5:$AU$502,3,))*$E245)</f>
        <v>0</v>
      </c>
      <c r="AE245" s="66">
        <f>IF(VLOOKUP($D245,$C$5:$AU$502,3,)=0,0,(VLOOKUP($D245,$C$5:$AU$502,29,)/VLOOKUP($D245,$C$5:$AU$502,3,))*$E245)</f>
        <v>0</v>
      </c>
      <c r="AF245" s="66">
        <f>IF(VLOOKUP($D245,$C$5:$AU$502,3,)=0,0,(VLOOKUP($D245,$C$5:$AU$502,30,)/VLOOKUP($D245,$C$5:$AU$502,3,))*$E245)</f>
        <v>0</v>
      </c>
      <c r="AG245" s="93">
        <f>SUM(F245:AF245)</f>
        <v>0</v>
      </c>
      <c r="AH245" s="30" t="str">
        <f>IF(ABS(E245-AG245)&lt;0.01,"ok","err")</f>
        <v>ok</v>
      </c>
    </row>
    <row r="246" spans="1:34" x14ac:dyDescent="0.2">
      <c r="E246" s="50"/>
    </row>
    <row r="247" spans="1:34" x14ac:dyDescent="0.2">
      <c r="A247" s="13" t="s">
        <v>2</v>
      </c>
      <c r="E247" s="50"/>
    </row>
    <row r="248" spans="1:34" x14ac:dyDescent="0.2">
      <c r="A248" s="96" t="s">
        <v>209</v>
      </c>
      <c r="C248" s="14" t="s">
        <v>302</v>
      </c>
      <c r="D248" s="14" t="s">
        <v>629</v>
      </c>
      <c r="E248" s="66">
        <f>'Func &amp; Classif'!O314</f>
        <v>0</v>
      </c>
      <c r="F248" s="66">
        <f>IF(VLOOKUP($D248,$C$5:$AU$502,3,)=0,0,(VLOOKUP($D248,$C$5:$AU$502,4,)/VLOOKUP($D248,$C$5:$AU$502,3,))*$E248)</f>
        <v>0</v>
      </c>
      <c r="G248" s="66">
        <f>IF(VLOOKUP($D248,$C$5:$AU$502,3,)=0,0,(VLOOKUP($D248,$C$5:$AU$502,5,)/VLOOKUP($D248,$C$5:$AU$502,3,))*$E248)</f>
        <v>0</v>
      </c>
      <c r="H248" s="66">
        <f>IF(VLOOKUP($D248,$C$5:$AU$502,3,)=0,0,(VLOOKUP($D248,$C$5:$AU$502,6,)/VLOOKUP($D248,$C$5:$AU$502,3,))*$E248)</f>
        <v>0</v>
      </c>
      <c r="I248" s="66">
        <f>IF(VLOOKUP($D248,$C$5:$AU$502,3,)=0,0,(VLOOKUP($D248,$C$5:$AU$502,7,)/VLOOKUP($D248,$C$5:$AU$502,3,))*$E248)</f>
        <v>0</v>
      </c>
      <c r="J248" s="66">
        <f>IF(VLOOKUP($D248,$C$5:$AU$502,3,)=0,0,(VLOOKUP($D248,$C$5:$AU$502,8,)/VLOOKUP($D248,$C$5:$AU$502,3,))*$E248)</f>
        <v>0</v>
      </c>
      <c r="K248" s="66">
        <f>IF(VLOOKUP($D248,$C$5:$AU$502,3,)=0,0,(VLOOKUP($D248,$C$5:$AU$502,9,)/VLOOKUP($D248,$C$5:$AU$502,3,))*$E248)</f>
        <v>0</v>
      </c>
      <c r="L248" s="66">
        <f>IF(VLOOKUP($D248,$C$5:$AU$502,3,)=0,0,(VLOOKUP($D248,$C$5:$AU$502,10,)/VLOOKUP($D248,$C$5:$AU$502,3,))*$E248)</f>
        <v>0</v>
      </c>
      <c r="M248" s="66">
        <f>IF(VLOOKUP($D248,$C$5:$AU$502,3,)=0,0,(VLOOKUP($D248,$C$5:$AU$502,11,)/VLOOKUP($D248,$C$5:$AU$502,3,))*$E248)</f>
        <v>0</v>
      </c>
      <c r="N248" s="66">
        <f>IF(VLOOKUP($D248,$C$5:$AU$502,3,)=0,0,(VLOOKUP($D248,$C$5:$AU$502,12,)/VLOOKUP($D248,$C$5:$AU$502,3,))*$E248)</f>
        <v>0</v>
      </c>
      <c r="O248" s="66">
        <f>IF(VLOOKUP($D248,$C$5:$AU$502,3,)=0,0,(VLOOKUP($D248,$C$5:$AU$502,13,)/VLOOKUP($D248,$C$5:$AU$502,3,))*$E248)</f>
        <v>0</v>
      </c>
      <c r="P248" s="66">
        <f>IF(VLOOKUP($D248,$C$5:$AU$502,3,)=0,0,(VLOOKUP($D248,$C$5:$AU$502,14,)/VLOOKUP($D248,$C$5:$AU$502,3,))*$E248)</f>
        <v>0</v>
      </c>
      <c r="Q248" s="66">
        <f>IF(VLOOKUP($D248,$C$5:$AU$502,3,)=0,0,(VLOOKUP($D248,$C$5:$AU$502,15,)/VLOOKUP($D248,$C$5:$AU$502,3,))*$E248)</f>
        <v>0</v>
      </c>
      <c r="R248" s="66">
        <f>IF(VLOOKUP($D248,$C$5:$AU$502,3,)=0,0,(VLOOKUP($D248,$C$5:$AU$502,16,)/VLOOKUP($D248,$C$5:$AU$502,3,))*$E248)</f>
        <v>0</v>
      </c>
      <c r="S248" s="66">
        <f>IF(VLOOKUP($D248,$C$5:$AU$502,3,)=0,0,(VLOOKUP($D248,$C$5:$AU$502,17,)/VLOOKUP($D248,$C$5:$AU$502,3,))*$E248)</f>
        <v>0</v>
      </c>
      <c r="T248" s="66">
        <f>IF(VLOOKUP($D248,$C$5:$AU$502,3,)=0,0,(VLOOKUP($D248,$C$5:$AU$502,18,)/VLOOKUP($D248,$C$5:$AU$502,3,))*$E248)</f>
        <v>0</v>
      </c>
      <c r="U248" s="66">
        <f>IF(VLOOKUP($D248,$C$5:$AU$502,3,)=0,0,(VLOOKUP($D248,$C$5:$AU$502,19,)/VLOOKUP($D248,$C$5:$AU$502,3,))*$E248)</f>
        <v>0</v>
      </c>
      <c r="V248" s="66">
        <f>IF(VLOOKUP($D248,$C$5:$AU$502,3,)=0,0,(VLOOKUP($D248,$C$5:$AU$502,20,)/VLOOKUP($D248,$C$5:$AU$502,3,))*$E248)</f>
        <v>0</v>
      </c>
      <c r="W248" s="66">
        <f>IF(VLOOKUP($D248,$C$5:$AU$502,3,)=0,0,(VLOOKUP($D248,$C$5:$AU$502,21,)/VLOOKUP($D248,$C$5:$AU$502,3,))*$E248)</f>
        <v>0</v>
      </c>
      <c r="X248" s="66">
        <f>IF(VLOOKUP($D248,$C$5:$AU$502,3,)=0,0,(VLOOKUP($D248,$C$5:$AU$502,22,)/VLOOKUP($D248,$C$5:$AU$502,3,))*$E248)</f>
        <v>0</v>
      </c>
      <c r="Y248" s="66">
        <f>IF(VLOOKUP($D248,$C$5:$AU$502,3,)=0,0,(VLOOKUP($D248,$C$5:$AU$502,23,)/VLOOKUP($D248,$C$5:$AU$502,3,))*$E248)</f>
        <v>0</v>
      </c>
      <c r="Z248" s="66">
        <f>IF(VLOOKUP($D248,$C$5:$AU$502,3,)=0,0,(VLOOKUP($D248,$C$5:$AU$502,24,)/VLOOKUP($D248,$C$5:$AU$502,3,))*$E248)</f>
        <v>0</v>
      </c>
      <c r="AA248" s="66">
        <f>IF(VLOOKUP($D248,$C$5:$AU$502,3,)=0,0,(VLOOKUP($D248,$C$5:$AU$502,25,)/VLOOKUP($D248,$C$5:$AU$502,3,))*$E248)</f>
        <v>0</v>
      </c>
      <c r="AB248" s="66">
        <f>IF(VLOOKUP($D248,$C$5:$AU$502,3,)=0,0,(VLOOKUP($D248,$C$5:$AU$502,26,)/VLOOKUP($D248,$C$5:$AU$502,3,))*$E248)</f>
        <v>0</v>
      </c>
      <c r="AC248" s="66">
        <f>IF(VLOOKUP($D248,$C$5:$AU$502,3,)=0,0,(VLOOKUP($D248,$C$5:$AU$502,27,)/VLOOKUP($D248,$C$5:$AU$502,3,))*$E248)</f>
        <v>0</v>
      </c>
      <c r="AD248" s="66">
        <f>IF(VLOOKUP($D248,$C$5:$AU$502,3,)=0,0,(VLOOKUP($D248,$C$5:$AU$502,28,)/VLOOKUP($D248,$C$5:$AU$502,3,))*$E248)</f>
        <v>0</v>
      </c>
      <c r="AE248" s="66">
        <f>IF(VLOOKUP($D248,$C$5:$AU$502,3,)=0,0,(VLOOKUP($D248,$C$5:$AU$502,29,)/VLOOKUP($D248,$C$5:$AU$502,3,))*$E248)</f>
        <v>0</v>
      </c>
      <c r="AF248" s="66">
        <f>IF(VLOOKUP($D248,$C$5:$AU$502,3,)=0,0,(VLOOKUP($D248,$C$5:$AU$502,30,)/VLOOKUP($D248,$C$5:$AU$502,3,))*$E248)</f>
        <v>0</v>
      </c>
      <c r="AG248" s="93">
        <f>SUM(F248:AF248)</f>
        <v>0</v>
      </c>
      <c r="AH248" s="30" t="str">
        <f>IF(ABS(E248-AG248)&lt;0.01,"ok","err")</f>
        <v>ok</v>
      </c>
    </row>
    <row r="249" spans="1:34" x14ac:dyDescent="0.2">
      <c r="A249" s="96" t="s">
        <v>221</v>
      </c>
      <c r="C249" s="14" t="s">
        <v>303</v>
      </c>
      <c r="D249" s="14" t="s">
        <v>223</v>
      </c>
      <c r="E249" s="50">
        <f>'Func &amp; Classif'!P314</f>
        <v>0</v>
      </c>
      <c r="F249" s="66">
        <f>IF(VLOOKUP($D249,$C$5:$AU$502,3,)=0,0,(VLOOKUP($D249,$C$5:$AU$502,4,)/VLOOKUP($D249,$C$5:$AU$502,3,))*$E249)</f>
        <v>0</v>
      </c>
      <c r="G249" s="66">
        <f>IF(VLOOKUP($D249,$C$5:$AU$502,3,)=0,0,(VLOOKUP($D249,$C$5:$AU$502,5,)/VLOOKUP($D249,$C$5:$AU$502,3,))*$E249)</f>
        <v>0</v>
      </c>
      <c r="H249" s="66">
        <f>IF(VLOOKUP($D249,$C$5:$AU$502,3,)=0,0,(VLOOKUP($D249,$C$5:$AU$502,6,)/VLOOKUP($D249,$C$5:$AU$502,3,))*$E249)</f>
        <v>0</v>
      </c>
      <c r="I249" s="66">
        <f>IF(VLOOKUP($D249,$C$5:$AU$502,3,)=0,0,(VLOOKUP($D249,$C$5:$AU$502,7,)/VLOOKUP($D249,$C$5:$AU$502,3,))*$E249)</f>
        <v>0</v>
      </c>
      <c r="J249" s="66">
        <f>IF(VLOOKUP($D249,$C$5:$AU$502,3,)=0,0,(VLOOKUP($D249,$C$5:$AU$502,8,)/VLOOKUP($D249,$C$5:$AU$502,3,))*$E249)</f>
        <v>0</v>
      </c>
      <c r="K249" s="66">
        <f>IF(VLOOKUP($D249,$C$5:$AU$502,3,)=0,0,(VLOOKUP($D249,$C$5:$AU$502,9,)/VLOOKUP($D249,$C$5:$AU$502,3,))*$E249)</f>
        <v>0</v>
      </c>
      <c r="L249" s="66">
        <f>IF(VLOOKUP($D249,$C$5:$AU$502,3,)=0,0,(VLOOKUP($D249,$C$5:$AU$502,10,)/VLOOKUP($D249,$C$5:$AU$502,3,))*$E249)</f>
        <v>0</v>
      </c>
      <c r="M249" s="66">
        <f>IF(VLOOKUP($D249,$C$5:$AU$502,3,)=0,0,(VLOOKUP($D249,$C$5:$AU$502,11,)/VLOOKUP($D249,$C$5:$AU$502,3,))*$E249)</f>
        <v>0</v>
      </c>
      <c r="N249" s="66">
        <f>IF(VLOOKUP($D249,$C$5:$AU$502,3,)=0,0,(VLOOKUP($D249,$C$5:$AU$502,12,)/VLOOKUP($D249,$C$5:$AU$502,3,))*$E249)</f>
        <v>0</v>
      </c>
      <c r="O249" s="66">
        <f>IF(VLOOKUP($D249,$C$5:$AU$502,3,)=0,0,(VLOOKUP($D249,$C$5:$AU$502,13,)/VLOOKUP($D249,$C$5:$AU$502,3,))*$E249)</f>
        <v>0</v>
      </c>
      <c r="P249" s="66">
        <f>IF(VLOOKUP($D249,$C$5:$AU$502,3,)=0,0,(VLOOKUP($D249,$C$5:$AU$502,14,)/VLOOKUP($D249,$C$5:$AU$502,3,))*$E249)</f>
        <v>0</v>
      </c>
      <c r="Q249" s="66">
        <f>IF(VLOOKUP($D249,$C$5:$AU$502,3,)=0,0,(VLOOKUP($D249,$C$5:$AU$502,15,)/VLOOKUP($D249,$C$5:$AU$502,3,))*$E249)</f>
        <v>0</v>
      </c>
      <c r="R249" s="66">
        <f>IF(VLOOKUP($D249,$C$5:$AU$502,3,)=0,0,(VLOOKUP($D249,$C$5:$AU$502,16,)/VLOOKUP($D249,$C$5:$AU$502,3,))*$E249)</f>
        <v>0</v>
      </c>
      <c r="S249" s="66">
        <f>IF(VLOOKUP($D249,$C$5:$AU$502,3,)=0,0,(VLOOKUP($D249,$C$5:$AU$502,17,)/VLOOKUP($D249,$C$5:$AU$502,3,))*$E249)</f>
        <v>0</v>
      </c>
      <c r="T249" s="66">
        <f>IF(VLOOKUP($D249,$C$5:$AU$502,3,)=0,0,(VLOOKUP($D249,$C$5:$AU$502,18,)/VLOOKUP($D249,$C$5:$AU$502,3,))*$E249)</f>
        <v>0</v>
      </c>
      <c r="U249" s="66">
        <f>IF(VLOOKUP($D249,$C$5:$AU$502,3,)=0,0,(VLOOKUP($D249,$C$5:$AU$502,19,)/VLOOKUP($D249,$C$5:$AU$502,3,))*$E249)</f>
        <v>0</v>
      </c>
      <c r="V249" s="66">
        <f>IF(VLOOKUP($D249,$C$5:$AU$502,3,)=0,0,(VLOOKUP($D249,$C$5:$AU$502,20,)/VLOOKUP($D249,$C$5:$AU$502,3,))*$E249)</f>
        <v>0</v>
      </c>
      <c r="W249" s="66">
        <f>IF(VLOOKUP($D249,$C$5:$AU$502,3,)=0,0,(VLOOKUP($D249,$C$5:$AU$502,21,)/VLOOKUP($D249,$C$5:$AU$502,3,))*$E249)</f>
        <v>0</v>
      </c>
      <c r="X249" s="66">
        <f>IF(VLOOKUP($D249,$C$5:$AU$502,3,)=0,0,(VLOOKUP($D249,$C$5:$AU$502,22,)/VLOOKUP($D249,$C$5:$AU$502,3,))*$E249)</f>
        <v>0</v>
      </c>
      <c r="Y249" s="66">
        <f>IF(VLOOKUP($D249,$C$5:$AU$502,3,)=0,0,(VLOOKUP($D249,$C$5:$AU$502,23,)/VLOOKUP($D249,$C$5:$AU$502,3,))*$E249)</f>
        <v>0</v>
      </c>
      <c r="Z249" s="66">
        <f>IF(VLOOKUP($D249,$C$5:$AU$502,3,)=0,0,(VLOOKUP($D249,$C$5:$AU$502,24,)/VLOOKUP($D249,$C$5:$AU$502,3,))*$E249)</f>
        <v>0</v>
      </c>
      <c r="AA249" s="66">
        <f>IF(VLOOKUP($D249,$C$5:$AU$502,3,)=0,0,(VLOOKUP($D249,$C$5:$AU$502,25,)/VLOOKUP($D249,$C$5:$AU$502,3,))*$E249)</f>
        <v>0</v>
      </c>
      <c r="AB249" s="66">
        <f>IF(VLOOKUP($D249,$C$5:$AU$502,3,)=0,0,(VLOOKUP($D249,$C$5:$AU$502,26,)/VLOOKUP($D249,$C$5:$AU$502,3,))*$E249)</f>
        <v>0</v>
      </c>
      <c r="AC249" s="66">
        <f>IF(VLOOKUP($D249,$C$5:$AU$502,3,)=0,0,(VLOOKUP($D249,$C$5:$AU$502,27,)/VLOOKUP($D249,$C$5:$AU$502,3,))*$E249)</f>
        <v>0</v>
      </c>
      <c r="AD249" s="66">
        <f>IF(VLOOKUP($D249,$C$5:$AU$502,3,)=0,0,(VLOOKUP($D249,$C$5:$AU$502,28,)/VLOOKUP($D249,$C$5:$AU$502,3,))*$E249)</f>
        <v>0</v>
      </c>
      <c r="AE249" s="66">
        <f>IF(VLOOKUP($D249,$C$5:$AU$502,3,)=0,0,(VLOOKUP($D249,$C$5:$AU$502,29,)/VLOOKUP($D249,$C$5:$AU$502,3,))*$E249)</f>
        <v>0</v>
      </c>
      <c r="AF249" s="66">
        <f>IF(VLOOKUP($D249,$C$5:$AU$502,3,)=0,0,(VLOOKUP($D249,$C$5:$AU$502,30,)/VLOOKUP($D249,$C$5:$AU$502,3,))*$E249)</f>
        <v>0</v>
      </c>
      <c r="AG249" s="93">
        <f>SUM(F249:AF249)</f>
        <v>0</v>
      </c>
      <c r="AH249" s="30" t="str">
        <f>IF(ABS(E249-AG249)&lt;0.01,"ok","err")</f>
        <v>ok</v>
      </c>
    </row>
    <row r="250" spans="1:34" x14ac:dyDescent="0.2">
      <c r="A250" s="14" t="s">
        <v>224</v>
      </c>
      <c r="E250" s="66">
        <f t="shared" ref="E250:T250" si="51">E248+E249</f>
        <v>0</v>
      </c>
      <c r="F250" s="66">
        <f t="shared" si="51"/>
        <v>0</v>
      </c>
      <c r="G250" s="66">
        <f t="shared" si="51"/>
        <v>0</v>
      </c>
      <c r="H250" s="66">
        <f t="shared" si="51"/>
        <v>0</v>
      </c>
      <c r="I250" s="66">
        <f t="shared" si="51"/>
        <v>0</v>
      </c>
      <c r="J250" s="66">
        <f t="shared" si="51"/>
        <v>0</v>
      </c>
      <c r="K250" s="66">
        <f t="shared" si="51"/>
        <v>0</v>
      </c>
      <c r="L250" s="66">
        <f t="shared" si="51"/>
        <v>0</v>
      </c>
      <c r="M250" s="66">
        <f t="shared" si="51"/>
        <v>0</v>
      </c>
      <c r="N250" s="66">
        <f t="shared" si="51"/>
        <v>0</v>
      </c>
      <c r="O250" s="66">
        <f t="shared" si="51"/>
        <v>0</v>
      </c>
      <c r="P250" s="66">
        <f t="shared" si="51"/>
        <v>0</v>
      </c>
      <c r="Q250" s="66">
        <f t="shared" si="51"/>
        <v>0</v>
      </c>
      <c r="R250" s="66">
        <f t="shared" si="51"/>
        <v>0</v>
      </c>
      <c r="S250" s="66">
        <f t="shared" si="51"/>
        <v>0</v>
      </c>
      <c r="T250" s="66">
        <f t="shared" si="51"/>
        <v>0</v>
      </c>
      <c r="U250" s="66">
        <f t="shared" ref="U250:AF250" si="52">U248+U249</f>
        <v>0</v>
      </c>
      <c r="V250" s="66">
        <f t="shared" si="52"/>
        <v>0</v>
      </c>
      <c r="W250" s="66">
        <f t="shared" si="52"/>
        <v>0</v>
      </c>
      <c r="X250" s="66">
        <f t="shared" si="52"/>
        <v>0</v>
      </c>
      <c r="Y250" s="66">
        <f t="shared" si="52"/>
        <v>0</v>
      </c>
      <c r="Z250" s="66">
        <f t="shared" si="52"/>
        <v>0</v>
      </c>
      <c r="AA250" s="66">
        <f t="shared" si="52"/>
        <v>0</v>
      </c>
      <c r="AB250" s="66">
        <f t="shared" si="52"/>
        <v>0</v>
      </c>
      <c r="AC250" s="66">
        <f t="shared" si="52"/>
        <v>0</v>
      </c>
      <c r="AD250" s="66">
        <f t="shared" si="52"/>
        <v>0</v>
      </c>
      <c r="AE250" s="66">
        <f t="shared" si="52"/>
        <v>0</v>
      </c>
      <c r="AF250" s="66">
        <f t="shared" si="52"/>
        <v>0</v>
      </c>
      <c r="AG250" s="93">
        <f>SUM(F250:AF250)</f>
        <v>0</v>
      </c>
      <c r="AH250" s="30" t="str">
        <f>IF(ABS(E250-AG250)&lt;0.01,"ok","err")</f>
        <v>ok</v>
      </c>
    </row>
    <row r="251" spans="1:34" x14ac:dyDescent="0.2">
      <c r="E251" s="50"/>
    </row>
    <row r="252" spans="1:34" x14ac:dyDescent="0.2">
      <c r="A252" s="13" t="s">
        <v>3</v>
      </c>
      <c r="E252" s="50"/>
    </row>
    <row r="253" spans="1:34" x14ac:dyDescent="0.2">
      <c r="A253" s="96" t="s">
        <v>209</v>
      </c>
      <c r="C253" s="14" t="s">
        <v>304</v>
      </c>
      <c r="D253" s="14" t="s">
        <v>701</v>
      </c>
      <c r="E253" s="66">
        <f>'Func &amp; Classif'!R314</f>
        <v>0</v>
      </c>
      <c r="F253" s="66">
        <f>IF(VLOOKUP($D253,$C$5:$AU$502,3,)=0,0,(VLOOKUP($D253,$C$5:$AU$502,4,)/VLOOKUP($D253,$C$5:$AU$502,3,))*$E253)</f>
        <v>0</v>
      </c>
      <c r="G253" s="66">
        <f>IF(VLOOKUP($D253,$C$5:$AU$502,3,)=0,0,(VLOOKUP($D253,$C$5:$AU$502,5,)/VLOOKUP($D253,$C$5:$AU$502,3,))*$E253)</f>
        <v>0</v>
      </c>
      <c r="H253" s="66">
        <f>IF(VLOOKUP($D253,$C$5:$AU$502,3,)=0,0,(VLOOKUP($D253,$C$5:$AU$502,6,)/VLOOKUP($D253,$C$5:$AU$502,3,))*$E253)</f>
        <v>0</v>
      </c>
      <c r="I253" s="66">
        <f>IF(VLOOKUP($D253,$C$5:$AU$502,3,)=0,0,(VLOOKUP($D253,$C$5:$AU$502,7,)/VLOOKUP($D253,$C$5:$AU$502,3,))*$E253)</f>
        <v>0</v>
      </c>
      <c r="J253" s="66">
        <f>IF(VLOOKUP($D253,$C$5:$AU$502,3,)=0,0,(VLOOKUP($D253,$C$5:$AU$502,8,)/VLOOKUP($D253,$C$5:$AU$502,3,))*$E253)</f>
        <v>0</v>
      </c>
      <c r="K253" s="66">
        <f>IF(VLOOKUP($D253,$C$5:$AU$502,3,)=0,0,(VLOOKUP($D253,$C$5:$AU$502,9,)/VLOOKUP($D253,$C$5:$AU$502,3,))*$E253)</f>
        <v>0</v>
      </c>
      <c r="L253" s="66">
        <f>IF(VLOOKUP($D253,$C$5:$AU$502,3,)=0,0,(VLOOKUP($D253,$C$5:$AU$502,10,)/VLOOKUP($D253,$C$5:$AU$502,3,))*$E253)</f>
        <v>0</v>
      </c>
      <c r="M253" s="66">
        <f>IF(VLOOKUP($D253,$C$5:$AU$502,3,)=0,0,(VLOOKUP($D253,$C$5:$AU$502,11,)/VLOOKUP($D253,$C$5:$AU$502,3,))*$E253)</f>
        <v>0</v>
      </c>
      <c r="N253" s="66">
        <f>IF(VLOOKUP($D253,$C$5:$AU$502,3,)=0,0,(VLOOKUP($D253,$C$5:$AU$502,12,)/VLOOKUP($D253,$C$5:$AU$502,3,))*$E253)</f>
        <v>0</v>
      </c>
      <c r="O253" s="66">
        <f>IF(VLOOKUP($D253,$C$5:$AU$502,3,)=0,0,(VLOOKUP($D253,$C$5:$AU$502,13,)/VLOOKUP($D253,$C$5:$AU$502,3,))*$E253)</f>
        <v>0</v>
      </c>
      <c r="P253" s="66">
        <f>IF(VLOOKUP($D253,$C$5:$AU$502,3,)=0,0,(VLOOKUP($D253,$C$5:$AU$502,14,)/VLOOKUP($D253,$C$5:$AU$502,3,))*$E253)</f>
        <v>0</v>
      </c>
      <c r="Q253" s="66">
        <f>IF(VLOOKUP($D253,$C$5:$AU$502,3,)=0,0,(VLOOKUP($D253,$C$5:$AU$502,15,)/VLOOKUP($D253,$C$5:$AU$502,3,))*$E253)</f>
        <v>0</v>
      </c>
      <c r="R253" s="66">
        <f>IF(VLOOKUP($D253,$C$5:$AU$502,3,)=0,0,(VLOOKUP($D253,$C$5:$AU$502,16,)/VLOOKUP($D253,$C$5:$AU$502,3,))*$E253)</f>
        <v>0</v>
      </c>
      <c r="S253" s="66">
        <f>IF(VLOOKUP($D253,$C$5:$AU$502,3,)=0,0,(VLOOKUP($D253,$C$5:$AU$502,17,)/VLOOKUP($D253,$C$5:$AU$502,3,))*$E253)</f>
        <v>0</v>
      </c>
      <c r="T253" s="66">
        <f>IF(VLOOKUP($D253,$C$5:$AU$502,3,)=0,0,(VLOOKUP($D253,$C$5:$AU$502,18,)/VLOOKUP($D253,$C$5:$AU$502,3,))*$E253)</f>
        <v>0</v>
      </c>
      <c r="U253" s="66">
        <f>IF(VLOOKUP($D253,$C$5:$AU$502,3,)=0,0,(VLOOKUP($D253,$C$5:$AU$502,19,)/VLOOKUP($D253,$C$5:$AU$502,3,))*$E253)</f>
        <v>0</v>
      </c>
      <c r="V253" s="66">
        <f>IF(VLOOKUP($D253,$C$5:$AU$502,3,)=0,0,(VLOOKUP($D253,$C$5:$AU$502,20,)/VLOOKUP($D253,$C$5:$AU$502,3,))*$E253)</f>
        <v>0</v>
      </c>
      <c r="W253" s="66">
        <f>IF(VLOOKUP($D253,$C$5:$AU$502,3,)=0,0,(VLOOKUP($D253,$C$5:$AU$502,21,)/VLOOKUP($D253,$C$5:$AU$502,3,))*$E253)</f>
        <v>0</v>
      </c>
      <c r="X253" s="66">
        <f>IF(VLOOKUP($D253,$C$5:$AU$502,3,)=0,0,(VLOOKUP($D253,$C$5:$AU$502,22,)/VLOOKUP($D253,$C$5:$AU$502,3,))*$E253)</f>
        <v>0</v>
      </c>
      <c r="Y253" s="66">
        <f>IF(VLOOKUP($D253,$C$5:$AU$502,3,)=0,0,(VLOOKUP($D253,$C$5:$AU$502,23,)/VLOOKUP($D253,$C$5:$AU$502,3,))*$E253)</f>
        <v>0</v>
      </c>
      <c r="Z253" s="66">
        <f>IF(VLOOKUP($D253,$C$5:$AU$502,3,)=0,0,(VLOOKUP($D253,$C$5:$AU$502,24,)/VLOOKUP($D253,$C$5:$AU$502,3,))*$E253)</f>
        <v>0</v>
      </c>
      <c r="AA253" s="66">
        <f>IF(VLOOKUP($D253,$C$5:$AU$502,3,)=0,0,(VLOOKUP($D253,$C$5:$AU$502,25,)/VLOOKUP($D253,$C$5:$AU$502,3,))*$E253)</f>
        <v>0</v>
      </c>
      <c r="AB253" s="66">
        <f>IF(VLOOKUP($D253,$C$5:$AU$502,3,)=0,0,(VLOOKUP($D253,$C$5:$AU$502,26,)/VLOOKUP($D253,$C$5:$AU$502,3,))*$E253)</f>
        <v>0</v>
      </c>
      <c r="AC253" s="66">
        <f>IF(VLOOKUP($D253,$C$5:$AU$502,3,)=0,0,(VLOOKUP($D253,$C$5:$AU$502,27,)/VLOOKUP($D253,$C$5:$AU$502,3,))*$E253)</f>
        <v>0</v>
      </c>
      <c r="AD253" s="66">
        <f>IF(VLOOKUP($D253,$C$5:$AU$502,3,)=0,0,(VLOOKUP($D253,$C$5:$AU$502,28,)/VLOOKUP($D253,$C$5:$AU$502,3,))*$E253)</f>
        <v>0</v>
      </c>
      <c r="AE253" s="66">
        <f>IF(VLOOKUP($D253,$C$5:$AU$502,3,)=0,0,(VLOOKUP($D253,$C$5:$AU$502,29,)/VLOOKUP($D253,$C$5:$AU$502,3,))*$E253)</f>
        <v>0</v>
      </c>
      <c r="AF253" s="66">
        <f>IF(VLOOKUP($D253,$C$5:$AU$502,3,)=0,0,(VLOOKUP($D253,$C$5:$AU$502,30,)/VLOOKUP($D253,$C$5:$AU$502,3,))*$E253)</f>
        <v>0</v>
      </c>
      <c r="AG253" s="93">
        <f>SUM(F253:AF253)</f>
        <v>0</v>
      </c>
      <c r="AH253" s="30" t="str">
        <f>IF(ABS(E253-AG253)&lt;0.01,"ok","err")</f>
        <v>ok</v>
      </c>
    </row>
    <row r="254" spans="1:34" x14ac:dyDescent="0.2">
      <c r="A254" s="96" t="s">
        <v>221</v>
      </c>
      <c r="C254" s="14" t="s">
        <v>305</v>
      </c>
      <c r="D254" s="14" t="s">
        <v>701</v>
      </c>
      <c r="E254" s="50">
        <f>'Func &amp; Classif'!S314</f>
        <v>0</v>
      </c>
      <c r="F254" s="66">
        <f>IF(VLOOKUP($D254,$C$5:$AU$502,3,)=0,0,(VLOOKUP($D254,$C$5:$AU$502,4,)/VLOOKUP($D254,$C$5:$AU$502,3,))*$E254)</f>
        <v>0</v>
      </c>
      <c r="G254" s="66">
        <f>IF(VLOOKUP($D254,$C$5:$AU$502,3,)=0,0,(VLOOKUP($D254,$C$5:$AU$502,5,)/VLOOKUP($D254,$C$5:$AU$502,3,))*$E254)</f>
        <v>0</v>
      </c>
      <c r="H254" s="66">
        <f>IF(VLOOKUP($D254,$C$5:$AU$502,3,)=0,0,(VLOOKUP($D254,$C$5:$AU$502,6,)/VLOOKUP($D254,$C$5:$AU$502,3,))*$E254)</f>
        <v>0</v>
      </c>
      <c r="I254" s="66">
        <f>IF(VLOOKUP($D254,$C$5:$AU$502,3,)=0,0,(VLOOKUP($D254,$C$5:$AU$502,7,)/VLOOKUP($D254,$C$5:$AU$502,3,))*$E254)</f>
        <v>0</v>
      </c>
      <c r="J254" s="66">
        <f>IF(VLOOKUP($D254,$C$5:$AU$502,3,)=0,0,(VLOOKUP($D254,$C$5:$AU$502,8,)/VLOOKUP($D254,$C$5:$AU$502,3,))*$E254)</f>
        <v>0</v>
      </c>
      <c r="K254" s="66">
        <f>IF(VLOOKUP($D254,$C$5:$AU$502,3,)=0,0,(VLOOKUP($D254,$C$5:$AU$502,9,)/VLOOKUP($D254,$C$5:$AU$502,3,))*$E254)</f>
        <v>0</v>
      </c>
      <c r="L254" s="66">
        <f>IF(VLOOKUP($D254,$C$5:$AU$502,3,)=0,0,(VLOOKUP($D254,$C$5:$AU$502,10,)/VLOOKUP($D254,$C$5:$AU$502,3,))*$E254)</f>
        <v>0</v>
      </c>
      <c r="M254" s="66">
        <f>IF(VLOOKUP($D254,$C$5:$AU$502,3,)=0,0,(VLOOKUP($D254,$C$5:$AU$502,11,)/VLOOKUP($D254,$C$5:$AU$502,3,))*$E254)</f>
        <v>0</v>
      </c>
      <c r="N254" s="66">
        <f>IF(VLOOKUP($D254,$C$5:$AU$502,3,)=0,0,(VLOOKUP($D254,$C$5:$AU$502,12,)/VLOOKUP($D254,$C$5:$AU$502,3,))*$E254)</f>
        <v>0</v>
      </c>
      <c r="O254" s="66">
        <f>IF(VLOOKUP($D254,$C$5:$AU$502,3,)=0,0,(VLOOKUP($D254,$C$5:$AU$502,13,)/VLOOKUP($D254,$C$5:$AU$502,3,))*$E254)</f>
        <v>0</v>
      </c>
      <c r="P254" s="66">
        <f>IF(VLOOKUP($D254,$C$5:$AU$502,3,)=0,0,(VLOOKUP($D254,$C$5:$AU$502,14,)/VLOOKUP($D254,$C$5:$AU$502,3,))*$E254)</f>
        <v>0</v>
      </c>
      <c r="Q254" s="66">
        <f>IF(VLOOKUP($D254,$C$5:$AU$502,3,)=0,0,(VLOOKUP($D254,$C$5:$AU$502,15,)/VLOOKUP($D254,$C$5:$AU$502,3,))*$E254)</f>
        <v>0</v>
      </c>
      <c r="R254" s="66">
        <f>IF(VLOOKUP($D254,$C$5:$AU$502,3,)=0,0,(VLOOKUP($D254,$C$5:$AU$502,16,)/VLOOKUP($D254,$C$5:$AU$502,3,))*$E254)</f>
        <v>0</v>
      </c>
      <c r="S254" s="66">
        <f>IF(VLOOKUP($D254,$C$5:$AU$502,3,)=0,0,(VLOOKUP($D254,$C$5:$AU$502,17,)/VLOOKUP($D254,$C$5:$AU$502,3,))*$E254)</f>
        <v>0</v>
      </c>
      <c r="T254" s="66">
        <f>IF(VLOOKUP($D254,$C$5:$AU$502,3,)=0,0,(VLOOKUP($D254,$C$5:$AU$502,18,)/VLOOKUP($D254,$C$5:$AU$502,3,))*$E254)</f>
        <v>0</v>
      </c>
      <c r="U254" s="66">
        <f>IF(VLOOKUP($D254,$C$5:$AU$502,3,)=0,0,(VLOOKUP($D254,$C$5:$AU$502,19,)/VLOOKUP($D254,$C$5:$AU$502,3,))*$E254)</f>
        <v>0</v>
      </c>
      <c r="V254" s="66">
        <f>IF(VLOOKUP($D254,$C$5:$AU$502,3,)=0,0,(VLOOKUP($D254,$C$5:$AU$502,20,)/VLOOKUP($D254,$C$5:$AU$502,3,))*$E254)</f>
        <v>0</v>
      </c>
      <c r="W254" s="66">
        <f>IF(VLOOKUP($D254,$C$5:$AU$502,3,)=0,0,(VLOOKUP($D254,$C$5:$AU$502,21,)/VLOOKUP($D254,$C$5:$AU$502,3,))*$E254)</f>
        <v>0</v>
      </c>
      <c r="X254" s="66">
        <f>IF(VLOOKUP($D254,$C$5:$AU$502,3,)=0,0,(VLOOKUP($D254,$C$5:$AU$502,22,)/VLOOKUP($D254,$C$5:$AU$502,3,))*$E254)</f>
        <v>0</v>
      </c>
      <c r="Y254" s="66">
        <f>IF(VLOOKUP($D254,$C$5:$AU$502,3,)=0,0,(VLOOKUP($D254,$C$5:$AU$502,23,)/VLOOKUP($D254,$C$5:$AU$502,3,))*$E254)</f>
        <v>0</v>
      </c>
      <c r="Z254" s="66">
        <f>IF(VLOOKUP($D254,$C$5:$AU$502,3,)=0,0,(VLOOKUP($D254,$C$5:$AU$502,24,)/VLOOKUP($D254,$C$5:$AU$502,3,))*$E254)</f>
        <v>0</v>
      </c>
      <c r="AA254" s="66">
        <f>IF(VLOOKUP($D254,$C$5:$AU$502,3,)=0,0,(VLOOKUP($D254,$C$5:$AU$502,25,)/VLOOKUP($D254,$C$5:$AU$502,3,))*$E254)</f>
        <v>0</v>
      </c>
      <c r="AB254" s="66">
        <f>IF(VLOOKUP($D254,$C$5:$AU$502,3,)=0,0,(VLOOKUP($D254,$C$5:$AU$502,26,)/VLOOKUP($D254,$C$5:$AU$502,3,))*$E254)</f>
        <v>0</v>
      </c>
      <c r="AC254" s="66">
        <f>IF(VLOOKUP($D254,$C$5:$AU$502,3,)=0,0,(VLOOKUP($D254,$C$5:$AU$502,27,)/VLOOKUP($D254,$C$5:$AU$502,3,))*$E254)</f>
        <v>0</v>
      </c>
      <c r="AD254" s="66">
        <f>IF(VLOOKUP($D254,$C$5:$AU$502,3,)=0,0,(VLOOKUP($D254,$C$5:$AU$502,28,)/VLOOKUP($D254,$C$5:$AU$502,3,))*$E254)</f>
        <v>0</v>
      </c>
      <c r="AE254" s="66">
        <f>IF(VLOOKUP($D254,$C$5:$AU$502,3,)=0,0,(VLOOKUP($D254,$C$5:$AU$502,29,)/VLOOKUP($D254,$C$5:$AU$502,3,))*$E254)</f>
        <v>0</v>
      </c>
      <c r="AF254" s="66">
        <f>IF(VLOOKUP($D254,$C$5:$AU$502,3,)=0,0,(VLOOKUP($D254,$C$5:$AU$502,30,)/VLOOKUP($D254,$C$5:$AU$502,3,))*$E254)</f>
        <v>0</v>
      </c>
      <c r="AG254" s="93">
        <f>SUM(F254:AF254)</f>
        <v>0</v>
      </c>
      <c r="AH254" s="30" t="str">
        <f>IF(ABS(E254-AG254)&lt;0.01,"ok","err")</f>
        <v>ok</v>
      </c>
    </row>
    <row r="255" spans="1:34" x14ac:dyDescent="0.2">
      <c r="A255" s="14" t="s">
        <v>228</v>
      </c>
      <c r="E255" s="66">
        <f t="shared" ref="E255:T255" si="53">E253+E254</f>
        <v>0</v>
      </c>
      <c r="F255" s="66">
        <f t="shared" si="53"/>
        <v>0</v>
      </c>
      <c r="G255" s="66">
        <f t="shared" si="53"/>
        <v>0</v>
      </c>
      <c r="H255" s="66">
        <f t="shared" si="53"/>
        <v>0</v>
      </c>
      <c r="I255" s="66">
        <f t="shared" si="53"/>
        <v>0</v>
      </c>
      <c r="J255" s="66">
        <f t="shared" si="53"/>
        <v>0</v>
      </c>
      <c r="K255" s="66">
        <f t="shared" si="53"/>
        <v>0</v>
      </c>
      <c r="L255" s="66">
        <f t="shared" si="53"/>
        <v>0</v>
      </c>
      <c r="M255" s="66">
        <f t="shared" si="53"/>
        <v>0</v>
      </c>
      <c r="N255" s="66">
        <f t="shared" si="53"/>
        <v>0</v>
      </c>
      <c r="O255" s="66">
        <f t="shared" si="53"/>
        <v>0</v>
      </c>
      <c r="P255" s="66">
        <f t="shared" si="53"/>
        <v>0</v>
      </c>
      <c r="Q255" s="66">
        <f t="shared" si="53"/>
        <v>0</v>
      </c>
      <c r="R255" s="66">
        <f t="shared" si="53"/>
        <v>0</v>
      </c>
      <c r="S255" s="66">
        <f t="shared" si="53"/>
        <v>0</v>
      </c>
      <c r="T255" s="66">
        <f t="shared" si="53"/>
        <v>0</v>
      </c>
      <c r="U255" s="66">
        <f t="shared" ref="U255:AF255" si="54">U253+U254</f>
        <v>0</v>
      </c>
      <c r="V255" s="66">
        <f t="shared" si="54"/>
        <v>0</v>
      </c>
      <c r="W255" s="66">
        <f t="shared" si="54"/>
        <v>0</v>
      </c>
      <c r="X255" s="66">
        <f t="shared" si="54"/>
        <v>0</v>
      </c>
      <c r="Y255" s="66">
        <f t="shared" si="54"/>
        <v>0</v>
      </c>
      <c r="Z255" s="66">
        <f t="shared" si="54"/>
        <v>0</v>
      </c>
      <c r="AA255" s="66">
        <f t="shared" si="54"/>
        <v>0</v>
      </c>
      <c r="AB255" s="66">
        <f t="shared" si="54"/>
        <v>0</v>
      </c>
      <c r="AC255" s="66">
        <f t="shared" si="54"/>
        <v>0</v>
      </c>
      <c r="AD255" s="66">
        <f t="shared" si="54"/>
        <v>0</v>
      </c>
      <c r="AE255" s="66">
        <f t="shared" si="54"/>
        <v>0</v>
      </c>
      <c r="AF255" s="66">
        <f t="shared" si="54"/>
        <v>0</v>
      </c>
      <c r="AG255" s="93">
        <f>SUM(F255:AF255)</f>
        <v>0</v>
      </c>
      <c r="AH255" s="30" t="str">
        <f>IF(ABS(E255-AG255)&lt;0.01,"ok","err")</f>
        <v>ok</v>
      </c>
    </row>
    <row r="256" spans="1:34" x14ac:dyDescent="0.2">
      <c r="E256" s="50"/>
    </row>
    <row r="257" spans="1:34" x14ac:dyDescent="0.2">
      <c r="A257" s="13" t="s">
        <v>4</v>
      </c>
      <c r="E257" s="50"/>
    </row>
    <row r="258" spans="1:34" x14ac:dyDescent="0.2">
      <c r="A258" s="96" t="s">
        <v>221</v>
      </c>
      <c r="C258" s="14" t="s">
        <v>306</v>
      </c>
      <c r="D258" s="14" t="s">
        <v>230</v>
      </c>
      <c r="E258" s="66">
        <f>'Func &amp; Classif'!U314</f>
        <v>0</v>
      </c>
      <c r="F258" s="66">
        <f>IF(VLOOKUP($D258,$C$5:$AU$502,3,)=0,0,(VLOOKUP($D258,$C$5:$AU$502,4,)/VLOOKUP($D258,$C$5:$AU$502,3,))*$E258)</f>
        <v>0</v>
      </c>
      <c r="G258" s="66">
        <f>IF(VLOOKUP($D258,$C$5:$AU$502,3,)=0,0,(VLOOKUP($D258,$C$5:$AU$502,5,)/VLOOKUP($D258,$C$5:$AU$502,3,))*$E258)</f>
        <v>0</v>
      </c>
      <c r="H258" s="66">
        <f>IF(VLOOKUP($D258,$C$5:$AU$502,3,)=0,0,(VLOOKUP($D258,$C$5:$AU$502,6,)/VLOOKUP($D258,$C$5:$AU$502,3,))*$E258)</f>
        <v>0</v>
      </c>
      <c r="I258" s="66">
        <f>IF(VLOOKUP($D258,$C$5:$AU$502,3,)=0,0,(VLOOKUP($D258,$C$5:$AU$502,7,)/VLOOKUP($D258,$C$5:$AU$502,3,))*$E258)</f>
        <v>0</v>
      </c>
      <c r="J258" s="66">
        <f>IF(VLOOKUP($D258,$C$5:$AU$502,3,)=0,0,(VLOOKUP($D258,$C$5:$AU$502,8,)/VLOOKUP($D258,$C$5:$AU$502,3,))*$E258)</f>
        <v>0</v>
      </c>
      <c r="K258" s="66">
        <f>IF(VLOOKUP($D258,$C$5:$AU$502,3,)=0,0,(VLOOKUP($D258,$C$5:$AU$502,9,)/VLOOKUP($D258,$C$5:$AU$502,3,))*$E258)</f>
        <v>0</v>
      </c>
      <c r="L258" s="66">
        <f>IF(VLOOKUP($D258,$C$5:$AU$502,3,)=0,0,(VLOOKUP($D258,$C$5:$AU$502,10,)/VLOOKUP($D258,$C$5:$AU$502,3,))*$E258)</f>
        <v>0</v>
      </c>
      <c r="M258" s="66">
        <f>IF(VLOOKUP($D258,$C$5:$AU$502,3,)=0,0,(VLOOKUP($D258,$C$5:$AU$502,11,)/VLOOKUP($D258,$C$5:$AU$502,3,))*$E258)</f>
        <v>0</v>
      </c>
      <c r="N258" s="66">
        <f>IF(VLOOKUP($D258,$C$5:$AU$502,3,)=0,0,(VLOOKUP($D258,$C$5:$AU$502,12,)/VLOOKUP($D258,$C$5:$AU$502,3,))*$E258)</f>
        <v>0</v>
      </c>
      <c r="O258" s="66">
        <f>IF(VLOOKUP($D258,$C$5:$AU$502,3,)=0,0,(VLOOKUP($D258,$C$5:$AU$502,13,)/VLOOKUP($D258,$C$5:$AU$502,3,))*$E258)</f>
        <v>0</v>
      </c>
      <c r="P258" s="66">
        <f>IF(VLOOKUP($D258,$C$5:$AU$502,3,)=0,0,(VLOOKUP($D258,$C$5:$AU$502,14,)/VLOOKUP($D258,$C$5:$AU$502,3,))*$E258)</f>
        <v>0</v>
      </c>
      <c r="Q258" s="66">
        <f>IF(VLOOKUP($D258,$C$5:$AU$502,3,)=0,0,(VLOOKUP($D258,$C$5:$AU$502,15,)/VLOOKUP($D258,$C$5:$AU$502,3,))*$E258)</f>
        <v>0</v>
      </c>
      <c r="R258" s="66">
        <f>IF(VLOOKUP($D258,$C$5:$AU$502,3,)=0,0,(VLOOKUP($D258,$C$5:$AU$502,16,)/VLOOKUP($D258,$C$5:$AU$502,3,))*$E258)</f>
        <v>0</v>
      </c>
      <c r="S258" s="66">
        <f>IF(VLOOKUP($D258,$C$5:$AU$502,3,)=0,0,(VLOOKUP($D258,$C$5:$AU$502,17,)/VLOOKUP($D258,$C$5:$AU$502,3,))*$E258)</f>
        <v>0</v>
      </c>
      <c r="T258" s="66">
        <f>IF(VLOOKUP($D258,$C$5:$AU$502,3,)=0,0,(VLOOKUP($D258,$C$5:$AU$502,18,)/VLOOKUP($D258,$C$5:$AU$502,3,))*$E258)</f>
        <v>0</v>
      </c>
      <c r="U258" s="66">
        <f>IF(VLOOKUP($D258,$C$5:$AU$502,3,)=0,0,(VLOOKUP($D258,$C$5:$AU$502,19,)/VLOOKUP($D258,$C$5:$AU$502,3,))*$E258)</f>
        <v>0</v>
      </c>
      <c r="V258" s="66">
        <f>IF(VLOOKUP($D258,$C$5:$AU$502,3,)=0,0,(VLOOKUP($D258,$C$5:$AU$502,20,)/VLOOKUP($D258,$C$5:$AU$502,3,))*$E258)</f>
        <v>0</v>
      </c>
      <c r="W258" s="66">
        <f>IF(VLOOKUP($D258,$C$5:$AU$502,3,)=0,0,(VLOOKUP($D258,$C$5:$AU$502,21,)/VLOOKUP($D258,$C$5:$AU$502,3,))*$E258)</f>
        <v>0</v>
      </c>
      <c r="X258" s="66">
        <f>IF(VLOOKUP($D258,$C$5:$AU$502,3,)=0,0,(VLOOKUP($D258,$C$5:$AU$502,22,)/VLOOKUP($D258,$C$5:$AU$502,3,))*$E258)</f>
        <v>0</v>
      </c>
      <c r="Y258" s="66">
        <f>IF(VLOOKUP($D258,$C$5:$AU$502,3,)=0,0,(VLOOKUP($D258,$C$5:$AU$502,23,)/VLOOKUP($D258,$C$5:$AU$502,3,))*$E258)</f>
        <v>0</v>
      </c>
      <c r="Z258" s="66">
        <f>IF(VLOOKUP($D258,$C$5:$AU$502,3,)=0,0,(VLOOKUP($D258,$C$5:$AU$502,24,)/VLOOKUP($D258,$C$5:$AU$502,3,))*$E258)</f>
        <v>0</v>
      </c>
      <c r="AA258" s="66">
        <f>IF(VLOOKUP($D258,$C$5:$AU$502,3,)=0,0,(VLOOKUP($D258,$C$5:$AU$502,25,)/VLOOKUP($D258,$C$5:$AU$502,3,))*$E258)</f>
        <v>0</v>
      </c>
      <c r="AB258" s="66">
        <f>IF(VLOOKUP($D258,$C$5:$AU$502,3,)=0,0,(VLOOKUP($D258,$C$5:$AU$502,26,)/VLOOKUP($D258,$C$5:$AU$502,3,))*$E258)</f>
        <v>0</v>
      </c>
      <c r="AC258" s="66">
        <f>IF(VLOOKUP($D258,$C$5:$AU$502,3,)=0,0,(VLOOKUP($D258,$C$5:$AU$502,27,)/VLOOKUP($D258,$C$5:$AU$502,3,))*$E258)</f>
        <v>0</v>
      </c>
      <c r="AD258" s="66">
        <f>IF(VLOOKUP($D258,$C$5:$AU$502,3,)=0,0,(VLOOKUP($D258,$C$5:$AU$502,28,)/VLOOKUP($D258,$C$5:$AU$502,3,))*$E258)</f>
        <v>0</v>
      </c>
      <c r="AE258" s="66">
        <f>IF(VLOOKUP($D258,$C$5:$AU$502,3,)=0,0,(VLOOKUP($D258,$C$5:$AU$502,29,)/VLOOKUP($D258,$C$5:$AU$502,3,))*$E258)</f>
        <v>0</v>
      </c>
      <c r="AF258" s="66">
        <f>IF(VLOOKUP($D258,$C$5:$AU$502,3,)=0,0,(VLOOKUP($D258,$C$5:$AU$502,30,)/VLOOKUP($D258,$C$5:$AU$502,3,))*$E258)</f>
        <v>0</v>
      </c>
      <c r="AG258" s="93">
        <f>SUM(F258:AF258)</f>
        <v>0</v>
      </c>
      <c r="AH258" s="30" t="str">
        <f>IF(ABS(E258-AG258)&lt;0.01,"ok","err")</f>
        <v>ok</v>
      </c>
    </row>
    <row r="259" spans="1:34" x14ac:dyDescent="0.2">
      <c r="E259" s="50"/>
    </row>
    <row r="260" spans="1:34" x14ac:dyDescent="0.2">
      <c r="A260" s="13" t="s">
        <v>5</v>
      </c>
      <c r="E260" s="50"/>
    </row>
    <row r="261" spans="1:34" x14ac:dyDescent="0.2">
      <c r="A261" s="96" t="s">
        <v>221</v>
      </c>
      <c r="C261" s="14" t="s">
        <v>307</v>
      </c>
      <c r="D261" s="14" t="s">
        <v>232</v>
      </c>
      <c r="E261" s="66">
        <f>'Func &amp; Classif'!W314</f>
        <v>0</v>
      </c>
      <c r="F261" s="66">
        <f>IF(VLOOKUP($D261,$C$5:$AU$502,3,)=0,0,(VLOOKUP($D261,$C$5:$AU$502,4,)/VLOOKUP($D261,$C$5:$AU$502,3,))*$E261)</f>
        <v>0</v>
      </c>
      <c r="G261" s="66">
        <f>IF(VLOOKUP($D261,$C$5:$AU$502,3,)=0,0,(VLOOKUP($D261,$C$5:$AU$502,5,)/VLOOKUP($D261,$C$5:$AU$502,3,))*$E261)</f>
        <v>0</v>
      </c>
      <c r="H261" s="66">
        <f>IF(VLOOKUP($D261,$C$5:$AU$502,3,)=0,0,(VLOOKUP($D261,$C$5:$AU$502,6,)/VLOOKUP($D261,$C$5:$AU$502,3,))*$E261)</f>
        <v>0</v>
      </c>
      <c r="I261" s="66">
        <f>IF(VLOOKUP($D261,$C$5:$AU$502,3,)=0,0,(VLOOKUP($D261,$C$5:$AU$502,7,)/VLOOKUP($D261,$C$5:$AU$502,3,))*$E261)</f>
        <v>0</v>
      </c>
      <c r="J261" s="66">
        <f>IF(VLOOKUP($D261,$C$5:$AU$502,3,)=0,0,(VLOOKUP($D261,$C$5:$AU$502,8,)/VLOOKUP($D261,$C$5:$AU$502,3,))*$E261)</f>
        <v>0</v>
      </c>
      <c r="K261" s="66">
        <f>IF(VLOOKUP($D261,$C$5:$AU$502,3,)=0,0,(VLOOKUP($D261,$C$5:$AU$502,9,)/VLOOKUP($D261,$C$5:$AU$502,3,))*$E261)</f>
        <v>0</v>
      </c>
      <c r="L261" s="66">
        <f>IF(VLOOKUP($D261,$C$5:$AU$502,3,)=0,0,(VLOOKUP($D261,$C$5:$AU$502,10,)/VLOOKUP($D261,$C$5:$AU$502,3,))*$E261)</f>
        <v>0</v>
      </c>
      <c r="M261" s="66">
        <f>IF(VLOOKUP($D261,$C$5:$AU$502,3,)=0,0,(VLOOKUP($D261,$C$5:$AU$502,11,)/VLOOKUP($D261,$C$5:$AU$502,3,))*$E261)</f>
        <v>0</v>
      </c>
      <c r="N261" s="66">
        <f>IF(VLOOKUP($D261,$C$5:$AU$502,3,)=0,0,(VLOOKUP($D261,$C$5:$AU$502,12,)/VLOOKUP($D261,$C$5:$AU$502,3,))*$E261)</f>
        <v>0</v>
      </c>
      <c r="O261" s="66">
        <f>IF(VLOOKUP($D261,$C$5:$AU$502,3,)=0,0,(VLOOKUP($D261,$C$5:$AU$502,13,)/VLOOKUP($D261,$C$5:$AU$502,3,))*$E261)</f>
        <v>0</v>
      </c>
      <c r="P261" s="66">
        <f>IF(VLOOKUP($D261,$C$5:$AU$502,3,)=0,0,(VLOOKUP($D261,$C$5:$AU$502,14,)/VLOOKUP($D261,$C$5:$AU$502,3,))*$E261)</f>
        <v>0</v>
      </c>
      <c r="Q261" s="66">
        <f>IF(VLOOKUP($D261,$C$5:$AU$502,3,)=0,0,(VLOOKUP($D261,$C$5:$AU$502,15,)/VLOOKUP($D261,$C$5:$AU$502,3,))*$E261)</f>
        <v>0</v>
      </c>
      <c r="R261" s="66">
        <f>IF(VLOOKUP($D261,$C$5:$AU$502,3,)=0,0,(VLOOKUP($D261,$C$5:$AU$502,16,)/VLOOKUP($D261,$C$5:$AU$502,3,))*$E261)</f>
        <v>0</v>
      </c>
      <c r="S261" s="66">
        <f>IF(VLOOKUP($D261,$C$5:$AU$502,3,)=0,0,(VLOOKUP($D261,$C$5:$AU$502,17,)/VLOOKUP($D261,$C$5:$AU$502,3,))*$E261)</f>
        <v>0</v>
      </c>
      <c r="T261" s="66">
        <f>IF(VLOOKUP($D261,$C$5:$AU$502,3,)=0,0,(VLOOKUP($D261,$C$5:$AU$502,18,)/VLOOKUP($D261,$C$5:$AU$502,3,))*$E261)</f>
        <v>0</v>
      </c>
      <c r="U261" s="66">
        <f>IF(VLOOKUP($D261,$C$5:$AU$502,3,)=0,0,(VLOOKUP($D261,$C$5:$AU$502,19,)/VLOOKUP($D261,$C$5:$AU$502,3,))*$E261)</f>
        <v>0</v>
      </c>
      <c r="V261" s="66">
        <f>IF(VLOOKUP($D261,$C$5:$AU$502,3,)=0,0,(VLOOKUP($D261,$C$5:$AU$502,20,)/VLOOKUP($D261,$C$5:$AU$502,3,))*$E261)</f>
        <v>0</v>
      </c>
      <c r="W261" s="66">
        <f>IF(VLOOKUP($D261,$C$5:$AU$502,3,)=0,0,(VLOOKUP($D261,$C$5:$AU$502,21,)/VLOOKUP($D261,$C$5:$AU$502,3,))*$E261)</f>
        <v>0</v>
      </c>
      <c r="X261" s="66">
        <f>IF(VLOOKUP($D261,$C$5:$AU$502,3,)=0,0,(VLOOKUP($D261,$C$5:$AU$502,22,)/VLOOKUP($D261,$C$5:$AU$502,3,))*$E261)</f>
        <v>0</v>
      </c>
      <c r="Y261" s="66">
        <f>IF(VLOOKUP($D261,$C$5:$AU$502,3,)=0,0,(VLOOKUP($D261,$C$5:$AU$502,23,)/VLOOKUP($D261,$C$5:$AU$502,3,))*$E261)</f>
        <v>0</v>
      </c>
      <c r="Z261" s="66">
        <f>IF(VLOOKUP($D261,$C$5:$AU$502,3,)=0,0,(VLOOKUP($D261,$C$5:$AU$502,24,)/VLOOKUP($D261,$C$5:$AU$502,3,))*$E261)</f>
        <v>0</v>
      </c>
      <c r="AA261" s="66">
        <f>IF(VLOOKUP($D261,$C$5:$AU$502,3,)=0,0,(VLOOKUP($D261,$C$5:$AU$502,25,)/VLOOKUP($D261,$C$5:$AU$502,3,))*$E261)</f>
        <v>0</v>
      </c>
      <c r="AB261" s="66">
        <f>IF(VLOOKUP($D261,$C$5:$AU$502,3,)=0,0,(VLOOKUP($D261,$C$5:$AU$502,26,)/VLOOKUP($D261,$C$5:$AU$502,3,))*$E261)</f>
        <v>0</v>
      </c>
      <c r="AC261" s="66">
        <f>IF(VLOOKUP($D261,$C$5:$AU$502,3,)=0,0,(VLOOKUP($D261,$C$5:$AU$502,27,)/VLOOKUP($D261,$C$5:$AU$502,3,))*$E261)</f>
        <v>0</v>
      </c>
      <c r="AD261" s="66">
        <f>IF(VLOOKUP($D261,$C$5:$AU$502,3,)=0,0,(VLOOKUP($D261,$C$5:$AU$502,28,)/VLOOKUP($D261,$C$5:$AU$502,3,))*$E261)</f>
        <v>0</v>
      </c>
      <c r="AE261" s="66">
        <f>IF(VLOOKUP($D261,$C$5:$AU$502,3,)=0,0,(VLOOKUP($D261,$C$5:$AU$502,29,)/VLOOKUP($D261,$C$5:$AU$502,3,))*$E261)</f>
        <v>0</v>
      </c>
      <c r="AF261" s="66">
        <f>IF(VLOOKUP($D261,$C$5:$AU$502,3,)=0,0,(VLOOKUP($D261,$C$5:$AU$502,30,)/VLOOKUP($D261,$C$5:$AU$502,3,))*$E261)</f>
        <v>0</v>
      </c>
      <c r="AG261" s="93">
        <f>SUM(F261:AF261)</f>
        <v>0</v>
      </c>
      <c r="AH261" s="30" t="str">
        <f>IF(ABS(E261-AG261)&lt;0.01,"ok","err")</f>
        <v>ok</v>
      </c>
    </row>
    <row r="262" spans="1:34" x14ac:dyDescent="0.2">
      <c r="E262" s="50"/>
    </row>
    <row r="263" spans="1:34" x14ac:dyDescent="0.2">
      <c r="A263" s="13" t="s">
        <v>545</v>
      </c>
      <c r="E263" s="50"/>
    </row>
    <row r="264" spans="1:34" x14ac:dyDescent="0.2">
      <c r="A264" s="96" t="s">
        <v>221</v>
      </c>
      <c r="C264" s="14" t="s">
        <v>308</v>
      </c>
      <c r="D264" s="14" t="s">
        <v>234</v>
      </c>
      <c r="E264" s="66">
        <f>'Func &amp; Classif'!Y314</f>
        <v>0</v>
      </c>
      <c r="F264" s="66">
        <f>IF(VLOOKUP($D264,$C$5:$AU$502,3,)=0,0,(VLOOKUP($D264,$C$5:$AU$502,4,)/VLOOKUP($D264,$C$5:$AU$502,3,))*$E264)</f>
        <v>0</v>
      </c>
      <c r="G264" s="66">
        <f>IF(VLOOKUP($D264,$C$5:$AU$502,3,)=0,0,(VLOOKUP($D264,$C$5:$AU$502,5,)/VLOOKUP($D264,$C$5:$AU$502,3,))*$E264)</f>
        <v>0</v>
      </c>
      <c r="H264" s="66">
        <f>IF(VLOOKUP($D264,$C$5:$AU$502,3,)=0,0,(VLOOKUP($D264,$C$5:$AU$502,6,)/VLOOKUP($D264,$C$5:$AU$502,3,))*$E264)</f>
        <v>0</v>
      </c>
      <c r="I264" s="66">
        <f>IF(VLOOKUP($D264,$C$5:$AU$502,3,)=0,0,(VLOOKUP($D264,$C$5:$AU$502,7,)/VLOOKUP($D264,$C$5:$AU$502,3,))*$E264)</f>
        <v>0</v>
      </c>
      <c r="J264" s="66">
        <f>IF(VLOOKUP($D264,$C$5:$AU$502,3,)=0,0,(VLOOKUP($D264,$C$5:$AU$502,8,)/VLOOKUP($D264,$C$5:$AU$502,3,))*$E264)</f>
        <v>0</v>
      </c>
      <c r="K264" s="66">
        <f>IF(VLOOKUP($D264,$C$5:$AU$502,3,)=0,0,(VLOOKUP($D264,$C$5:$AU$502,9,)/VLOOKUP($D264,$C$5:$AU$502,3,))*$E264)</f>
        <v>0</v>
      </c>
      <c r="L264" s="66">
        <f>IF(VLOOKUP($D264,$C$5:$AU$502,3,)=0,0,(VLOOKUP($D264,$C$5:$AU$502,10,)/VLOOKUP($D264,$C$5:$AU$502,3,))*$E264)</f>
        <v>0</v>
      </c>
      <c r="M264" s="66">
        <f>IF(VLOOKUP($D264,$C$5:$AU$502,3,)=0,0,(VLOOKUP($D264,$C$5:$AU$502,11,)/VLOOKUP($D264,$C$5:$AU$502,3,))*$E264)</f>
        <v>0</v>
      </c>
      <c r="N264" s="66">
        <f>IF(VLOOKUP($D264,$C$5:$AU$502,3,)=0,0,(VLOOKUP($D264,$C$5:$AU$502,12,)/VLOOKUP($D264,$C$5:$AU$502,3,))*$E264)</f>
        <v>0</v>
      </c>
      <c r="O264" s="66">
        <f>IF(VLOOKUP($D264,$C$5:$AU$502,3,)=0,0,(VLOOKUP($D264,$C$5:$AU$502,13,)/VLOOKUP($D264,$C$5:$AU$502,3,))*$E264)</f>
        <v>0</v>
      </c>
      <c r="P264" s="66">
        <f>IF(VLOOKUP($D264,$C$5:$AU$502,3,)=0,0,(VLOOKUP($D264,$C$5:$AU$502,14,)/VLOOKUP($D264,$C$5:$AU$502,3,))*$E264)</f>
        <v>0</v>
      </c>
      <c r="Q264" s="66">
        <f>IF(VLOOKUP($D264,$C$5:$AU$502,3,)=0,0,(VLOOKUP($D264,$C$5:$AU$502,15,)/VLOOKUP($D264,$C$5:$AU$502,3,))*$E264)</f>
        <v>0</v>
      </c>
      <c r="R264" s="66">
        <f>IF(VLOOKUP($D264,$C$5:$AU$502,3,)=0,0,(VLOOKUP($D264,$C$5:$AU$502,16,)/VLOOKUP($D264,$C$5:$AU$502,3,))*$E264)</f>
        <v>0</v>
      </c>
      <c r="S264" s="66">
        <f>IF(VLOOKUP($D264,$C$5:$AU$502,3,)=0,0,(VLOOKUP($D264,$C$5:$AU$502,17,)/VLOOKUP($D264,$C$5:$AU$502,3,))*$E264)</f>
        <v>0</v>
      </c>
      <c r="T264" s="66">
        <f>IF(VLOOKUP($D264,$C$5:$AU$502,3,)=0,0,(VLOOKUP($D264,$C$5:$AU$502,18,)/VLOOKUP($D264,$C$5:$AU$502,3,))*$E264)</f>
        <v>0</v>
      </c>
      <c r="U264" s="66">
        <f>IF(VLOOKUP($D264,$C$5:$AU$502,3,)=0,0,(VLOOKUP($D264,$C$5:$AU$502,19,)/VLOOKUP($D264,$C$5:$AU$502,3,))*$E264)</f>
        <v>0</v>
      </c>
      <c r="V264" s="66">
        <f>IF(VLOOKUP($D264,$C$5:$AU$502,3,)=0,0,(VLOOKUP($D264,$C$5:$AU$502,20,)/VLOOKUP($D264,$C$5:$AU$502,3,))*$E264)</f>
        <v>0</v>
      </c>
      <c r="W264" s="66">
        <f>IF(VLOOKUP($D264,$C$5:$AU$502,3,)=0,0,(VLOOKUP($D264,$C$5:$AU$502,21,)/VLOOKUP($D264,$C$5:$AU$502,3,))*$E264)</f>
        <v>0</v>
      </c>
      <c r="X264" s="66">
        <f>IF(VLOOKUP($D264,$C$5:$AU$502,3,)=0,0,(VLOOKUP($D264,$C$5:$AU$502,22,)/VLOOKUP($D264,$C$5:$AU$502,3,))*$E264)</f>
        <v>0</v>
      </c>
      <c r="Y264" s="66">
        <f>IF(VLOOKUP($D264,$C$5:$AU$502,3,)=0,0,(VLOOKUP($D264,$C$5:$AU$502,23,)/VLOOKUP($D264,$C$5:$AU$502,3,))*$E264)</f>
        <v>0</v>
      </c>
      <c r="Z264" s="66">
        <f>IF(VLOOKUP($D264,$C$5:$AU$502,3,)=0,0,(VLOOKUP($D264,$C$5:$AU$502,24,)/VLOOKUP($D264,$C$5:$AU$502,3,))*$E264)</f>
        <v>0</v>
      </c>
      <c r="AA264" s="66">
        <f>IF(VLOOKUP($D264,$C$5:$AU$502,3,)=0,0,(VLOOKUP($D264,$C$5:$AU$502,25,)/VLOOKUP($D264,$C$5:$AU$502,3,))*$E264)</f>
        <v>0</v>
      </c>
      <c r="AB264" s="66">
        <f>IF(VLOOKUP($D264,$C$5:$AU$502,3,)=0,0,(VLOOKUP($D264,$C$5:$AU$502,26,)/VLOOKUP($D264,$C$5:$AU$502,3,))*$E264)</f>
        <v>0</v>
      </c>
      <c r="AC264" s="66">
        <f>IF(VLOOKUP($D264,$C$5:$AU$502,3,)=0,0,(VLOOKUP($D264,$C$5:$AU$502,27,)/VLOOKUP($D264,$C$5:$AU$502,3,))*$E264)</f>
        <v>0</v>
      </c>
      <c r="AD264" s="66">
        <f>IF(VLOOKUP($D264,$C$5:$AU$502,3,)=0,0,(VLOOKUP($D264,$C$5:$AU$502,28,)/VLOOKUP($D264,$C$5:$AU$502,3,))*$E264)</f>
        <v>0</v>
      </c>
      <c r="AE264" s="66">
        <f>IF(VLOOKUP($D264,$C$5:$AU$502,3,)=0,0,(VLOOKUP($D264,$C$5:$AU$502,29,)/VLOOKUP($D264,$C$5:$AU$502,3,))*$E264)</f>
        <v>0</v>
      </c>
      <c r="AF264" s="66">
        <f>IF(VLOOKUP($D264,$C$5:$AU$502,3,)=0,0,(VLOOKUP($D264,$C$5:$AU$502,30,)/VLOOKUP($D264,$C$5:$AU$502,3,))*$E264)</f>
        <v>0</v>
      </c>
      <c r="AG264" s="93">
        <f>SUM(F264:AF264)</f>
        <v>0</v>
      </c>
      <c r="AH264" s="30" t="str">
        <f>IF(ABS(E264-AG264)&lt;0.01,"ok","err")</f>
        <v>ok</v>
      </c>
    </row>
    <row r="265" spans="1:34" x14ac:dyDescent="0.2">
      <c r="E265" s="50"/>
    </row>
    <row r="266" spans="1:34" x14ac:dyDescent="0.2">
      <c r="A266" s="13" t="s">
        <v>470</v>
      </c>
      <c r="E266" s="50"/>
    </row>
    <row r="267" spans="1:34" x14ac:dyDescent="0.2">
      <c r="A267" s="96" t="s">
        <v>221</v>
      </c>
      <c r="C267" s="14" t="s">
        <v>305</v>
      </c>
      <c r="D267" s="14" t="s">
        <v>235</v>
      </c>
      <c r="E267" s="66">
        <f>'Func &amp; Classif'!AA314</f>
        <v>0</v>
      </c>
      <c r="F267" s="66">
        <f>IF(VLOOKUP($D267,$C$5:$AU$502,3,)=0,0,(VLOOKUP($D267,$C$5:$AU$502,4,)/VLOOKUP($D267,$C$5:$AU$502,3,))*$E267)</f>
        <v>0</v>
      </c>
      <c r="G267" s="66">
        <f>IF(VLOOKUP($D267,$C$5:$AU$502,3,)=0,0,(VLOOKUP($D267,$C$5:$AU$502,5,)/VLOOKUP($D267,$C$5:$AU$502,3,))*$E267)</f>
        <v>0</v>
      </c>
      <c r="H267" s="66">
        <f>IF(VLOOKUP($D267,$C$5:$AU$502,3,)=0,0,(VLOOKUP($D267,$C$5:$AU$502,6,)/VLOOKUP($D267,$C$5:$AU$502,3,))*$E267)</f>
        <v>0</v>
      </c>
      <c r="I267" s="66">
        <f>IF(VLOOKUP($D267,$C$5:$AU$502,3,)=0,0,(VLOOKUP($D267,$C$5:$AU$502,7,)/VLOOKUP($D267,$C$5:$AU$502,3,))*$E267)</f>
        <v>0</v>
      </c>
      <c r="J267" s="66">
        <f>IF(VLOOKUP($D267,$C$5:$AU$502,3,)=0,0,(VLOOKUP($D267,$C$5:$AU$502,8,)/VLOOKUP($D267,$C$5:$AU$502,3,))*$E267)</f>
        <v>0</v>
      </c>
      <c r="K267" s="66">
        <f>IF(VLOOKUP($D267,$C$5:$AU$502,3,)=0,0,(VLOOKUP($D267,$C$5:$AU$502,9,)/VLOOKUP($D267,$C$5:$AU$502,3,))*$E267)</f>
        <v>0</v>
      </c>
      <c r="L267" s="66">
        <f>IF(VLOOKUP($D267,$C$5:$AU$502,3,)=0,0,(VLOOKUP($D267,$C$5:$AU$502,10,)/VLOOKUP($D267,$C$5:$AU$502,3,))*$E267)</f>
        <v>0</v>
      </c>
      <c r="M267" s="66">
        <f>IF(VLOOKUP($D267,$C$5:$AU$502,3,)=0,0,(VLOOKUP($D267,$C$5:$AU$502,11,)/VLOOKUP($D267,$C$5:$AU$502,3,))*$E267)</f>
        <v>0</v>
      </c>
      <c r="N267" s="66">
        <f>IF(VLOOKUP($D267,$C$5:$AU$502,3,)=0,0,(VLOOKUP($D267,$C$5:$AU$502,12,)/VLOOKUP($D267,$C$5:$AU$502,3,))*$E267)</f>
        <v>0</v>
      </c>
      <c r="O267" s="66">
        <f>IF(VLOOKUP($D267,$C$5:$AU$502,3,)=0,0,(VLOOKUP($D267,$C$5:$AU$502,13,)/VLOOKUP($D267,$C$5:$AU$502,3,))*$E267)</f>
        <v>0</v>
      </c>
      <c r="P267" s="66">
        <f>IF(VLOOKUP($D267,$C$5:$AU$502,3,)=0,0,(VLOOKUP($D267,$C$5:$AU$502,14,)/VLOOKUP($D267,$C$5:$AU$502,3,))*$E267)</f>
        <v>0</v>
      </c>
      <c r="Q267" s="66">
        <f>IF(VLOOKUP($D267,$C$5:$AU$502,3,)=0,0,(VLOOKUP($D267,$C$5:$AU$502,15,)/VLOOKUP($D267,$C$5:$AU$502,3,))*$E267)</f>
        <v>0</v>
      </c>
      <c r="R267" s="66">
        <f>IF(VLOOKUP($D267,$C$5:$AU$502,3,)=0,0,(VLOOKUP($D267,$C$5:$AU$502,16,)/VLOOKUP($D267,$C$5:$AU$502,3,))*$E267)</f>
        <v>0</v>
      </c>
      <c r="S267" s="66">
        <f>IF(VLOOKUP($D267,$C$5:$AU$502,3,)=0,0,(VLOOKUP($D267,$C$5:$AU$502,17,)/VLOOKUP($D267,$C$5:$AU$502,3,))*$E267)</f>
        <v>0</v>
      </c>
      <c r="T267" s="66">
        <f>IF(VLOOKUP($D267,$C$5:$AU$502,3,)=0,0,(VLOOKUP($D267,$C$5:$AU$502,18,)/VLOOKUP($D267,$C$5:$AU$502,3,))*$E267)</f>
        <v>0</v>
      </c>
      <c r="U267" s="66">
        <f>IF(VLOOKUP($D267,$C$5:$AU$502,3,)=0,0,(VLOOKUP($D267,$C$5:$AU$502,19,)/VLOOKUP($D267,$C$5:$AU$502,3,))*$E267)</f>
        <v>0</v>
      </c>
      <c r="V267" s="66">
        <f>IF(VLOOKUP($D267,$C$5:$AU$502,3,)=0,0,(VLOOKUP($D267,$C$5:$AU$502,20,)/VLOOKUP($D267,$C$5:$AU$502,3,))*$E267)</f>
        <v>0</v>
      </c>
      <c r="W267" s="66">
        <f>IF(VLOOKUP($D267,$C$5:$AU$502,3,)=0,0,(VLOOKUP($D267,$C$5:$AU$502,21,)/VLOOKUP($D267,$C$5:$AU$502,3,))*$E267)</f>
        <v>0</v>
      </c>
      <c r="X267" s="66">
        <f>IF(VLOOKUP($D267,$C$5:$AU$502,3,)=0,0,(VLOOKUP($D267,$C$5:$AU$502,22,)/VLOOKUP($D267,$C$5:$AU$502,3,))*$E267)</f>
        <v>0</v>
      </c>
      <c r="Y267" s="66">
        <f>IF(VLOOKUP($D267,$C$5:$AU$502,3,)=0,0,(VLOOKUP($D267,$C$5:$AU$502,23,)/VLOOKUP($D267,$C$5:$AU$502,3,))*$E267)</f>
        <v>0</v>
      </c>
      <c r="Z267" s="66">
        <f>IF(VLOOKUP($D267,$C$5:$AU$502,3,)=0,0,(VLOOKUP($D267,$C$5:$AU$502,24,)/VLOOKUP($D267,$C$5:$AU$502,3,))*$E267)</f>
        <v>0</v>
      </c>
      <c r="AA267" s="66">
        <f>IF(VLOOKUP($D267,$C$5:$AU$502,3,)=0,0,(VLOOKUP($D267,$C$5:$AU$502,25,)/VLOOKUP($D267,$C$5:$AU$502,3,))*$E267)</f>
        <v>0</v>
      </c>
      <c r="AB267" s="66">
        <f>IF(VLOOKUP($D267,$C$5:$AU$502,3,)=0,0,(VLOOKUP($D267,$C$5:$AU$502,26,)/VLOOKUP($D267,$C$5:$AU$502,3,))*$E267)</f>
        <v>0</v>
      </c>
      <c r="AC267" s="66">
        <f>IF(VLOOKUP($D267,$C$5:$AU$502,3,)=0,0,(VLOOKUP($D267,$C$5:$AU$502,27,)/VLOOKUP($D267,$C$5:$AU$502,3,))*$E267)</f>
        <v>0</v>
      </c>
      <c r="AD267" s="66">
        <f>IF(VLOOKUP($D267,$C$5:$AU$502,3,)=0,0,(VLOOKUP($D267,$C$5:$AU$502,28,)/VLOOKUP($D267,$C$5:$AU$502,3,))*$E267)</f>
        <v>0</v>
      </c>
      <c r="AE267" s="66">
        <f>IF(VLOOKUP($D267,$C$5:$AU$502,3,)=0,0,(VLOOKUP($D267,$C$5:$AU$502,29,)/VLOOKUP($D267,$C$5:$AU$502,3,))*$E267)</f>
        <v>0</v>
      </c>
      <c r="AF267" s="66">
        <f>IF(VLOOKUP($D267,$C$5:$AU$502,3,)=0,0,(VLOOKUP($D267,$C$5:$AU$502,30,)/VLOOKUP($D267,$C$5:$AU$502,3,))*$E267)</f>
        <v>0</v>
      </c>
      <c r="AG267" s="93">
        <f>SUM(F267:AF267)</f>
        <v>0</v>
      </c>
      <c r="AH267" s="30" t="str">
        <f>IF(ABS(E267-AG267)&lt;0.01,"ok","err")</f>
        <v>ok</v>
      </c>
    </row>
    <row r="268" spans="1:34" x14ac:dyDescent="0.2">
      <c r="E268" s="50"/>
    </row>
    <row r="269" spans="1:34" x14ac:dyDescent="0.2">
      <c r="A269" s="14" t="s">
        <v>0</v>
      </c>
      <c r="C269" s="14" t="s">
        <v>309</v>
      </c>
      <c r="E269" s="66">
        <f>E239+E242+E245+E250+E255+E258+E261+E264+E267</f>
        <v>0</v>
      </c>
      <c r="F269" s="66">
        <f t="shared" ref="F269:R269" si="55">F239+F242+F245+F250+F255+F258+F261+F264+F267</f>
        <v>0</v>
      </c>
      <c r="G269" s="66">
        <f t="shared" si="55"/>
        <v>0</v>
      </c>
      <c r="H269" s="66">
        <f t="shared" si="55"/>
        <v>0</v>
      </c>
      <c r="I269" s="66">
        <f t="shared" si="55"/>
        <v>0</v>
      </c>
      <c r="J269" s="66">
        <f t="shared" si="55"/>
        <v>0</v>
      </c>
      <c r="K269" s="66">
        <f t="shared" si="55"/>
        <v>0</v>
      </c>
      <c r="L269" s="66">
        <f t="shared" si="55"/>
        <v>0</v>
      </c>
      <c r="M269" s="66">
        <f t="shared" si="55"/>
        <v>0</v>
      </c>
      <c r="N269" s="66">
        <f t="shared" si="55"/>
        <v>0</v>
      </c>
      <c r="O269" s="66">
        <f t="shared" si="55"/>
        <v>0</v>
      </c>
      <c r="P269" s="66">
        <f t="shared" si="55"/>
        <v>0</v>
      </c>
      <c r="Q269" s="66">
        <f t="shared" si="55"/>
        <v>0</v>
      </c>
      <c r="R269" s="66">
        <f t="shared" si="55"/>
        <v>0</v>
      </c>
      <c r="S269" s="66">
        <f t="shared" ref="S269:AF269" si="56">S239+S245+S250+S255+S258+S261+S264+S267</f>
        <v>0</v>
      </c>
      <c r="T269" s="66">
        <f t="shared" si="56"/>
        <v>0</v>
      </c>
      <c r="U269" s="66">
        <f t="shared" si="56"/>
        <v>0</v>
      </c>
      <c r="V269" s="66">
        <f t="shared" si="56"/>
        <v>0</v>
      </c>
      <c r="W269" s="66">
        <f t="shared" si="56"/>
        <v>0</v>
      </c>
      <c r="X269" s="66">
        <f t="shared" si="56"/>
        <v>0</v>
      </c>
      <c r="Y269" s="66">
        <f t="shared" si="56"/>
        <v>0</v>
      </c>
      <c r="Z269" s="66">
        <f t="shared" si="56"/>
        <v>0</v>
      </c>
      <c r="AA269" s="66">
        <f t="shared" si="56"/>
        <v>0</v>
      </c>
      <c r="AB269" s="66">
        <f t="shared" si="56"/>
        <v>0</v>
      </c>
      <c r="AC269" s="66">
        <f t="shared" si="56"/>
        <v>0</v>
      </c>
      <c r="AD269" s="66">
        <f t="shared" si="56"/>
        <v>0</v>
      </c>
      <c r="AE269" s="66">
        <f t="shared" si="56"/>
        <v>0</v>
      </c>
      <c r="AF269" s="66">
        <f t="shared" si="56"/>
        <v>0</v>
      </c>
      <c r="AG269" s="93">
        <f>SUM(F269:AF269)</f>
        <v>0</v>
      </c>
      <c r="AH269" s="30" t="str">
        <f>IF(ABS(E269-AG269)&lt;0.01,"ok","err")</f>
        <v>ok</v>
      </c>
    </row>
    <row r="272" spans="1:34" x14ac:dyDescent="0.2">
      <c r="A272" s="28" t="s">
        <v>310</v>
      </c>
    </row>
    <row r="274" spans="1:34" x14ac:dyDescent="0.2">
      <c r="A274" s="13" t="s">
        <v>895</v>
      </c>
    </row>
    <row r="275" spans="1:34" x14ac:dyDescent="0.2">
      <c r="A275" s="96" t="s">
        <v>209</v>
      </c>
      <c r="C275" s="14" t="s">
        <v>311</v>
      </c>
      <c r="D275" s="14" t="s">
        <v>657</v>
      </c>
      <c r="E275" s="66">
        <f>'Func &amp; Classif'!H316</f>
        <v>0</v>
      </c>
      <c r="F275" s="66">
        <f>IF(VLOOKUP($D275,$C$5:$AU$502,3,)=0,0,(VLOOKUP($D275,$C$5:$AU$502,4,)/VLOOKUP($D275,$C$5:$AU$502,3,))*$E275)</f>
        <v>0</v>
      </c>
      <c r="G275" s="66">
        <f>IF(VLOOKUP($D275,$C$5:$AU$502,3,)=0,0,(VLOOKUP($D275,$C$5:$AU$502,5,)/VLOOKUP($D275,$C$5:$AU$502,3,))*$E275)</f>
        <v>0</v>
      </c>
      <c r="H275" s="66">
        <f>IF(VLOOKUP($D275,$C$5:$AU$502,3,)=0,0,(VLOOKUP($D275,$C$5:$AU$502,6,)/VLOOKUP($D275,$C$5:$AU$502,3,))*$E275)</f>
        <v>0</v>
      </c>
      <c r="I275" s="66">
        <f>IF(VLOOKUP($D275,$C$5:$AU$502,3,)=0,0,(VLOOKUP($D275,$C$5:$AU$502,7,)/VLOOKUP($D275,$C$5:$AU$502,3,))*$E275)</f>
        <v>0</v>
      </c>
      <c r="J275" s="66">
        <f>IF(VLOOKUP($D275,$C$5:$AU$502,3,)=0,0,(VLOOKUP($D275,$C$5:$AU$502,8,)/VLOOKUP($D275,$C$5:$AU$502,3,))*$E275)</f>
        <v>0</v>
      </c>
      <c r="K275" s="66">
        <f>IF(VLOOKUP($D275,$C$5:$AU$502,3,)=0,0,(VLOOKUP($D275,$C$5:$AU$502,9,)/VLOOKUP($D275,$C$5:$AU$502,3,))*$E275)</f>
        <v>0</v>
      </c>
      <c r="L275" s="66">
        <f>IF(VLOOKUP($D275,$C$5:$AU$502,3,)=0,0,(VLOOKUP($D275,$C$5:$AU$502,10,)/VLOOKUP($D275,$C$5:$AU$502,3,))*$E275)</f>
        <v>0</v>
      </c>
      <c r="M275" s="66">
        <f>IF(VLOOKUP($D275,$C$5:$AU$502,3,)=0,0,(VLOOKUP($D275,$C$5:$AU$502,11,)/VLOOKUP($D275,$C$5:$AU$502,3,))*$E275)</f>
        <v>0</v>
      </c>
      <c r="N275" s="66">
        <f>IF(VLOOKUP($D275,$C$5:$AU$502,3,)=0,0,(VLOOKUP($D275,$C$5:$AU$502,12,)/VLOOKUP($D275,$C$5:$AU$502,3,))*$E275)</f>
        <v>0</v>
      </c>
      <c r="O275" s="66">
        <f>IF(VLOOKUP($D275,$C$5:$AU$502,3,)=0,0,(VLOOKUP($D275,$C$5:$AU$502,13,)/VLOOKUP($D275,$C$5:$AU$502,3,))*$E275)</f>
        <v>0</v>
      </c>
      <c r="P275" s="66">
        <f>IF(VLOOKUP($D275,$C$5:$AU$502,3,)=0,0,(VLOOKUP($D275,$C$5:$AU$502,14,)/VLOOKUP($D275,$C$5:$AU$502,3,))*$E275)</f>
        <v>0</v>
      </c>
      <c r="Q275" s="66">
        <f>IF(VLOOKUP($D275,$C$5:$AU$502,3,)=0,0,(VLOOKUP($D275,$C$5:$AU$502,15,)/VLOOKUP($D275,$C$5:$AU$502,3,))*$E275)</f>
        <v>0</v>
      </c>
      <c r="R275" s="66">
        <f>IF(VLOOKUP($D275,$C$5:$AU$502,3,)=0,0,(VLOOKUP($D275,$C$5:$AU$502,16,)/VLOOKUP($D275,$C$5:$AU$502,3,))*$E275)</f>
        <v>0</v>
      </c>
      <c r="S275" s="66">
        <f>IF(VLOOKUP($D275,$C$5:$AU$502,3,)=0,0,(VLOOKUP($D275,$C$5:$AU$502,17,)/VLOOKUP($D275,$C$5:$AU$502,3,))*$E275)</f>
        <v>0</v>
      </c>
      <c r="T275" s="66">
        <f>IF(VLOOKUP($D275,$C$5:$AU$502,3,)=0,0,(VLOOKUP($D275,$C$5:$AU$502,18,)/VLOOKUP($D275,$C$5:$AU$502,3,))*$E275)</f>
        <v>0</v>
      </c>
      <c r="U275" s="66">
        <f>IF(VLOOKUP($D275,$C$5:$AU$502,3,)=0,0,(VLOOKUP($D275,$C$5:$AU$502,19,)/VLOOKUP($D275,$C$5:$AU$502,3,))*$E275)</f>
        <v>0</v>
      </c>
      <c r="V275" s="66">
        <f>IF(VLOOKUP($D275,$C$5:$AU$502,3,)=0,0,(VLOOKUP($D275,$C$5:$AU$502,20,)/VLOOKUP($D275,$C$5:$AU$502,3,))*$E275)</f>
        <v>0</v>
      </c>
      <c r="W275" s="66">
        <f>IF(VLOOKUP($D275,$C$5:$AU$502,3,)=0,0,(VLOOKUP($D275,$C$5:$AU$502,21,)/VLOOKUP($D275,$C$5:$AU$502,3,))*$E275)</f>
        <v>0</v>
      </c>
      <c r="X275" s="66">
        <f>IF(VLOOKUP($D275,$C$5:$AU$502,3,)=0,0,(VLOOKUP($D275,$C$5:$AU$502,22,)/VLOOKUP($D275,$C$5:$AU$502,3,))*$E275)</f>
        <v>0</v>
      </c>
      <c r="Y275" s="66">
        <f>IF(VLOOKUP($D275,$C$5:$AU$502,3,)=0,0,(VLOOKUP($D275,$C$5:$AU$502,23,)/VLOOKUP($D275,$C$5:$AU$502,3,))*$E275)</f>
        <v>0</v>
      </c>
      <c r="Z275" s="66">
        <f>IF(VLOOKUP($D275,$C$5:$AU$502,3,)=0,0,(VLOOKUP($D275,$C$5:$AU$502,24,)/VLOOKUP($D275,$C$5:$AU$502,3,))*$E275)</f>
        <v>0</v>
      </c>
      <c r="AA275" s="66">
        <f>IF(VLOOKUP($D275,$C$5:$AU$502,3,)=0,0,(VLOOKUP($D275,$C$5:$AU$502,25,)/VLOOKUP($D275,$C$5:$AU$502,3,))*$E275)</f>
        <v>0</v>
      </c>
      <c r="AB275" s="66">
        <f>IF(VLOOKUP($D275,$C$5:$AU$502,3,)=0,0,(VLOOKUP($D275,$C$5:$AU$502,26,)/VLOOKUP($D275,$C$5:$AU$502,3,))*$E275)</f>
        <v>0</v>
      </c>
      <c r="AC275" s="66">
        <f>IF(VLOOKUP($D275,$C$5:$AU$502,3,)=0,0,(VLOOKUP($D275,$C$5:$AU$502,27,)/VLOOKUP($D275,$C$5:$AU$502,3,))*$E275)</f>
        <v>0</v>
      </c>
      <c r="AD275" s="66">
        <f>IF(VLOOKUP($D275,$C$5:$AU$502,3,)=0,0,(VLOOKUP($D275,$C$5:$AU$502,28,)/VLOOKUP($D275,$C$5:$AU$502,3,))*$E275)</f>
        <v>0</v>
      </c>
      <c r="AE275" s="66">
        <f>IF(VLOOKUP($D275,$C$5:$AU$502,3,)=0,0,(VLOOKUP($D275,$C$5:$AU$502,29,)/VLOOKUP($D275,$C$5:$AU$502,3,))*$E275)</f>
        <v>0</v>
      </c>
      <c r="AF275" s="66">
        <f>IF(VLOOKUP($D275,$C$5:$AU$502,3,)=0,0,(VLOOKUP($D275,$C$5:$AU$502,30,)/VLOOKUP($D275,$C$5:$AU$502,3,))*$E275)</f>
        <v>0</v>
      </c>
      <c r="AG275" s="93">
        <f>SUM(F275:AF275)</f>
        <v>0</v>
      </c>
      <c r="AH275" s="30" t="str">
        <f>IF(ABS(E275-AG275)&lt;0.01,"ok","err")</f>
        <v>ok</v>
      </c>
    </row>
    <row r="276" spans="1:34" x14ac:dyDescent="0.2">
      <c r="A276" s="96" t="s">
        <v>212</v>
      </c>
      <c r="C276" s="14" t="s">
        <v>312</v>
      </c>
      <c r="D276" s="14" t="s">
        <v>666</v>
      </c>
      <c r="E276" s="50">
        <f>'Func &amp; Classif'!I316</f>
        <v>0</v>
      </c>
      <c r="F276" s="66">
        <f>IF(VLOOKUP($D276,$C$5:$AU$502,3,)=0,0,(VLOOKUP($D276,$C$5:$AU$502,4,)/VLOOKUP($D276,$C$5:$AU$502,3,))*$E276)</f>
        <v>0</v>
      </c>
      <c r="G276" s="66">
        <f>IF(VLOOKUP($D276,$C$5:$AU$502,3,)=0,0,(VLOOKUP($D276,$C$5:$AU$502,5,)/VLOOKUP($D276,$C$5:$AU$502,3,))*$E276)</f>
        <v>0</v>
      </c>
      <c r="H276" s="66">
        <f>IF(VLOOKUP($D276,$C$5:$AU$502,3,)=0,0,(VLOOKUP($D276,$C$5:$AU$502,6,)/VLOOKUP($D276,$C$5:$AU$502,3,))*$E276)</f>
        <v>0</v>
      </c>
      <c r="I276" s="66">
        <f>IF(VLOOKUP($D276,$C$5:$AU$502,3,)=0,0,(VLOOKUP($D276,$C$5:$AU$502,7,)/VLOOKUP($D276,$C$5:$AU$502,3,))*$E276)</f>
        <v>0</v>
      </c>
      <c r="J276" s="66">
        <f>IF(VLOOKUP($D276,$C$5:$AU$502,3,)=0,0,(VLOOKUP($D276,$C$5:$AU$502,8,)/VLOOKUP($D276,$C$5:$AU$502,3,))*$E276)</f>
        <v>0</v>
      </c>
      <c r="K276" s="66">
        <f>IF(VLOOKUP($D276,$C$5:$AU$502,3,)=0,0,(VLOOKUP($D276,$C$5:$AU$502,9,)/VLOOKUP($D276,$C$5:$AU$502,3,))*$E276)</f>
        <v>0</v>
      </c>
      <c r="L276" s="66">
        <f>IF(VLOOKUP($D276,$C$5:$AU$502,3,)=0,0,(VLOOKUP($D276,$C$5:$AU$502,10,)/VLOOKUP($D276,$C$5:$AU$502,3,))*$E276)</f>
        <v>0</v>
      </c>
      <c r="M276" s="66">
        <f>IF(VLOOKUP($D276,$C$5:$AU$502,3,)=0,0,(VLOOKUP($D276,$C$5:$AU$502,11,)/VLOOKUP($D276,$C$5:$AU$502,3,))*$E276)</f>
        <v>0</v>
      </c>
      <c r="N276" s="66">
        <f>IF(VLOOKUP($D276,$C$5:$AU$502,3,)=0,0,(VLOOKUP($D276,$C$5:$AU$502,12,)/VLOOKUP($D276,$C$5:$AU$502,3,))*$E276)</f>
        <v>0</v>
      </c>
      <c r="O276" s="66">
        <f>IF(VLOOKUP($D276,$C$5:$AU$502,3,)=0,0,(VLOOKUP($D276,$C$5:$AU$502,13,)/VLOOKUP($D276,$C$5:$AU$502,3,))*$E276)</f>
        <v>0</v>
      </c>
      <c r="P276" s="66">
        <f>IF(VLOOKUP($D276,$C$5:$AU$502,3,)=0,0,(VLOOKUP($D276,$C$5:$AU$502,14,)/VLOOKUP($D276,$C$5:$AU$502,3,))*$E276)</f>
        <v>0</v>
      </c>
      <c r="Q276" s="66">
        <f>IF(VLOOKUP($D276,$C$5:$AU$502,3,)=0,0,(VLOOKUP($D276,$C$5:$AU$502,15,)/VLOOKUP($D276,$C$5:$AU$502,3,))*$E276)</f>
        <v>0</v>
      </c>
      <c r="R276" s="66">
        <f>IF(VLOOKUP($D276,$C$5:$AU$502,3,)=0,0,(VLOOKUP($D276,$C$5:$AU$502,16,)/VLOOKUP($D276,$C$5:$AU$502,3,))*$E276)</f>
        <v>0</v>
      </c>
      <c r="S276" s="66">
        <f>IF(VLOOKUP($D276,$C$5:$AU$502,3,)=0,0,(VLOOKUP($D276,$C$5:$AU$502,17,)/VLOOKUP($D276,$C$5:$AU$502,3,))*$E276)</f>
        <v>0</v>
      </c>
      <c r="T276" s="66">
        <f>IF(VLOOKUP($D276,$C$5:$AU$502,3,)=0,0,(VLOOKUP($D276,$C$5:$AU$502,18,)/VLOOKUP($D276,$C$5:$AU$502,3,))*$E276)</f>
        <v>0</v>
      </c>
      <c r="U276" s="66">
        <f>IF(VLOOKUP($D276,$C$5:$AU$502,3,)=0,0,(VLOOKUP($D276,$C$5:$AU$502,19,)/VLOOKUP($D276,$C$5:$AU$502,3,))*$E276)</f>
        <v>0</v>
      </c>
      <c r="V276" s="66">
        <f>IF(VLOOKUP($D276,$C$5:$AU$502,3,)=0,0,(VLOOKUP($D276,$C$5:$AU$502,20,)/VLOOKUP($D276,$C$5:$AU$502,3,))*$E276)</f>
        <v>0</v>
      </c>
      <c r="W276" s="66">
        <f>IF(VLOOKUP($D276,$C$5:$AU$502,3,)=0,0,(VLOOKUP($D276,$C$5:$AU$502,21,)/VLOOKUP($D276,$C$5:$AU$502,3,))*$E276)</f>
        <v>0</v>
      </c>
      <c r="X276" s="66">
        <f>IF(VLOOKUP($D276,$C$5:$AU$502,3,)=0,0,(VLOOKUP($D276,$C$5:$AU$502,22,)/VLOOKUP($D276,$C$5:$AU$502,3,))*$E276)</f>
        <v>0</v>
      </c>
      <c r="Y276" s="66">
        <f>IF(VLOOKUP($D276,$C$5:$AU$502,3,)=0,0,(VLOOKUP($D276,$C$5:$AU$502,23,)/VLOOKUP($D276,$C$5:$AU$502,3,))*$E276)</f>
        <v>0</v>
      </c>
      <c r="Z276" s="66">
        <f>IF(VLOOKUP($D276,$C$5:$AU$502,3,)=0,0,(VLOOKUP($D276,$C$5:$AU$502,24,)/VLOOKUP($D276,$C$5:$AU$502,3,))*$E276)</f>
        <v>0</v>
      </c>
      <c r="AA276" s="66">
        <f>IF(VLOOKUP($D276,$C$5:$AU$502,3,)=0,0,(VLOOKUP($D276,$C$5:$AU$502,25,)/VLOOKUP($D276,$C$5:$AU$502,3,))*$E276)</f>
        <v>0</v>
      </c>
      <c r="AB276" s="66">
        <f>IF(VLOOKUP($D276,$C$5:$AU$502,3,)=0,0,(VLOOKUP($D276,$C$5:$AU$502,26,)/VLOOKUP($D276,$C$5:$AU$502,3,))*$E276)</f>
        <v>0</v>
      </c>
      <c r="AC276" s="66">
        <f>IF(VLOOKUP($D276,$C$5:$AU$502,3,)=0,0,(VLOOKUP($D276,$C$5:$AU$502,27,)/VLOOKUP($D276,$C$5:$AU$502,3,))*$E276)</f>
        <v>0</v>
      </c>
      <c r="AD276" s="66">
        <f>IF(VLOOKUP($D276,$C$5:$AU$502,3,)=0,0,(VLOOKUP($D276,$C$5:$AU$502,28,)/VLOOKUP($D276,$C$5:$AU$502,3,))*$E276)</f>
        <v>0</v>
      </c>
      <c r="AE276" s="66">
        <f>IF(VLOOKUP($D276,$C$5:$AU$502,3,)=0,0,(VLOOKUP($D276,$C$5:$AU$502,29,)/VLOOKUP($D276,$C$5:$AU$502,3,))*$E276)</f>
        <v>0</v>
      </c>
      <c r="AF276" s="66">
        <f>IF(VLOOKUP($D276,$C$5:$AU$502,3,)=0,0,(VLOOKUP($D276,$C$5:$AU$502,30,)/VLOOKUP($D276,$C$5:$AU$502,3,))*$E276)</f>
        <v>0</v>
      </c>
      <c r="AG276" s="93">
        <f>SUM(F276:AF276)</f>
        <v>0</v>
      </c>
      <c r="AH276" s="30" t="str">
        <f>IF(ABS(E276-AG276)&lt;0.01,"ok","err")</f>
        <v>ok</v>
      </c>
    </row>
    <row r="277" spans="1:34" x14ac:dyDescent="0.2">
      <c r="A277" s="14" t="s">
        <v>215</v>
      </c>
      <c r="C277" s="14" t="s">
        <v>313</v>
      </c>
      <c r="E277" s="50">
        <f t="shared" ref="E277:T277" si="57">E275+E276</f>
        <v>0</v>
      </c>
      <c r="F277" s="66">
        <f t="shared" si="57"/>
        <v>0</v>
      </c>
      <c r="G277" s="66">
        <f t="shared" si="57"/>
        <v>0</v>
      </c>
      <c r="H277" s="66">
        <f t="shared" si="57"/>
        <v>0</v>
      </c>
      <c r="I277" s="66">
        <f t="shared" si="57"/>
        <v>0</v>
      </c>
      <c r="J277" s="66">
        <f t="shared" si="57"/>
        <v>0</v>
      </c>
      <c r="K277" s="66">
        <f t="shared" si="57"/>
        <v>0</v>
      </c>
      <c r="L277" s="66">
        <f t="shared" si="57"/>
        <v>0</v>
      </c>
      <c r="M277" s="66">
        <f t="shared" si="57"/>
        <v>0</v>
      </c>
      <c r="N277" s="66">
        <f t="shared" si="57"/>
        <v>0</v>
      </c>
      <c r="O277" s="66">
        <f t="shared" si="57"/>
        <v>0</v>
      </c>
      <c r="P277" s="66">
        <f t="shared" si="57"/>
        <v>0</v>
      </c>
      <c r="Q277" s="66">
        <f t="shared" si="57"/>
        <v>0</v>
      </c>
      <c r="R277" s="66">
        <f t="shared" si="57"/>
        <v>0</v>
      </c>
      <c r="S277" s="66">
        <f t="shared" si="57"/>
        <v>0</v>
      </c>
      <c r="T277" s="66">
        <f t="shared" si="57"/>
        <v>0</v>
      </c>
      <c r="U277" s="66">
        <f t="shared" ref="U277:AF277" si="58">U275+U276</f>
        <v>0</v>
      </c>
      <c r="V277" s="66">
        <f t="shared" si="58"/>
        <v>0</v>
      </c>
      <c r="W277" s="66">
        <f t="shared" si="58"/>
        <v>0</v>
      </c>
      <c r="X277" s="66">
        <f t="shared" si="58"/>
        <v>0</v>
      </c>
      <c r="Y277" s="66">
        <f t="shared" si="58"/>
        <v>0</v>
      </c>
      <c r="Z277" s="66">
        <f t="shared" si="58"/>
        <v>0</v>
      </c>
      <c r="AA277" s="66">
        <f t="shared" si="58"/>
        <v>0</v>
      </c>
      <c r="AB277" s="66">
        <f t="shared" si="58"/>
        <v>0</v>
      </c>
      <c r="AC277" s="66">
        <f t="shared" si="58"/>
        <v>0</v>
      </c>
      <c r="AD277" s="66">
        <f t="shared" si="58"/>
        <v>0</v>
      </c>
      <c r="AE277" s="66">
        <f t="shared" si="58"/>
        <v>0</v>
      </c>
      <c r="AF277" s="66">
        <f t="shared" si="58"/>
        <v>0</v>
      </c>
      <c r="AG277" s="93">
        <f>SUM(F277:AF277)</f>
        <v>0</v>
      </c>
      <c r="AH277" s="30" t="str">
        <f>IF(ABS(E277-AG277)&lt;0.01,"ok","err")</f>
        <v>ok</v>
      </c>
    </row>
    <row r="278" spans="1:34" x14ac:dyDescent="0.2">
      <c r="E278" s="50"/>
      <c r="F278" s="50"/>
    </row>
    <row r="279" spans="1:34" x14ac:dyDescent="0.2">
      <c r="A279" s="13" t="s">
        <v>350</v>
      </c>
      <c r="E279" s="50"/>
      <c r="F279" s="50"/>
    </row>
    <row r="280" spans="1:34" x14ac:dyDescent="0.2">
      <c r="A280" s="96" t="s">
        <v>209</v>
      </c>
      <c r="C280" s="14" t="s">
        <v>891</v>
      </c>
      <c r="D280" s="14" t="s">
        <v>625</v>
      </c>
      <c r="E280" s="66">
        <f>'Func &amp; Classif'!K316</f>
        <v>0</v>
      </c>
      <c r="F280" s="66">
        <f>IF(VLOOKUP($D280,$C$5:$AU$502,3,)=0,0,(VLOOKUP($D280,$C$5:$AU$502,4,)/VLOOKUP($D280,$C$5:$AU$502,3,))*$E280)</f>
        <v>0</v>
      </c>
      <c r="G280" s="66">
        <f>IF(VLOOKUP($D280,$C$5:$AU$502,3,)=0,0,(VLOOKUP($D280,$C$5:$AU$502,5,)/VLOOKUP($D280,$C$5:$AU$502,3,))*$E280)</f>
        <v>0</v>
      </c>
      <c r="H280" s="66">
        <f>IF(VLOOKUP($D280,$C$5:$AU$502,3,)=0,0,(VLOOKUP($D280,$C$5:$AU$502,6,)/VLOOKUP($D280,$C$5:$AU$502,3,))*$E280)</f>
        <v>0</v>
      </c>
      <c r="I280" s="66">
        <f>IF(VLOOKUP($D280,$C$5:$AU$502,3,)=0,0,(VLOOKUP($D280,$C$5:$AU$502,7,)/VLOOKUP($D280,$C$5:$AU$502,3,))*$E280)</f>
        <v>0</v>
      </c>
      <c r="J280" s="66">
        <f>IF(VLOOKUP($D280,$C$5:$AU$502,3,)=0,0,(VLOOKUP($D280,$C$5:$AU$502,8,)/VLOOKUP($D280,$C$5:$AU$502,3,))*$E280)</f>
        <v>0</v>
      </c>
      <c r="K280" s="66">
        <f>IF(VLOOKUP($D280,$C$5:$AU$502,3,)=0,0,(VLOOKUP($D280,$C$5:$AU$502,9,)/VLOOKUP($D280,$C$5:$AU$502,3,))*$E280)</f>
        <v>0</v>
      </c>
      <c r="L280" s="66">
        <f>IF(VLOOKUP($D280,$C$5:$AU$502,3,)=0,0,(VLOOKUP($D280,$C$5:$AU$502,10,)/VLOOKUP($D280,$C$5:$AU$502,3,))*$E280)</f>
        <v>0</v>
      </c>
      <c r="M280" s="66">
        <f>IF(VLOOKUP($D280,$C$5:$AU$502,3,)=0,0,(VLOOKUP($D280,$C$5:$AU$502,11,)/VLOOKUP($D280,$C$5:$AU$502,3,))*$E280)</f>
        <v>0</v>
      </c>
      <c r="N280" s="66">
        <f>IF(VLOOKUP($D280,$C$5:$AU$502,3,)=0,0,(VLOOKUP($D280,$C$5:$AU$502,12,)/VLOOKUP($D280,$C$5:$AU$502,3,))*$E280)</f>
        <v>0</v>
      </c>
      <c r="O280" s="66">
        <f>IF(VLOOKUP($D280,$C$5:$AU$502,3,)=0,0,(VLOOKUP($D280,$C$5:$AU$502,13,)/VLOOKUP($D280,$C$5:$AU$502,3,))*$E280)</f>
        <v>0</v>
      </c>
      <c r="P280" s="66">
        <f>IF(VLOOKUP($D280,$C$5:$AU$502,3,)=0,0,(VLOOKUP($D280,$C$5:$AU$502,14,)/VLOOKUP($D280,$C$5:$AU$502,3,))*$E280)</f>
        <v>0</v>
      </c>
      <c r="Q280" s="66">
        <f>IF(VLOOKUP($D280,$C$5:$AU$502,3,)=0,0,(VLOOKUP($D280,$C$5:$AU$502,15,)/VLOOKUP($D280,$C$5:$AU$502,3,))*$E280)</f>
        <v>0</v>
      </c>
      <c r="R280" s="66">
        <f>IF(VLOOKUP($D280,$C$5:$AU$502,3,)=0,0,(VLOOKUP($D280,$C$5:$AU$502,16,)/VLOOKUP($D280,$C$5:$AU$502,3,))*$E280)</f>
        <v>0</v>
      </c>
      <c r="S280" s="66">
        <f>IF(VLOOKUP($D280,$C$5:$AU$502,3,)=0,0,(VLOOKUP($D280,$C$5:$AU$502,17,)/VLOOKUP($D280,$C$5:$AU$502,3,))*$E280)</f>
        <v>0</v>
      </c>
      <c r="T280" s="66">
        <f>IF(VLOOKUP($D280,$C$5:$AU$502,3,)=0,0,(VLOOKUP($D280,$C$5:$AU$502,18,)/VLOOKUP($D280,$C$5:$AU$502,3,))*$E280)</f>
        <v>0</v>
      </c>
      <c r="U280" s="66">
        <f>IF(VLOOKUP($D280,$C$5:$AU$502,3,)=0,0,(VLOOKUP($D280,$C$5:$AU$502,19,)/VLOOKUP($D280,$C$5:$AU$502,3,))*$E280)</f>
        <v>0</v>
      </c>
      <c r="V280" s="66">
        <f>IF(VLOOKUP($D280,$C$5:$AU$502,3,)=0,0,(VLOOKUP($D280,$C$5:$AU$502,20,)/VLOOKUP($D280,$C$5:$AU$502,3,))*$E280)</f>
        <v>0</v>
      </c>
      <c r="W280" s="66">
        <f>IF(VLOOKUP($D280,$C$5:$AU$502,3,)=0,0,(VLOOKUP($D280,$C$5:$AU$502,21,)/VLOOKUP($D280,$C$5:$AU$502,3,))*$E280)</f>
        <v>0</v>
      </c>
      <c r="X280" s="66">
        <f>IF(VLOOKUP($D280,$C$5:$AU$502,3,)=0,0,(VLOOKUP($D280,$C$5:$AU$502,22,)/VLOOKUP($D280,$C$5:$AU$502,3,))*$E280)</f>
        <v>0</v>
      </c>
      <c r="Y280" s="66">
        <f>IF(VLOOKUP($D280,$C$5:$AU$502,3,)=0,0,(VLOOKUP($D280,$C$5:$AU$502,23,)/VLOOKUP($D280,$C$5:$AU$502,3,))*$E280)</f>
        <v>0</v>
      </c>
      <c r="Z280" s="66">
        <f>IF(VLOOKUP($D280,$C$5:$AU$502,3,)=0,0,(VLOOKUP($D280,$C$5:$AU$502,24,)/VLOOKUP($D280,$C$5:$AU$502,3,))*$E280)</f>
        <v>0</v>
      </c>
      <c r="AA280" s="66">
        <f>IF(VLOOKUP($D280,$C$5:$AU$502,3,)=0,0,(VLOOKUP($D280,$C$5:$AU$502,25,)/VLOOKUP($D280,$C$5:$AU$502,3,))*$E280)</f>
        <v>0</v>
      </c>
      <c r="AB280" s="66">
        <f>IF(VLOOKUP($D280,$C$5:$AU$502,3,)=0,0,(VLOOKUP($D280,$C$5:$AU$502,26,)/VLOOKUP($D280,$C$5:$AU$502,3,))*$E280)</f>
        <v>0</v>
      </c>
      <c r="AC280" s="66">
        <f>IF(VLOOKUP($D280,$C$5:$AU$502,3,)=0,0,(VLOOKUP($D280,$C$5:$AU$502,27,)/VLOOKUP($D280,$C$5:$AU$502,3,))*$E280)</f>
        <v>0</v>
      </c>
      <c r="AD280" s="66">
        <f>IF(VLOOKUP($D280,$C$5:$AU$502,3,)=0,0,(VLOOKUP($D280,$C$5:$AU$502,28,)/VLOOKUP($D280,$C$5:$AU$502,3,))*$E280)</f>
        <v>0</v>
      </c>
      <c r="AE280" s="66">
        <f>IF(VLOOKUP($D280,$C$5:$AU$502,3,)=0,0,(VLOOKUP($D280,$C$5:$AU$502,29,)/VLOOKUP($D280,$C$5:$AU$502,3,))*$E280)</f>
        <v>0</v>
      </c>
      <c r="AF280" s="66">
        <f>IF(VLOOKUP($D280,$C$5:$AU$502,3,)=0,0,(VLOOKUP($D280,$C$5:$AU$502,30,)/VLOOKUP($D280,$C$5:$AU$502,3,))*$E280)</f>
        <v>0</v>
      </c>
      <c r="AG280" s="93">
        <f>SUM(F280:AF280)</f>
        <v>0</v>
      </c>
      <c r="AH280" s="30" t="str">
        <f>IF(ABS(E280-AG280)&lt;0.01,"ok","err")</f>
        <v>ok</v>
      </c>
    </row>
    <row r="281" spans="1:34" x14ac:dyDescent="0.2">
      <c r="E281" s="50"/>
    </row>
    <row r="282" spans="1:34" x14ac:dyDescent="0.2">
      <c r="A282" s="13" t="s">
        <v>1</v>
      </c>
      <c r="E282" s="50"/>
      <c r="F282" s="50"/>
    </row>
    <row r="283" spans="1:34" x14ac:dyDescent="0.2">
      <c r="A283" s="96" t="s">
        <v>209</v>
      </c>
      <c r="C283" s="14" t="s">
        <v>314</v>
      </c>
      <c r="D283" s="14" t="s">
        <v>632</v>
      </c>
      <c r="E283" s="66">
        <f>'Func &amp; Classif'!M316</f>
        <v>2.353031794248762</v>
      </c>
      <c r="F283" s="66">
        <f>IF(VLOOKUP($D283,$C$5:$AU$502,3,)=0,0,(VLOOKUP($D283,$C$5:$AU$502,4,)/VLOOKUP($D283,$C$5:$AU$502,3,))*$E283)</f>
        <v>1.6123844256695272</v>
      </c>
      <c r="G283" s="66">
        <f>IF(VLOOKUP($D283,$C$5:$AU$502,3,)=0,0,(VLOOKUP($D283,$C$5:$AU$502,5,)/VLOOKUP($D283,$C$5:$AU$502,3,))*$E283)</f>
        <v>3.1762615380388114E-4</v>
      </c>
      <c r="H283" s="66">
        <f>IF(VLOOKUP($D283,$C$5:$AU$502,3,)=0,0,(VLOOKUP($D283,$C$5:$AU$502,6,)/VLOOKUP($D283,$C$5:$AU$502,3,))*$E283)</f>
        <v>0.12021044143805654</v>
      </c>
      <c r="I283" s="66">
        <f>IF(VLOOKUP($D283,$C$5:$AU$502,3,)=0,0,(VLOOKUP($D283,$C$5:$AU$502,7,)/VLOOKUP($D283,$C$5:$AU$502,3,))*$E283)</f>
        <v>7.8772397637338828E-2</v>
      </c>
      <c r="J283" s="66">
        <f>IF(VLOOKUP($D283,$C$5:$AU$502,3,)=0,0,(VLOOKUP($D283,$C$5:$AU$502,8,)/VLOOKUP($D283,$C$5:$AU$502,3,))*$E283)</f>
        <v>4.0751491142981986E-3</v>
      </c>
      <c r="K283" s="66">
        <f>IF(VLOOKUP($D283,$C$5:$AU$502,3,)=0,0,(VLOOKUP($D283,$C$5:$AU$502,9,)/VLOOKUP($D283,$C$5:$AU$502,3,))*$E283)</f>
        <v>3.1758815407835539E-2</v>
      </c>
      <c r="L283" s="66">
        <f>IF(VLOOKUP($D283,$C$5:$AU$502,3,)=0,0,(VLOOKUP($D283,$C$5:$AU$502,10,)/VLOOKUP($D283,$C$5:$AU$502,3,))*$E283)</f>
        <v>0.47778190655573577</v>
      </c>
      <c r="M283" s="66">
        <f>IF(VLOOKUP($D283,$C$5:$AU$502,3,)=0,0,(VLOOKUP($D283,$C$5:$AU$502,11,)/VLOOKUP($D283,$C$5:$AU$502,3,))*$E283)</f>
        <v>2.7731031577879761E-2</v>
      </c>
      <c r="N283" s="66">
        <f>IF(VLOOKUP($D283,$C$5:$AU$502,3,)=0,0,(VLOOKUP($D283,$C$5:$AU$502,12,)/VLOOKUP($D283,$C$5:$AU$502,3,))*$E283)</f>
        <v>0</v>
      </c>
      <c r="O283" s="66">
        <f>IF(VLOOKUP($D283,$C$5:$AU$502,3,)=0,0,(VLOOKUP($D283,$C$5:$AU$502,13,)/VLOOKUP($D283,$C$5:$AU$502,3,))*$E283)</f>
        <v>0</v>
      </c>
      <c r="P283" s="66">
        <f>IF(VLOOKUP($D283,$C$5:$AU$502,3,)=0,0,(VLOOKUP($D283,$C$5:$AU$502,14,)/VLOOKUP($D283,$C$5:$AU$502,3,))*$E283)</f>
        <v>0</v>
      </c>
      <c r="Q283" s="66">
        <f>IF(VLOOKUP($D283,$C$5:$AU$502,3,)=0,0,(VLOOKUP($D283,$C$5:$AU$502,15,)/VLOOKUP($D283,$C$5:$AU$502,3,))*$E283)</f>
        <v>0</v>
      </c>
      <c r="R283" s="66">
        <f>IF(VLOOKUP($D283,$C$5:$AU$502,3,)=0,0,(VLOOKUP($D283,$C$5:$AU$502,16,)/VLOOKUP($D283,$C$5:$AU$502,3,))*$E283)</f>
        <v>0</v>
      </c>
      <c r="S283" s="66">
        <f>IF(VLOOKUP($D283,$C$5:$AU$502,3,)=0,0,(VLOOKUP($D283,$C$5:$AU$502,17,)/VLOOKUP($D283,$C$5:$AU$502,3,))*$E283)</f>
        <v>0</v>
      </c>
      <c r="T283" s="66">
        <f>IF(VLOOKUP($D283,$C$5:$AU$502,3,)=0,0,(VLOOKUP($D283,$C$5:$AU$502,18,)/VLOOKUP($D283,$C$5:$AU$502,3,))*$E283)</f>
        <v>0</v>
      </c>
      <c r="U283" s="66">
        <f>IF(VLOOKUP($D283,$C$5:$AU$502,3,)=0,0,(VLOOKUP($D283,$C$5:$AU$502,19,)/VLOOKUP($D283,$C$5:$AU$502,3,))*$E283)</f>
        <v>0</v>
      </c>
      <c r="V283" s="66">
        <f>IF(VLOOKUP($D283,$C$5:$AU$502,3,)=0,0,(VLOOKUP($D283,$C$5:$AU$502,20,)/VLOOKUP($D283,$C$5:$AU$502,3,))*$E283)</f>
        <v>0</v>
      </c>
      <c r="W283" s="66">
        <f>IF(VLOOKUP($D283,$C$5:$AU$502,3,)=0,0,(VLOOKUP($D283,$C$5:$AU$502,21,)/VLOOKUP($D283,$C$5:$AU$502,3,))*$E283)</f>
        <v>0</v>
      </c>
      <c r="X283" s="66">
        <f>IF(VLOOKUP($D283,$C$5:$AU$502,3,)=0,0,(VLOOKUP($D283,$C$5:$AU$502,22,)/VLOOKUP($D283,$C$5:$AU$502,3,))*$E283)</f>
        <v>0</v>
      </c>
      <c r="Y283" s="66">
        <f>IF(VLOOKUP($D283,$C$5:$AU$502,3,)=0,0,(VLOOKUP($D283,$C$5:$AU$502,23,)/VLOOKUP($D283,$C$5:$AU$502,3,))*$E283)</f>
        <v>0</v>
      </c>
      <c r="Z283" s="66">
        <f>IF(VLOOKUP($D283,$C$5:$AU$502,3,)=0,0,(VLOOKUP($D283,$C$5:$AU$502,24,)/VLOOKUP($D283,$C$5:$AU$502,3,))*$E283)</f>
        <v>0</v>
      </c>
      <c r="AA283" s="66">
        <f>IF(VLOOKUP($D283,$C$5:$AU$502,3,)=0,0,(VLOOKUP($D283,$C$5:$AU$502,25,)/VLOOKUP($D283,$C$5:$AU$502,3,))*$E283)</f>
        <v>0</v>
      </c>
      <c r="AB283" s="66">
        <f>IF(VLOOKUP($D283,$C$5:$AU$502,3,)=0,0,(VLOOKUP($D283,$C$5:$AU$502,26,)/VLOOKUP($D283,$C$5:$AU$502,3,))*$E283)</f>
        <v>0</v>
      </c>
      <c r="AC283" s="66">
        <f>IF(VLOOKUP($D283,$C$5:$AU$502,3,)=0,0,(VLOOKUP($D283,$C$5:$AU$502,27,)/VLOOKUP($D283,$C$5:$AU$502,3,))*$E283)</f>
        <v>0</v>
      </c>
      <c r="AD283" s="66">
        <f>IF(VLOOKUP($D283,$C$5:$AU$502,3,)=0,0,(VLOOKUP($D283,$C$5:$AU$502,28,)/VLOOKUP($D283,$C$5:$AU$502,3,))*$E283)</f>
        <v>0</v>
      </c>
      <c r="AE283" s="66">
        <f>IF(VLOOKUP($D283,$C$5:$AU$502,3,)=0,0,(VLOOKUP($D283,$C$5:$AU$502,29,)/VLOOKUP($D283,$C$5:$AU$502,3,))*$E283)</f>
        <v>0</v>
      </c>
      <c r="AF283" s="66">
        <f>IF(VLOOKUP($D283,$C$5:$AU$502,3,)=0,0,(VLOOKUP($D283,$C$5:$AU$502,30,)/VLOOKUP($D283,$C$5:$AU$502,3,))*$E283)</f>
        <v>0</v>
      </c>
      <c r="AG283" s="93">
        <f>SUM(F283:AF283)</f>
        <v>2.3530317935544756</v>
      </c>
      <c r="AH283" s="30" t="str">
        <f>IF(ABS(E283-AG283)&lt;0.01,"ok","err")</f>
        <v>ok</v>
      </c>
    </row>
    <row r="284" spans="1:34" x14ac:dyDescent="0.2">
      <c r="E284" s="50"/>
    </row>
    <row r="285" spans="1:34" x14ac:dyDescent="0.2">
      <c r="A285" s="13" t="s">
        <v>2</v>
      </c>
      <c r="E285" s="50"/>
    </row>
    <row r="286" spans="1:34" x14ac:dyDescent="0.2">
      <c r="A286" s="96" t="s">
        <v>209</v>
      </c>
      <c r="C286" s="14" t="s">
        <v>315</v>
      </c>
      <c r="D286" s="14" t="s">
        <v>629</v>
      </c>
      <c r="E286" s="66">
        <f>'Func &amp; Classif'!O316</f>
        <v>25621.112776928258</v>
      </c>
      <c r="F286" s="66">
        <f>IF(VLOOKUP($D286,$C$5:$AU$502,3,)=0,0,(VLOOKUP($D286,$C$5:$AU$502,4,)/VLOOKUP($D286,$C$5:$AU$502,3,))*$E286)</f>
        <v>20661.351308047535</v>
      </c>
      <c r="G286" s="66">
        <f>IF(VLOOKUP($D286,$C$5:$AU$502,3,)=0,0,(VLOOKUP($D286,$C$5:$AU$502,5,)/VLOOKUP($D286,$C$5:$AU$502,3,))*$E286)</f>
        <v>3.8022586279969719</v>
      </c>
      <c r="H286" s="66">
        <f>IF(VLOOKUP($D286,$C$5:$AU$502,3,)=0,0,(VLOOKUP($D286,$C$5:$AU$502,6,)/VLOOKUP($D286,$C$5:$AU$502,3,))*$E286)</f>
        <v>909.95188377812894</v>
      </c>
      <c r="I286" s="66">
        <f>IF(VLOOKUP($D286,$C$5:$AU$502,3,)=0,0,(VLOOKUP($D286,$C$5:$AU$502,7,)/VLOOKUP($D286,$C$5:$AU$502,3,))*$E286)</f>
        <v>382.003795966219</v>
      </c>
      <c r="J286" s="66">
        <f>IF(VLOOKUP($D286,$C$5:$AU$502,3,)=0,0,(VLOOKUP($D286,$C$5:$AU$502,8,)/VLOOKUP($D286,$C$5:$AU$502,3,))*$E286)</f>
        <v>52.87777395845805</v>
      </c>
      <c r="K286" s="66">
        <f>IF(VLOOKUP($D286,$C$5:$AU$502,3,)=0,0,(VLOOKUP($D286,$C$5:$AU$502,9,)/VLOOKUP($D286,$C$5:$AU$502,3,))*$E286)</f>
        <v>748.07816911841269</v>
      </c>
      <c r="L286" s="66">
        <f>IF(VLOOKUP($D286,$C$5:$AU$502,3,)=0,0,(VLOOKUP($D286,$C$5:$AU$502,10,)/VLOOKUP($D286,$C$5:$AU$502,3,))*$E286)</f>
        <v>2626.26585712612</v>
      </c>
      <c r="M286" s="66">
        <f>IF(VLOOKUP($D286,$C$5:$AU$502,3,)=0,0,(VLOOKUP($D286,$C$5:$AU$502,11,)/VLOOKUP($D286,$C$5:$AU$502,3,))*$E286)</f>
        <v>236.78173030538736</v>
      </c>
      <c r="N286" s="66">
        <f>IF(VLOOKUP($D286,$C$5:$AU$502,3,)=0,0,(VLOOKUP($D286,$C$5:$AU$502,12,)/VLOOKUP($D286,$C$5:$AU$502,3,))*$E286)</f>
        <v>0</v>
      </c>
      <c r="O286" s="66">
        <f>IF(VLOOKUP($D286,$C$5:$AU$502,3,)=0,0,(VLOOKUP($D286,$C$5:$AU$502,13,)/VLOOKUP($D286,$C$5:$AU$502,3,))*$E286)</f>
        <v>0</v>
      </c>
      <c r="P286" s="66">
        <f>IF(VLOOKUP($D286,$C$5:$AU$502,3,)=0,0,(VLOOKUP($D286,$C$5:$AU$502,14,)/VLOOKUP($D286,$C$5:$AU$502,3,))*$E286)</f>
        <v>0</v>
      </c>
      <c r="Q286" s="66">
        <f>IF(VLOOKUP($D286,$C$5:$AU$502,3,)=0,0,(VLOOKUP($D286,$C$5:$AU$502,15,)/VLOOKUP($D286,$C$5:$AU$502,3,))*$E286)</f>
        <v>0</v>
      </c>
      <c r="R286" s="66">
        <f>IF(VLOOKUP($D286,$C$5:$AU$502,3,)=0,0,(VLOOKUP($D286,$C$5:$AU$502,16,)/VLOOKUP($D286,$C$5:$AU$502,3,))*$E286)</f>
        <v>0</v>
      </c>
      <c r="S286" s="66">
        <f>IF(VLOOKUP($D286,$C$5:$AU$502,3,)=0,0,(VLOOKUP($D286,$C$5:$AU$502,17,)/VLOOKUP($D286,$C$5:$AU$502,3,))*$E286)</f>
        <v>0</v>
      </c>
      <c r="T286" s="66">
        <f>IF(VLOOKUP($D286,$C$5:$AU$502,3,)=0,0,(VLOOKUP($D286,$C$5:$AU$502,18,)/VLOOKUP($D286,$C$5:$AU$502,3,))*$E286)</f>
        <v>0</v>
      </c>
      <c r="U286" s="66">
        <f>IF(VLOOKUP($D286,$C$5:$AU$502,3,)=0,0,(VLOOKUP($D286,$C$5:$AU$502,19,)/VLOOKUP($D286,$C$5:$AU$502,3,))*$E286)</f>
        <v>0</v>
      </c>
      <c r="V286" s="66">
        <f>IF(VLOOKUP($D286,$C$5:$AU$502,3,)=0,0,(VLOOKUP($D286,$C$5:$AU$502,20,)/VLOOKUP($D286,$C$5:$AU$502,3,))*$E286)</f>
        <v>0</v>
      </c>
      <c r="W286" s="66">
        <f>IF(VLOOKUP($D286,$C$5:$AU$502,3,)=0,0,(VLOOKUP($D286,$C$5:$AU$502,21,)/VLOOKUP($D286,$C$5:$AU$502,3,))*$E286)</f>
        <v>0</v>
      </c>
      <c r="X286" s="66">
        <f>IF(VLOOKUP($D286,$C$5:$AU$502,3,)=0,0,(VLOOKUP($D286,$C$5:$AU$502,22,)/VLOOKUP($D286,$C$5:$AU$502,3,))*$E286)</f>
        <v>0</v>
      </c>
      <c r="Y286" s="66">
        <f>IF(VLOOKUP($D286,$C$5:$AU$502,3,)=0,0,(VLOOKUP($D286,$C$5:$AU$502,23,)/VLOOKUP($D286,$C$5:$AU$502,3,))*$E286)</f>
        <v>0</v>
      </c>
      <c r="Z286" s="66">
        <f>IF(VLOOKUP($D286,$C$5:$AU$502,3,)=0,0,(VLOOKUP($D286,$C$5:$AU$502,24,)/VLOOKUP($D286,$C$5:$AU$502,3,))*$E286)</f>
        <v>0</v>
      </c>
      <c r="AA286" s="66">
        <f>IF(VLOOKUP($D286,$C$5:$AU$502,3,)=0,0,(VLOOKUP($D286,$C$5:$AU$502,25,)/VLOOKUP($D286,$C$5:$AU$502,3,))*$E286)</f>
        <v>0</v>
      </c>
      <c r="AB286" s="66">
        <f>IF(VLOOKUP($D286,$C$5:$AU$502,3,)=0,0,(VLOOKUP($D286,$C$5:$AU$502,26,)/VLOOKUP($D286,$C$5:$AU$502,3,))*$E286)</f>
        <v>0</v>
      </c>
      <c r="AC286" s="66">
        <f>IF(VLOOKUP($D286,$C$5:$AU$502,3,)=0,0,(VLOOKUP($D286,$C$5:$AU$502,27,)/VLOOKUP($D286,$C$5:$AU$502,3,))*$E286)</f>
        <v>0</v>
      </c>
      <c r="AD286" s="66">
        <f>IF(VLOOKUP($D286,$C$5:$AU$502,3,)=0,0,(VLOOKUP($D286,$C$5:$AU$502,28,)/VLOOKUP($D286,$C$5:$AU$502,3,))*$E286)</f>
        <v>0</v>
      </c>
      <c r="AE286" s="66">
        <f>IF(VLOOKUP($D286,$C$5:$AU$502,3,)=0,0,(VLOOKUP($D286,$C$5:$AU$502,29,)/VLOOKUP($D286,$C$5:$AU$502,3,))*$E286)</f>
        <v>0</v>
      </c>
      <c r="AF286" s="66">
        <f>IF(VLOOKUP($D286,$C$5:$AU$502,3,)=0,0,(VLOOKUP($D286,$C$5:$AU$502,30,)/VLOOKUP($D286,$C$5:$AU$502,3,))*$E286)</f>
        <v>0</v>
      </c>
      <c r="AG286" s="93">
        <f>SUM(F286:AF286)</f>
        <v>25621.112776928261</v>
      </c>
      <c r="AH286" s="30" t="str">
        <f>IF(ABS(E286-AG286)&lt;0.01,"ok","err")</f>
        <v>ok</v>
      </c>
    </row>
    <row r="287" spans="1:34" x14ac:dyDescent="0.2">
      <c r="A287" s="96" t="s">
        <v>221</v>
      </c>
      <c r="C287" s="14" t="s">
        <v>316</v>
      </c>
      <c r="D287" s="14" t="s">
        <v>223</v>
      </c>
      <c r="E287" s="50">
        <f>'Func &amp; Classif'!P316</f>
        <v>13169.942760129725</v>
      </c>
      <c r="F287" s="66">
        <f>IF(VLOOKUP($D287,$C$5:$AU$502,3,)=0,0,(VLOOKUP($D287,$C$5:$AU$502,4,)/VLOOKUP($D287,$C$5:$AU$502,3,))*$E287)</f>
        <v>12133.534443896875</v>
      </c>
      <c r="G287" s="66">
        <f>IF(VLOOKUP($D287,$C$5:$AU$502,3,)=0,0,(VLOOKUP($D287,$C$5:$AU$502,5,)/VLOOKUP($D287,$C$5:$AU$502,3,))*$E287)</f>
        <v>4.8581639823414839</v>
      </c>
      <c r="H287" s="66">
        <f>IF(VLOOKUP($D287,$C$5:$AU$502,3,)=0,0,(VLOOKUP($D287,$C$5:$AU$502,6,)/VLOOKUP($D287,$C$5:$AU$502,3,))*$E287)</f>
        <v>690.3990814905286</v>
      </c>
      <c r="I287" s="66">
        <f>IF(VLOOKUP($D287,$C$5:$AU$502,3,)=0,0,(VLOOKUP($D287,$C$5:$AU$502,7,)/VLOOKUP($D287,$C$5:$AU$502,3,))*$E287)</f>
        <v>92.305115664488198</v>
      </c>
      <c r="J287" s="66">
        <f>IF(VLOOKUP($D287,$C$5:$AU$502,3,)=0,0,(VLOOKUP($D287,$C$5:$AU$502,8,)/VLOOKUP($D287,$C$5:$AU$502,3,))*$E287)</f>
        <v>103.64083162328498</v>
      </c>
      <c r="K287" s="66">
        <f>IF(VLOOKUP($D287,$C$5:$AU$502,3,)=0,0,(VLOOKUP($D287,$C$5:$AU$502,9,)/VLOOKUP($D287,$C$5:$AU$502,3,))*$E287)</f>
        <v>25.370411907783303</v>
      </c>
      <c r="L287" s="66">
        <f>IF(VLOOKUP($D287,$C$5:$AU$502,3,)=0,0,(VLOOKUP($D287,$C$5:$AU$502,10,)/VLOOKUP($D287,$C$5:$AU$502,3,))*$E287)</f>
        <v>32.9275558803145</v>
      </c>
      <c r="M287" s="66">
        <f>IF(VLOOKUP($D287,$C$5:$AU$502,3,)=0,0,(VLOOKUP($D287,$C$5:$AU$502,11,)/VLOOKUP($D287,$C$5:$AU$502,3,))*$E287)</f>
        <v>86.907155684108758</v>
      </c>
      <c r="N287" s="66">
        <f>IF(VLOOKUP($D287,$C$5:$AU$502,3,)=0,0,(VLOOKUP($D287,$C$5:$AU$502,12,)/VLOOKUP($D287,$C$5:$AU$502,3,))*$E287)</f>
        <v>0</v>
      </c>
      <c r="O287" s="66">
        <f>IF(VLOOKUP($D287,$C$5:$AU$502,3,)=0,0,(VLOOKUP($D287,$C$5:$AU$502,13,)/VLOOKUP($D287,$C$5:$AU$502,3,))*$E287)</f>
        <v>0</v>
      </c>
      <c r="P287" s="66">
        <f>IF(VLOOKUP($D287,$C$5:$AU$502,3,)=0,0,(VLOOKUP($D287,$C$5:$AU$502,14,)/VLOOKUP($D287,$C$5:$AU$502,3,))*$E287)</f>
        <v>0</v>
      </c>
      <c r="Q287" s="66">
        <f>IF(VLOOKUP($D287,$C$5:$AU$502,3,)=0,0,(VLOOKUP($D287,$C$5:$AU$502,15,)/VLOOKUP($D287,$C$5:$AU$502,3,))*$E287)</f>
        <v>0</v>
      </c>
      <c r="R287" s="66">
        <f>IF(VLOOKUP($D287,$C$5:$AU$502,3,)=0,0,(VLOOKUP($D287,$C$5:$AU$502,16,)/VLOOKUP($D287,$C$5:$AU$502,3,))*$E287)</f>
        <v>0</v>
      </c>
      <c r="S287" s="66">
        <f>IF(VLOOKUP($D287,$C$5:$AU$502,3,)=0,0,(VLOOKUP($D287,$C$5:$AU$502,17,)/VLOOKUP($D287,$C$5:$AU$502,3,))*$E287)</f>
        <v>0</v>
      </c>
      <c r="T287" s="66">
        <f>IF(VLOOKUP($D287,$C$5:$AU$502,3,)=0,0,(VLOOKUP($D287,$C$5:$AU$502,18,)/VLOOKUP($D287,$C$5:$AU$502,3,))*$E287)</f>
        <v>0</v>
      </c>
      <c r="U287" s="66">
        <f>IF(VLOOKUP($D287,$C$5:$AU$502,3,)=0,0,(VLOOKUP($D287,$C$5:$AU$502,19,)/VLOOKUP($D287,$C$5:$AU$502,3,))*$E287)</f>
        <v>0</v>
      </c>
      <c r="V287" s="66">
        <f>IF(VLOOKUP($D287,$C$5:$AU$502,3,)=0,0,(VLOOKUP($D287,$C$5:$AU$502,20,)/VLOOKUP($D287,$C$5:$AU$502,3,))*$E287)</f>
        <v>0</v>
      </c>
      <c r="W287" s="66">
        <f>IF(VLOOKUP($D287,$C$5:$AU$502,3,)=0,0,(VLOOKUP($D287,$C$5:$AU$502,21,)/VLOOKUP($D287,$C$5:$AU$502,3,))*$E287)</f>
        <v>0</v>
      </c>
      <c r="X287" s="66">
        <f>IF(VLOOKUP($D287,$C$5:$AU$502,3,)=0,0,(VLOOKUP($D287,$C$5:$AU$502,22,)/VLOOKUP($D287,$C$5:$AU$502,3,))*$E287)</f>
        <v>0</v>
      </c>
      <c r="Y287" s="66">
        <f>IF(VLOOKUP($D287,$C$5:$AU$502,3,)=0,0,(VLOOKUP($D287,$C$5:$AU$502,23,)/VLOOKUP($D287,$C$5:$AU$502,3,))*$E287)</f>
        <v>0</v>
      </c>
      <c r="Z287" s="66">
        <f>IF(VLOOKUP($D287,$C$5:$AU$502,3,)=0,0,(VLOOKUP($D287,$C$5:$AU$502,24,)/VLOOKUP($D287,$C$5:$AU$502,3,))*$E287)</f>
        <v>0</v>
      </c>
      <c r="AA287" s="66">
        <f>IF(VLOOKUP($D287,$C$5:$AU$502,3,)=0,0,(VLOOKUP($D287,$C$5:$AU$502,25,)/VLOOKUP($D287,$C$5:$AU$502,3,))*$E287)</f>
        <v>0</v>
      </c>
      <c r="AB287" s="66">
        <f>IF(VLOOKUP($D287,$C$5:$AU$502,3,)=0,0,(VLOOKUP($D287,$C$5:$AU$502,26,)/VLOOKUP($D287,$C$5:$AU$502,3,))*$E287)</f>
        <v>0</v>
      </c>
      <c r="AC287" s="66">
        <f>IF(VLOOKUP($D287,$C$5:$AU$502,3,)=0,0,(VLOOKUP($D287,$C$5:$AU$502,27,)/VLOOKUP($D287,$C$5:$AU$502,3,))*$E287)</f>
        <v>0</v>
      </c>
      <c r="AD287" s="66">
        <f>IF(VLOOKUP($D287,$C$5:$AU$502,3,)=0,0,(VLOOKUP($D287,$C$5:$AU$502,28,)/VLOOKUP($D287,$C$5:$AU$502,3,))*$E287)</f>
        <v>0</v>
      </c>
      <c r="AE287" s="66">
        <f>IF(VLOOKUP($D287,$C$5:$AU$502,3,)=0,0,(VLOOKUP($D287,$C$5:$AU$502,29,)/VLOOKUP($D287,$C$5:$AU$502,3,))*$E287)</f>
        <v>0</v>
      </c>
      <c r="AF287" s="66">
        <f>IF(VLOOKUP($D287,$C$5:$AU$502,3,)=0,0,(VLOOKUP($D287,$C$5:$AU$502,30,)/VLOOKUP($D287,$C$5:$AU$502,3,))*$E287)</f>
        <v>0</v>
      </c>
      <c r="AG287" s="93">
        <f>SUM(F287:AF287)</f>
        <v>13169.942760129725</v>
      </c>
      <c r="AH287" s="30" t="str">
        <f>IF(ABS(E287-AG287)&lt;0.01,"ok","err")</f>
        <v>ok</v>
      </c>
    </row>
    <row r="288" spans="1:34" x14ac:dyDescent="0.2">
      <c r="A288" s="14" t="s">
        <v>224</v>
      </c>
      <c r="E288" s="66">
        <f t="shared" ref="E288:T288" si="59">E286+E287</f>
        <v>38791.055537057982</v>
      </c>
      <c r="F288" s="66">
        <f t="shared" si="59"/>
        <v>32794.885751944414</v>
      </c>
      <c r="G288" s="66">
        <f t="shared" si="59"/>
        <v>8.6604226103384558</v>
      </c>
      <c r="H288" s="66">
        <f t="shared" si="59"/>
        <v>1600.3509652686575</v>
      </c>
      <c r="I288" s="66">
        <f t="shared" si="59"/>
        <v>474.3089116307072</v>
      </c>
      <c r="J288" s="66">
        <f t="shared" si="59"/>
        <v>156.51860558174303</v>
      </c>
      <c r="K288" s="66">
        <f t="shared" si="59"/>
        <v>773.44858102619594</v>
      </c>
      <c r="L288" s="66">
        <f t="shared" si="59"/>
        <v>2659.1934130064346</v>
      </c>
      <c r="M288" s="66">
        <f t="shared" si="59"/>
        <v>323.6888859894961</v>
      </c>
      <c r="N288" s="66">
        <f t="shared" si="59"/>
        <v>0</v>
      </c>
      <c r="O288" s="66">
        <f t="shared" si="59"/>
        <v>0</v>
      </c>
      <c r="P288" s="66">
        <f t="shared" si="59"/>
        <v>0</v>
      </c>
      <c r="Q288" s="66">
        <f t="shared" si="59"/>
        <v>0</v>
      </c>
      <c r="R288" s="66">
        <f t="shared" si="59"/>
        <v>0</v>
      </c>
      <c r="S288" s="66">
        <f t="shared" si="59"/>
        <v>0</v>
      </c>
      <c r="T288" s="66">
        <f t="shared" si="59"/>
        <v>0</v>
      </c>
      <c r="U288" s="66">
        <f t="shared" ref="U288:AF288" si="60">U286+U287</f>
        <v>0</v>
      </c>
      <c r="V288" s="66">
        <f t="shared" si="60"/>
        <v>0</v>
      </c>
      <c r="W288" s="66">
        <f t="shared" si="60"/>
        <v>0</v>
      </c>
      <c r="X288" s="66">
        <f t="shared" si="60"/>
        <v>0</v>
      </c>
      <c r="Y288" s="66">
        <f t="shared" si="60"/>
        <v>0</v>
      </c>
      <c r="Z288" s="66">
        <f t="shared" si="60"/>
        <v>0</v>
      </c>
      <c r="AA288" s="66">
        <f t="shared" si="60"/>
        <v>0</v>
      </c>
      <c r="AB288" s="66">
        <f t="shared" si="60"/>
        <v>0</v>
      </c>
      <c r="AC288" s="66">
        <f t="shared" si="60"/>
        <v>0</v>
      </c>
      <c r="AD288" s="66">
        <f t="shared" si="60"/>
        <v>0</v>
      </c>
      <c r="AE288" s="66">
        <f t="shared" si="60"/>
        <v>0</v>
      </c>
      <c r="AF288" s="66">
        <f t="shared" si="60"/>
        <v>0</v>
      </c>
      <c r="AG288" s="93">
        <f>SUM(F288:AF288)</f>
        <v>38791.055537057982</v>
      </c>
      <c r="AH288" s="30" t="str">
        <f>IF(ABS(E288-AG288)&lt;0.01,"ok","err")</f>
        <v>ok</v>
      </c>
    </row>
    <row r="289" spans="1:34" x14ac:dyDescent="0.2">
      <c r="E289" s="50"/>
    </row>
    <row r="290" spans="1:34" x14ac:dyDescent="0.2">
      <c r="A290" s="13" t="s">
        <v>3</v>
      </c>
      <c r="E290" s="50"/>
    </row>
    <row r="291" spans="1:34" x14ac:dyDescent="0.2">
      <c r="A291" s="96" t="s">
        <v>209</v>
      </c>
      <c r="C291" s="14" t="s">
        <v>317</v>
      </c>
      <c r="D291" s="14" t="s">
        <v>701</v>
      </c>
      <c r="E291" s="66">
        <f>'Func &amp; Classif'!R316</f>
        <v>0</v>
      </c>
      <c r="F291" s="66">
        <f>IF(VLOOKUP($D291,$C$5:$AU$502,3,)=0,0,(VLOOKUP($D291,$C$5:$AU$502,4,)/VLOOKUP($D291,$C$5:$AU$502,3,))*$E291)</f>
        <v>0</v>
      </c>
      <c r="G291" s="66">
        <f>IF(VLOOKUP($D291,$C$5:$AU$502,3,)=0,0,(VLOOKUP($D291,$C$5:$AU$502,5,)/VLOOKUP($D291,$C$5:$AU$502,3,))*$E291)</f>
        <v>0</v>
      </c>
      <c r="H291" s="66">
        <f>IF(VLOOKUP($D291,$C$5:$AU$502,3,)=0,0,(VLOOKUP($D291,$C$5:$AU$502,6,)/VLOOKUP($D291,$C$5:$AU$502,3,))*$E291)</f>
        <v>0</v>
      </c>
      <c r="I291" s="66">
        <f>IF(VLOOKUP($D291,$C$5:$AU$502,3,)=0,0,(VLOOKUP($D291,$C$5:$AU$502,7,)/VLOOKUP($D291,$C$5:$AU$502,3,))*$E291)</f>
        <v>0</v>
      </c>
      <c r="J291" s="66">
        <f>IF(VLOOKUP($D291,$C$5:$AU$502,3,)=0,0,(VLOOKUP($D291,$C$5:$AU$502,8,)/VLOOKUP($D291,$C$5:$AU$502,3,))*$E291)</f>
        <v>0</v>
      </c>
      <c r="K291" s="66">
        <f>IF(VLOOKUP($D291,$C$5:$AU$502,3,)=0,0,(VLOOKUP($D291,$C$5:$AU$502,9,)/VLOOKUP($D291,$C$5:$AU$502,3,))*$E291)</f>
        <v>0</v>
      </c>
      <c r="L291" s="66">
        <f>IF(VLOOKUP($D291,$C$5:$AU$502,3,)=0,0,(VLOOKUP($D291,$C$5:$AU$502,10,)/VLOOKUP($D291,$C$5:$AU$502,3,))*$E291)</f>
        <v>0</v>
      </c>
      <c r="M291" s="66">
        <f>IF(VLOOKUP($D291,$C$5:$AU$502,3,)=0,0,(VLOOKUP($D291,$C$5:$AU$502,11,)/VLOOKUP($D291,$C$5:$AU$502,3,))*$E291)</f>
        <v>0</v>
      </c>
      <c r="N291" s="66">
        <f>IF(VLOOKUP($D291,$C$5:$AU$502,3,)=0,0,(VLOOKUP($D291,$C$5:$AU$502,12,)/VLOOKUP($D291,$C$5:$AU$502,3,))*$E291)</f>
        <v>0</v>
      </c>
      <c r="O291" s="66">
        <f>IF(VLOOKUP($D291,$C$5:$AU$502,3,)=0,0,(VLOOKUP($D291,$C$5:$AU$502,13,)/VLOOKUP($D291,$C$5:$AU$502,3,))*$E291)</f>
        <v>0</v>
      </c>
      <c r="P291" s="66">
        <f>IF(VLOOKUP($D291,$C$5:$AU$502,3,)=0,0,(VLOOKUP($D291,$C$5:$AU$502,14,)/VLOOKUP($D291,$C$5:$AU$502,3,))*$E291)</f>
        <v>0</v>
      </c>
      <c r="Q291" s="66">
        <f>IF(VLOOKUP($D291,$C$5:$AU$502,3,)=0,0,(VLOOKUP($D291,$C$5:$AU$502,15,)/VLOOKUP($D291,$C$5:$AU$502,3,))*$E291)</f>
        <v>0</v>
      </c>
      <c r="R291" s="66">
        <f>IF(VLOOKUP($D291,$C$5:$AU$502,3,)=0,0,(VLOOKUP($D291,$C$5:$AU$502,16,)/VLOOKUP($D291,$C$5:$AU$502,3,))*$E291)</f>
        <v>0</v>
      </c>
      <c r="S291" s="66">
        <f>IF(VLOOKUP($D291,$C$5:$AU$502,3,)=0,0,(VLOOKUP($D291,$C$5:$AU$502,17,)/VLOOKUP($D291,$C$5:$AU$502,3,))*$E291)</f>
        <v>0</v>
      </c>
      <c r="T291" s="66">
        <f>IF(VLOOKUP($D291,$C$5:$AU$502,3,)=0,0,(VLOOKUP($D291,$C$5:$AU$502,18,)/VLOOKUP($D291,$C$5:$AU$502,3,))*$E291)</f>
        <v>0</v>
      </c>
      <c r="U291" s="66">
        <f>IF(VLOOKUP($D291,$C$5:$AU$502,3,)=0,0,(VLOOKUP($D291,$C$5:$AU$502,19,)/VLOOKUP($D291,$C$5:$AU$502,3,))*$E291)</f>
        <v>0</v>
      </c>
      <c r="V291" s="66">
        <f>IF(VLOOKUP($D291,$C$5:$AU$502,3,)=0,0,(VLOOKUP($D291,$C$5:$AU$502,20,)/VLOOKUP($D291,$C$5:$AU$502,3,))*$E291)</f>
        <v>0</v>
      </c>
      <c r="W291" s="66">
        <f>IF(VLOOKUP($D291,$C$5:$AU$502,3,)=0,0,(VLOOKUP($D291,$C$5:$AU$502,21,)/VLOOKUP($D291,$C$5:$AU$502,3,))*$E291)</f>
        <v>0</v>
      </c>
      <c r="X291" s="66">
        <f>IF(VLOOKUP($D291,$C$5:$AU$502,3,)=0,0,(VLOOKUP($D291,$C$5:$AU$502,22,)/VLOOKUP($D291,$C$5:$AU$502,3,))*$E291)</f>
        <v>0</v>
      </c>
      <c r="Y291" s="66">
        <f>IF(VLOOKUP($D291,$C$5:$AU$502,3,)=0,0,(VLOOKUP($D291,$C$5:$AU$502,23,)/VLOOKUP($D291,$C$5:$AU$502,3,))*$E291)</f>
        <v>0</v>
      </c>
      <c r="Z291" s="66">
        <f>IF(VLOOKUP($D291,$C$5:$AU$502,3,)=0,0,(VLOOKUP($D291,$C$5:$AU$502,24,)/VLOOKUP($D291,$C$5:$AU$502,3,))*$E291)</f>
        <v>0</v>
      </c>
      <c r="AA291" s="66">
        <f>IF(VLOOKUP($D291,$C$5:$AU$502,3,)=0,0,(VLOOKUP($D291,$C$5:$AU$502,25,)/VLOOKUP($D291,$C$5:$AU$502,3,))*$E291)</f>
        <v>0</v>
      </c>
      <c r="AB291" s="66">
        <f>IF(VLOOKUP($D291,$C$5:$AU$502,3,)=0,0,(VLOOKUP($D291,$C$5:$AU$502,26,)/VLOOKUP($D291,$C$5:$AU$502,3,))*$E291)</f>
        <v>0</v>
      </c>
      <c r="AC291" s="66">
        <f>IF(VLOOKUP($D291,$C$5:$AU$502,3,)=0,0,(VLOOKUP($D291,$C$5:$AU$502,27,)/VLOOKUP($D291,$C$5:$AU$502,3,))*$E291)</f>
        <v>0</v>
      </c>
      <c r="AD291" s="66">
        <f>IF(VLOOKUP($D291,$C$5:$AU$502,3,)=0,0,(VLOOKUP($D291,$C$5:$AU$502,28,)/VLOOKUP($D291,$C$5:$AU$502,3,))*$E291)</f>
        <v>0</v>
      </c>
      <c r="AE291" s="66">
        <f>IF(VLOOKUP($D291,$C$5:$AU$502,3,)=0,0,(VLOOKUP($D291,$C$5:$AU$502,29,)/VLOOKUP($D291,$C$5:$AU$502,3,))*$E291)</f>
        <v>0</v>
      </c>
      <c r="AF291" s="66">
        <f>IF(VLOOKUP($D291,$C$5:$AU$502,3,)=0,0,(VLOOKUP($D291,$C$5:$AU$502,30,)/VLOOKUP($D291,$C$5:$AU$502,3,))*$E291)</f>
        <v>0</v>
      </c>
      <c r="AG291" s="93">
        <f>SUM(F291:AF291)</f>
        <v>0</v>
      </c>
      <c r="AH291" s="30" t="str">
        <f>IF(ABS(E291-AG291)&lt;0.01,"ok","err")</f>
        <v>ok</v>
      </c>
    </row>
    <row r="292" spans="1:34" x14ac:dyDescent="0.2">
      <c r="A292" s="96" t="s">
        <v>221</v>
      </c>
      <c r="C292" s="14" t="s">
        <v>318</v>
      </c>
      <c r="D292" s="14" t="s">
        <v>701</v>
      </c>
      <c r="E292" s="50">
        <f>'Func &amp; Classif'!S316</f>
        <v>4129.9831493495467</v>
      </c>
      <c r="F292" s="66">
        <f>IF(VLOOKUP($D292,$C$5:$AU$502,3,)=0,0,(VLOOKUP($D292,$C$5:$AU$502,4,)/VLOOKUP($D292,$C$5:$AU$502,3,))*$E292)</f>
        <v>3711.7505863340239</v>
      </c>
      <c r="G292" s="66">
        <f>IF(VLOOKUP($D292,$C$5:$AU$502,3,)=0,0,(VLOOKUP($D292,$C$5:$AU$502,5,)/VLOOKUP($D292,$C$5:$AU$502,3,))*$E292)</f>
        <v>1.4861533622656029</v>
      </c>
      <c r="H292" s="66">
        <f>IF(VLOOKUP($D292,$C$5:$AU$502,3,)=0,0,(VLOOKUP($D292,$C$5:$AU$502,6,)/VLOOKUP($D292,$C$5:$AU$502,3,))*$E292)</f>
        <v>332.37933716095961</v>
      </c>
      <c r="I292" s="66">
        <f>IF(VLOOKUP($D292,$C$5:$AU$502,3,)=0,0,(VLOOKUP($D292,$C$5:$AU$502,7,)/VLOOKUP($D292,$C$5:$AU$502,3,))*$E292)</f>
        <v>33.329004499254729</v>
      </c>
      <c r="J292" s="66">
        <f>IF(VLOOKUP($D292,$C$5:$AU$502,3,)=0,0,(VLOOKUP($D292,$C$5:$AU$502,8,)/VLOOKUP($D292,$C$5:$AU$502,3,))*$E292)</f>
        <v>31.704605061666189</v>
      </c>
      <c r="K292" s="66">
        <f>IF(VLOOKUP($D292,$C$5:$AU$502,3,)=0,0,(VLOOKUP($D292,$C$5:$AU$502,9,)/VLOOKUP($D292,$C$5:$AU$502,3,))*$E292)</f>
        <v>9.160603575818552</v>
      </c>
      <c r="L292" s="66">
        <f>IF(VLOOKUP($D292,$C$5:$AU$502,3,)=0,0,(VLOOKUP($D292,$C$5:$AU$502,10,)/VLOOKUP($D292,$C$5:$AU$502,3,))*$E292)</f>
        <v>10.17285935555822</v>
      </c>
      <c r="M292" s="66">
        <f>IF(VLOOKUP($D292,$C$5:$AU$502,3,)=0,0,(VLOOKUP($D292,$C$5:$AU$502,11,)/VLOOKUP($D292,$C$5:$AU$502,3,))*$E292)</f>
        <v>0</v>
      </c>
      <c r="N292" s="66">
        <f>IF(VLOOKUP($D292,$C$5:$AU$502,3,)=0,0,(VLOOKUP($D292,$C$5:$AU$502,12,)/VLOOKUP($D292,$C$5:$AU$502,3,))*$E292)</f>
        <v>0</v>
      </c>
      <c r="O292" s="66">
        <f>IF(VLOOKUP($D292,$C$5:$AU$502,3,)=0,0,(VLOOKUP($D292,$C$5:$AU$502,13,)/VLOOKUP($D292,$C$5:$AU$502,3,))*$E292)</f>
        <v>0</v>
      </c>
      <c r="P292" s="66">
        <f>IF(VLOOKUP($D292,$C$5:$AU$502,3,)=0,0,(VLOOKUP($D292,$C$5:$AU$502,14,)/VLOOKUP($D292,$C$5:$AU$502,3,))*$E292)</f>
        <v>0</v>
      </c>
      <c r="Q292" s="66">
        <f>IF(VLOOKUP($D292,$C$5:$AU$502,3,)=0,0,(VLOOKUP($D292,$C$5:$AU$502,15,)/VLOOKUP($D292,$C$5:$AU$502,3,))*$E292)</f>
        <v>0</v>
      </c>
      <c r="R292" s="66">
        <f>IF(VLOOKUP($D292,$C$5:$AU$502,3,)=0,0,(VLOOKUP($D292,$C$5:$AU$502,16,)/VLOOKUP($D292,$C$5:$AU$502,3,))*$E292)</f>
        <v>0</v>
      </c>
      <c r="S292" s="66">
        <f>IF(VLOOKUP($D292,$C$5:$AU$502,3,)=0,0,(VLOOKUP($D292,$C$5:$AU$502,17,)/VLOOKUP($D292,$C$5:$AU$502,3,))*$E292)</f>
        <v>0</v>
      </c>
      <c r="T292" s="66">
        <f>IF(VLOOKUP($D292,$C$5:$AU$502,3,)=0,0,(VLOOKUP($D292,$C$5:$AU$502,18,)/VLOOKUP($D292,$C$5:$AU$502,3,))*$E292)</f>
        <v>0</v>
      </c>
      <c r="U292" s="66">
        <f>IF(VLOOKUP($D292,$C$5:$AU$502,3,)=0,0,(VLOOKUP($D292,$C$5:$AU$502,19,)/VLOOKUP($D292,$C$5:$AU$502,3,))*$E292)</f>
        <v>0</v>
      </c>
      <c r="V292" s="66">
        <f>IF(VLOOKUP($D292,$C$5:$AU$502,3,)=0,0,(VLOOKUP($D292,$C$5:$AU$502,20,)/VLOOKUP($D292,$C$5:$AU$502,3,))*$E292)</f>
        <v>0</v>
      </c>
      <c r="W292" s="66">
        <f>IF(VLOOKUP($D292,$C$5:$AU$502,3,)=0,0,(VLOOKUP($D292,$C$5:$AU$502,21,)/VLOOKUP($D292,$C$5:$AU$502,3,))*$E292)</f>
        <v>0</v>
      </c>
      <c r="X292" s="66">
        <f>IF(VLOOKUP($D292,$C$5:$AU$502,3,)=0,0,(VLOOKUP($D292,$C$5:$AU$502,22,)/VLOOKUP($D292,$C$5:$AU$502,3,))*$E292)</f>
        <v>0</v>
      </c>
      <c r="Y292" s="66">
        <f>IF(VLOOKUP($D292,$C$5:$AU$502,3,)=0,0,(VLOOKUP($D292,$C$5:$AU$502,23,)/VLOOKUP($D292,$C$5:$AU$502,3,))*$E292)</f>
        <v>0</v>
      </c>
      <c r="Z292" s="66">
        <f>IF(VLOOKUP($D292,$C$5:$AU$502,3,)=0,0,(VLOOKUP($D292,$C$5:$AU$502,24,)/VLOOKUP($D292,$C$5:$AU$502,3,))*$E292)</f>
        <v>0</v>
      </c>
      <c r="AA292" s="66">
        <f>IF(VLOOKUP($D292,$C$5:$AU$502,3,)=0,0,(VLOOKUP($D292,$C$5:$AU$502,25,)/VLOOKUP($D292,$C$5:$AU$502,3,))*$E292)</f>
        <v>0</v>
      </c>
      <c r="AB292" s="66">
        <f>IF(VLOOKUP($D292,$C$5:$AU$502,3,)=0,0,(VLOOKUP($D292,$C$5:$AU$502,26,)/VLOOKUP($D292,$C$5:$AU$502,3,))*$E292)</f>
        <v>0</v>
      </c>
      <c r="AC292" s="66">
        <f>IF(VLOOKUP($D292,$C$5:$AU$502,3,)=0,0,(VLOOKUP($D292,$C$5:$AU$502,27,)/VLOOKUP($D292,$C$5:$AU$502,3,))*$E292)</f>
        <v>0</v>
      </c>
      <c r="AD292" s="66">
        <f>IF(VLOOKUP($D292,$C$5:$AU$502,3,)=0,0,(VLOOKUP($D292,$C$5:$AU$502,28,)/VLOOKUP($D292,$C$5:$AU$502,3,))*$E292)</f>
        <v>0</v>
      </c>
      <c r="AE292" s="66">
        <f>IF(VLOOKUP($D292,$C$5:$AU$502,3,)=0,0,(VLOOKUP($D292,$C$5:$AU$502,29,)/VLOOKUP($D292,$C$5:$AU$502,3,))*$E292)</f>
        <v>0</v>
      </c>
      <c r="AF292" s="66">
        <f>IF(VLOOKUP($D292,$C$5:$AU$502,3,)=0,0,(VLOOKUP($D292,$C$5:$AU$502,30,)/VLOOKUP($D292,$C$5:$AU$502,3,))*$E292)</f>
        <v>0</v>
      </c>
      <c r="AG292" s="93">
        <f>SUM(F292:AF292)</f>
        <v>4129.9831493495467</v>
      </c>
      <c r="AH292" s="30" t="str">
        <f>IF(ABS(E292-AG292)&lt;0.01,"ok","err")</f>
        <v>ok</v>
      </c>
    </row>
    <row r="293" spans="1:34" x14ac:dyDescent="0.2">
      <c r="A293" s="14" t="s">
        <v>228</v>
      </c>
      <c r="E293" s="66">
        <f t="shared" ref="E293:T293" si="61">E291+E292</f>
        <v>4129.9831493495467</v>
      </c>
      <c r="F293" s="66">
        <f t="shared" si="61"/>
        <v>3711.7505863340239</v>
      </c>
      <c r="G293" s="66">
        <f t="shared" si="61"/>
        <v>1.4861533622656029</v>
      </c>
      <c r="H293" s="66">
        <f t="shared" si="61"/>
        <v>332.37933716095961</v>
      </c>
      <c r="I293" s="66">
        <f t="shared" si="61"/>
        <v>33.329004499254729</v>
      </c>
      <c r="J293" s="66">
        <f t="shared" si="61"/>
        <v>31.704605061666189</v>
      </c>
      <c r="K293" s="66">
        <f t="shared" si="61"/>
        <v>9.160603575818552</v>
      </c>
      <c r="L293" s="66">
        <f t="shared" si="61"/>
        <v>10.17285935555822</v>
      </c>
      <c r="M293" s="66">
        <f t="shared" si="61"/>
        <v>0</v>
      </c>
      <c r="N293" s="66">
        <f t="shared" si="61"/>
        <v>0</v>
      </c>
      <c r="O293" s="66">
        <f t="shared" si="61"/>
        <v>0</v>
      </c>
      <c r="P293" s="66">
        <f t="shared" si="61"/>
        <v>0</v>
      </c>
      <c r="Q293" s="66">
        <f t="shared" si="61"/>
        <v>0</v>
      </c>
      <c r="R293" s="66">
        <f t="shared" si="61"/>
        <v>0</v>
      </c>
      <c r="S293" s="66">
        <f t="shared" si="61"/>
        <v>0</v>
      </c>
      <c r="T293" s="66">
        <f t="shared" si="61"/>
        <v>0</v>
      </c>
      <c r="U293" s="66">
        <f t="shared" ref="U293:AF293" si="62">U291+U292</f>
        <v>0</v>
      </c>
      <c r="V293" s="66">
        <f t="shared" si="62"/>
        <v>0</v>
      </c>
      <c r="W293" s="66">
        <f t="shared" si="62"/>
        <v>0</v>
      </c>
      <c r="X293" s="66">
        <f t="shared" si="62"/>
        <v>0</v>
      </c>
      <c r="Y293" s="66">
        <f t="shared" si="62"/>
        <v>0</v>
      </c>
      <c r="Z293" s="66">
        <f t="shared" si="62"/>
        <v>0</v>
      </c>
      <c r="AA293" s="66">
        <f t="shared" si="62"/>
        <v>0</v>
      </c>
      <c r="AB293" s="66">
        <f t="shared" si="62"/>
        <v>0</v>
      </c>
      <c r="AC293" s="66">
        <f t="shared" si="62"/>
        <v>0</v>
      </c>
      <c r="AD293" s="66">
        <f t="shared" si="62"/>
        <v>0</v>
      </c>
      <c r="AE293" s="66">
        <f t="shared" si="62"/>
        <v>0</v>
      </c>
      <c r="AF293" s="66">
        <f t="shared" si="62"/>
        <v>0</v>
      </c>
      <c r="AG293" s="93">
        <f>SUM(F293:AF293)</f>
        <v>4129.9831493495467</v>
      </c>
      <c r="AH293" s="30" t="str">
        <f>IF(ABS(E293-AG293)&lt;0.01,"ok","err")</f>
        <v>ok</v>
      </c>
    </row>
    <row r="294" spans="1:34" x14ac:dyDescent="0.2">
      <c r="E294" s="50"/>
    </row>
    <row r="295" spans="1:34" x14ac:dyDescent="0.2">
      <c r="A295" s="13" t="s">
        <v>4</v>
      </c>
      <c r="E295" s="50"/>
    </row>
    <row r="296" spans="1:34" x14ac:dyDescent="0.2">
      <c r="A296" s="96" t="s">
        <v>221</v>
      </c>
      <c r="C296" s="14" t="s">
        <v>319</v>
      </c>
      <c r="D296" s="14" t="s">
        <v>230</v>
      </c>
      <c r="E296" s="66">
        <f>'Func &amp; Classif'!U316</f>
        <v>2439.5173183145789</v>
      </c>
      <c r="F296" s="66">
        <f>IF(VLOOKUP($D296,$C$5:$AU$502,3,)=0,0,(VLOOKUP($D296,$C$5:$AU$502,4,)/VLOOKUP($D296,$C$5:$AU$502,3,))*$E296)</f>
        <v>2169.629921858952</v>
      </c>
      <c r="G296" s="66">
        <f>IF(VLOOKUP($D296,$C$5:$AU$502,3,)=0,0,(VLOOKUP($D296,$C$5:$AU$502,5,)/VLOOKUP($D296,$C$5:$AU$502,3,))*$E296)</f>
        <v>0.86870136563442357</v>
      </c>
      <c r="H296" s="66">
        <f>IF(VLOOKUP($D296,$C$5:$AU$502,3,)=0,0,(VLOOKUP($D296,$C$5:$AU$502,6,)/VLOOKUP($D296,$C$5:$AU$502,3,))*$E296)</f>
        <v>123.45211629404753</v>
      </c>
      <c r="I296" s="66">
        <f>IF(VLOOKUP($D296,$C$5:$AU$502,3,)=0,0,(VLOOKUP($D296,$C$5:$AU$502,7,)/VLOOKUP($D296,$C$5:$AU$502,3,))*$E296)</f>
        <v>37.410404471916138</v>
      </c>
      <c r="J296" s="66">
        <f>IF(VLOOKUP($D296,$C$5:$AU$502,3,)=0,0,(VLOOKUP($D296,$C$5:$AU$502,8,)/VLOOKUP($D296,$C$5:$AU$502,3,))*$E296)</f>
        <v>18.532295800201034</v>
      </c>
      <c r="K296" s="66">
        <f>IF(VLOOKUP($D296,$C$5:$AU$502,3,)=0,0,(VLOOKUP($D296,$C$5:$AU$502,9,)/VLOOKUP($D296,$C$5:$AU$502,3,))*$E296)</f>
        <v>23.013101724956144</v>
      </c>
      <c r="L296" s="66">
        <f>IF(VLOOKUP($D296,$C$5:$AU$502,3,)=0,0,(VLOOKUP($D296,$C$5:$AU$502,10,)/VLOOKUP($D296,$C$5:$AU$502,3,))*$E296)</f>
        <v>66.610776798871612</v>
      </c>
      <c r="M296" s="66">
        <f>IF(VLOOKUP($D296,$C$5:$AU$502,3,)=0,0,(VLOOKUP($D296,$C$5:$AU$502,11,)/VLOOKUP($D296,$C$5:$AU$502,3,))*$E296)</f>
        <v>0</v>
      </c>
      <c r="N296" s="66">
        <f>IF(VLOOKUP($D296,$C$5:$AU$502,3,)=0,0,(VLOOKUP($D296,$C$5:$AU$502,12,)/VLOOKUP($D296,$C$5:$AU$502,3,))*$E296)</f>
        <v>0</v>
      </c>
      <c r="O296" s="66">
        <f>IF(VLOOKUP($D296,$C$5:$AU$502,3,)=0,0,(VLOOKUP($D296,$C$5:$AU$502,13,)/VLOOKUP($D296,$C$5:$AU$502,3,))*$E296)</f>
        <v>0</v>
      </c>
      <c r="P296" s="66">
        <f>IF(VLOOKUP($D296,$C$5:$AU$502,3,)=0,0,(VLOOKUP($D296,$C$5:$AU$502,14,)/VLOOKUP($D296,$C$5:$AU$502,3,))*$E296)</f>
        <v>0</v>
      </c>
      <c r="Q296" s="66">
        <f>IF(VLOOKUP($D296,$C$5:$AU$502,3,)=0,0,(VLOOKUP($D296,$C$5:$AU$502,15,)/VLOOKUP($D296,$C$5:$AU$502,3,))*$E296)</f>
        <v>0</v>
      </c>
      <c r="R296" s="66">
        <f>IF(VLOOKUP($D296,$C$5:$AU$502,3,)=0,0,(VLOOKUP($D296,$C$5:$AU$502,16,)/VLOOKUP($D296,$C$5:$AU$502,3,))*$E296)</f>
        <v>0</v>
      </c>
      <c r="S296" s="66">
        <f>IF(VLOOKUP($D296,$C$5:$AU$502,3,)=0,0,(VLOOKUP($D296,$C$5:$AU$502,17,)/VLOOKUP($D296,$C$5:$AU$502,3,))*$E296)</f>
        <v>0</v>
      </c>
      <c r="T296" s="66">
        <f>IF(VLOOKUP($D296,$C$5:$AU$502,3,)=0,0,(VLOOKUP($D296,$C$5:$AU$502,18,)/VLOOKUP($D296,$C$5:$AU$502,3,))*$E296)</f>
        <v>0</v>
      </c>
      <c r="U296" s="66">
        <f>IF(VLOOKUP($D296,$C$5:$AU$502,3,)=0,0,(VLOOKUP($D296,$C$5:$AU$502,19,)/VLOOKUP($D296,$C$5:$AU$502,3,))*$E296)</f>
        <v>0</v>
      </c>
      <c r="V296" s="66">
        <f>IF(VLOOKUP($D296,$C$5:$AU$502,3,)=0,0,(VLOOKUP($D296,$C$5:$AU$502,20,)/VLOOKUP($D296,$C$5:$AU$502,3,))*$E296)</f>
        <v>0</v>
      </c>
      <c r="W296" s="66">
        <f>IF(VLOOKUP($D296,$C$5:$AU$502,3,)=0,0,(VLOOKUP($D296,$C$5:$AU$502,21,)/VLOOKUP($D296,$C$5:$AU$502,3,))*$E296)</f>
        <v>0</v>
      </c>
      <c r="X296" s="66">
        <f>IF(VLOOKUP($D296,$C$5:$AU$502,3,)=0,0,(VLOOKUP($D296,$C$5:$AU$502,22,)/VLOOKUP($D296,$C$5:$AU$502,3,))*$E296)</f>
        <v>0</v>
      </c>
      <c r="Y296" s="66">
        <f>IF(VLOOKUP($D296,$C$5:$AU$502,3,)=0,0,(VLOOKUP($D296,$C$5:$AU$502,23,)/VLOOKUP($D296,$C$5:$AU$502,3,))*$E296)</f>
        <v>0</v>
      </c>
      <c r="Z296" s="66">
        <f>IF(VLOOKUP($D296,$C$5:$AU$502,3,)=0,0,(VLOOKUP($D296,$C$5:$AU$502,24,)/VLOOKUP($D296,$C$5:$AU$502,3,))*$E296)</f>
        <v>0</v>
      </c>
      <c r="AA296" s="66">
        <f>IF(VLOOKUP($D296,$C$5:$AU$502,3,)=0,0,(VLOOKUP($D296,$C$5:$AU$502,25,)/VLOOKUP($D296,$C$5:$AU$502,3,))*$E296)</f>
        <v>0</v>
      </c>
      <c r="AB296" s="66">
        <f>IF(VLOOKUP($D296,$C$5:$AU$502,3,)=0,0,(VLOOKUP($D296,$C$5:$AU$502,26,)/VLOOKUP($D296,$C$5:$AU$502,3,))*$E296)</f>
        <v>0</v>
      </c>
      <c r="AC296" s="66">
        <f>IF(VLOOKUP($D296,$C$5:$AU$502,3,)=0,0,(VLOOKUP($D296,$C$5:$AU$502,27,)/VLOOKUP($D296,$C$5:$AU$502,3,))*$E296)</f>
        <v>0</v>
      </c>
      <c r="AD296" s="66">
        <f>IF(VLOOKUP($D296,$C$5:$AU$502,3,)=0,0,(VLOOKUP($D296,$C$5:$AU$502,28,)/VLOOKUP($D296,$C$5:$AU$502,3,))*$E296)</f>
        <v>0</v>
      </c>
      <c r="AE296" s="66">
        <f>IF(VLOOKUP($D296,$C$5:$AU$502,3,)=0,0,(VLOOKUP($D296,$C$5:$AU$502,29,)/VLOOKUP($D296,$C$5:$AU$502,3,))*$E296)</f>
        <v>0</v>
      </c>
      <c r="AF296" s="66">
        <f>IF(VLOOKUP($D296,$C$5:$AU$502,3,)=0,0,(VLOOKUP($D296,$C$5:$AU$502,30,)/VLOOKUP($D296,$C$5:$AU$502,3,))*$E296)</f>
        <v>0</v>
      </c>
      <c r="AG296" s="93">
        <f>SUM(F296:AF296)</f>
        <v>2439.5173183145785</v>
      </c>
      <c r="AH296" s="30" t="str">
        <f>IF(ABS(E296-AG296)&lt;0.01,"ok","err")</f>
        <v>ok</v>
      </c>
    </row>
    <row r="297" spans="1:34" x14ac:dyDescent="0.2">
      <c r="E297" s="50"/>
    </row>
    <row r="298" spans="1:34" x14ac:dyDescent="0.2">
      <c r="A298" s="13" t="s">
        <v>5</v>
      </c>
      <c r="E298" s="50"/>
    </row>
    <row r="299" spans="1:34" x14ac:dyDescent="0.2">
      <c r="A299" s="96" t="s">
        <v>221</v>
      </c>
      <c r="C299" s="14" t="s">
        <v>320</v>
      </c>
      <c r="D299" s="14" t="s">
        <v>232</v>
      </c>
      <c r="E299" s="66">
        <f>'Func &amp; Classif'!W316</f>
        <v>3172.2509634836333</v>
      </c>
      <c r="F299" s="66">
        <f>IF(VLOOKUP($D299,$C$5:$AU$502,3,)=0,0,(VLOOKUP($D299,$C$5:$AU$502,4,)/VLOOKUP($D299,$C$5:$AU$502,3,))*$E299)</f>
        <v>0</v>
      </c>
      <c r="G299" s="66">
        <f>IF(VLOOKUP($D299,$C$5:$AU$502,3,)=0,0,(VLOOKUP($D299,$C$5:$AU$502,5,)/VLOOKUP($D299,$C$5:$AU$502,3,))*$E299)</f>
        <v>0</v>
      </c>
      <c r="H299" s="66">
        <f>IF(VLOOKUP($D299,$C$5:$AU$502,3,)=0,0,(VLOOKUP($D299,$C$5:$AU$502,6,)/VLOOKUP($D299,$C$5:$AU$502,3,))*$E299)</f>
        <v>0</v>
      </c>
      <c r="I299" s="66">
        <f>IF(VLOOKUP($D299,$C$5:$AU$502,3,)=0,0,(VLOOKUP($D299,$C$5:$AU$502,7,)/VLOOKUP($D299,$C$5:$AU$502,3,))*$E299)</f>
        <v>0</v>
      </c>
      <c r="J299" s="66">
        <f>IF(VLOOKUP($D299,$C$5:$AU$502,3,)=0,0,(VLOOKUP($D299,$C$5:$AU$502,8,)/VLOOKUP($D299,$C$5:$AU$502,3,))*$E299)</f>
        <v>0</v>
      </c>
      <c r="K299" s="66">
        <f>IF(VLOOKUP($D299,$C$5:$AU$502,3,)=0,0,(VLOOKUP($D299,$C$5:$AU$502,9,)/VLOOKUP($D299,$C$5:$AU$502,3,))*$E299)</f>
        <v>0</v>
      </c>
      <c r="L299" s="66">
        <f>IF(VLOOKUP($D299,$C$5:$AU$502,3,)=0,0,(VLOOKUP($D299,$C$5:$AU$502,10,)/VLOOKUP($D299,$C$5:$AU$502,3,))*$E299)</f>
        <v>0</v>
      </c>
      <c r="M299" s="66">
        <f>IF(VLOOKUP($D299,$C$5:$AU$502,3,)=0,0,(VLOOKUP($D299,$C$5:$AU$502,11,)/VLOOKUP($D299,$C$5:$AU$502,3,))*$E299)</f>
        <v>3172.2509634836333</v>
      </c>
      <c r="N299" s="66">
        <f>IF(VLOOKUP($D299,$C$5:$AU$502,3,)=0,0,(VLOOKUP($D299,$C$5:$AU$502,12,)/VLOOKUP($D299,$C$5:$AU$502,3,))*$E299)</f>
        <v>0</v>
      </c>
      <c r="O299" s="66">
        <f>IF(VLOOKUP($D299,$C$5:$AU$502,3,)=0,0,(VLOOKUP($D299,$C$5:$AU$502,13,)/VLOOKUP($D299,$C$5:$AU$502,3,))*$E299)</f>
        <v>0</v>
      </c>
      <c r="P299" s="66">
        <f>IF(VLOOKUP($D299,$C$5:$AU$502,3,)=0,0,(VLOOKUP($D299,$C$5:$AU$502,14,)/VLOOKUP($D299,$C$5:$AU$502,3,))*$E299)</f>
        <v>0</v>
      </c>
      <c r="Q299" s="66">
        <f>IF(VLOOKUP($D299,$C$5:$AU$502,3,)=0,0,(VLOOKUP($D299,$C$5:$AU$502,15,)/VLOOKUP($D299,$C$5:$AU$502,3,))*$E299)</f>
        <v>0</v>
      </c>
      <c r="R299" s="66">
        <f>IF(VLOOKUP($D299,$C$5:$AU$502,3,)=0,0,(VLOOKUP($D299,$C$5:$AU$502,16,)/VLOOKUP($D299,$C$5:$AU$502,3,))*$E299)</f>
        <v>0</v>
      </c>
      <c r="S299" s="66">
        <f>IF(VLOOKUP($D299,$C$5:$AU$502,3,)=0,0,(VLOOKUP($D299,$C$5:$AU$502,17,)/VLOOKUP($D299,$C$5:$AU$502,3,))*$E299)</f>
        <v>0</v>
      </c>
      <c r="T299" s="66">
        <f>IF(VLOOKUP($D299,$C$5:$AU$502,3,)=0,0,(VLOOKUP($D299,$C$5:$AU$502,18,)/VLOOKUP($D299,$C$5:$AU$502,3,))*$E299)</f>
        <v>0</v>
      </c>
      <c r="U299" s="66">
        <f>IF(VLOOKUP($D299,$C$5:$AU$502,3,)=0,0,(VLOOKUP($D299,$C$5:$AU$502,19,)/VLOOKUP($D299,$C$5:$AU$502,3,))*$E299)</f>
        <v>0</v>
      </c>
      <c r="V299" s="66">
        <f>IF(VLOOKUP($D299,$C$5:$AU$502,3,)=0,0,(VLOOKUP($D299,$C$5:$AU$502,20,)/VLOOKUP($D299,$C$5:$AU$502,3,))*$E299)</f>
        <v>0</v>
      </c>
      <c r="W299" s="66">
        <f>IF(VLOOKUP($D299,$C$5:$AU$502,3,)=0,0,(VLOOKUP($D299,$C$5:$AU$502,21,)/VLOOKUP($D299,$C$5:$AU$502,3,))*$E299)</f>
        <v>0</v>
      </c>
      <c r="X299" s="66">
        <f>IF(VLOOKUP($D299,$C$5:$AU$502,3,)=0,0,(VLOOKUP($D299,$C$5:$AU$502,22,)/VLOOKUP($D299,$C$5:$AU$502,3,))*$E299)</f>
        <v>0</v>
      </c>
      <c r="Y299" s="66">
        <f>IF(VLOOKUP($D299,$C$5:$AU$502,3,)=0,0,(VLOOKUP($D299,$C$5:$AU$502,23,)/VLOOKUP($D299,$C$5:$AU$502,3,))*$E299)</f>
        <v>0</v>
      </c>
      <c r="Z299" s="66">
        <f>IF(VLOOKUP($D299,$C$5:$AU$502,3,)=0,0,(VLOOKUP($D299,$C$5:$AU$502,24,)/VLOOKUP($D299,$C$5:$AU$502,3,))*$E299)</f>
        <v>0</v>
      </c>
      <c r="AA299" s="66">
        <f>IF(VLOOKUP($D299,$C$5:$AU$502,3,)=0,0,(VLOOKUP($D299,$C$5:$AU$502,25,)/VLOOKUP($D299,$C$5:$AU$502,3,))*$E299)</f>
        <v>0</v>
      </c>
      <c r="AB299" s="66">
        <f>IF(VLOOKUP($D299,$C$5:$AU$502,3,)=0,0,(VLOOKUP($D299,$C$5:$AU$502,26,)/VLOOKUP($D299,$C$5:$AU$502,3,))*$E299)</f>
        <v>0</v>
      </c>
      <c r="AC299" s="66">
        <f>IF(VLOOKUP($D299,$C$5:$AU$502,3,)=0,0,(VLOOKUP($D299,$C$5:$AU$502,27,)/VLOOKUP($D299,$C$5:$AU$502,3,))*$E299)</f>
        <v>0</v>
      </c>
      <c r="AD299" s="66">
        <f>IF(VLOOKUP($D299,$C$5:$AU$502,3,)=0,0,(VLOOKUP($D299,$C$5:$AU$502,28,)/VLOOKUP($D299,$C$5:$AU$502,3,))*$E299)</f>
        <v>0</v>
      </c>
      <c r="AE299" s="66">
        <f>IF(VLOOKUP($D299,$C$5:$AU$502,3,)=0,0,(VLOOKUP($D299,$C$5:$AU$502,29,)/VLOOKUP($D299,$C$5:$AU$502,3,))*$E299)</f>
        <v>0</v>
      </c>
      <c r="AF299" s="66">
        <f>IF(VLOOKUP($D299,$C$5:$AU$502,3,)=0,0,(VLOOKUP($D299,$C$5:$AU$502,30,)/VLOOKUP($D299,$C$5:$AU$502,3,))*$E299)</f>
        <v>0</v>
      </c>
      <c r="AG299" s="93">
        <f>SUM(F299:AF299)</f>
        <v>3172.2509634836333</v>
      </c>
      <c r="AH299" s="30" t="str">
        <f>IF(ABS(E299-AG299)&lt;0.01,"ok","err")</f>
        <v>ok</v>
      </c>
    </row>
    <row r="300" spans="1:34" x14ac:dyDescent="0.2">
      <c r="E300" s="50"/>
    </row>
    <row r="301" spans="1:34" x14ac:dyDescent="0.2">
      <c r="A301" s="13" t="s">
        <v>545</v>
      </c>
      <c r="E301" s="50"/>
    </row>
    <row r="302" spans="1:34" x14ac:dyDescent="0.2">
      <c r="A302" s="96" t="s">
        <v>221</v>
      </c>
      <c r="C302" s="14" t="s">
        <v>321</v>
      </c>
      <c r="D302" s="14" t="s">
        <v>234</v>
      </c>
      <c r="E302" s="66">
        <f>'Func &amp; Classif'!Y316</f>
        <v>0</v>
      </c>
      <c r="F302" s="66">
        <f>IF(VLOOKUP($D302,$C$5:$AU$502,3,)=0,0,(VLOOKUP($D302,$C$5:$AU$502,4,)/VLOOKUP($D302,$C$5:$AU$502,3,))*$E302)</f>
        <v>0</v>
      </c>
      <c r="G302" s="66">
        <f>IF(VLOOKUP($D302,$C$5:$AU$502,3,)=0,0,(VLOOKUP($D302,$C$5:$AU$502,5,)/VLOOKUP($D302,$C$5:$AU$502,3,))*$E302)</f>
        <v>0</v>
      </c>
      <c r="H302" s="66">
        <f>IF(VLOOKUP($D302,$C$5:$AU$502,3,)=0,0,(VLOOKUP($D302,$C$5:$AU$502,6,)/VLOOKUP($D302,$C$5:$AU$502,3,))*$E302)</f>
        <v>0</v>
      </c>
      <c r="I302" s="66">
        <f>IF(VLOOKUP($D302,$C$5:$AU$502,3,)=0,0,(VLOOKUP($D302,$C$5:$AU$502,7,)/VLOOKUP($D302,$C$5:$AU$502,3,))*$E302)</f>
        <v>0</v>
      </c>
      <c r="J302" s="66">
        <f>IF(VLOOKUP($D302,$C$5:$AU$502,3,)=0,0,(VLOOKUP($D302,$C$5:$AU$502,8,)/VLOOKUP($D302,$C$5:$AU$502,3,))*$E302)</f>
        <v>0</v>
      </c>
      <c r="K302" s="66">
        <f>IF(VLOOKUP($D302,$C$5:$AU$502,3,)=0,0,(VLOOKUP($D302,$C$5:$AU$502,9,)/VLOOKUP($D302,$C$5:$AU$502,3,))*$E302)</f>
        <v>0</v>
      </c>
      <c r="L302" s="66">
        <f>IF(VLOOKUP($D302,$C$5:$AU$502,3,)=0,0,(VLOOKUP($D302,$C$5:$AU$502,10,)/VLOOKUP($D302,$C$5:$AU$502,3,))*$E302)</f>
        <v>0</v>
      </c>
      <c r="M302" s="66">
        <f>IF(VLOOKUP($D302,$C$5:$AU$502,3,)=0,0,(VLOOKUP($D302,$C$5:$AU$502,11,)/VLOOKUP($D302,$C$5:$AU$502,3,))*$E302)</f>
        <v>0</v>
      </c>
      <c r="N302" s="66">
        <f>IF(VLOOKUP($D302,$C$5:$AU$502,3,)=0,0,(VLOOKUP($D302,$C$5:$AU$502,12,)/VLOOKUP($D302,$C$5:$AU$502,3,))*$E302)</f>
        <v>0</v>
      </c>
      <c r="O302" s="66">
        <f>IF(VLOOKUP($D302,$C$5:$AU$502,3,)=0,0,(VLOOKUP($D302,$C$5:$AU$502,13,)/VLOOKUP($D302,$C$5:$AU$502,3,))*$E302)</f>
        <v>0</v>
      </c>
      <c r="P302" s="66">
        <f>IF(VLOOKUP($D302,$C$5:$AU$502,3,)=0,0,(VLOOKUP($D302,$C$5:$AU$502,14,)/VLOOKUP($D302,$C$5:$AU$502,3,))*$E302)</f>
        <v>0</v>
      </c>
      <c r="Q302" s="66">
        <f>IF(VLOOKUP($D302,$C$5:$AU$502,3,)=0,0,(VLOOKUP($D302,$C$5:$AU$502,15,)/VLOOKUP($D302,$C$5:$AU$502,3,))*$E302)</f>
        <v>0</v>
      </c>
      <c r="R302" s="66">
        <f>IF(VLOOKUP($D302,$C$5:$AU$502,3,)=0,0,(VLOOKUP($D302,$C$5:$AU$502,16,)/VLOOKUP($D302,$C$5:$AU$502,3,))*$E302)</f>
        <v>0</v>
      </c>
      <c r="S302" s="66">
        <f>IF(VLOOKUP($D302,$C$5:$AU$502,3,)=0,0,(VLOOKUP($D302,$C$5:$AU$502,17,)/VLOOKUP($D302,$C$5:$AU$502,3,))*$E302)</f>
        <v>0</v>
      </c>
      <c r="T302" s="66">
        <f>IF(VLOOKUP($D302,$C$5:$AU$502,3,)=0,0,(VLOOKUP($D302,$C$5:$AU$502,18,)/VLOOKUP($D302,$C$5:$AU$502,3,))*$E302)</f>
        <v>0</v>
      </c>
      <c r="U302" s="66">
        <f>IF(VLOOKUP($D302,$C$5:$AU$502,3,)=0,0,(VLOOKUP($D302,$C$5:$AU$502,19,)/VLOOKUP($D302,$C$5:$AU$502,3,))*$E302)</f>
        <v>0</v>
      </c>
      <c r="V302" s="66">
        <f>IF(VLOOKUP($D302,$C$5:$AU$502,3,)=0,0,(VLOOKUP($D302,$C$5:$AU$502,20,)/VLOOKUP($D302,$C$5:$AU$502,3,))*$E302)</f>
        <v>0</v>
      </c>
      <c r="W302" s="66">
        <f>IF(VLOOKUP($D302,$C$5:$AU$502,3,)=0,0,(VLOOKUP($D302,$C$5:$AU$502,21,)/VLOOKUP($D302,$C$5:$AU$502,3,))*$E302)</f>
        <v>0</v>
      </c>
      <c r="X302" s="66">
        <f>IF(VLOOKUP($D302,$C$5:$AU$502,3,)=0,0,(VLOOKUP($D302,$C$5:$AU$502,22,)/VLOOKUP($D302,$C$5:$AU$502,3,))*$E302)</f>
        <v>0</v>
      </c>
      <c r="Y302" s="66">
        <f>IF(VLOOKUP($D302,$C$5:$AU$502,3,)=0,0,(VLOOKUP($D302,$C$5:$AU$502,23,)/VLOOKUP($D302,$C$5:$AU$502,3,))*$E302)</f>
        <v>0</v>
      </c>
      <c r="Z302" s="66">
        <f>IF(VLOOKUP($D302,$C$5:$AU$502,3,)=0,0,(VLOOKUP($D302,$C$5:$AU$502,24,)/VLOOKUP($D302,$C$5:$AU$502,3,))*$E302)</f>
        <v>0</v>
      </c>
      <c r="AA302" s="66">
        <f>IF(VLOOKUP($D302,$C$5:$AU$502,3,)=0,0,(VLOOKUP($D302,$C$5:$AU$502,25,)/VLOOKUP($D302,$C$5:$AU$502,3,))*$E302)</f>
        <v>0</v>
      </c>
      <c r="AB302" s="66">
        <f>IF(VLOOKUP($D302,$C$5:$AU$502,3,)=0,0,(VLOOKUP($D302,$C$5:$AU$502,26,)/VLOOKUP($D302,$C$5:$AU$502,3,))*$E302)</f>
        <v>0</v>
      </c>
      <c r="AC302" s="66">
        <f>IF(VLOOKUP($D302,$C$5:$AU$502,3,)=0,0,(VLOOKUP($D302,$C$5:$AU$502,27,)/VLOOKUP($D302,$C$5:$AU$502,3,))*$E302)</f>
        <v>0</v>
      </c>
      <c r="AD302" s="66">
        <f>IF(VLOOKUP($D302,$C$5:$AU$502,3,)=0,0,(VLOOKUP($D302,$C$5:$AU$502,28,)/VLOOKUP($D302,$C$5:$AU$502,3,))*$E302)</f>
        <v>0</v>
      </c>
      <c r="AE302" s="66">
        <f>IF(VLOOKUP($D302,$C$5:$AU$502,3,)=0,0,(VLOOKUP($D302,$C$5:$AU$502,29,)/VLOOKUP($D302,$C$5:$AU$502,3,))*$E302)</f>
        <v>0</v>
      </c>
      <c r="AF302" s="66">
        <f>IF(VLOOKUP($D302,$C$5:$AU$502,3,)=0,0,(VLOOKUP($D302,$C$5:$AU$502,30,)/VLOOKUP($D302,$C$5:$AU$502,3,))*$E302)</f>
        <v>0</v>
      </c>
      <c r="AG302" s="93">
        <f>SUM(F302:AF302)</f>
        <v>0</v>
      </c>
      <c r="AH302" s="30" t="str">
        <f>IF(ABS(E302-AG302)&lt;0.01,"ok","err")</f>
        <v>ok</v>
      </c>
    </row>
    <row r="303" spans="1:34" x14ac:dyDescent="0.2">
      <c r="E303" s="50"/>
    </row>
    <row r="304" spans="1:34" x14ac:dyDescent="0.2">
      <c r="A304" s="13" t="s">
        <v>470</v>
      </c>
      <c r="E304" s="50"/>
    </row>
    <row r="305" spans="1:41" x14ac:dyDescent="0.2">
      <c r="A305" s="96" t="s">
        <v>221</v>
      </c>
      <c r="C305" s="14" t="s">
        <v>318</v>
      </c>
      <c r="D305" s="14" t="s">
        <v>235</v>
      </c>
      <c r="E305" s="66">
        <f>'Func &amp; Classif'!AA316</f>
        <v>0</v>
      </c>
      <c r="F305" s="66">
        <f>IF(VLOOKUP($D305,$C$5:$AU$502,3,)=0,0,(VLOOKUP($D305,$C$5:$AU$502,4,)/VLOOKUP($D305,$C$5:$AU$502,3,))*$E305)</f>
        <v>0</v>
      </c>
      <c r="G305" s="66">
        <f>IF(VLOOKUP($D305,$C$5:$AU$502,3,)=0,0,(VLOOKUP($D305,$C$5:$AU$502,5,)/VLOOKUP($D305,$C$5:$AU$502,3,))*$E305)</f>
        <v>0</v>
      </c>
      <c r="H305" s="66">
        <f>IF(VLOOKUP($D305,$C$5:$AU$502,3,)=0,0,(VLOOKUP($D305,$C$5:$AU$502,6,)/VLOOKUP($D305,$C$5:$AU$502,3,))*$E305)</f>
        <v>0</v>
      </c>
      <c r="I305" s="66">
        <f>IF(VLOOKUP($D305,$C$5:$AU$502,3,)=0,0,(VLOOKUP($D305,$C$5:$AU$502,7,)/VLOOKUP($D305,$C$5:$AU$502,3,))*$E305)</f>
        <v>0</v>
      </c>
      <c r="J305" s="66">
        <f>IF(VLOOKUP($D305,$C$5:$AU$502,3,)=0,0,(VLOOKUP($D305,$C$5:$AU$502,8,)/VLOOKUP($D305,$C$5:$AU$502,3,))*$E305)</f>
        <v>0</v>
      </c>
      <c r="K305" s="66">
        <f>IF(VLOOKUP($D305,$C$5:$AU$502,3,)=0,0,(VLOOKUP($D305,$C$5:$AU$502,9,)/VLOOKUP($D305,$C$5:$AU$502,3,))*$E305)</f>
        <v>0</v>
      </c>
      <c r="L305" s="66">
        <f>IF(VLOOKUP($D305,$C$5:$AU$502,3,)=0,0,(VLOOKUP($D305,$C$5:$AU$502,10,)/VLOOKUP($D305,$C$5:$AU$502,3,))*$E305)</f>
        <v>0</v>
      </c>
      <c r="M305" s="66">
        <f>IF(VLOOKUP($D305,$C$5:$AU$502,3,)=0,0,(VLOOKUP($D305,$C$5:$AU$502,11,)/VLOOKUP($D305,$C$5:$AU$502,3,))*$E305)</f>
        <v>0</v>
      </c>
      <c r="N305" s="66">
        <f>IF(VLOOKUP($D305,$C$5:$AU$502,3,)=0,0,(VLOOKUP($D305,$C$5:$AU$502,12,)/VLOOKUP($D305,$C$5:$AU$502,3,))*$E305)</f>
        <v>0</v>
      </c>
      <c r="O305" s="66">
        <f>IF(VLOOKUP($D305,$C$5:$AU$502,3,)=0,0,(VLOOKUP($D305,$C$5:$AU$502,13,)/VLOOKUP($D305,$C$5:$AU$502,3,))*$E305)</f>
        <v>0</v>
      </c>
      <c r="P305" s="66">
        <f>IF(VLOOKUP($D305,$C$5:$AU$502,3,)=0,0,(VLOOKUP($D305,$C$5:$AU$502,14,)/VLOOKUP($D305,$C$5:$AU$502,3,))*$E305)</f>
        <v>0</v>
      </c>
      <c r="Q305" s="66">
        <f>IF(VLOOKUP($D305,$C$5:$AU$502,3,)=0,0,(VLOOKUP($D305,$C$5:$AU$502,15,)/VLOOKUP($D305,$C$5:$AU$502,3,))*$E305)</f>
        <v>0</v>
      </c>
      <c r="R305" s="66">
        <f>IF(VLOOKUP($D305,$C$5:$AU$502,3,)=0,0,(VLOOKUP($D305,$C$5:$AU$502,16,)/VLOOKUP($D305,$C$5:$AU$502,3,))*$E305)</f>
        <v>0</v>
      </c>
      <c r="S305" s="66">
        <f>IF(VLOOKUP($D305,$C$5:$AU$502,3,)=0,0,(VLOOKUP($D305,$C$5:$AU$502,17,)/VLOOKUP($D305,$C$5:$AU$502,3,))*$E305)</f>
        <v>0</v>
      </c>
      <c r="T305" s="66">
        <f>IF(VLOOKUP($D305,$C$5:$AU$502,3,)=0,0,(VLOOKUP($D305,$C$5:$AU$502,18,)/VLOOKUP($D305,$C$5:$AU$502,3,))*$E305)</f>
        <v>0</v>
      </c>
      <c r="U305" s="66">
        <f>IF(VLOOKUP($D305,$C$5:$AU$502,3,)=0,0,(VLOOKUP($D305,$C$5:$AU$502,19,)/VLOOKUP($D305,$C$5:$AU$502,3,))*$E305)</f>
        <v>0</v>
      </c>
      <c r="V305" s="66">
        <f>IF(VLOOKUP($D305,$C$5:$AU$502,3,)=0,0,(VLOOKUP($D305,$C$5:$AU$502,20,)/VLOOKUP($D305,$C$5:$AU$502,3,))*$E305)</f>
        <v>0</v>
      </c>
      <c r="W305" s="66">
        <f>IF(VLOOKUP($D305,$C$5:$AU$502,3,)=0,0,(VLOOKUP($D305,$C$5:$AU$502,21,)/VLOOKUP($D305,$C$5:$AU$502,3,))*$E305)</f>
        <v>0</v>
      </c>
      <c r="X305" s="66">
        <f>IF(VLOOKUP($D305,$C$5:$AU$502,3,)=0,0,(VLOOKUP($D305,$C$5:$AU$502,22,)/VLOOKUP($D305,$C$5:$AU$502,3,))*$E305)</f>
        <v>0</v>
      </c>
      <c r="Y305" s="66">
        <f>IF(VLOOKUP($D305,$C$5:$AU$502,3,)=0,0,(VLOOKUP($D305,$C$5:$AU$502,23,)/VLOOKUP($D305,$C$5:$AU$502,3,))*$E305)</f>
        <v>0</v>
      </c>
      <c r="Z305" s="66">
        <f>IF(VLOOKUP($D305,$C$5:$AU$502,3,)=0,0,(VLOOKUP($D305,$C$5:$AU$502,24,)/VLOOKUP($D305,$C$5:$AU$502,3,))*$E305)</f>
        <v>0</v>
      </c>
      <c r="AA305" s="66">
        <f>IF(VLOOKUP($D305,$C$5:$AU$502,3,)=0,0,(VLOOKUP($D305,$C$5:$AU$502,25,)/VLOOKUP($D305,$C$5:$AU$502,3,))*$E305)</f>
        <v>0</v>
      </c>
      <c r="AB305" s="66">
        <f>IF(VLOOKUP($D305,$C$5:$AU$502,3,)=0,0,(VLOOKUP($D305,$C$5:$AU$502,26,)/VLOOKUP($D305,$C$5:$AU$502,3,))*$E305)</f>
        <v>0</v>
      </c>
      <c r="AC305" s="66">
        <f>IF(VLOOKUP($D305,$C$5:$AU$502,3,)=0,0,(VLOOKUP($D305,$C$5:$AU$502,27,)/VLOOKUP($D305,$C$5:$AU$502,3,))*$E305)</f>
        <v>0</v>
      </c>
      <c r="AD305" s="66">
        <f>IF(VLOOKUP($D305,$C$5:$AU$502,3,)=0,0,(VLOOKUP($D305,$C$5:$AU$502,28,)/VLOOKUP($D305,$C$5:$AU$502,3,))*$E305)</f>
        <v>0</v>
      </c>
      <c r="AE305" s="66">
        <f>IF(VLOOKUP($D305,$C$5:$AU$502,3,)=0,0,(VLOOKUP($D305,$C$5:$AU$502,29,)/VLOOKUP($D305,$C$5:$AU$502,3,))*$E305)</f>
        <v>0</v>
      </c>
      <c r="AF305" s="66">
        <f>IF(VLOOKUP($D305,$C$5:$AU$502,3,)=0,0,(VLOOKUP($D305,$C$5:$AU$502,30,)/VLOOKUP($D305,$C$5:$AU$502,3,))*$E305)</f>
        <v>0</v>
      </c>
      <c r="AG305" s="93">
        <f>SUM(F305:AF305)</f>
        <v>0</v>
      </c>
      <c r="AH305" s="30" t="str">
        <f>IF(ABS(E305-AG305)&lt;0.01,"ok","err")</f>
        <v>ok</v>
      </c>
    </row>
    <row r="306" spans="1:41" x14ac:dyDescent="0.2">
      <c r="E306" s="50"/>
    </row>
    <row r="307" spans="1:41" x14ac:dyDescent="0.2">
      <c r="A307" s="14" t="s">
        <v>0</v>
      </c>
      <c r="C307" s="14" t="s">
        <v>322</v>
      </c>
      <c r="E307" s="66">
        <f>E277+E280+E283+E288+E293+E296+E299+E302+E305</f>
        <v>48535.159999999989</v>
      </c>
      <c r="F307" s="66">
        <f t="shared" ref="F307:R307" si="63">F277+F280+F283+F288+F293+F296+F299+F302+F305</f>
        <v>38677.878644563069</v>
      </c>
      <c r="G307" s="66">
        <f t="shared" si="63"/>
        <v>11.015594964392285</v>
      </c>
      <c r="H307" s="66">
        <f t="shared" si="63"/>
        <v>2056.3026291651031</v>
      </c>
      <c r="I307" s="66">
        <f t="shared" si="63"/>
        <v>545.12709299951541</v>
      </c>
      <c r="J307" s="66">
        <f t="shared" si="63"/>
        <v>206.75958159272457</v>
      </c>
      <c r="K307" s="66">
        <f t="shared" si="63"/>
        <v>805.65404514237844</v>
      </c>
      <c r="L307" s="66">
        <f t="shared" si="63"/>
        <v>2736.4548310674199</v>
      </c>
      <c r="M307" s="66">
        <f t="shared" si="63"/>
        <v>3495.9675805047073</v>
      </c>
      <c r="N307" s="66">
        <f t="shared" si="63"/>
        <v>0</v>
      </c>
      <c r="O307" s="66">
        <f t="shared" si="63"/>
        <v>0</v>
      </c>
      <c r="P307" s="66">
        <f t="shared" si="63"/>
        <v>0</v>
      </c>
      <c r="Q307" s="66">
        <f t="shared" si="63"/>
        <v>0</v>
      </c>
      <c r="R307" s="66">
        <f t="shared" si="63"/>
        <v>0</v>
      </c>
      <c r="S307" s="66">
        <f t="shared" ref="S307:AF307" si="64">S277+S283+S288+S293+S296+S299+S302+S305</f>
        <v>0</v>
      </c>
      <c r="T307" s="66">
        <f t="shared" si="64"/>
        <v>0</v>
      </c>
      <c r="U307" s="66">
        <f t="shared" si="64"/>
        <v>0</v>
      </c>
      <c r="V307" s="66">
        <f t="shared" si="64"/>
        <v>0</v>
      </c>
      <c r="W307" s="66">
        <f t="shared" si="64"/>
        <v>0</v>
      </c>
      <c r="X307" s="66">
        <f t="shared" si="64"/>
        <v>0</v>
      </c>
      <c r="Y307" s="66">
        <f t="shared" si="64"/>
        <v>0</v>
      </c>
      <c r="Z307" s="66">
        <f t="shared" si="64"/>
        <v>0</v>
      </c>
      <c r="AA307" s="66">
        <f t="shared" si="64"/>
        <v>0</v>
      </c>
      <c r="AB307" s="66">
        <f t="shared" si="64"/>
        <v>0</v>
      </c>
      <c r="AC307" s="66">
        <f t="shared" si="64"/>
        <v>0</v>
      </c>
      <c r="AD307" s="66">
        <f t="shared" si="64"/>
        <v>0</v>
      </c>
      <c r="AE307" s="66">
        <f t="shared" si="64"/>
        <v>0</v>
      </c>
      <c r="AF307" s="66">
        <f t="shared" si="64"/>
        <v>0</v>
      </c>
      <c r="AG307" s="93">
        <f>SUM(F307:AF307)</f>
        <v>48535.15999999932</v>
      </c>
      <c r="AH307" s="30" t="str">
        <f>IF(ABS(E307-AG307)&lt;0.01,"ok","err")</f>
        <v>ok</v>
      </c>
    </row>
    <row r="308" spans="1:41" x14ac:dyDescent="0.2"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  <c r="AA308" s="66"/>
      <c r="AB308" s="66"/>
      <c r="AC308" s="66"/>
      <c r="AD308" s="66"/>
      <c r="AE308" s="66"/>
      <c r="AF308" s="66"/>
      <c r="AG308" s="93"/>
      <c r="AH308" s="30"/>
    </row>
    <row r="309" spans="1:41" x14ac:dyDescent="0.2"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  <c r="AA309" s="66"/>
      <c r="AB309" s="66"/>
      <c r="AC309" s="66"/>
      <c r="AD309" s="66"/>
      <c r="AE309" s="66"/>
      <c r="AF309" s="66"/>
      <c r="AG309" s="93"/>
      <c r="AH309" s="30"/>
    </row>
    <row r="310" spans="1:41" x14ac:dyDescent="0.2">
      <c r="A310" s="28" t="s">
        <v>581</v>
      </c>
    </row>
    <row r="311" spans="1:41" x14ac:dyDescent="0.2">
      <c r="E311" s="93"/>
    </row>
    <row r="312" spans="1:41" x14ac:dyDescent="0.2">
      <c r="A312" s="13" t="s">
        <v>323</v>
      </c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AJ312" s="90"/>
      <c r="AK312" s="187"/>
      <c r="AL312" s="90"/>
      <c r="AM312" s="90"/>
      <c r="AN312" s="90"/>
      <c r="AO312" s="90"/>
    </row>
    <row r="313" spans="1:41" x14ac:dyDescent="0.2">
      <c r="A313" s="14" t="s">
        <v>765</v>
      </c>
      <c r="C313" s="14" t="s">
        <v>324</v>
      </c>
      <c r="D313" s="14" t="s">
        <v>561</v>
      </c>
      <c r="E313" s="66">
        <f>'Billing Det'!E25</f>
        <v>48265262.169999994</v>
      </c>
      <c r="F313" s="66">
        <f>IF(VLOOKUP($D313,$C$5:$AU$502,3,)=0,0,(VLOOKUP($D313,$C$5:$AU$502,4,)/VLOOKUP($D313,$C$5:$AU$502,3,))*$E313)</f>
        <v>34527804.599999994</v>
      </c>
      <c r="G313" s="66">
        <f>IF(VLOOKUP($D313,$C$5:$AU$502,3,)=0,0,(VLOOKUP($D313,$C$5:$AU$502,5,)/VLOOKUP($D313,$C$5:$AU$502,3,))*$E313)</f>
        <v>7534.4299999999994</v>
      </c>
      <c r="H313" s="66">
        <f>IF(VLOOKUP($D313,$C$5:$AU$502,3,)=0,0,(VLOOKUP($D313,$C$5:$AU$502,6,)/VLOOKUP($D313,$C$5:$AU$502,3,))*$E313)</f>
        <v>1909411.8199999998</v>
      </c>
      <c r="I313" s="66">
        <f>IF(VLOOKUP($D313,$C$5:$AU$502,3,)=0,0,(VLOOKUP($D313,$C$5:$AU$502,7,)/VLOOKUP($D313,$C$5:$AU$502,3,))*$E313)</f>
        <v>1357876.44</v>
      </c>
      <c r="J313" s="66">
        <f>IF(VLOOKUP($D313,$C$5:$AU$502,3,)=0,0,(VLOOKUP($D313,$C$5:$AU$502,8,)/VLOOKUP($D313,$C$5:$AU$502,3,))*$E313)</f>
        <v>103827.47</v>
      </c>
      <c r="K313" s="66">
        <f>IF(VLOOKUP($D313,$C$5:$AU$502,3,)=0,0,(VLOOKUP($D313,$C$5:$AU$502,9,)/VLOOKUP($D313,$C$5:$AU$502,3,))*$E313)</f>
        <v>1272161.3099999998</v>
      </c>
      <c r="L313" s="66">
        <f>IF(VLOOKUP($D313,$C$5:$AU$502,3,)=0,0,(VLOOKUP($D313,$C$5:$AU$502,10,)/VLOOKUP($D313,$C$5:$AU$502,3,))*$E313)</f>
        <v>7414373.6000000006</v>
      </c>
      <c r="M313" s="66">
        <f>IF(VLOOKUP($D313,$C$5:$AU$502,3,)=0,0,(VLOOKUP($D313,$C$5:$AU$502,11,)/VLOOKUP($D313,$C$5:$AU$502,3,))*$E313)</f>
        <v>1672272.4999999998</v>
      </c>
      <c r="N313" s="66">
        <f>IF(VLOOKUP($D313,$C$5:$AU$502,3,)=0,0,(VLOOKUP($D313,$C$5:$AU$502,12,)/VLOOKUP($D313,$C$5:$AU$502,3,))*$E313)</f>
        <v>0</v>
      </c>
      <c r="O313" s="66">
        <f>IF(VLOOKUP($D313,$C$5:$AU$502,3,)=0,0,(VLOOKUP($D313,$C$5:$AU$502,13,)/VLOOKUP($D313,$C$5:$AU$502,3,))*$E313)</f>
        <v>0</v>
      </c>
      <c r="P313" s="66">
        <f>IF(VLOOKUP($D313,$C$5:$AU$502,3,)=0,0,(VLOOKUP($D313,$C$5:$AU$502,14,)/VLOOKUP($D313,$C$5:$AU$502,3,))*$E313)</f>
        <v>0</v>
      </c>
      <c r="Q313" s="66">
        <f>IF(VLOOKUP($D313,$C$5:$AU$502,3,)=0,0,(VLOOKUP($D313,$C$5:$AU$502,15,)/VLOOKUP($D313,$C$5:$AU$502,3,))*$E313)</f>
        <v>0</v>
      </c>
      <c r="R313" s="66">
        <f>IF(VLOOKUP($D313,$C$5:$AU$502,3,)=0,0,(VLOOKUP($D313,$C$5:$AU$502,16,)/VLOOKUP($D313,$C$5:$AU$502,3,))*$E313)</f>
        <v>0</v>
      </c>
      <c r="S313" s="66">
        <f>IF(VLOOKUP($D313,$C$5:$AU$502,3,)=0,0,(VLOOKUP($D313,$C$5:$AU$502,17,)/VLOOKUP($D313,$C$5:$AU$502,3,))*$E313)</f>
        <v>0</v>
      </c>
      <c r="T313" s="66">
        <f>IF(VLOOKUP($D313,$C$5:$AU$502,3,)=0,0,(VLOOKUP($D313,$C$5:$AU$502,18,)/VLOOKUP($D313,$C$5:$AU$502,3,))*$E313)</f>
        <v>0</v>
      </c>
      <c r="U313" s="66">
        <f>IF(VLOOKUP($D313,$C$5:$AU$502,3,)=0,0,(VLOOKUP($D313,$C$5:$AU$502,19,)/VLOOKUP($D313,$C$5:$AU$502,3,))*$E313)</f>
        <v>0</v>
      </c>
      <c r="V313" s="66">
        <f>IF(VLOOKUP($D313,$C$5:$AU$502,3,)=0,0,(VLOOKUP($D313,$C$5:$AU$502,20,)/VLOOKUP($D313,$C$5:$AU$502,3,))*$E313)</f>
        <v>0</v>
      </c>
      <c r="W313" s="66">
        <f>IF(VLOOKUP($D313,$C$5:$AU$502,3,)=0,0,(VLOOKUP($D313,$C$5:$AU$502,21,)/VLOOKUP($D313,$C$5:$AU$502,3,))*$E313)</f>
        <v>0</v>
      </c>
      <c r="X313" s="66">
        <f>IF(VLOOKUP($D313,$C$5:$AU$502,3,)=0,0,(VLOOKUP($D313,$C$5:$AU$502,22,)/VLOOKUP($D313,$C$5:$AU$502,3,))*$E313)</f>
        <v>0</v>
      </c>
      <c r="Y313" s="66">
        <f>IF(VLOOKUP($D313,$C$5:$AU$502,3,)=0,0,(VLOOKUP($D313,$C$5:$AU$502,23,)/VLOOKUP($D313,$C$5:$AU$502,3,))*$E313)</f>
        <v>0</v>
      </c>
      <c r="Z313" s="66">
        <f>IF(VLOOKUP($D313,$C$5:$AU$502,3,)=0,0,(VLOOKUP($D313,$C$5:$AU$502,24,)/VLOOKUP($D313,$C$5:$AU$502,3,))*$E313)</f>
        <v>0</v>
      </c>
      <c r="AA313" s="66">
        <f>IF(VLOOKUP($D313,$C$5:$AU$502,3,)=0,0,(VLOOKUP($D313,$C$5:$AU$502,25,)/VLOOKUP($D313,$C$5:$AU$502,3,))*$E313)</f>
        <v>0</v>
      </c>
      <c r="AB313" s="66">
        <f>IF(VLOOKUP($D313,$C$5:$AU$502,3,)=0,0,(VLOOKUP($D313,$C$5:$AU$502,26,)/VLOOKUP($D313,$C$5:$AU$502,3,))*$E313)</f>
        <v>0</v>
      </c>
      <c r="AC313" s="66">
        <f>IF(VLOOKUP($D313,$C$5:$AU$502,3,)=0,0,(VLOOKUP($D313,$C$5:$AU$502,27,)/VLOOKUP($D313,$C$5:$AU$502,3,))*$E313)</f>
        <v>0</v>
      </c>
      <c r="AD313" s="66">
        <f>IF(VLOOKUP($D313,$C$5:$AU$502,3,)=0,0,(VLOOKUP($D313,$C$5:$AU$502,28,)/VLOOKUP($D313,$C$5:$AU$502,3,))*$E313)</f>
        <v>0</v>
      </c>
      <c r="AE313" s="66">
        <f>IF(VLOOKUP($D313,$C$5:$AU$502,3,)=0,0,(VLOOKUP($D313,$C$5:$AU$502,29,)/VLOOKUP($D313,$C$5:$AU$502,3,))*$E313)</f>
        <v>0</v>
      </c>
      <c r="AF313" s="66">
        <f>IF(VLOOKUP($D313,$C$5:$AU$502,3,)=0,0,(VLOOKUP($D313,$C$5:$AU$502,30,)/VLOOKUP($D313,$C$5:$AU$502,3,))*$E313)</f>
        <v>0</v>
      </c>
      <c r="AG313" s="93">
        <f t="shared" ref="AG313:AG314" si="65">SUM(F313:AF313)</f>
        <v>48265262.169999994</v>
      </c>
      <c r="AH313" s="30" t="str">
        <f t="shared" ref="AH313:AH314" si="66">IF(ABS(E313-AG313)&lt;0.01,"ok","err")</f>
        <v>ok</v>
      </c>
      <c r="AJ313" s="79"/>
      <c r="AK313" s="79"/>
      <c r="AL313" s="79"/>
      <c r="AM313" s="79"/>
      <c r="AN313" s="79"/>
      <c r="AO313" s="79"/>
    </row>
    <row r="314" spans="1:41" x14ac:dyDescent="0.2">
      <c r="A314" s="14" t="s">
        <v>766</v>
      </c>
      <c r="D314" s="14" t="s">
        <v>749</v>
      </c>
      <c r="E314" s="66">
        <v>2139231</v>
      </c>
      <c r="F314" s="66">
        <f>IF(VLOOKUP($D314,$C$5:$AU$502,3,)=0,0,(VLOOKUP($D314,$C$5:$AU$502,4,)/VLOOKUP($D314,$C$5:$AU$502,3,))*$E314)</f>
        <v>1922596.6865759436</v>
      </c>
      <c r="G314" s="66">
        <f>IF(VLOOKUP($D314,$C$5:$AU$502,3,)=0,0,(VLOOKUP($D314,$C$5:$AU$502,5,)/VLOOKUP($D314,$C$5:$AU$502,3,))*$E314)</f>
        <v>769.79135951523688</v>
      </c>
      <c r="H314" s="66">
        <f>IF(VLOOKUP($D314,$C$5:$AU$502,3,)=0,0,(VLOOKUP($D314,$C$5:$AU$502,6,)/VLOOKUP($D314,$C$5:$AU$502,3,))*$E314)</f>
        <v>172164.42685151429</v>
      </c>
      <c r="I314" s="66">
        <f>IF(VLOOKUP($D314,$C$5:$AU$502,3,)=0,0,(VLOOKUP($D314,$C$5:$AU$502,7,)/VLOOKUP($D314,$C$5:$AU$502,3,))*$E314)</f>
        <v>17263.615139731104</v>
      </c>
      <c r="J314" s="66">
        <f>IF(VLOOKUP($D314,$C$5:$AU$502,3,)=0,0,(VLOOKUP($D314,$C$5:$AU$502,8,)/VLOOKUP($D314,$C$5:$AU$502,3,))*$E314)</f>
        <v>16422.215669658388</v>
      </c>
      <c r="K314" s="66">
        <f>IF(VLOOKUP($D314,$C$5:$AU$502,3,)=0,0,(VLOOKUP($D314,$C$5:$AU$502,9,)/VLOOKUP($D314,$C$5:$AU$502,3,))*$E314)</f>
        <v>4744.970243083988</v>
      </c>
      <c r="L314" s="66">
        <f>IF(VLOOKUP($D314,$C$5:$AU$502,3,)=0,0,(VLOOKUP($D314,$C$5:$AU$502,10,)/VLOOKUP($D314,$C$5:$AU$502,3,))*$E314)</f>
        <v>5269.2941605530741</v>
      </c>
      <c r="M314" s="66">
        <f>IF(VLOOKUP($D314,$C$5:$AU$502,3,)=0,0,(VLOOKUP($D314,$C$5:$AU$502,11,)/VLOOKUP($D314,$C$5:$AU$502,3,))*$E314)</f>
        <v>0</v>
      </c>
      <c r="N314" s="66">
        <f>IF(VLOOKUP($D314,$C$5:$AU$502,3,)=0,0,(VLOOKUP($D314,$C$5:$AU$502,12,)/VLOOKUP($D314,$C$5:$AU$502,3,))*$E314)</f>
        <v>0</v>
      </c>
      <c r="O314" s="66">
        <f>IF(VLOOKUP($D314,$C$5:$AU$502,3,)=0,0,(VLOOKUP($D314,$C$5:$AU$502,13,)/VLOOKUP($D314,$C$5:$AU$502,3,))*$E314)</f>
        <v>0</v>
      </c>
      <c r="P314" s="66">
        <f>IF(VLOOKUP($D314,$C$5:$AU$502,3,)=0,0,(VLOOKUP($D314,$C$5:$AU$502,14,)/VLOOKUP($D314,$C$5:$AU$502,3,))*$E314)</f>
        <v>0</v>
      </c>
      <c r="Q314" s="66">
        <f>IF(VLOOKUP($D314,$C$5:$AU$502,3,)=0,0,(VLOOKUP($D314,$C$5:$AU$502,15,)/VLOOKUP($D314,$C$5:$AU$502,3,))*$E314)</f>
        <v>0</v>
      </c>
      <c r="R314" s="66">
        <f>IF(VLOOKUP($D314,$C$5:$AU$502,3,)=0,0,(VLOOKUP($D314,$C$5:$AU$502,16,)/VLOOKUP($D314,$C$5:$AU$502,3,))*$E314)</f>
        <v>0</v>
      </c>
      <c r="S314" s="66">
        <f>IF(VLOOKUP($D314,$C$5:$AU$502,3,)=0,0,(VLOOKUP($D314,$C$5:$AU$502,17,)/VLOOKUP($D314,$C$5:$AU$502,3,))*$E314)</f>
        <v>0</v>
      </c>
      <c r="T314" s="66">
        <f>IF(VLOOKUP($D314,$C$5:$AU$502,3,)=0,0,(VLOOKUP($D314,$C$5:$AU$502,18,)/VLOOKUP($D314,$C$5:$AU$502,3,))*$E314)</f>
        <v>0</v>
      </c>
      <c r="U314" s="66">
        <f>IF(VLOOKUP($D314,$C$5:$AU$502,3,)=0,0,(VLOOKUP($D314,$C$5:$AU$502,19,)/VLOOKUP($D314,$C$5:$AU$502,3,))*$E314)</f>
        <v>0</v>
      </c>
      <c r="V314" s="66"/>
      <c r="W314" s="66"/>
      <c r="X314" s="66"/>
      <c r="Y314" s="66"/>
      <c r="Z314" s="66"/>
      <c r="AA314" s="66"/>
      <c r="AB314" s="66"/>
      <c r="AC314" s="66"/>
      <c r="AD314" s="66"/>
      <c r="AE314" s="66"/>
      <c r="AF314" s="66"/>
      <c r="AG314" s="93">
        <f t="shared" si="65"/>
        <v>2139230.9999999995</v>
      </c>
      <c r="AH314" s="30" t="str">
        <f t="shared" si="66"/>
        <v>ok</v>
      </c>
      <c r="AJ314" s="79"/>
      <c r="AK314" s="79"/>
      <c r="AL314" s="79"/>
      <c r="AM314" s="79"/>
      <c r="AN314" s="79"/>
      <c r="AO314" s="79"/>
    </row>
    <row r="315" spans="1:41" x14ac:dyDescent="0.2">
      <c r="AG315" s="93"/>
    </row>
    <row r="316" spans="1:41" x14ac:dyDescent="0.2">
      <c r="A316" s="14" t="s">
        <v>325</v>
      </c>
      <c r="C316" s="14" t="s">
        <v>326</v>
      </c>
      <c r="E316" s="93">
        <f t="shared" ref="E316:AF316" si="67">SUM(E313:E315)</f>
        <v>50404493.169999994</v>
      </c>
      <c r="F316" s="93">
        <f t="shared" si="67"/>
        <v>36450401.286575936</v>
      </c>
      <c r="G316" s="93">
        <f t="shared" si="67"/>
        <v>8304.2213595152371</v>
      </c>
      <c r="H316" s="93">
        <f t="shared" si="67"/>
        <v>2081576.2468515141</v>
      </c>
      <c r="I316" s="93">
        <f t="shared" si="67"/>
        <v>1375140.0551397312</v>
      </c>
      <c r="J316" s="93">
        <f t="shared" si="67"/>
        <v>120249.68566965839</v>
      </c>
      <c r="K316" s="93">
        <f t="shared" si="67"/>
        <v>1276906.2802430838</v>
      </c>
      <c r="L316" s="93">
        <f t="shared" si="67"/>
        <v>7419642.8941605538</v>
      </c>
      <c r="M316" s="93">
        <f t="shared" si="67"/>
        <v>1672272.4999999998</v>
      </c>
      <c r="N316" s="93">
        <f t="shared" si="67"/>
        <v>0</v>
      </c>
      <c r="O316" s="93">
        <f t="shared" si="67"/>
        <v>0</v>
      </c>
      <c r="P316" s="93">
        <f t="shared" si="67"/>
        <v>0</v>
      </c>
      <c r="Q316" s="93">
        <f t="shared" si="67"/>
        <v>0</v>
      </c>
      <c r="R316" s="93">
        <f t="shared" si="67"/>
        <v>0</v>
      </c>
      <c r="S316" s="93">
        <f t="shared" si="67"/>
        <v>0</v>
      </c>
      <c r="T316" s="93">
        <f t="shared" si="67"/>
        <v>0</v>
      </c>
      <c r="U316" s="93">
        <f t="shared" si="67"/>
        <v>0</v>
      </c>
      <c r="V316" s="93">
        <f t="shared" si="67"/>
        <v>0</v>
      </c>
      <c r="W316" s="93">
        <f t="shared" si="67"/>
        <v>0</v>
      </c>
      <c r="X316" s="93">
        <f t="shared" si="67"/>
        <v>0</v>
      </c>
      <c r="Y316" s="93">
        <f t="shared" si="67"/>
        <v>0</v>
      </c>
      <c r="Z316" s="93">
        <f t="shared" si="67"/>
        <v>0</v>
      </c>
      <c r="AA316" s="93">
        <f t="shared" si="67"/>
        <v>0</v>
      </c>
      <c r="AB316" s="93">
        <f t="shared" si="67"/>
        <v>0</v>
      </c>
      <c r="AC316" s="93">
        <f t="shared" si="67"/>
        <v>0</v>
      </c>
      <c r="AD316" s="93">
        <f t="shared" si="67"/>
        <v>0</v>
      </c>
      <c r="AE316" s="93">
        <f t="shared" si="67"/>
        <v>0</v>
      </c>
      <c r="AF316" s="93">
        <f t="shared" si="67"/>
        <v>0</v>
      </c>
      <c r="AG316" s="93">
        <f>SUM(F316:AF316)</f>
        <v>50404493.169999987</v>
      </c>
      <c r="AH316" s="30" t="str">
        <f>IF(ABS(E316-AG316)&lt;0.01,"ok","err")</f>
        <v>ok</v>
      </c>
    </row>
    <row r="318" spans="1:41" x14ac:dyDescent="0.2">
      <c r="A318" s="13" t="s">
        <v>327</v>
      </c>
      <c r="AJ318" s="90"/>
      <c r="AK318" s="187"/>
      <c r="AL318" s="90"/>
      <c r="AM318" s="90"/>
      <c r="AN318" s="90"/>
      <c r="AO318" s="90"/>
    </row>
    <row r="319" spans="1:41" x14ac:dyDescent="0.2">
      <c r="A319" s="96" t="s">
        <v>328</v>
      </c>
      <c r="E319" s="93">
        <f t="shared" ref="E319:AF319" si="68">E155</f>
        <v>45208496.339999996</v>
      </c>
      <c r="F319" s="93">
        <f t="shared" si="68"/>
        <v>32572118.789333779</v>
      </c>
      <c r="G319" s="93">
        <f t="shared" si="68"/>
        <v>7055.8063881329435</v>
      </c>
      <c r="H319" s="93">
        <f t="shared" si="68"/>
        <v>1915622.3337125827</v>
      </c>
      <c r="I319" s="93">
        <f t="shared" si="68"/>
        <v>1086789.073560087</v>
      </c>
      <c r="J319" s="93">
        <f t="shared" si="68"/>
        <v>109826.77017532283</v>
      </c>
      <c r="K319" s="93">
        <f t="shared" si="68"/>
        <v>1109106.8918306099</v>
      </c>
      <c r="L319" s="93">
        <f t="shared" si="68"/>
        <v>7624861.635731509</v>
      </c>
      <c r="M319" s="93">
        <f t="shared" si="68"/>
        <v>783115.04352404969</v>
      </c>
      <c r="N319" s="93">
        <f t="shared" si="68"/>
        <v>0</v>
      </c>
      <c r="O319" s="93">
        <f t="shared" si="68"/>
        <v>0</v>
      </c>
      <c r="P319" s="93">
        <f t="shared" si="68"/>
        <v>0</v>
      </c>
      <c r="Q319" s="93">
        <f t="shared" si="68"/>
        <v>0</v>
      </c>
      <c r="R319" s="93">
        <f t="shared" si="68"/>
        <v>0</v>
      </c>
      <c r="S319" s="93">
        <f t="shared" si="68"/>
        <v>0</v>
      </c>
      <c r="T319" s="93">
        <f t="shared" si="68"/>
        <v>0</v>
      </c>
      <c r="U319" s="93">
        <f t="shared" si="68"/>
        <v>0</v>
      </c>
      <c r="V319" s="93">
        <f t="shared" si="68"/>
        <v>0</v>
      </c>
      <c r="W319" s="93">
        <f t="shared" si="68"/>
        <v>0</v>
      </c>
      <c r="X319" s="93">
        <f t="shared" si="68"/>
        <v>0</v>
      </c>
      <c r="Y319" s="93">
        <f t="shared" si="68"/>
        <v>0</v>
      </c>
      <c r="Z319" s="93">
        <f t="shared" si="68"/>
        <v>0</v>
      </c>
      <c r="AA319" s="93">
        <f t="shared" si="68"/>
        <v>0</v>
      </c>
      <c r="AB319" s="93">
        <f t="shared" si="68"/>
        <v>0</v>
      </c>
      <c r="AC319" s="93">
        <f t="shared" si="68"/>
        <v>0</v>
      </c>
      <c r="AD319" s="93">
        <f t="shared" si="68"/>
        <v>0</v>
      </c>
      <c r="AE319" s="93">
        <f t="shared" si="68"/>
        <v>0</v>
      </c>
      <c r="AF319" s="93">
        <f t="shared" si="68"/>
        <v>0</v>
      </c>
      <c r="AG319" s="93">
        <f>SUM(F319:AF319)</f>
        <v>45208496.344256073</v>
      </c>
      <c r="AH319" s="30" t="str">
        <f>IF(ABS(E319-AG319)&lt;0.01,"ok","err")</f>
        <v>ok</v>
      </c>
      <c r="AJ319" s="79"/>
      <c r="AK319" s="79"/>
      <c r="AL319" s="79"/>
      <c r="AM319" s="79"/>
      <c r="AN319" s="79"/>
      <c r="AO319" s="79"/>
    </row>
    <row r="320" spans="1:41" x14ac:dyDescent="0.2">
      <c r="A320" s="96" t="s">
        <v>329</v>
      </c>
      <c r="E320" s="50">
        <f t="shared" ref="E320:AF320" si="69">E231</f>
        <v>4344707.0399999991</v>
      </c>
      <c r="F320" s="50">
        <f t="shared" si="69"/>
        <v>3462315.8065060209</v>
      </c>
      <c r="G320" s="50">
        <f t="shared" si="69"/>
        <v>986.07963776329802</v>
      </c>
      <c r="H320" s="50">
        <f t="shared" si="69"/>
        <v>184073.4121264694</v>
      </c>
      <c r="I320" s="50">
        <f t="shared" si="69"/>
        <v>48797.974883563373</v>
      </c>
      <c r="J320" s="50">
        <f t="shared" si="69"/>
        <v>18508.43408641003</v>
      </c>
      <c r="K320" s="50">
        <f t="shared" si="69"/>
        <v>72119.486197935068</v>
      </c>
      <c r="L320" s="50">
        <f t="shared" si="69"/>
        <v>244958.3882937778</v>
      </c>
      <c r="M320" s="50">
        <f t="shared" si="69"/>
        <v>312947.45826799731</v>
      </c>
      <c r="N320" s="50">
        <f t="shared" si="69"/>
        <v>0</v>
      </c>
      <c r="O320" s="50">
        <f t="shared" si="69"/>
        <v>0</v>
      </c>
      <c r="P320" s="50">
        <f t="shared" si="69"/>
        <v>0</v>
      </c>
      <c r="Q320" s="50">
        <f t="shared" si="69"/>
        <v>0</v>
      </c>
      <c r="R320" s="50">
        <f t="shared" si="69"/>
        <v>0</v>
      </c>
      <c r="S320" s="50">
        <f t="shared" si="69"/>
        <v>0</v>
      </c>
      <c r="T320" s="50">
        <f t="shared" si="69"/>
        <v>0</v>
      </c>
      <c r="U320" s="50">
        <f t="shared" si="69"/>
        <v>0</v>
      </c>
      <c r="V320" s="50">
        <f t="shared" si="69"/>
        <v>0</v>
      </c>
      <c r="W320" s="50">
        <f t="shared" si="69"/>
        <v>0</v>
      </c>
      <c r="X320" s="50">
        <f t="shared" si="69"/>
        <v>0</v>
      </c>
      <c r="Y320" s="50">
        <f t="shared" si="69"/>
        <v>0</v>
      </c>
      <c r="Z320" s="50">
        <f t="shared" si="69"/>
        <v>0</v>
      </c>
      <c r="AA320" s="50">
        <f t="shared" si="69"/>
        <v>0</v>
      </c>
      <c r="AB320" s="50">
        <f t="shared" si="69"/>
        <v>0</v>
      </c>
      <c r="AC320" s="50">
        <f t="shared" si="69"/>
        <v>0</v>
      </c>
      <c r="AD320" s="50">
        <f t="shared" si="69"/>
        <v>0</v>
      </c>
      <c r="AE320" s="50">
        <f t="shared" si="69"/>
        <v>0</v>
      </c>
      <c r="AF320" s="50">
        <f t="shared" si="69"/>
        <v>0</v>
      </c>
      <c r="AG320" s="93">
        <f>SUM(F320:AF320)</f>
        <v>4344707.0399999367</v>
      </c>
      <c r="AH320" s="30" t="str">
        <f>IF(ABS(E320-AG320)&lt;0.01,"ok","err")</f>
        <v>ok</v>
      </c>
      <c r="AJ320" s="79"/>
      <c r="AK320" s="79"/>
      <c r="AL320" s="79"/>
      <c r="AM320" s="79"/>
      <c r="AN320" s="79"/>
      <c r="AO320" s="79"/>
    </row>
    <row r="321" spans="1:41" x14ac:dyDescent="0.2">
      <c r="A321" s="96" t="s">
        <v>330</v>
      </c>
      <c r="D321" s="14" t="s">
        <v>248</v>
      </c>
      <c r="E321" s="50">
        <f t="shared" ref="E321:AF321" si="70">E269</f>
        <v>0</v>
      </c>
      <c r="F321" s="50">
        <f t="shared" si="70"/>
        <v>0</v>
      </c>
      <c r="G321" s="50">
        <f t="shared" si="70"/>
        <v>0</v>
      </c>
      <c r="H321" s="50">
        <f t="shared" si="70"/>
        <v>0</v>
      </c>
      <c r="I321" s="50">
        <f t="shared" si="70"/>
        <v>0</v>
      </c>
      <c r="J321" s="50">
        <f t="shared" si="70"/>
        <v>0</v>
      </c>
      <c r="K321" s="50">
        <f t="shared" si="70"/>
        <v>0</v>
      </c>
      <c r="L321" s="50">
        <f t="shared" si="70"/>
        <v>0</v>
      </c>
      <c r="M321" s="50">
        <f t="shared" si="70"/>
        <v>0</v>
      </c>
      <c r="N321" s="50">
        <f t="shared" si="70"/>
        <v>0</v>
      </c>
      <c r="O321" s="50">
        <f t="shared" si="70"/>
        <v>0</v>
      </c>
      <c r="P321" s="50">
        <f t="shared" si="70"/>
        <v>0</v>
      </c>
      <c r="Q321" s="50">
        <f t="shared" si="70"/>
        <v>0</v>
      </c>
      <c r="R321" s="50">
        <f t="shared" si="70"/>
        <v>0</v>
      </c>
      <c r="S321" s="50">
        <f t="shared" si="70"/>
        <v>0</v>
      </c>
      <c r="T321" s="50">
        <f t="shared" si="70"/>
        <v>0</v>
      </c>
      <c r="U321" s="50">
        <f t="shared" si="70"/>
        <v>0</v>
      </c>
      <c r="V321" s="50">
        <f t="shared" si="70"/>
        <v>0</v>
      </c>
      <c r="W321" s="50">
        <f t="shared" si="70"/>
        <v>0</v>
      </c>
      <c r="X321" s="50">
        <f t="shared" si="70"/>
        <v>0</v>
      </c>
      <c r="Y321" s="50">
        <f t="shared" si="70"/>
        <v>0</v>
      </c>
      <c r="Z321" s="50">
        <f t="shared" si="70"/>
        <v>0</v>
      </c>
      <c r="AA321" s="50">
        <f t="shared" si="70"/>
        <v>0</v>
      </c>
      <c r="AB321" s="50">
        <f t="shared" si="70"/>
        <v>0</v>
      </c>
      <c r="AC321" s="50">
        <f t="shared" si="70"/>
        <v>0</v>
      </c>
      <c r="AD321" s="50">
        <f t="shared" si="70"/>
        <v>0</v>
      </c>
      <c r="AE321" s="50">
        <f t="shared" si="70"/>
        <v>0</v>
      </c>
      <c r="AF321" s="50">
        <f t="shared" si="70"/>
        <v>0</v>
      </c>
      <c r="AG321" s="93">
        <f>SUM(F321:AF321)</f>
        <v>0</v>
      </c>
      <c r="AH321" s="30" t="str">
        <f>IF(ABS(E321-AG321)&lt;0.01,"ok","err")</f>
        <v>ok</v>
      </c>
      <c r="AJ321" s="79"/>
      <c r="AK321" s="79"/>
      <c r="AL321" s="79"/>
      <c r="AM321" s="79"/>
      <c r="AN321" s="79"/>
      <c r="AO321" s="79"/>
    </row>
    <row r="322" spans="1:41" x14ac:dyDescent="0.2">
      <c r="A322" s="96" t="s">
        <v>331</v>
      </c>
      <c r="E322" s="50">
        <f t="shared" ref="E322:AF322" si="71">E307</f>
        <v>48535.159999999989</v>
      </c>
      <c r="F322" s="50">
        <f t="shared" si="71"/>
        <v>38677.878644563069</v>
      </c>
      <c r="G322" s="50">
        <f t="shared" si="71"/>
        <v>11.015594964392285</v>
      </c>
      <c r="H322" s="50">
        <f t="shared" si="71"/>
        <v>2056.3026291651031</v>
      </c>
      <c r="I322" s="50">
        <f t="shared" si="71"/>
        <v>545.12709299951541</v>
      </c>
      <c r="J322" s="50">
        <f t="shared" si="71"/>
        <v>206.75958159272457</v>
      </c>
      <c r="K322" s="50">
        <f t="shared" si="71"/>
        <v>805.65404514237844</v>
      </c>
      <c r="L322" s="50">
        <f t="shared" si="71"/>
        <v>2736.4548310674199</v>
      </c>
      <c r="M322" s="50">
        <f t="shared" si="71"/>
        <v>3495.9675805047073</v>
      </c>
      <c r="N322" s="50">
        <f t="shared" si="71"/>
        <v>0</v>
      </c>
      <c r="O322" s="50">
        <f t="shared" si="71"/>
        <v>0</v>
      </c>
      <c r="P322" s="50">
        <f t="shared" si="71"/>
        <v>0</v>
      </c>
      <c r="Q322" s="50">
        <f t="shared" si="71"/>
        <v>0</v>
      </c>
      <c r="R322" s="50">
        <f t="shared" si="71"/>
        <v>0</v>
      </c>
      <c r="S322" s="50">
        <f t="shared" si="71"/>
        <v>0</v>
      </c>
      <c r="T322" s="50">
        <f t="shared" si="71"/>
        <v>0</v>
      </c>
      <c r="U322" s="50">
        <f t="shared" si="71"/>
        <v>0</v>
      </c>
      <c r="V322" s="50">
        <f t="shared" si="71"/>
        <v>0</v>
      </c>
      <c r="W322" s="50">
        <f t="shared" si="71"/>
        <v>0</v>
      </c>
      <c r="X322" s="50">
        <f t="shared" si="71"/>
        <v>0</v>
      </c>
      <c r="Y322" s="50">
        <f t="shared" si="71"/>
        <v>0</v>
      </c>
      <c r="Z322" s="50">
        <f t="shared" si="71"/>
        <v>0</v>
      </c>
      <c r="AA322" s="50">
        <f t="shared" si="71"/>
        <v>0</v>
      </c>
      <c r="AB322" s="50">
        <f t="shared" si="71"/>
        <v>0</v>
      </c>
      <c r="AC322" s="50">
        <f t="shared" si="71"/>
        <v>0</v>
      </c>
      <c r="AD322" s="50">
        <f t="shared" si="71"/>
        <v>0</v>
      </c>
      <c r="AE322" s="50">
        <f t="shared" si="71"/>
        <v>0</v>
      </c>
      <c r="AF322" s="50">
        <f t="shared" si="71"/>
        <v>0</v>
      </c>
      <c r="AG322" s="93">
        <f>SUM(F322:AF322)</f>
        <v>48535.15999999932</v>
      </c>
      <c r="AH322" s="30" t="str">
        <f>IF(ABS(E322-AG322)&lt;0.01,"ok","err")</f>
        <v>ok</v>
      </c>
      <c r="AJ322" s="79"/>
      <c r="AK322" s="79"/>
      <c r="AL322" s="79"/>
      <c r="AM322" s="79"/>
      <c r="AN322" s="79"/>
      <c r="AO322" s="79"/>
    </row>
    <row r="323" spans="1:41" x14ac:dyDescent="0.2">
      <c r="A323" s="96"/>
      <c r="AG323" s="93"/>
      <c r="AH323" s="30"/>
      <c r="AJ323" s="79"/>
      <c r="AK323" s="79"/>
      <c r="AL323" s="79"/>
      <c r="AM323" s="79"/>
      <c r="AN323" s="79"/>
      <c r="AO323" s="79"/>
    </row>
    <row r="324" spans="1:41" x14ac:dyDescent="0.2">
      <c r="A324" s="14" t="s">
        <v>332</v>
      </c>
      <c r="C324" s="14" t="s">
        <v>198</v>
      </c>
      <c r="E324" s="93">
        <f t="shared" ref="E324:T324" si="72">SUM(E319:E323)</f>
        <v>49601738.539999992</v>
      </c>
      <c r="F324" s="93">
        <f t="shared" si="72"/>
        <v>36073112.474484362</v>
      </c>
      <c r="G324" s="93">
        <f t="shared" si="72"/>
        <v>8052.9016208606336</v>
      </c>
      <c r="H324" s="93">
        <f t="shared" si="72"/>
        <v>2101752.0484682168</v>
      </c>
      <c r="I324" s="93">
        <f t="shared" si="72"/>
        <v>1136132.1755366498</v>
      </c>
      <c r="J324" s="93">
        <f t="shared" si="72"/>
        <v>128541.96384332559</v>
      </c>
      <c r="K324" s="93">
        <f t="shared" si="72"/>
        <v>1182032.0320736875</v>
      </c>
      <c r="L324" s="93">
        <f t="shared" si="72"/>
        <v>7872556.478856354</v>
      </c>
      <c r="M324" s="93">
        <f t="shared" si="72"/>
        <v>1099558.4693725517</v>
      </c>
      <c r="N324" s="93">
        <f t="shared" si="72"/>
        <v>0</v>
      </c>
      <c r="O324" s="93">
        <f t="shared" si="72"/>
        <v>0</v>
      </c>
      <c r="P324" s="93">
        <f t="shared" si="72"/>
        <v>0</v>
      </c>
      <c r="Q324" s="93">
        <f t="shared" si="72"/>
        <v>0</v>
      </c>
      <c r="R324" s="93">
        <f t="shared" si="72"/>
        <v>0</v>
      </c>
      <c r="S324" s="93">
        <f t="shared" si="72"/>
        <v>0</v>
      </c>
      <c r="T324" s="93">
        <f t="shared" si="72"/>
        <v>0</v>
      </c>
      <c r="U324" s="93">
        <f t="shared" ref="U324:AF324" si="73">SUM(U319:U323)</f>
        <v>0</v>
      </c>
      <c r="V324" s="93">
        <f t="shared" si="73"/>
        <v>0</v>
      </c>
      <c r="W324" s="93">
        <f t="shared" si="73"/>
        <v>0</v>
      </c>
      <c r="X324" s="93">
        <f t="shared" si="73"/>
        <v>0</v>
      </c>
      <c r="Y324" s="93">
        <f t="shared" si="73"/>
        <v>0</v>
      </c>
      <c r="Z324" s="93">
        <f t="shared" si="73"/>
        <v>0</v>
      </c>
      <c r="AA324" s="93">
        <f t="shared" si="73"/>
        <v>0</v>
      </c>
      <c r="AB324" s="93">
        <f t="shared" si="73"/>
        <v>0</v>
      </c>
      <c r="AC324" s="93">
        <f t="shared" si="73"/>
        <v>0</v>
      </c>
      <c r="AD324" s="93">
        <f t="shared" si="73"/>
        <v>0</v>
      </c>
      <c r="AE324" s="93">
        <f t="shared" si="73"/>
        <v>0</v>
      </c>
      <c r="AF324" s="93">
        <f t="shared" si="73"/>
        <v>0</v>
      </c>
      <c r="AG324" s="93">
        <f>SUM(F324:AF324)</f>
        <v>49601738.544255994</v>
      </c>
      <c r="AH324" s="30" t="str">
        <f>IF(ABS(E324-AG324)&lt;0.01,"ok","err")</f>
        <v>ok</v>
      </c>
      <c r="AJ324" s="79"/>
      <c r="AK324" s="79"/>
      <c r="AL324" s="79"/>
      <c r="AM324" s="79"/>
      <c r="AN324" s="79"/>
      <c r="AO324" s="79"/>
    </row>
    <row r="325" spans="1:41" x14ac:dyDescent="0.2">
      <c r="A325" s="96"/>
    </row>
    <row r="326" spans="1:41" x14ac:dyDescent="0.2">
      <c r="A326" s="14" t="s">
        <v>333</v>
      </c>
      <c r="C326" s="14" t="s">
        <v>182</v>
      </c>
      <c r="E326" s="93">
        <f>E316-E324</f>
        <v>802754.63000000268</v>
      </c>
      <c r="F326" s="93">
        <f t="shared" ref="F326:R326" si="74">F316-F324</f>
        <v>377288.81209157407</v>
      </c>
      <c r="G326" s="93">
        <f t="shared" si="74"/>
        <v>251.3197386546035</v>
      </c>
      <c r="H326" s="93">
        <f t="shared" si="74"/>
        <v>-20175.801616702694</v>
      </c>
      <c r="I326" s="93">
        <f t="shared" si="74"/>
        <v>239007.87960308138</v>
      </c>
      <c r="J326" s="93">
        <f t="shared" si="74"/>
        <v>-8292.2781736672041</v>
      </c>
      <c r="K326" s="93">
        <f t="shared" si="74"/>
        <v>94874.248169396305</v>
      </c>
      <c r="L326" s="93">
        <f t="shared" si="74"/>
        <v>-452913.58469580021</v>
      </c>
      <c r="M326" s="93">
        <f t="shared" si="74"/>
        <v>572714.03062744811</v>
      </c>
      <c r="N326" s="93">
        <f t="shared" si="74"/>
        <v>0</v>
      </c>
      <c r="O326" s="93">
        <f t="shared" si="74"/>
        <v>0</v>
      </c>
      <c r="P326" s="93">
        <f t="shared" si="74"/>
        <v>0</v>
      </c>
      <c r="Q326" s="93">
        <f>Q316-Q324</f>
        <v>0</v>
      </c>
      <c r="R326" s="93">
        <f t="shared" si="74"/>
        <v>0</v>
      </c>
      <c r="S326" s="93">
        <f>S316-S324</f>
        <v>0</v>
      </c>
      <c r="T326" s="93">
        <f>T316-T324</f>
        <v>0</v>
      </c>
      <c r="U326" s="93">
        <f t="shared" ref="U326:AF326" si="75">U316-U324</f>
        <v>0</v>
      </c>
      <c r="V326" s="93">
        <f t="shared" si="75"/>
        <v>0</v>
      </c>
      <c r="W326" s="93">
        <f t="shared" si="75"/>
        <v>0</v>
      </c>
      <c r="X326" s="93">
        <f t="shared" si="75"/>
        <v>0</v>
      </c>
      <c r="Y326" s="93">
        <f t="shared" si="75"/>
        <v>0</v>
      </c>
      <c r="Z326" s="93">
        <f t="shared" si="75"/>
        <v>0</v>
      </c>
      <c r="AA326" s="93">
        <f t="shared" si="75"/>
        <v>0</v>
      </c>
      <c r="AB326" s="93">
        <f t="shared" si="75"/>
        <v>0</v>
      </c>
      <c r="AC326" s="93">
        <f t="shared" si="75"/>
        <v>0</v>
      </c>
      <c r="AD326" s="93">
        <f t="shared" si="75"/>
        <v>0</v>
      </c>
      <c r="AE326" s="93">
        <f t="shared" si="75"/>
        <v>0</v>
      </c>
      <c r="AF326" s="93">
        <f t="shared" si="75"/>
        <v>0</v>
      </c>
      <c r="AG326" s="93">
        <f>SUM(F326:AF326)</f>
        <v>802754.62574398448</v>
      </c>
      <c r="AH326" s="30" t="str">
        <f>IF(ABS(E326-AG326)&lt;0.01,"ok","err")</f>
        <v>ok</v>
      </c>
    </row>
    <row r="328" spans="1:41" x14ac:dyDescent="0.2">
      <c r="A328" s="13" t="s">
        <v>249</v>
      </c>
      <c r="E328" s="93">
        <f t="shared" ref="E328:AF328" si="76">E117</f>
        <v>76145092.302499995</v>
      </c>
      <c r="F328" s="93">
        <f t="shared" si="76"/>
        <v>60755217.891847856</v>
      </c>
      <c r="G328" s="93">
        <f t="shared" si="76"/>
        <v>17321.951094459615</v>
      </c>
      <c r="H328" s="93">
        <f t="shared" si="76"/>
        <v>3228956.3104836014</v>
      </c>
      <c r="I328" s="93">
        <f t="shared" si="76"/>
        <v>855367.26920252212</v>
      </c>
      <c r="J328" s="93">
        <f t="shared" si="76"/>
        <v>325293.74504705437</v>
      </c>
      <c r="K328" s="93">
        <f t="shared" si="76"/>
        <v>1262655.4567511231</v>
      </c>
      <c r="L328" s="93">
        <f t="shared" si="76"/>
        <v>4288018.7548815534</v>
      </c>
      <c r="M328" s="93">
        <f t="shared" si="76"/>
        <v>5412260.9231907595</v>
      </c>
      <c r="N328" s="93">
        <f>N117</f>
        <v>0</v>
      </c>
      <c r="O328" s="93">
        <f t="shared" si="76"/>
        <v>0</v>
      </c>
      <c r="P328" s="93">
        <f t="shared" si="76"/>
        <v>0</v>
      </c>
      <c r="Q328" s="93">
        <f t="shared" si="76"/>
        <v>0</v>
      </c>
      <c r="R328" s="93">
        <f t="shared" si="76"/>
        <v>0</v>
      </c>
      <c r="S328" s="93">
        <f t="shared" si="76"/>
        <v>0</v>
      </c>
      <c r="T328" s="93">
        <f t="shared" si="76"/>
        <v>0</v>
      </c>
      <c r="U328" s="93">
        <f t="shared" si="76"/>
        <v>0</v>
      </c>
      <c r="V328" s="93">
        <f t="shared" si="76"/>
        <v>0</v>
      </c>
      <c r="W328" s="93">
        <f t="shared" si="76"/>
        <v>0</v>
      </c>
      <c r="X328" s="93">
        <f t="shared" si="76"/>
        <v>0</v>
      </c>
      <c r="Y328" s="93">
        <f t="shared" si="76"/>
        <v>0</v>
      </c>
      <c r="Z328" s="93">
        <f t="shared" si="76"/>
        <v>0</v>
      </c>
      <c r="AA328" s="93">
        <f t="shared" si="76"/>
        <v>0</v>
      </c>
      <c r="AB328" s="93">
        <f t="shared" si="76"/>
        <v>0</v>
      </c>
      <c r="AC328" s="93">
        <f t="shared" si="76"/>
        <v>0</v>
      </c>
      <c r="AD328" s="93">
        <f t="shared" si="76"/>
        <v>0</v>
      </c>
      <c r="AE328" s="93">
        <f t="shared" si="76"/>
        <v>0</v>
      </c>
      <c r="AF328" s="93">
        <f t="shared" si="76"/>
        <v>0</v>
      </c>
      <c r="AG328" s="93">
        <f>SUM(F328:AF328)</f>
        <v>76145092.302498922</v>
      </c>
      <c r="AH328" s="30" t="str">
        <f>IF(ABS(E328-AG328)&lt;0.01,"ok","err")</f>
        <v>ok</v>
      </c>
    </row>
    <row r="329" spans="1:41" ht="13.5" thickBot="1" x14ac:dyDescent="0.25"/>
    <row r="330" spans="1:41" s="13" customFormat="1" ht="13.5" thickBot="1" x14ac:dyDescent="0.25">
      <c r="A330" s="188" t="s">
        <v>334</v>
      </c>
      <c r="B330" s="189"/>
      <c r="C330" s="189"/>
      <c r="D330" s="189"/>
      <c r="E330" s="103">
        <f>E326/E328</f>
        <v>1.0542434262354248E-2</v>
      </c>
      <c r="F330" s="103">
        <f t="shared" ref="F330:R330" si="77">F326/F328</f>
        <v>6.2099820424181005E-3</v>
      </c>
      <c r="G330" s="103">
        <f t="shared" si="77"/>
        <v>1.450874311352764E-2</v>
      </c>
      <c r="H330" s="103">
        <f t="shared" si="77"/>
        <v>-6.2483972146656144E-3</v>
      </c>
      <c r="I330" s="103">
        <f t="shared" si="77"/>
        <v>0.27942135291886222</v>
      </c>
      <c r="J330" s="103">
        <f t="shared" si="77"/>
        <v>-2.5491661920728631E-2</v>
      </c>
      <c r="K330" s="103">
        <f t="shared" si="77"/>
        <v>7.5138667212916968E-2</v>
      </c>
      <c r="L330" s="103">
        <f t="shared" si="77"/>
        <v>-0.10562304191888053</v>
      </c>
      <c r="M330" s="103">
        <f t="shared" si="77"/>
        <v>0.10581788992719307</v>
      </c>
      <c r="N330" s="103" t="e">
        <f t="shared" si="77"/>
        <v>#DIV/0!</v>
      </c>
      <c r="O330" s="103" t="e">
        <f t="shared" si="77"/>
        <v>#DIV/0!</v>
      </c>
      <c r="P330" s="103" t="e">
        <f t="shared" si="77"/>
        <v>#DIV/0!</v>
      </c>
      <c r="Q330" s="103" t="e">
        <f>Q326/Q328</f>
        <v>#DIV/0!</v>
      </c>
      <c r="R330" s="103" t="e">
        <f t="shared" si="77"/>
        <v>#DIV/0!</v>
      </c>
      <c r="S330" s="103" t="e">
        <f>S326/S328</f>
        <v>#DIV/0!</v>
      </c>
      <c r="T330" s="103" t="e">
        <f>T326/T328</f>
        <v>#DIV/0!</v>
      </c>
      <c r="U330" s="103" t="e">
        <f t="shared" ref="U330:AG330" si="78">U326/U328</f>
        <v>#DIV/0!</v>
      </c>
      <c r="V330" s="103" t="e">
        <f t="shared" si="78"/>
        <v>#DIV/0!</v>
      </c>
      <c r="W330" s="103" t="e">
        <f t="shared" si="78"/>
        <v>#DIV/0!</v>
      </c>
      <c r="X330" s="103" t="e">
        <f t="shared" si="78"/>
        <v>#DIV/0!</v>
      </c>
      <c r="Y330" s="103" t="e">
        <f t="shared" si="78"/>
        <v>#DIV/0!</v>
      </c>
      <c r="Z330" s="103" t="e">
        <f t="shared" si="78"/>
        <v>#DIV/0!</v>
      </c>
      <c r="AA330" s="103" t="e">
        <f t="shared" si="78"/>
        <v>#DIV/0!</v>
      </c>
      <c r="AB330" s="103" t="e">
        <f t="shared" si="78"/>
        <v>#DIV/0!</v>
      </c>
      <c r="AC330" s="103" t="e">
        <f t="shared" si="78"/>
        <v>#DIV/0!</v>
      </c>
      <c r="AD330" s="103" t="e">
        <f t="shared" si="78"/>
        <v>#DIV/0!</v>
      </c>
      <c r="AE330" s="103" t="e">
        <f t="shared" si="78"/>
        <v>#DIV/0!</v>
      </c>
      <c r="AF330" s="103" t="e">
        <f t="shared" si="78"/>
        <v>#DIV/0!</v>
      </c>
      <c r="AG330" s="103">
        <f t="shared" si="78"/>
        <v>1.0542434206460864E-2</v>
      </c>
      <c r="AH330" s="30" t="str">
        <f>IF(ABS(E330-AG330)&lt;0.01,"ok","err")</f>
        <v>ok</v>
      </c>
      <c r="AK330" s="190"/>
    </row>
    <row r="331" spans="1:41" s="13" customFormat="1" x14ac:dyDescent="0.2">
      <c r="A331" s="13" t="s">
        <v>958</v>
      </c>
      <c r="E331" s="191">
        <f>E330/$E$330</f>
        <v>1</v>
      </c>
      <c r="F331" s="191">
        <f t="shared" ref="F331:AF331" si="79">F330/$E$330</f>
        <v>0.58904631396120655</v>
      </c>
      <c r="G331" s="191">
        <f t="shared" si="79"/>
        <v>1.3762232471618627</v>
      </c>
      <c r="H331" s="191">
        <f t="shared" si="79"/>
        <v>-0.59269017564357807</v>
      </c>
      <c r="I331" s="191">
        <f t="shared" si="79"/>
        <v>26.50444346773325</v>
      </c>
      <c r="J331" s="191">
        <f t="shared" si="79"/>
        <v>-2.4180052999482538</v>
      </c>
      <c r="K331" s="191">
        <f t="shared" si="79"/>
        <v>7.1272597336677759</v>
      </c>
      <c r="L331" s="191">
        <f t="shared" si="79"/>
        <v>-10.018847572618744</v>
      </c>
      <c r="M331" s="191">
        <f t="shared" si="79"/>
        <v>10.03732983235721</v>
      </c>
      <c r="N331" s="191" t="e">
        <f t="shared" si="79"/>
        <v>#DIV/0!</v>
      </c>
      <c r="O331" s="191" t="e">
        <f t="shared" si="79"/>
        <v>#DIV/0!</v>
      </c>
      <c r="P331" s="191" t="e">
        <f t="shared" si="79"/>
        <v>#DIV/0!</v>
      </c>
      <c r="Q331" s="191" t="e">
        <f t="shared" si="79"/>
        <v>#DIV/0!</v>
      </c>
      <c r="R331" s="191" t="e">
        <f t="shared" si="79"/>
        <v>#DIV/0!</v>
      </c>
      <c r="S331" s="191" t="e">
        <f t="shared" si="79"/>
        <v>#DIV/0!</v>
      </c>
      <c r="T331" s="191" t="e">
        <f t="shared" si="79"/>
        <v>#DIV/0!</v>
      </c>
      <c r="U331" s="191" t="e">
        <f t="shared" si="79"/>
        <v>#DIV/0!</v>
      </c>
      <c r="V331" s="191" t="e">
        <f t="shared" si="79"/>
        <v>#DIV/0!</v>
      </c>
      <c r="W331" s="191" t="e">
        <f t="shared" si="79"/>
        <v>#DIV/0!</v>
      </c>
      <c r="X331" s="191" t="e">
        <f t="shared" si="79"/>
        <v>#DIV/0!</v>
      </c>
      <c r="Y331" s="191" t="e">
        <f t="shared" si="79"/>
        <v>#DIV/0!</v>
      </c>
      <c r="Z331" s="191" t="e">
        <f t="shared" si="79"/>
        <v>#DIV/0!</v>
      </c>
      <c r="AA331" s="191" t="e">
        <f t="shared" si="79"/>
        <v>#DIV/0!</v>
      </c>
      <c r="AB331" s="191" t="e">
        <f t="shared" si="79"/>
        <v>#DIV/0!</v>
      </c>
      <c r="AC331" s="191" t="e">
        <f t="shared" si="79"/>
        <v>#DIV/0!</v>
      </c>
      <c r="AD331" s="191" t="e">
        <f t="shared" si="79"/>
        <v>#DIV/0!</v>
      </c>
      <c r="AE331" s="191" t="e">
        <f t="shared" si="79"/>
        <v>#DIV/0!</v>
      </c>
      <c r="AF331" s="191" t="e">
        <f t="shared" si="79"/>
        <v>#DIV/0!</v>
      </c>
      <c r="AG331" s="192"/>
      <c r="AH331" s="30"/>
      <c r="AK331" s="190"/>
    </row>
    <row r="334" spans="1:41" x14ac:dyDescent="0.2">
      <c r="A334" s="28" t="s">
        <v>867</v>
      </c>
    </row>
    <row r="335" spans="1:41" x14ac:dyDescent="0.2">
      <c r="L335" s="93"/>
    </row>
    <row r="336" spans="1:41" x14ac:dyDescent="0.2">
      <c r="A336" s="13" t="s">
        <v>323</v>
      </c>
    </row>
    <row r="338" spans="1:50" x14ac:dyDescent="0.2">
      <c r="A338" s="14" t="s">
        <v>568</v>
      </c>
      <c r="E338" s="93">
        <f t="shared" ref="E338:AF338" si="80">E316</f>
        <v>50404493.169999994</v>
      </c>
      <c r="F338" s="93">
        <f t="shared" si="80"/>
        <v>36450401.286575936</v>
      </c>
      <c r="G338" s="93">
        <f t="shared" si="80"/>
        <v>8304.2213595152371</v>
      </c>
      <c r="H338" s="93">
        <f t="shared" si="80"/>
        <v>2081576.2468515141</v>
      </c>
      <c r="I338" s="93">
        <f t="shared" si="80"/>
        <v>1375140.0551397312</v>
      </c>
      <c r="J338" s="93">
        <f t="shared" si="80"/>
        <v>120249.68566965839</v>
      </c>
      <c r="K338" s="93">
        <f t="shared" si="80"/>
        <v>1276906.2802430838</v>
      </c>
      <c r="L338" s="93">
        <f t="shared" si="80"/>
        <v>7419642.8941605538</v>
      </c>
      <c r="M338" s="93">
        <f t="shared" si="80"/>
        <v>1672272.4999999998</v>
      </c>
      <c r="N338" s="93">
        <f t="shared" si="80"/>
        <v>0</v>
      </c>
      <c r="O338" s="93">
        <f t="shared" si="80"/>
        <v>0</v>
      </c>
      <c r="P338" s="93">
        <f t="shared" si="80"/>
        <v>0</v>
      </c>
      <c r="Q338" s="93">
        <f t="shared" si="80"/>
        <v>0</v>
      </c>
      <c r="R338" s="93">
        <f t="shared" si="80"/>
        <v>0</v>
      </c>
      <c r="S338" s="93">
        <f t="shared" si="80"/>
        <v>0</v>
      </c>
      <c r="T338" s="93">
        <f t="shared" si="80"/>
        <v>0</v>
      </c>
      <c r="U338" s="93">
        <f t="shared" si="80"/>
        <v>0</v>
      </c>
      <c r="V338" s="93">
        <f t="shared" si="80"/>
        <v>0</v>
      </c>
      <c r="W338" s="93">
        <f t="shared" si="80"/>
        <v>0</v>
      </c>
      <c r="X338" s="93">
        <f t="shared" si="80"/>
        <v>0</v>
      </c>
      <c r="Y338" s="93">
        <f t="shared" si="80"/>
        <v>0</v>
      </c>
      <c r="Z338" s="93">
        <f t="shared" si="80"/>
        <v>0</v>
      </c>
      <c r="AA338" s="93">
        <f t="shared" si="80"/>
        <v>0</v>
      </c>
      <c r="AB338" s="93">
        <f t="shared" si="80"/>
        <v>0</v>
      </c>
      <c r="AC338" s="93">
        <f t="shared" si="80"/>
        <v>0</v>
      </c>
      <c r="AD338" s="93">
        <f t="shared" si="80"/>
        <v>0</v>
      </c>
      <c r="AE338" s="93">
        <f t="shared" si="80"/>
        <v>0</v>
      </c>
      <c r="AF338" s="93">
        <f t="shared" si="80"/>
        <v>0</v>
      </c>
      <c r="AG338" s="93">
        <f>SUM(F338:AF338)</f>
        <v>50404493.169999987</v>
      </c>
      <c r="AH338" s="30" t="str">
        <f>IF(ABS(E338-AG338)&lt;0.01,"ok","err")</f>
        <v>ok</v>
      </c>
    </row>
    <row r="339" spans="1:50" x14ac:dyDescent="0.2"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  <c r="Z339" s="93"/>
      <c r="AA339" s="93"/>
      <c r="AB339" s="93"/>
      <c r="AC339" s="93"/>
      <c r="AD339" s="93"/>
      <c r="AE339" s="93"/>
      <c r="AF339" s="93"/>
      <c r="AG339" s="93"/>
      <c r="AH339" s="30"/>
    </row>
    <row r="340" spans="1:50" x14ac:dyDescent="0.2">
      <c r="A340" s="14" t="s">
        <v>569</v>
      </c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  <c r="Z340" s="93"/>
      <c r="AA340" s="93"/>
      <c r="AB340" s="93"/>
      <c r="AC340" s="93"/>
      <c r="AD340" s="93"/>
      <c r="AE340" s="93"/>
      <c r="AF340" s="93"/>
      <c r="AG340" s="93"/>
      <c r="AH340" s="30"/>
    </row>
    <row r="341" spans="1:50" s="253" customFormat="1" x14ac:dyDescent="0.2">
      <c r="A341" s="253">
        <v>1.01</v>
      </c>
      <c r="B341" s="253" t="s">
        <v>954</v>
      </c>
      <c r="C341" s="253" t="s">
        <v>1142</v>
      </c>
      <c r="E341" s="260">
        <f>$AI341*AJ341</f>
        <v>-4623082.75</v>
      </c>
      <c r="F341" s="260">
        <f>$AI341*AQ341</f>
        <v>-3269676.64</v>
      </c>
      <c r="G341" s="260">
        <f t="shared" ref="G341:M342" si="81">$AI341*AR341</f>
        <v>-711.32</v>
      </c>
      <c r="H341" s="260">
        <f t="shared" si="81"/>
        <v>-175771.94</v>
      </c>
      <c r="I341" s="260">
        <f t="shared" si="81"/>
        <v>-112603.2</v>
      </c>
      <c r="J341" s="260">
        <f t="shared" si="81"/>
        <v>-8017.05</v>
      </c>
      <c r="K341" s="260">
        <f t="shared" si="81"/>
        <v>-146346.69</v>
      </c>
      <c r="L341" s="260">
        <f t="shared" si="81"/>
        <v>-908212.01</v>
      </c>
      <c r="M341" s="260">
        <f t="shared" si="81"/>
        <v>-1743.9</v>
      </c>
      <c r="N341" s="66">
        <v>0</v>
      </c>
      <c r="O341" s="66">
        <v>0</v>
      </c>
      <c r="P341" s="66">
        <v>0</v>
      </c>
      <c r="Q341" s="66">
        <v>0</v>
      </c>
      <c r="R341" s="66">
        <v>0</v>
      </c>
      <c r="S341" s="66">
        <v>0</v>
      </c>
      <c r="T341" s="66">
        <v>0</v>
      </c>
      <c r="U341" s="66">
        <v>0</v>
      </c>
      <c r="V341" s="66">
        <v>0</v>
      </c>
      <c r="W341" s="66">
        <v>0</v>
      </c>
      <c r="X341" s="66">
        <v>0</v>
      </c>
      <c r="Y341" s="66">
        <v>0</v>
      </c>
      <c r="Z341" s="66">
        <v>0</v>
      </c>
      <c r="AA341" s="66">
        <v>0</v>
      </c>
      <c r="AB341" s="66">
        <v>0</v>
      </c>
      <c r="AC341" s="66">
        <v>0</v>
      </c>
      <c r="AD341" s="66">
        <v>0</v>
      </c>
      <c r="AE341" s="66">
        <v>0</v>
      </c>
      <c r="AF341" s="66">
        <v>0</v>
      </c>
      <c r="AG341" s="260">
        <f t="shared" ref="AG341:AG342" si="82">SUM(F341:AF341)</f>
        <v>-4623082.75</v>
      </c>
      <c r="AH341" s="254" t="str">
        <f t="shared" ref="AH341" si="83">IF(ABS(E341-AG341)&lt;0.01,"ok","err")</f>
        <v>ok</v>
      </c>
      <c r="AI341" s="253">
        <v>1</v>
      </c>
      <c r="AJ341" s="50">
        <v>-4623082.75</v>
      </c>
      <c r="AK341" s="50"/>
      <c r="AQ341" s="253">
        <v>-3269676.64</v>
      </c>
      <c r="AR341" s="253">
        <v>-711.32</v>
      </c>
      <c r="AS341" s="253">
        <v>-175771.94</v>
      </c>
      <c r="AT341" s="253">
        <v>-112603.2</v>
      </c>
      <c r="AU341" s="253">
        <v>-8017.05</v>
      </c>
      <c r="AV341" s="253">
        <v>-146346.69</v>
      </c>
      <c r="AW341" s="253">
        <v>-908212.01</v>
      </c>
      <c r="AX341" s="253">
        <v>-1743.9</v>
      </c>
    </row>
    <row r="342" spans="1:50" s="253" customFormat="1" x14ac:dyDescent="0.2">
      <c r="A342" s="253">
        <v>1.02</v>
      </c>
      <c r="B342" s="253" t="s">
        <v>955</v>
      </c>
      <c r="C342" s="253" t="s">
        <v>1143</v>
      </c>
      <c r="E342" s="260">
        <f>$AI342*AJ342</f>
        <v>-4914038.07</v>
      </c>
      <c r="F342" s="260">
        <f>$AI342*AQ342</f>
        <v>-3658466.23</v>
      </c>
      <c r="G342" s="260">
        <f t="shared" si="81"/>
        <v>-702.26</v>
      </c>
      <c r="H342" s="260">
        <f t="shared" si="81"/>
        <v>-203834.26</v>
      </c>
      <c r="I342" s="260">
        <f t="shared" si="81"/>
        <v>-139601.16</v>
      </c>
      <c r="J342" s="260">
        <f t="shared" si="81"/>
        <v>-10280.75</v>
      </c>
      <c r="K342" s="260">
        <f t="shared" si="81"/>
        <v>-131191.42000000001</v>
      </c>
      <c r="L342" s="260">
        <f t="shared" si="81"/>
        <v>-766669.56</v>
      </c>
      <c r="M342" s="260">
        <f t="shared" si="81"/>
        <v>-3292.43</v>
      </c>
      <c r="N342" s="66">
        <v>0</v>
      </c>
      <c r="O342" s="66">
        <v>0</v>
      </c>
      <c r="P342" s="66">
        <v>0</v>
      </c>
      <c r="Q342" s="66">
        <v>0</v>
      </c>
      <c r="R342" s="66">
        <v>0</v>
      </c>
      <c r="S342" s="66">
        <v>0</v>
      </c>
      <c r="T342" s="66">
        <v>0</v>
      </c>
      <c r="U342" s="66">
        <v>0</v>
      </c>
      <c r="V342" s="66">
        <v>0</v>
      </c>
      <c r="W342" s="66">
        <v>0</v>
      </c>
      <c r="X342" s="66">
        <v>0</v>
      </c>
      <c r="Y342" s="66">
        <v>0</v>
      </c>
      <c r="Z342" s="66">
        <v>0</v>
      </c>
      <c r="AA342" s="66">
        <v>0</v>
      </c>
      <c r="AB342" s="66">
        <v>0</v>
      </c>
      <c r="AC342" s="66">
        <v>0</v>
      </c>
      <c r="AD342" s="66">
        <v>0</v>
      </c>
      <c r="AE342" s="66">
        <v>0</v>
      </c>
      <c r="AF342" s="66">
        <v>0</v>
      </c>
      <c r="AG342" s="260">
        <f t="shared" si="82"/>
        <v>-4914038.07</v>
      </c>
      <c r="AH342" s="254" t="str">
        <f t="shared" ref="AH342" si="84">IF(ABS(E342-AG342)&lt;0.01,"ok","err")</f>
        <v>ok</v>
      </c>
      <c r="AI342" s="253">
        <v>1</v>
      </c>
      <c r="AJ342" s="50">
        <v>-4914038.07</v>
      </c>
      <c r="AK342" s="50"/>
      <c r="AQ342" s="253">
        <v>-3658466.23</v>
      </c>
      <c r="AR342" s="253">
        <v>-702.26</v>
      </c>
      <c r="AS342" s="253">
        <v>-203834.26</v>
      </c>
      <c r="AT342" s="253">
        <v>-139601.16</v>
      </c>
      <c r="AU342" s="253">
        <v>-10280.75</v>
      </c>
      <c r="AV342" s="253">
        <v>-131191.42000000001</v>
      </c>
      <c r="AW342" s="253">
        <v>-766669.56</v>
      </c>
      <c r="AX342" s="253">
        <v>-3292.43</v>
      </c>
    </row>
    <row r="343" spans="1:50" s="253" customFormat="1" x14ac:dyDescent="0.2">
      <c r="A343" s="253">
        <v>1.04</v>
      </c>
      <c r="B343" s="253" t="s">
        <v>956</v>
      </c>
      <c r="E343" s="260">
        <f>AI344*AJ344</f>
        <v>278043.24</v>
      </c>
      <c r="F343" s="66">
        <f>79921.6253333815*AI343</f>
        <v>79921.625333381497</v>
      </c>
      <c r="G343" s="66">
        <v>0</v>
      </c>
      <c r="H343" s="66">
        <f>-9556.57194276779*AI343</f>
        <v>-9556.5719427677905</v>
      </c>
      <c r="I343" s="66">
        <f>19009.6414685965*AI343</f>
        <v>19009.641468596499</v>
      </c>
      <c r="J343" s="66">
        <f>855.746224791667*AI343</f>
        <v>855.74622479166703</v>
      </c>
      <c r="K343" s="66">
        <v>0</v>
      </c>
      <c r="L343" s="66">
        <f>187812.80036623*AI343</f>
        <v>187812.80036622999</v>
      </c>
      <c r="M343" s="66">
        <v>0</v>
      </c>
      <c r="N343" s="66">
        <v>0</v>
      </c>
      <c r="O343" s="66">
        <v>0</v>
      </c>
      <c r="P343" s="66">
        <v>0</v>
      </c>
      <c r="Q343" s="66">
        <v>0</v>
      </c>
      <c r="R343" s="66">
        <v>0</v>
      </c>
      <c r="S343" s="66">
        <v>0</v>
      </c>
      <c r="T343" s="66">
        <v>0</v>
      </c>
      <c r="U343" s="66">
        <v>0</v>
      </c>
      <c r="V343" s="66">
        <v>0</v>
      </c>
      <c r="W343" s="66">
        <v>0</v>
      </c>
      <c r="X343" s="66">
        <v>0</v>
      </c>
      <c r="Y343" s="66">
        <v>0</v>
      </c>
      <c r="Z343" s="66">
        <v>0</v>
      </c>
      <c r="AA343" s="66">
        <v>0</v>
      </c>
      <c r="AB343" s="66">
        <v>0</v>
      </c>
      <c r="AC343" s="66">
        <v>0</v>
      </c>
      <c r="AD343" s="66">
        <v>0</v>
      </c>
      <c r="AE343" s="66">
        <v>0</v>
      </c>
      <c r="AF343" s="66">
        <v>0</v>
      </c>
      <c r="AG343" s="260">
        <f t="shared" ref="AG343" si="85">SUM(F343:AF343)</f>
        <v>278043.24145023187</v>
      </c>
      <c r="AH343" s="254" t="str">
        <f t="shared" ref="AH343:AH349" si="86">IF(ABS(E343-AG343)&lt;0.01,"ok","err")</f>
        <v>ok</v>
      </c>
      <c r="AI343" s="253">
        <v>1</v>
      </c>
      <c r="AJ343" s="50">
        <v>0</v>
      </c>
      <c r="AK343" s="50"/>
    </row>
    <row r="344" spans="1:50" s="253" customFormat="1" x14ac:dyDescent="0.2">
      <c r="E344" s="260">
        <v>0</v>
      </c>
      <c r="F344" s="260">
        <v>0</v>
      </c>
      <c r="G344" s="260">
        <v>0</v>
      </c>
      <c r="H344" s="260">
        <v>0</v>
      </c>
      <c r="I344" s="260">
        <v>0</v>
      </c>
      <c r="J344" s="260">
        <v>0</v>
      </c>
      <c r="K344" s="260">
        <v>0</v>
      </c>
      <c r="L344" s="260">
        <v>0</v>
      </c>
      <c r="M344" s="260">
        <v>0</v>
      </c>
      <c r="N344" s="66">
        <v>0</v>
      </c>
      <c r="O344" s="66">
        <v>0</v>
      </c>
      <c r="P344" s="66">
        <v>0</v>
      </c>
      <c r="Q344" s="66">
        <v>0</v>
      </c>
      <c r="R344" s="66">
        <v>0</v>
      </c>
      <c r="S344" s="66">
        <v>0</v>
      </c>
      <c r="T344" s="66">
        <v>0</v>
      </c>
      <c r="U344" s="66">
        <v>0</v>
      </c>
      <c r="V344" s="66">
        <v>0</v>
      </c>
      <c r="W344" s="66">
        <v>0</v>
      </c>
      <c r="X344" s="66">
        <v>0</v>
      </c>
      <c r="Y344" s="66">
        <v>0</v>
      </c>
      <c r="Z344" s="66">
        <v>0</v>
      </c>
      <c r="AA344" s="66">
        <v>0</v>
      </c>
      <c r="AB344" s="66">
        <v>0</v>
      </c>
      <c r="AC344" s="66">
        <v>0</v>
      </c>
      <c r="AD344" s="66">
        <v>0</v>
      </c>
      <c r="AE344" s="66">
        <v>0</v>
      </c>
      <c r="AF344" s="66">
        <v>0</v>
      </c>
      <c r="AG344" s="260">
        <f t="shared" ref="AG344:AG345" si="87">SUM(F344:AF344)</f>
        <v>0</v>
      </c>
      <c r="AH344" s="254" t="str">
        <f t="shared" ref="AH344:AH345" si="88">IF(ABS(E344-AG344)&lt;0.01,"ok","err")</f>
        <v>ok</v>
      </c>
      <c r="AI344" s="253">
        <v>1</v>
      </c>
      <c r="AJ344" s="50">
        <v>278043.24</v>
      </c>
      <c r="AK344" s="50"/>
    </row>
    <row r="345" spans="1:50" s="253" customFormat="1" hidden="1" x14ac:dyDescent="0.2">
      <c r="A345" s="253">
        <v>5</v>
      </c>
      <c r="B345" s="253" t="s">
        <v>1051</v>
      </c>
      <c r="D345" s="253" t="s">
        <v>561</v>
      </c>
      <c r="E345" s="260">
        <v>0</v>
      </c>
      <c r="F345" s="66">
        <f>IF(VLOOKUP($D345,$C$5:$AU$520,3,)=0,0,(VLOOKUP($D345,$C$5:$AU$520,4,)/VLOOKUP($D345,$C$5:$AU$520,3,))*$E345)</f>
        <v>0</v>
      </c>
      <c r="G345" s="66">
        <f t="shared" ref="G345:M347" si="89">IF(VLOOKUP($D345,$C$5:$AU$520,3,)=0,0,(VLOOKUP($D345,$C$5:$AU$520,4,)/VLOOKUP($D345,$C$5:$AU$520,3,))*$E345)</f>
        <v>0</v>
      </c>
      <c r="H345" s="66">
        <f t="shared" si="89"/>
        <v>0</v>
      </c>
      <c r="I345" s="66">
        <f t="shared" si="89"/>
        <v>0</v>
      </c>
      <c r="J345" s="66">
        <f t="shared" si="89"/>
        <v>0</v>
      </c>
      <c r="K345" s="66">
        <f t="shared" si="89"/>
        <v>0</v>
      </c>
      <c r="L345" s="66">
        <f t="shared" si="89"/>
        <v>0</v>
      </c>
      <c r="M345" s="66">
        <f t="shared" si="89"/>
        <v>0</v>
      </c>
      <c r="N345" s="66">
        <f>IF(VLOOKUP($D345,$C$5:$AU$520,3,)=0,0,(VLOOKUP($D345,$C$5:$AU$520,12,)/VLOOKUP($D345,$C$5:$AU$520,3,))*$E345)</f>
        <v>0</v>
      </c>
      <c r="O345" s="66">
        <f>IF(VLOOKUP($D345,$C$5:$AU$520,3,)=0,0,(VLOOKUP($D345,$C$5:$AU$520,13,)/VLOOKUP($D345,$C$5:$AU$520,3,))*$E345)</f>
        <v>0</v>
      </c>
      <c r="P345" s="66">
        <f>IF(VLOOKUP($D345,$C$5:$AU$520,3,)=0,0,(VLOOKUP($D345,$C$5:$AU$520,14,)/VLOOKUP($D345,$C$5:$AU$520,3,))*$E345)</f>
        <v>0</v>
      </c>
      <c r="Q345" s="66">
        <f>IF(VLOOKUP($D345,$C$5:$AU$520,3,)=0,0,(VLOOKUP($D345,$C$5:$AU$520,15,)/VLOOKUP($D345,$C$5:$AU$520,3,))*$E345)</f>
        <v>0</v>
      </c>
      <c r="R345" s="66">
        <f>IF(VLOOKUP($D345,$C$5:$AU$520,3,)=0,0,(VLOOKUP($D345,$C$5:$AU$520,16,)/VLOOKUP($D345,$C$5:$AU$520,3,))*$E345)</f>
        <v>0</v>
      </c>
      <c r="S345" s="66">
        <f>IF(VLOOKUP($D345,$C$5:$AU$520,3,)=0,0,(VLOOKUP($D345,$C$5:$AU$520,17,)/VLOOKUP($D345,$C$5:$AU$520,3,))*$E345)</f>
        <v>0</v>
      </c>
      <c r="T345" s="66">
        <f>IF(VLOOKUP($D345,$C$5:$AU$520,3,)=0,0,(VLOOKUP($D345,$C$5:$AU$520,18,)/VLOOKUP($D345,$C$5:$AU$520,3,))*$E345)</f>
        <v>0</v>
      </c>
      <c r="U345" s="66">
        <f>IF(VLOOKUP($D345,$C$5:$AU$520,3,)=0,0,(VLOOKUP($D345,$C$5:$AU$520,19,)/VLOOKUP($D345,$C$5:$AU$520,3,))*$E345)</f>
        <v>0</v>
      </c>
      <c r="V345" s="66">
        <f>IF(VLOOKUP($D345,$C$5:$AU$520,3,)=0,0,(VLOOKUP($D345,$C$5:$AU$520,20,)/VLOOKUP($D345,$C$5:$AU$520,3,))*$E345)</f>
        <v>0</v>
      </c>
      <c r="W345" s="66">
        <f>IF(VLOOKUP($D345,$C$5:$AU$520,3,)=0,0,(VLOOKUP($D345,$C$5:$AU$520,21,)/VLOOKUP($D345,$C$5:$AU$520,3,))*$E345)</f>
        <v>0</v>
      </c>
      <c r="X345" s="66">
        <f>IF(VLOOKUP($D345,$C$5:$AU$520,3,)=0,0,(VLOOKUP($D345,$C$5:$AU$520,22,)/VLOOKUP($D345,$C$5:$AU$520,3,))*$E345)</f>
        <v>0</v>
      </c>
      <c r="Y345" s="66">
        <f>IF(VLOOKUP($D345,$C$5:$AU$520,3,)=0,0,(VLOOKUP($D345,$C$5:$AU$520,23,)/VLOOKUP($D345,$C$5:$AU$520,3,))*$E345)</f>
        <v>0</v>
      </c>
      <c r="Z345" s="66">
        <f>IF(VLOOKUP($D345,$C$5:$AU$520,3,)=0,0,(VLOOKUP($D345,$C$5:$AU$520,24,)/VLOOKUP($D345,$C$5:$AU$520,3,))*$E345)</f>
        <v>0</v>
      </c>
      <c r="AA345" s="66">
        <f>IF(VLOOKUP($D345,$C$5:$AU$520,3,)=0,0,(VLOOKUP($D345,$C$5:$AU$520,25,)/VLOOKUP($D345,$C$5:$AU$520,3,))*$E345)</f>
        <v>0</v>
      </c>
      <c r="AB345" s="66">
        <f>IF(VLOOKUP($D345,$C$5:$AU$520,3,)=0,0,(VLOOKUP($D345,$C$5:$AU$520,26,)/VLOOKUP($D345,$C$5:$AU$520,3,))*$E345)</f>
        <v>0</v>
      </c>
      <c r="AC345" s="66">
        <f>IF(VLOOKUP($D345,$C$5:$AU$520,3,)=0,0,(VLOOKUP($D345,$C$5:$AU$520,27,)/VLOOKUP($D345,$C$5:$AU$520,3,))*$E345)</f>
        <v>0</v>
      </c>
      <c r="AD345" s="66">
        <f>IF(VLOOKUP($D345,$C$5:$AU$520,3,)=0,0,(VLOOKUP($D345,$C$5:$AU$520,28,)/VLOOKUP($D345,$C$5:$AU$520,3,))*$E345)</f>
        <v>0</v>
      </c>
      <c r="AE345" s="66">
        <f>IF(VLOOKUP($D345,$C$5:$AU$520,3,)=0,0,(VLOOKUP($D345,$C$5:$AU$520,29,)/VLOOKUP($D345,$C$5:$AU$520,3,))*$E345)</f>
        <v>0</v>
      </c>
      <c r="AF345" s="66">
        <f>IF(VLOOKUP($D345,$C$5:$AU$520,3,)=0,0,(VLOOKUP($D345,$C$5:$AU$520,30,)/VLOOKUP($D345,$C$5:$AU$520,3,))*$E345)</f>
        <v>0</v>
      </c>
      <c r="AG345" s="260">
        <f t="shared" si="87"/>
        <v>0</v>
      </c>
      <c r="AH345" s="254" t="str">
        <f t="shared" si="88"/>
        <v>ok</v>
      </c>
      <c r="AJ345" s="50"/>
      <c r="AK345" s="50"/>
    </row>
    <row r="346" spans="1:50" s="253" customFormat="1" hidden="1" x14ac:dyDescent="0.2">
      <c r="A346" s="253">
        <v>6</v>
      </c>
      <c r="B346" s="253" t="s">
        <v>1051</v>
      </c>
      <c r="D346" s="253" t="s">
        <v>561</v>
      </c>
      <c r="E346" s="260">
        <v>0</v>
      </c>
      <c r="F346" s="66">
        <f>IF(VLOOKUP($D346,$C$5:$AU$520,3,)=0,0,(VLOOKUP($D346,$C$5:$AU$520,4,)/VLOOKUP($D346,$C$5:$AU$520,3,))*$E346)</f>
        <v>0</v>
      </c>
      <c r="G346" s="66">
        <f t="shared" si="89"/>
        <v>0</v>
      </c>
      <c r="H346" s="66">
        <f t="shared" si="89"/>
        <v>0</v>
      </c>
      <c r="I346" s="66">
        <f t="shared" si="89"/>
        <v>0</v>
      </c>
      <c r="J346" s="66">
        <f t="shared" si="89"/>
        <v>0</v>
      </c>
      <c r="K346" s="66">
        <f t="shared" si="89"/>
        <v>0</v>
      </c>
      <c r="L346" s="66">
        <f t="shared" si="89"/>
        <v>0</v>
      </c>
      <c r="M346" s="66">
        <f t="shared" si="89"/>
        <v>0</v>
      </c>
      <c r="N346" s="66">
        <f>IF(VLOOKUP($D346,$C$5:$AU$520,3,)=0,0,(VLOOKUP($D346,$C$5:$AU$520,12,)/VLOOKUP($D346,$C$5:$AU$520,3,))*$E346)</f>
        <v>0</v>
      </c>
      <c r="O346" s="66">
        <f>IF(VLOOKUP($D346,$C$5:$AU$520,3,)=0,0,(VLOOKUP($D346,$C$5:$AU$520,13,)/VLOOKUP($D346,$C$5:$AU$520,3,))*$E346)</f>
        <v>0</v>
      </c>
      <c r="P346" s="66">
        <f>IF(VLOOKUP($D346,$C$5:$AU$520,3,)=0,0,(VLOOKUP($D346,$C$5:$AU$520,14,)/VLOOKUP($D346,$C$5:$AU$520,3,))*$E346)</f>
        <v>0</v>
      </c>
      <c r="Q346" s="66">
        <f>IF(VLOOKUP($D346,$C$5:$AU$520,3,)=0,0,(VLOOKUP($D346,$C$5:$AU$520,15,)/VLOOKUP($D346,$C$5:$AU$520,3,))*$E346)</f>
        <v>0</v>
      </c>
      <c r="R346" s="66">
        <f>IF(VLOOKUP($D346,$C$5:$AU$520,3,)=0,0,(VLOOKUP($D346,$C$5:$AU$520,16,)/VLOOKUP($D346,$C$5:$AU$520,3,))*$E346)</f>
        <v>0</v>
      </c>
      <c r="S346" s="66">
        <f>IF(VLOOKUP($D346,$C$5:$AU$520,3,)=0,0,(VLOOKUP($D346,$C$5:$AU$520,17,)/VLOOKUP($D346,$C$5:$AU$520,3,))*$E346)</f>
        <v>0</v>
      </c>
      <c r="T346" s="66">
        <f>IF(VLOOKUP($D346,$C$5:$AU$520,3,)=0,0,(VLOOKUP($D346,$C$5:$AU$520,18,)/VLOOKUP($D346,$C$5:$AU$520,3,))*$E346)</f>
        <v>0</v>
      </c>
      <c r="U346" s="66">
        <f>IF(VLOOKUP($D346,$C$5:$AU$520,3,)=0,0,(VLOOKUP($D346,$C$5:$AU$520,19,)/VLOOKUP($D346,$C$5:$AU$520,3,))*$E346)</f>
        <v>0</v>
      </c>
      <c r="V346" s="66">
        <f>IF(VLOOKUP($D346,$C$5:$AU$520,3,)=0,0,(VLOOKUP($D346,$C$5:$AU$520,20,)/VLOOKUP($D346,$C$5:$AU$520,3,))*$E346)</f>
        <v>0</v>
      </c>
      <c r="W346" s="66">
        <f>IF(VLOOKUP($D346,$C$5:$AU$520,3,)=0,0,(VLOOKUP($D346,$C$5:$AU$520,21,)/VLOOKUP($D346,$C$5:$AU$520,3,))*$E346)</f>
        <v>0</v>
      </c>
      <c r="X346" s="66">
        <f>IF(VLOOKUP($D346,$C$5:$AU$520,3,)=0,0,(VLOOKUP($D346,$C$5:$AU$520,22,)/VLOOKUP($D346,$C$5:$AU$520,3,))*$E346)</f>
        <v>0</v>
      </c>
      <c r="Y346" s="66">
        <f>IF(VLOOKUP($D346,$C$5:$AU$520,3,)=0,0,(VLOOKUP($D346,$C$5:$AU$520,23,)/VLOOKUP($D346,$C$5:$AU$520,3,))*$E346)</f>
        <v>0</v>
      </c>
      <c r="Z346" s="66">
        <f>IF(VLOOKUP($D346,$C$5:$AU$520,3,)=0,0,(VLOOKUP($D346,$C$5:$AU$520,24,)/VLOOKUP($D346,$C$5:$AU$520,3,))*$E346)</f>
        <v>0</v>
      </c>
      <c r="AA346" s="66">
        <f>IF(VLOOKUP($D346,$C$5:$AU$520,3,)=0,0,(VLOOKUP($D346,$C$5:$AU$520,25,)/VLOOKUP($D346,$C$5:$AU$520,3,))*$E346)</f>
        <v>0</v>
      </c>
      <c r="AB346" s="66">
        <f>IF(VLOOKUP($D346,$C$5:$AU$520,3,)=0,0,(VLOOKUP($D346,$C$5:$AU$520,26,)/VLOOKUP($D346,$C$5:$AU$520,3,))*$E346)</f>
        <v>0</v>
      </c>
      <c r="AC346" s="66">
        <f>IF(VLOOKUP($D346,$C$5:$AU$520,3,)=0,0,(VLOOKUP($D346,$C$5:$AU$520,27,)/VLOOKUP($D346,$C$5:$AU$520,3,))*$E346)</f>
        <v>0</v>
      </c>
      <c r="AD346" s="66">
        <f>IF(VLOOKUP($D346,$C$5:$AU$520,3,)=0,0,(VLOOKUP($D346,$C$5:$AU$520,28,)/VLOOKUP($D346,$C$5:$AU$520,3,))*$E346)</f>
        <v>0</v>
      </c>
      <c r="AE346" s="66">
        <f>IF(VLOOKUP($D346,$C$5:$AU$520,3,)=0,0,(VLOOKUP($D346,$C$5:$AU$520,29,)/VLOOKUP($D346,$C$5:$AU$520,3,))*$E346)</f>
        <v>0</v>
      </c>
      <c r="AF346" s="66">
        <f>IF(VLOOKUP($D346,$C$5:$AU$520,3,)=0,0,(VLOOKUP($D346,$C$5:$AU$520,30,)/VLOOKUP($D346,$C$5:$AU$520,3,))*$E346)</f>
        <v>0</v>
      </c>
      <c r="AG346" s="260">
        <f t="shared" ref="AG346:AG348" si="90">SUM(F346:AF346)</f>
        <v>0</v>
      </c>
      <c r="AH346" s="254" t="str">
        <f t="shared" si="86"/>
        <v>ok</v>
      </c>
      <c r="AJ346" s="50"/>
      <c r="AK346" s="50"/>
    </row>
    <row r="347" spans="1:50" s="253" customFormat="1" hidden="1" x14ac:dyDescent="0.2">
      <c r="A347" s="253">
        <v>7</v>
      </c>
      <c r="B347" s="253" t="s">
        <v>1051</v>
      </c>
      <c r="D347" s="253" t="s">
        <v>561</v>
      </c>
      <c r="E347" s="260">
        <v>0</v>
      </c>
      <c r="F347" s="66">
        <f>IF(VLOOKUP($D347,$C$5:$AU$520,3,)=0,0,(VLOOKUP($D347,$C$5:$AU$520,4,)/VLOOKUP($D347,$C$5:$AU$520,3,))*$E347)</f>
        <v>0</v>
      </c>
      <c r="G347" s="66">
        <f t="shared" si="89"/>
        <v>0</v>
      </c>
      <c r="H347" s="66">
        <f t="shared" si="89"/>
        <v>0</v>
      </c>
      <c r="I347" s="66">
        <f t="shared" si="89"/>
        <v>0</v>
      </c>
      <c r="J347" s="66">
        <f t="shared" si="89"/>
        <v>0</v>
      </c>
      <c r="K347" s="66">
        <f t="shared" si="89"/>
        <v>0</v>
      </c>
      <c r="L347" s="66">
        <f t="shared" si="89"/>
        <v>0</v>
      </c>
      <c r="M347" s="66">
        <f t="shared" si="89"/>
        <v>0</v>
      </c>
      <c r="N347" s="66">
        <f>IF(VLOOKUP($D347,$C$5:$AU$520,3,)=0,0,(VLOOKUP($D347,$C$5:$AU$520,12,)/VLOOKUP($D347,$C$5:$AU$520,3,))*$E347)</f>
        <v>0</v>
      </c>
      <c r="O347" s="66">
        <f>IF(VLOOKUP($D347,$C$5:$AU$520,3,)=0,0,(VLOOKUP($D347,$C$5:$AU$520,13,)/VLOOKUP($D347,$C$5:$AU$520,3,))*$E347)</f>
        <v>0</v>
      </c>
      <c r="P347" s="66">
        <f>IF(VLOOKUP($D347,$C$5:$AU$520,3,)=0,0,(VLOOKUP($D347,$C$5:$AU$520,14,)/VLOOKUP($D347,$C$5:$AU$520,3,))*$E347)</f>
        <v>0</v>
      </c>
      <c r="Q347" s="66">
        <f>IF(VLOOKUP($D347,$C$5:$AU$520,3,)=0,0,(VLOOKUP($D347,$C$5:$AU$520,15,)/VLOOKUP($D347,$C$5:$AU$520,3,))*$E347)</f>
        <v>0</v>
      </c>
      <c r="R347" s="66">
        <f>IF(VLOOKUP($D347,$C$5:$AU$520,3,)=0,0,(VLOOKUP($D347,$C$5:$AU$520,16,)/VLOOKUP($D347,$C$5:$AU$520,3,))*$E347)</f>
        <v>0</v>
      </c>
      <c r="S347" s="66">
        <f>IF(VLOOKUP($D347,$C$5:$AU$520,3,)=0,0,(VLOOKUP($D347,$C$5:$AU$520,17,)/VLOOKUP($D347,$C$5:$AU$520,3,))*$E347)</f>
        <v>0</v>
      </c>
      <c r="T347" s="66">
        <f>IF(VLOOKUP($D347,$C$5:$AU$520,3,)=0,0,(VLOOKUP($D347,$C$5:$AU$520,18,)/VLOOKUP($D347,$C$5:$AU$520,3,))*$E347)</f>
        <v>0</v>
      </c>
      <c r="U347" s="66">
        <f>IF(VLOOKUP($D347,$C$5:$AU$520,3,)=0,0,(VLOOKUP($D347,$C$5:$AU$520,19,)/VLOOKUP($D347,$C$5:$AU$520,3,))*$E347)</f>
        <v>0</v>
      </c>
      <c r="V347" s="66">
        <f>IF(VLOOKUP($D347,$C$5:$AU$520,3,)=0,0,(VLOOKUP($D347,$C$5:$AU$520,20,)/VLOOKUP($D347,$C$5:$AU$520,3,))*$E347)</f>
        <v>0</v>
      </c>
      <c r="W347" s="66">
        <f>IF(VLOOKUP($D347,$C$5:$AU$520,3,)=0,0,(VLOOKUP($D347,$C$5:$AU$520,21,)/VLOOKUP($D347,$C$5:$AU$520,3,))*$E347)</f>
        <v>0</v>
      </c>
      <c r="X347" s="66">
        <f>IF(VLOOKUP($D347,$C$5:$AU$520,3,)=0,0,(VLOOKUP($D347,$C$5:$AU$520,22,)/VLOOKUP($D347,$C$5:$AU$520,3,))*$E347)</f>
        <v>0</v>
      </c>
      <c r="Y347" s="66">
        <f>IF(VLOOKUP($D347,$C$5:$AU$520,3,)=0,0,(VLOOKUP($D347,$C$5:$AU$520,23,)/VLOOKUP($D347,$C$5:$AU$520,3,))*$E347)</f>
        <v>0</v>
      </c>
      <c r="Z347" s="66">
        <f>IF(VLOOKUP($D347,$C$5:$AU$520,3,)=0,0,(VLOOKUP($D347,$C$5:$AU$520,24,)/VLOOKUP($D347,$C$5:$AU$520,3,))*$E347)</f>
        <v>0</v>
      </c>
      <c r="AA347" s="66">
        <f>IF(VLOOKUP($D347,$C$5:$AU$520,3,)=0,0,(VLOOKUP($D347,$C$5:$AU$520,25,)/VLOOKUP($D347,$C$5:$AU$520,3,))*$E347)</f>
        <v>0</v>
      </c>
      <c r="AB347" s="66">
        <f>IF(VLOOKUP($D347,$C$5:$AU$520,3,)=0,0,(VLOOKUP($D347,$C$5:$AU$520,26,)/VLOOKUP($D347,$C$5:$AU$520,3,))*$E347)</f>
        <v>0</v>
      </c>
      <c r="AC347" s="66">
        <f>IF(VLOOKUP($D347,$C$5:$AU$520,3,)=0,0,(VLOOKUP($D347,$C$5:$AU$520,27,)/VLOOKUP($D347,$C$5:$AU$520,3,))*$E347)</f>
        <v>0</v>
      </c>
      <c r="AD347" s="66">
        <f>IF(VLOOKUP($D347,$C$5:$AU$520,3,)=0,0,(VLOOKUP($D347,$C$5:$AU$520,28,)/VLOOKUP($D347,$C$5:$AU$520,3,))*$E347)</f>
        <v>0</v>
      </c>
      <c r="AE347" s="66">
        <f>IF(VLOOKUP($D347,$C$5:$AU$520,3,)=0,0,(VLOOKUP($D347,$C$5:$AU$520,29,)/VLOOKUP($D347,$C$5:$AU$520,3,))*$E347)</f>
        <v>0</v>
      </c>
      <c r="AF347" s="66">
        <f>IF(VLOOKUP($D347,$C$5:$AU$520,3,)=0,0,(VLOOKUP($D347,$C$5:$AU$520,30,)/VLOOKUP($D347,$C$5:$AU$520,3,))*$E347)</f>
        <v>0</v>
      </c>
      <c r="AG347" s="260">
        <f t="shared" si="90"/>
        <v>0</v>
      </c>
      <c r="AH347" s="254" t="str">
        <f t="shared" si="86"/>
        <v>ok</v>
      </c>
      <c r="AJ347" s="50"/>
      <c r="AK347" s="50"/>
    </row>
    <row r="348" spans="1:50" s="253" customFormat="1" x14ac:dyDescent="0.2">
      <c r="A348" s="263" t="s">
        <v>966</v>
      </c>
      <c r="B348" s="253" t="s">
        <v>1140</v>
      </c>
      <c r="E348" s="260">
        <f>AI348*AM358</f>
        <v>0</v>
      </c>
      <c r="F348" s="260">
        <f>AI348*AM348</f>
        <v>0</v>
      </c>
      <c r="G348" s="260">
        <f>AI348*AM349</f>
        <v>0</v>
      </c>
      <c r="H348" s="260">
        <f>AI348*AM350</f>
        <v>0</v>
      </c>
      <c r="I348" s="260">
        <f>AI348*AM351</f>
        <v>0</v>
      </c>
      <c r="J348" s="260">
        <f>AI348*AM352</f>
        <v>0</v>
      </c>
      <c r="K348" s="260">
        <f>AI348*AM353</f>
        <v>0</v>
      </c>
      <c r="L348" s="260">
        <f>AI348*AM354</f>
        <v>0</v>
      </c>
      <c r="M348" s="260">
        <f>AI348*AM355</f>
        <v>0</v>
      </c>
      <c r="N348" s="260">
        <f>AI348*AM356</f>
        <v>0</v>
      </c>
      <c r="O348" s="260">
        <f>AI348*AM357</f>
        <v>0</v>
      </c>
      <c r="P348" s="260">
        <v>0</v>
      </c>
      <c r="Q348" s="260">
        <v>0</v>
      </c>
      <c r="R348" s="260">
        <v>0</v>
      </c>
      <c r="S348" s="260">
        <v>0</v>
      </c>
      <c r="T348" s="260">
        <v>0</v>
      </c>
      <c r="U348" s="260">
        <v>0</v>
      </c>
      <c r="V348" s="260">
        <v>0</v>
      </c>
      <c r="W348" s="260">
        <v>0</v>
      </c>
      <c r="X348" s="260">
        <v>0</v>
      </c>
      <c r="Y348" s="260">
        <v>0</v>
      </c>
      <c r="Z348" s="260">
        <v>0</v>
      </c>
      <c r="AA348" s="260">
        <v>0</v>
      </c>
      <c r="AB348" s="260">
        <v>0</v>
      </c>
      <c r="AC348" s="260">
        <v>0</v>
      </c>
      <c r="AD348" s="260">
        <v>0</v>
      </c>
      <c r="AE348" s="260">
        <v>0</v>
      </c>
      <c r="AF348" s="260">
        <v>0</v>
      </c>
      <c r="AG348" s="260">
        <f t="shared" si="90"/>
        <v>0</v>
      </c>
      <c r="AH348" s="254" t="str">
        <f t="shared" si="86"/>
        <v>ok</v>
      </c>
      <c r="AI348" s="253">
        <v>0</v>
      </c>
      <c r="AJ348" s="50"/>
      <c r="AL348" s="254" t="s">
        <v>1055</v>
      </c>
      <c r="AM348" s="50">
        <v>1497562.83</v>
      </c>
    </row>
    <row r="349" spans="1:50" x14ac:dyDescent="0.2">
      <c r="B349" s="27" t="s">
        <v>902</v>
      </c>
      <c r="E349" s="104">
        <f t="shared" ref="E349:AG349" si="91">SUM(E341:E348)</f>
        <v>-9259077.5800000001</v>
      </c>
      <c r="F349" s="104">
        <f t="shared" si="91"/>
        <v>-6848221.2446666183</v>
      </c>
      <c r="G349" s="104">
        <f t="shared" si="91"/>
        <v>-1413.58</v>
      </c>
      <c r="H349" s="104">
        <f t="shared" si="91"/>
        <v>-389162.77194276778</v>
      </c>
      <c r="I349" s="104">
        <f t="shared" si="91"/>
        <v>-233194.71853140349</v>
      </c>
      <c r="J349" s="104">
        <f t="shared" si="91"/>
        <v>-17442.053775208333</v>
      </c>
      <c r="K349" s="104">
        <f t="shared" si="91"/>
        <v>-277538.11</v>
      </c>
      <c r="L349" s="104">
        <f t="shared" si="91"/>
        <v>-1487068.76963377</v>
      </c>
      <c r="M349" s="104">
        <f t="shared" si="91"/>
        <v>-5036.33</v>
      </c>
      <c r="N349" s="104">
        <f t="shared" si="91"/>
        <v>0</v>
      </c>
      <c r="O349" s="104">
        <f t="shared" si="91"/>
        <v>0</v>
      </c>
      <c r="P349" s="104">
        <f t="shared" si="91"/>
        <v>0</v>
      </c>
      <c r="Q349" s="104">
        <f t="shared" si="91"/>
        <v>0</v>
      </c>
      <c r="R349" s="104">
        <f t="shared" si="91"/>
        <v>0</v>
      </c>
      <c r="S349" s="104">
        <f t="shared" si="91"/>
        <v>0</v>
      </c>
      <c r="T349" s="104">
        <f t="shared" si="91"/>
        <v>0</v>
      </c>
      <c r="U349" s="104">
        <f t="shared" si="91"/>
        <v>0</v>
      </c>
      <c r="V349" s="104">
        <f t="shared" si="91"/>
        <v>0</v>
      </c>
      <c r="W349" s="104">
        <f t="shared" si="91"/>
        <v>0</v>
      </c>
      <c r="X349" s="104">
        <f t="shared" si="91"/>
        <v>0</v>
      </c>
      <c r="Y349" s="104">
        <f t="shared" si="91"/>
        <v>0</v>
      </c>
      <c r="Z349" s="104">
        <f t="shared" si="91"/>
        <v>0</v>
      </c>
      <c r="AA349" s="104">
        <f t="shared" si="91"/>
        <v>0</v>
      </c>
      <c r="AB349" s="104">
        <f t="shared" si="91"/>
        <v>0</v>
      </c>
      <c r="AC349" s="104">
        <f t="shared" si="91"/>
        <v>0</v>
      </c>
      <c r="AD349" s="104">
        <f t="shared" si="91"/>
        <v>0</v>
      </c>
      <c r="AE349" s="104">
        <f t="shared" si="91"/>
        <v>0</v>
      </c>
      <c r="AF349" s="104">
        <f t="shared" si="91"/>
        <v>0</v>
      </c>
      <c r="AG349" s="104">
        <f t="shared" si="91"/>
        <v>-9259077.5785497688</v>
      </c>
      <c r="AH349" s="30" t="str">
        <f t="shared" si="86"/>
        <v>ok</v>
      </c>
      <c r="AL349" s="30" t="s">
        <v>1057</v>
      </c>
      <c r="AM349" s="50">
        <v>271.61</v>
      </c>
    </row>
    <row r="350" spans="1:50" x14ac:dyDescent="0.2">
      <c r="A350" s="14" t="s">
        <v>752</v>
      </c>
      <c r="B350" s="14" t="s">
        <v>752</v>
      </c>
      <c r="AL350" s="30" t="s">
        <v>1059</v>
      </c>
      <c r="AM350" s="50">
        <v>125943.76</v>
      </c>
    </row>
    <row r="351" spans="1:50" x14ac:dyDescent="0.2">
      <c r="A351" s="14" t="s">
        <v>570</v>
      </c>
      <c r="E351" s="93">
        <f>E338+E349</f>
        <v>41145415.589999996</v>
      </c>
      <c r="F351" s="93">
        <f t="shared" ref="F351:AG351" si="92">F338+F349</f>
        <v>29602180.041909318</v>
      </c>
      <c r="G351" s="93">
        <f t="shared" si="92"/>
        <v>6890.6413595152371</v>
      </c>
      <c r="H351" s="93">
        <f t="shared" si="92"/>
        <v>1692413.4749087463</v>
      </c>
      <c r="I351" s="93">
        <f t="shared" si="92"/>
        <v>1141945.3366083277</v>
      </c>
      <c r="J351" s="93">
        <f t="shared" si="92"/>
        <v>102807.63189445005</v>
      </c>
      <c r="K351" s="93">
        <f t="shared" si="92"/>
        <v>999368.17024308385</v>
      </c>
      <c r="L351" s="93">
        <f t="shared" si="92"/>
        <v>5932574.1245267838</v>
      </c>
      <c r="M351" s="93">
        <f t="shared" si="92"/>
        <v>1667236.1699999997</v>
      </c>
      <c r="N351" s="93">
        <f t="shared" si="92"/>
        <v>0</v>
      </c>
      <c r="O351" s="93">
        <f t="shared" si="92"/>
        <v>0</v>
      </c>
      <c r="P351" s="93">
        <f t="shared" si="92"/>
        <v>0</v>
      </c>
      <c r="Q351" s="93">
        <f t="shared" si="92"/>
        <v>0</v>
      </c>
      <c r="R351" s="93">
        <f t="shared" si="92"/>
        <v>0</v>
      </c>
      <c r="S351" s="93">
        <f t="shared" si="92"/>
        <v>0</v>
      </c>
      <c r="T351" s="93">
        <f t="shared" si="92"/>
        <v>0</v>
      </c>
      <c r="U351" s="93">
        <f t="shared" si="92"/>
        <v>0</v>
      </c>
      <c r="V351" s="93">
        <f t="shared" si="92"/>
        <v>0</v>
      </c>
      <c r="W351" s="93">
        <f t="shared" si="92"/>
        <v>0</v>
      </c>
      <c r="X351" s="93">
        <f t="shared" si="92"/>
        <v>0</v>
      </c>
      <c r="Y351" s="93">
        <f t="shared" si="92"/>
        <v>0</v>
      </c>
      <c r="Z351" s="93">
        <f t="shared" si="92"/>
        <v>0</v>
      </c>
      <c r="AA351" s="93">
        <f t="shared" si="92"/>
        <v>0</v>
      </c>
      <c r="AB351" s="93">
        <f t="shared" si="92"/>
        <v>0</v>
      </c>
      <c r="AC351" s="93">
        <f t="shared" si="92"/>
        <v>0</v>
      </c>
      <c r="AD351" s="93">
        <f t="shared" si="92"/>
        <v>0</v>
      </c>
      <c r="AE351" s="93">
        <f t="shared" si="92"/>
        <v>0</v>
      </c>
      <c r="AF351" s="93">
        <f t="shared" si="92"/>
        <v>0</v>
      </c>
      <c r="AG351" s="93">
        <f t="shared" si="92"/>
        <v>41145415.591450214</v>
      </c>
      <c r="AH351" s="30" t="str">
        <f>IF(ABS(E351-AG351)&lt;0.01,"ok","err")</f>
        <v>ok</v>
      </c>
      <c r="AL351" s="30" t="s">
        <v>1060</v>
      </c>
      <c r="AM351" s="50">
        <v>0</v>
      </c>
    </row>
    <row r="352" spans="1:50" x14ac:dyDescent="0.2">
      <c r="AL352" s="30" t="s">
        <v>1062</v>
      </c>
      <c r="AM352" s="50">
        <v>17237.57</v>
      </c>
    </row>
    <row r="353" spans="1:39" x14ac:dyDescent="0.2">
      <c r="A353" s="13" t="s">
        <v>327</v>
      </c>
      <c r="AL353" s="30" t="s">
        <v>1064</v>
      </c>
      <c r="AM353" s="50">
        <v>0</v>
      </c>
    </row>
    <row r="354" spans="1:39" x14ac:dyDescent="0.2">
      <c r="AL354" s="30" t="s">
        <v>1066</v>
      </c>
      <c r="AM354" s="50">
        <v>608984.23</v>
      </c>
    </row>
    <row r="355" spans="1:39" x14ac:dyDescent="0.2">
      <c r="A355" s="14" t="s">
        <v>571</v>
      </c>
      <c r="C355" s="14" t="s">
        <v>198</v>
      </c>
      <c r="E355" s="93">
        <f t="shared" ref="E355:U355" si="93">E324</f>
        <v>49601738.539999992</v>
      </c>
      <c r="F355" s="93">
        <f t="shared" si="93"/>
        <v>36073112.474484362</v>
      </c>
      <c r="G355" s="93">
        <f t="shared" si="93"/>
        <v>8052.9016208606336</v>
      </c>
      <c r="H355" s="93">
        <f t="shared" si="93"/>
        <v>2101752.0484682168</v>
      </c>
      <c r="I355" s="93">
        <f t="shared" si="93"/>
        <v>1136132.1755366498</v>
      </c>
      <c r="J355" s="93">
        <f t="shared" si="93"/>
        <v>128541.96384332559</v>
      </c>
      <c r="K355" s="93">
        <f t="shared" si="93"/>
        <v>1182032.0320736875</v>
      </c>
      <c r="L355" s="93">
        <f t="shared" si="93"/>
        <v>7872556.478856354</v>
      </c>
      <c r="M355" s="93">
        <f t="shared" si="93"/>
        <v>1099558.4693725517</v>
      </c>
      <c r="N355" s="93">
        <f t="shared" si="93"/>
        <v>0</v>
      </c>
      <c r="O355" s="93">
        <f t="shared" si="93"/>
        <v>0</v>
      </c>
      <c r="P355" s="93">
        <f t="shared" si="93"/>
        <v>0</v>
      </c>
      <c r="Q355" s="93">
        <f t="shared" si="93"/>
        <v>0</v>
      </c>
      <c r="R355" s="93">
        <f t="shared" si="93"/>
        <v>0</v>
      </c>
      <c r="S355" s="93">
        <f t="shared" si="93"/>
        <v>0</v>
      </c>
      <c r="T355" s="93">
        <f t="shared" si="93"/>
        <v>0</v>
      </c>
      <c r="U355" s="93">
        <f t="shared" si="93"/>
        <v>0</v>
      </c>
      <c r="V355" s="93">
        <f t="shared" ref="V355:AE355" si="94">V324-V125</f>
        <v>0</v>
      </c>
      <c r="W355" s="93">
        <f t="shared" si="94"/>
        <v>0</v>
      </c>
      <c r="X355" s="93">
        <f t="shared" si="94"/>
        <v>0</v>
      </c>
      <c r="Y355" s="93">
        <f t="shared" si="94"/>
        <v>0</v>
      </c>
      <c r="Z355" s="93">
        <f t="shared" si="94"/>
        <v>0</v>
      </c>
      <c r="AA355" s="93">
        <f t="shared" si="94"/>
        <v>0</v>
      </c>
      <c r="AB355" s="93">
        <f t="shared" si="94"/>
        <v>0</v>
      </c>
      <c r="AC355" s="93">
        <f t="shared" si="94"/>
        <v>0</v>
      </c>
      <c r="AD355" s="93">
        <f t="shared" si="94"/>
        <v>0</v>
      </c>
      <c r="AE355" s="93">
        <f t="shared" si="94"/>
        <v>0</v>
      </c>
      <c r="AF355" s="93">
        <f>AF324</f>
        <v>0</v>
      </c>
      <c r="AG355" s="93">
        <f>SUM(F355:AF355)</f>
        <v>49601738.544255994</v>
      </c>
      <c r="AH355" s="30" t="str">
        <f>IF(ABS(E355-AG355)&lt;0.01,"ok","err")</f>
        <v>ok</v>
      </c>
      <c r="AL355" s="30" t="s">
        <v>1068</v>
      </c>
      <c r="AM355" s="50">
        <v>0</v>
      </c>
    </row>
    <row r="356" spans="1:39" x14ac:dyDescent="0.2">
      <c r="AL356" s="30" t="s">
        <v>1158</v>
      </c>
      <c r="AM356" s="50">
        <v>0</v>
      </c>
    </row>
    <row r="357" spans="1:39" x14ac:dyDescent="0.2">
      <c r="A357" s="14" t="s">
        <v>569</v>
      </c>
      <c r="AL357" s="30" t="s">
        <v>1159</v>
      </c>
      <c r="AM357" s="50">
        <v>0</v>
      </c>
    </row>
    <row r="358" spans="1:39" s="253" customFormat="1" x14ac:dyDescent="0.2">
      <c r="A358" s="253">
        <v>1.01</v>
      </c>
      <c r="B358" s="253" t="s">
        <v>952</v>
      </c>
      <c r="D358" s="253" t="s">
        <v>1142</v>
      </c>
      <c r="E358" s="260">
        <f t="shared" ref="E358:E372" si="95">AI358*AJ358</f>
        <v>-4285660</v>
      </c>
      <c r="F358" s="66">
        <f t="shared" ref="F358:F382" si="96">IF(VLOOKUP($D358,$C$5:$AU$520,3,)=0,0,(VLOOKUP($D358,$C$5:$AU$520,4,)/VLOOKUP($D358,$C$5:$AU$520,3,))*$E358)</f>
        <v>-3031034.3004313307</v>
      </c>
      <c r="G358" s="66">
        <f t="shared" ref="G358:G382" si="97">IF(VLOOKUP($D358,$C$5:$AU$520,3,)=0,0,(VLOOKUP($D358,$C$5:$AU$520,5,)/VLOOKUP($D358,$C$5:$AU$520,3,))*$E358)</f>
        <v>-659.40322422305769</v>
      </c>
      <c r="H358" s="66">
        <f t="shared" ref="H358:H382" si="98">IF(VLOOKUP($D358,$C$5:$AU$520,3,)=0,0,(VLOOKUP($D358,$C$5:$AU$520,6,)/VLOOKUP($D358,$C$5:$AU$520,3,))*$E358)</f>
        <v>-162942.95670576091</v>
      </c>
      <c r="I358" s="66">
        <f t="shared" ref="I358:I382" si="99">IF(VLOOKUP($D358,$C$5:$AU$520,3,)=0,0,(VLOOKUP($D358,$C$5:$AU$520,7,)/VLOOKUP($D358,$C$5:$AU$520,3,))*$E358)</f>
        <v>-104384.68359927151</v>
      </c>
      <c r="J358" s="66">
        <f t="shared" ref="J358:J382" si="100">IF(VLOOKUP($D358,$C$5:$AU$520,3,)=0,0,(VLOOKUP($D358,$C$5:$AU$520,8,)/VLOOKUP($D358,$C$5:$AU$520,3,))*$E358)</f>
        <v>-7431.9133705750783</v>
      </c>
      <c r="K358" s="66">
        <f t="shared" ref="K358:K382" si="101">IF(VLOOKUP($D358,$C$5:$AU$520,3,)=0,0,(VLOOKUP($D358,$C$5:$AU$520,9,)/VLOOKUP($D358,$C$5:$AU$520,3,))*$E358)</f>
        <v>-135665.3534841876</v>
      </c>
      <c r="L358" s="66">
        <f t="shared" ref="L358:L382" si="102">IF(VLOOKUP($D358,$C$5:$AU$520,3,)=0,0,(VLOOKUP($D358,$C$5:$AU$520,10,)/VLOOKUP($D358,$C$5:$AU$520,3,))*$E358)</f>
        <v>-841924.7703875947</v>
      </c>
      <c r="M358" s="66">
        <f t="shared" ref="M358:M382" si="103">IF(VLOOKUP($D358,$C$5:$AU$520,3,)=0,0,(VLOOKUP($D358,$C$5:$AU$520,11,)/VLOOKUP($D358,$C$5:$AU$520,3,))*$E358)</f>
        <v>-1616.6187970570072</v>
      </c>
      <c r="N358" s="66">
        <v>0</v>
      </c>
      <c r="O358" s="66">
        <v>0</v>
      </c>
      <c r="P358" s="66">
        <v>0</v>
      </c>
      <c r="Q358" s="66">
        <v>0</v>
      </c>
      <c r="R358" s="66">
        <v>0</v>
      </c>
      <c r="S358" s="66">
        <v>0</v>
      </c>
      <c r="T358" s="66">
        <v>0</v>
      </c>
      <c r="U358" s="66">
        <v>0</v>
      </c>
      <c r="V358" s="66">
        <v>0</v>
      </c>
      <c r="W358" s="66">
        <v>0</v>
      </c>
      <c r="X358" s="66">
        <v>0</v>
      </c>
      <c r="Y358" s="66">
        <v>0</v>
      </c>
      <c r="Z358" s="66">
        <v>0</v>
      </c>
      <c r="AA358" s="66">
        <v>0</v>
      </c>
      <c r="AB358" s="66">
        <v>0</v>
      </c>
      <c r="AC358" s="66">
        <v>0</v>
      </c>
      <c r="AD358" s="66">
        <v>0</v>
      </c>
      <c r="AE358" s="66">
        <v>0</v>
      </c>
      <c r="AF358" s="66">
        <v>0</v>
      </c>
      <c r="AG358" s="260">
        <f t="shared" ref="AG358:AG383" si="104">SUM(F358:AF358)</f>
        <v>-4285660.0000000009</v>
      </c>
      <c r="AH358" s="254" t="str">
        <f t="shared" ref="AH358:AH383" si="105">IF(ABS(E358-AG358)&lt;0.01,"ok","err")</f>
        <v>ok</v>
      </c>
      <c r="AI358" s="253">
        <f>AI341</f>
        <v>1</v>
      </c>
      <c r="AJ358" s="50">
        <f>-5473319+1187659</f>
        <v>-4285660</v>
      </c>
      <c r="AL358" s="253" t="s">
        <v>0</v>
      </c>
      <c r="AM358" s="50">
        <f>SUM(AM348:AM357)</f>
        <v>2250000</v>
      </c>
    </row>
    <row r="359" spans="1:39" s="253" customFormat="1" x14ac:dyDescent="0.2">
      <c r="A359" s="257">
        <v>1.02</v>
      </c>
      <c r="B359" s="253" t="s">
        <v>951</v>
      </c>
      <c r="D359" s="253" t="s">
        <v>1143</v>
      </c>
      <c r="E359" s="260">
        <f t="shared" si="95"/>
        <v>-4878507</v>
      </c>
      <c r="F359" s="66">
        <f t="shared" si="96"/>
        <v>-3632013.6022712192</v>
      </c>
      <c r="G359" s="66">
        <f t="shared" si="97"/>
        <v>-697.18229224463448</v>
      </c>
      <c r="H359" s="66">
        <f t="shared" si="98"/>
        <v>-202360.43149942873</v>
      </c>
      <c r="I359" s="66">
        <f t="shared" si="99"/>
        <v>-138591.7704679321</v>
      </c>
      <c r="J359" s="66">
        <f t="shared" si="100"/>
        <v>-10206.414790809707</v>
      </c>
      <c r="K359" s="66">
        <f t="shared" si="101"/>
        <v>-130242.83729449008</v>
      </c>
      <c r="L359" s="66">
        <f t="shared" si="102"/>
        <v>-761126.13737787341</v>
      </c>
      <c r="M359" s="66">
        <f t="shared" si="103"/>
        <v>-3268.6240060020536</v>
      </c>
      <c r="N359" s="66">
        <v>0</v>
      </c>
      <c r="O359" s="66">
        <v>0</v>
      </c>
      <c r="P359" s="66">
        <v>0</v>
      </c>
      <c r="Q359" s="66">
        <v>0</v>
      </c>
      <c r="R359" s="66">
        <v>0</v>
      </c>
      <c r="S359" s="66">
        <v>0</v>
      </c>
      <c r="T359" s="66">
        <v>0</v>
      </c>
      <c r="U359" s="66">
        <v>0</v>
      </c>
      <c r="V359" s="66">
        <v>0</v>
      </c>
      <c r="W359" s="66">
        <v>0</v>
      </c>
      <c r="X359" s="66">
        <v>0</v>
      </c>
      <c r="Y359" s="66">
        <v>0</v>
      </c>
      <c r="Z359" s="66">
        <v>0</v>
      </c>
      <c r="AA359" s="66">
        <v>0</v>
      </c>
      <c r="AB359" s="66">
        <v>0</v>
      </c>
      <c r="AC359" s="66">
        <v>0</v>
      </c>
      <c r="AD359" s="66">
        <v>0</v>
      </c>
      <c r="AE359" s="66">
        <v>0</v>
      </c>
      <c r="AF359" s="66">
        <v>0</v>
      </c>
      <c r="AG359" s="260">
        <f t="shared" si="104"/>
        <v>-4878507</v>
      </c>
      <c r="AH359" s="254" t="str">
        <f t="shared" si="105"/>
        <v>ok</v>
      </c>
      <c r="AI359" s="253">
        <f>AI358</f>
        <v>1</v>
      </c>
      <c r="AJ359" s="50">
        <f>-5926470+1047963</f>
        <v>-4878507</v>
      </c>
      <c r="AM359" s="50"/>
    </row>
    <row r="360" spans="1:39" s="253" customFormat="1" x14ac:dyDescent="0.2">
      <c r="A360" s="257">
        <v>1.03</v>
      </c>
      <c r="B360" s="253" t="s">
        <v>957</v>
      </c>
      <c r="D360" s="253" t="s">
        <v>214</v>
      </c>
      <c r="E360" s="260">
        <f t="shared" si="95"/>
        <v>53333.33</v>
      </c>
      <c r="F360" s="66">
        <f t="shared" si="96"/>
        <v>36861.190603739684</v>
      </c>
      <c r="G360" s="66">
        <f t="shared" si="97"/>
        <v>6.8132642691251109</v>
      </c>
      <c r="H360" s="66">
        <f t="shared" si="98"/>
        <v>2020.2209662619109</v>
      </c>
      <c r="I360" s="66">
        <f t="shared" si="99"/>
        <v>1325.6256593721007</v>
      </c>
      <c r="J360" s="66">
        <f t="shared" si="100"/>
        <v>94.363936819444731</v>
      </c>
      <c r="K360" s="66">
        <f t="shared" si="101"/>
        <v>1706.8170170525232</v>
      </c>
      <c r="L360" s="66">
        <f t="shared" si="102"/>
        <v>10144.816927016607</v>
      </c>
      <c r="M360" s="66">
        <f t="shared" si="103"/>
        <v>1173.4816254686141</v>
      </c>
      <c r="N360" s="66">
        <f t="shared" ref="N360:N382" si="106">IF(VLOOKUP($D360,$C$5:$AU$520,3,)=0,0,(VLOOKUP($D360,$C$5:$AU$520,12,)/VLOOKUP($D360,$C$5:$AU$520,3,))*$E360)</f>
        <v>0</v>
      </c>
      <c r="O360" s="66">
        <f t="shared" ref="O360:O382" si="107">IF(VLOOKUP($D360,$C$5:$AU$520,3,)=0,0,(VLOOKUP($D360,$C$5:$AU$520,13,)/VLOOKUP($D360,$C$5:$AU$520,3,))*$E360)</f>
        <v>0</v>
      </c>
      <c r="P360" s="66">
        <f t="shared" ref="P360:P382" si="108">IF(VLOOKUP($D360,$C$5:$AU$520,3,)=0,0,(VLOOKUP($D360,$C$5:$AU$520,14,)/VLOOKUP($D360,$C$5:$AU$520,3,))*$E360)</f>
        <v>0</v>
      </c>
      <c r="Q360" s="66">
        <f t="shared" ref="Q360:Q382" si="109">IF(VLOOKUP($D360,$C$5:$AU$520,3,)=0,0,(VLOOKUP($D360,$C$5:$AU$520,15,)/VLOOKUP($D360,$C$5:$AU$520,3,))*$E360)</f>
        <v>0</v>
      </c>
      <c r="R360" s="66">
        <f t="shared" ref="R360:R382" si="110">IF(VLOOKUP($D360,$C$5:$AU$520,3,)=0,0,(VLOOKUP($D360,$C$5:$AU$520,16,)/VLOOKUP($D360,$C$5:$AU$520,3,))*$E360)</f>
        <v>0</v>
      </c>
      <c r="S360" s="66">
        <f t="shared" ref="S360:S382" si="111">IF(VLOOKUP($D360,$C$5:$AU$520,3,)=0,0,(VLOOKUP($D360,$C$5:$AU$520,17,)/VLOOKUP($D360,$C$5:$AU$520,3,))*$E360)</f>
        <v>0</v>
      </c>
      <c r="T360" s="66">
        <f t="shared" ref="T360:T382" si="112">IF(VLOOKUP($D360,$C$5:$AU$520,3,)=0,0,(VLOOKUP($D360,$C$5:$AU$520,18,)/VLOOKUP($D360,$C$5:$AU$520,3,))*$E360)</f>
        <v>0</v>
      </c>
      <c r="U360" s="66">
        <f t="shared" ref="U360:U382" si="113">IF(VLOOKUP($D360,$C$5:$AU$520,3,)=0,0,(VLOOKUP($D360,$C$5:$AU$520,19,)/VLOOKUP($D360,$C$5:$AU$520,3,))*$E360)</f>
        <v>0</v>
      </c>
      <c r="V360" s="66">
        <f t="shared" ref="V360:V382" si="114">IF(VLOOKUP($D360,$C$5:$AU$520,3,)=0,0,(VLOOKUP($D360,$C$5:$AU$520,20,)/VLOOKUP($D360,$C$5:$AU$520,3,))*$E360)</f>
        <v>0</v>
      </c>
      <c r="W360" s="66">
        <f t="shared" ref="W360:W382" si="115">IF(VLOOKUP($D360,$C$5:$AU$520,3,)=0,0,(VLOOKUP($D360,$C$5:$AU$520,21,)/VLOOKUP($D360,$C$5:$AU$520,3,))*$E360)</f>
        <v>0</v>
      </c>
      <c r="X360" s="66">
        <f t="shared" ref="X360:X382" si="116">IF(VLOOKUP($D360,$C$5:$AU$520,3,)=0,0,(VLOOKUP($D360,$C$5:$AU$520,22,)/VLOOKUP($D360,$C$5:$AU$520,3,))*$E360)</f>
        <v>0</v>
      </c>
      <c r="Y360" s="66">
        <f t="shared" ref="Y360:Y382" si="117">IF(VLOOKUP($D360,$C$5:$AU$520,3,)=0,0,(VLOOKUP($D360,$C$5:$AU$520,23,)/VLOOKUP($D360,$C$5:$AU$520,3,))*$E360)</f>
        <v>0</v>
      </c>
      <c r="Z360" s="66">
        <f t="shared" ref="Z360:Z382" si="118">IF(VLOOKUP($D360,$C$5:$AU$520,3,)=0,0,(VLOOKUP($D360,$C$5:$AU$520,24,)/VLOOKUP($D360,$C$5:$AU$520,3,))*$E360)</f>
        <v>0</v>
      </c>
      <c r="AA360" s="66">
        <f t="shared" ref="AA360:AA382" si="119">IF(VLOOKUP($D360,$C$5:$AU$520,3,)=0,0,(VLOOKUP($D360,$C$5:$AU$520,25,)/VLOOKUP($D360,$C$5:$AU$520,3,))*$E360)</f>
        <v>0</v>
      </c>
      <c r="AB360" s="66">
        <f t="shared" ref="AB360:AB382" si="120">IF(VLOOKUP($D360,$C$5:$AU$520,3,)=0,0,(VLOOKUP($D360,$C$5:$AU$520,26,)/VLOOKUP($D360,$C$5:$AU$520,3,))*$E360)</f>
        <v>0</v>
      </c>
      <c r="AC360" s="66">
        <f t="shared" ref="AC360:AC382" si="121">IF(VLOOKUP($D360,$C$5:$AU$520,3,)=0,0,(VLOOKUP($D360,$C$5:$AU$520,27,)/VLOOKUP($D360,$C$5:$AU$520,3,))*$E360)</f>
        <v>0</v>
      </c>
      <c r="AD360" s="66">
        <f t="shared" ref="AD360:AD382" si="122">IF(VLOOKUP($D360,$C$5:$AU$520,3,)=0,0,(VLOOKUP($D360,$C$5:$AU$520,28,)/VLOOKUP($D360,$C$5:$AU$520,3,))*$E360)</f>
        <v>0</v>
      </c>
      <c r="AE360" s="66">
        <f t="shared" ref="AE360:AE382" si="123">IF(VLOOKUP($D360,$C$5:$AU$520,3,)=0,0,(VLOOKUP($D360,$C$5:$AU$520,29,)/VLOOKUP($D360,$C$5:$AU$520,3,))*$E360)</f>
        <v>0</v>
      </c>
      <c r="AF360" s="66">
        <f t="shared" ref="AF360:AF382" si="124">IF(VLOOKUP($D360,$C$5:$AU$520,3,)=0,0,(VLOOKUP($D360,$C$5:$AU$520,30,)/VLOOKUP($D360,$C$5:$AU$520,3,))*$E360)</f>
        <v>0</v>
      </c>
      <c r="AG360" s="260">
        <f t="shared" ref="AG360" si="125">SUM(F360:AF360)</f>
        <v>53333.330000000016</v>
      </c>
      <c r="AH360" s="254" t="str">
        <f t="shared" ref="AH360:AH361" si="126">IF(ABS(E360-AG360)&lt;0.01,"ok","err")</f>
        <v>ok</v>
      </c>
      <c r="AI360" s="253">
        <f t="shared" ref="AI360:AI367" si="127">AI359</f>
        <v>1</v>
      </c>
      <c r="AJ360" s="50">
        <v>53333.33</v>
      </c>
      <c r="AK360" s="50"/>
    </row>
    <row r="361" spans="1:39" s="253" customFormat="1" x14ac:dyDescent="0.2">
      <c r="A361" s="253">
        <v>1.04</v>
      </c>
      <c r="B361" s="253" t="s">
        <v>1174</v>
      </c>
      <c r="E361" s="260">
        <f t="shared" si="95"/>
        <v>199282.7344528604</v>
      </c>
      <c r="F361" s="66">
        <f>45330.8958685102*AI361</f>
        <v>45330.895868510197</v>
      </c>
      <c r="G361" s="66">
        <v>0</v>
      </c>
      <c r="H361" s="66">
        <f>-5515.29288873569*AI361</f>
        <v>-5515.2928887356902</v>
      </c>
      <c r="I361" s="66">
        <f>10150.7074248676*AI361</f>
        <v>10150.7074248676</v>
      </c>
      <c r="J361" s="66">
        <f>418.026748145404*AI361</f>
        <v>418.02674814540399</v>
      </c>
      <c r="K361" s="66">
        <v>0</v>
      </c>
      <c r="L361" s="66">
        <f>148898.397300073*AI361</f>
        <v>148898.397300073</v>
      </c>
      <c r="M361" s="66"/>
      <c r="N361" s="66"/>
      <c r="O361" s="66"/>
      <c r="P361" s="66">
        <v>0</v>
      </c>
      <c r="Q361" s="66">
        <v>0</v>
      </c>
      <c r="R361" s="66">
        <v>0</v>
      </c>
      <c r="S361" s="66">
        <v>0</v>
      </c>
      <c r="T361" s="66">
        <v>0</v>
      </c>
      <c r="U361" s="66">
        <v>0</v>
      </c>
      <c r="V361" s="66">
        <v>0</v>
      </c>
      <c r="W361" s="66">
        <v>0</v>
      </c>
      <c r="X361" s="66">
        <v>0</v>
      </c>
      <c r="Y361" s="66">
        <v>0</v>
      </c>
      <c r="Z361" s="66">
        <v>0</v>
      </c>
      <c r="AA361" s="66">
        <v>0</v>
      </c>
      <c r="AB361" s="66">
        <v>0</v>
      </c>
      <c r="AC361" s="66">
        <v>0</v>
      </c>
      <c r="AD361" s="66">
        <v>0</v>
      </c>
      <c r="AE361" s="66">
        <v>0</v>
      </c>
      <c r="AF361" s="66">
        <v>0</v>
      </c>
      <c r="AG361" s="260">
        <f t="shared" ref="AG361:AG362" si="128">SUM(F361:AF361)</f>
        <v>199282.73445286052</v>
      </c>
      <c r="AH361" s="254" t="str">
        <f t="shared" si="126"/>
        <v>ok</v>
      </c>
      <c r="AI361" s="253">
        <f t="shared" si="127"/>
        <v>1</v>
      </c>
      <c r="AJ361" s="50">
        <v>199282.7344528604</v>
      </c>
      <c r="AK361" s="50"/>
    </row>
    <row r="362" spans="1:39" s="253" customFormat="1" x14ac:dyDescent="0.2">
      <c r="A362" s="257">
        <v>1.05</v>
      </c>
      <c r="B362" s="253" t="s">
        <v>1132</v>
      </c>
      <c r="D362" s="253" t="s">
        <v>297</v>
      </c>
      <c r="E362" s="260">
        <f t="shared" si="95"/>
        <v>148135.75999999998</v>
      </c>
      <c r="F362" s="260">
        <f>IF(VLOOKUP($D362,$C$5:$AU$502,3,)=0,0,(VLOOKUP($D362,$C$5:$AU$502,4,)/VLOOKUP($D362,$C$5:$AU$502,3,))*$E362)</f>
        <v>118050.02699486555</v>
      </c>
      <c r="G362" s="260">
        <f>IF(VLOOKUP($D362,$C$5:$AU$502,3,)=0,0,(VLOOKUP($D362,$C$5:$AU$502,5,)/VLOOKUP($D362,$C$5:$AU$502,3,))*$E362)</f>
        <v>33.621060111935847</v>
      </c>
      <c r="H362" s="260">
        <f>IF(VLOOKUP($D362,$C$5:$AU$502,3,)=0,0,(VLOOKUP($D362,$C$5:$AU$502,6,)/VLOOKUP($D362,$C$5:$AU$502,3,))*$E362)</f>
        <v>6276.1089643337054</v>
      </c>
      <c r="I362" s="260">
        <f>IF(VLOOKUP($D362,$C$5:$AU$502,3,)=0,0,(VLOOKUP($D362,$C$5:$AU$502,7,)/VLOOKUP($D362,$C$5:$AU$502,3,))*$E362)</f>
        <v>1663.8003504691014</v>
      </c>
      <c r="J362" s="260">
        <f>IF(VLOOKUP($D362,$C$5:$AU$502,3,)=0,0,(VLOOKUP($D362,$C$5:$AU$502,8,)/VLOOKUP($D362,$C$5:$AU$502,3,))*$E362)</f>
        <v>631.05772715120872</v>
      </c>
      <c r="K362" s="260">
        <f>IF(VLOOKUP($D362,$C$5:$AU$502,3,)=0,0,(VLOOKUP($D362,$C$5:$AU$502,9,)/VLOOKUP($D362,$C$5:$AU$502,3,))*$E362)</f>
        <v>2458.9632397264286</v>
      </c>
      <c r="L362" s="260">
        <f>IF(VLOOKUP($D362,$C$5:$AU$502,3,)=0,0,(VLOOKUP($D362,$C$5:$AU$502,10,)/VLOOKUP($D362,$C$5:$AU$502,3,))*$E362)</f>
        <v>8352.0238957869715</v>
      </c>
      <c r="M362" s="260">
        <f>IF(VLOOKUP($D362,$C$5:$AU$502,3,)=0,0,(VLOOKUP($D362,$C$5:$AU$502,11,)/VLOOKUP($D362,$C$5:$AU$502,3,))*$E362)</f>
        <v>10670.15776755297</v>
      </c>
      <c r="N362" s="66">
        <f>IF(VLOOKUP($D362,$C$5:$AU$502,3,)=0,0,(VLOOKUP($D362,$C$5:$AU$502,12,)/VLOOKUP($D362,$C$5:$AU$502,3,))*$E362)</f>
        <v>0</v>
      </c>
      <c r="O362" s="66">
        <f>IF(VLOOKUP($D362,$C$5:$AU$502,3,)=0,0,(VLOOKUP($D362,$C$5:$AU$502,13,)/VLOOKUP($D362,$C$5:$AU$502,3,))*$E362)</f>
        <v>0</v>
      </c>
      <c r="P362" s="66">
        <f>IF(VLOOKUP($D362,$C$5:$AU$502,3,)=0,0,(VLOOKUP($D362,$C$5:$AU$502,14,)/VLOOKUP($D362,$C$5:$AU$502,3,))*$E362)</f>
        <v>0</v>
      </c>
      <c r="Q362" s="66">
        <f>IF(VLOOKUP($D362,$C$5:$AU$502,3,)=0,0,(VLOOKUP($D362,$C$5:$AU$502,15,)/VLOOKUP($D362,$C$5:$AU$502,3,))*$E362)</f>
        <v>0</v>
      </c>
      <c r="R362" s="66">
        <f>IF(VLOOKUP($D362,$C$5:$AU$502,3,)=0,0,(VLOOKUP($D362,$C$5:$AU$502,16,)/VLOOKUP($D362,$C$5:$AU$502,3,))*$E362)</f>
        <v>0</v>
      </c>
      <c r="S362" s="66">
        <f>IF(VLOOKUP($D362,$C$5:$AU$502,3,)=0,0,(VLOOKUP($D362,$C$5:$AU$502,17,)/VLOOKUP($D362,$C$5:$AU$502,3,))*$E362)</f>
        <v>0</v>
      </c>
      <c r="T362" s="66">
        <f>IF(VLOOKUP($D362,$C$5:$AU$502,3,)=0,0,(VLOOKUP($D362,$C$5:$AU$502,18,)/VLOOKUP($D362,$C$5:$AU$502,3,))*$E362)</f>
        <v>0</v>
      </c>
      <c r="U362" s="66">
        <f>IF(VLOOKUP($D362,$C$5:$AU$502,3,)=0,0,(VLOOKUP($D362,$C$5:$AU$502,19,)/VLOOKUP($D362,$C$5:$AU$502,3,))*$E362)</f>
        <v>0</v>
      </c>
      <c r="V362" s="66">
        <f>IF(VLOOKUP($D362,$C$5:$AU$502,3,)=0,0,(VLOOKUP($D362,$C$5:$AU$502,20,)/VLOOKUP($D362,$C$5:$AU$502,3,))*$E362)</f>
        <v>0</v>
      </c>
      <c r="W362" s="66">
        <f>IF(VLOOKUP($D362,$C$5:$AU$502,3,)=0,0,(VLOOKUP($D362,$C$5:$AU$502,21,)/VLOOKUP($D362,$C$5:$AU$502,3,))*$E362)</f>
        <v>0</v>
      </c>
      <c r="X362" s="66">
        <f>IF(VLOOKUP($D362,$C$5:$AU$502,3,)=0,0,(VLOOKUP($D362,$C$5:$AU$502,22,)/VLOOKUP($D362,$C$5:$AU$502,3,))*$E362)</f>
        <v>0</v>
      </c>
      <c r="Y362" s="66">
        <f>IF(VLOOKUP($D362,$C$5:$AU$502,3,)=0,0,(VLOOKUP($D362,$C$5:$AU$502,23,)/VLOOKUP($D362,$C$5:$AU$502,3,))*$E362)</f>
        <v>0</v>
      </c>
      <c r="Z362" s="66">
        <f>IF(VLOOKUP($D362,$C$5:$AU$502,3,)=0,0,(VLOOKUP($D362,$C$5:$AU$502,24,)/VLOOKUP($D362,$C$5:$AU$502,3,))*$E362)</f>
        <v>0</v>
      </c>
      <c r="AA362" s="66">
        <f>IF(VLOOKUP($D362,$C$5:$AU$502,3,)=0,0,(VLOOKUP($D362,$C$5:$AU$502,25,)/VLOOKUP($D362,$C$5:$AU$502,3,))*$E362)</f>
        <v>0</v>
      </c>
      <c r="AB362" s="66">
        <f>IF(VLOOKUP($D362,$C$5:$AU$502,3,)=0,0,(VLOOKUP($D362,$C$5:$AU$502,26,)/VLOOKUP($D362,$C$5:$AU$502,3,))*$E362)</f>
        <v>0</v>
      </c>
      <c r="AC362" s="66">
        <f>IF(VLOOKUP($D362,$C$5:$AU$502,3,)=0,0,(VLOOKUP($D362,$C$5:$AU$502,27,)/VLOOKUP($D362,$C$5:$AU$502,3,))*$E362)</f>
        <v>0</v>
      </c>
      <c r="AD362" s="66">
        <f>IF(VLOOKUP($D362,$C$5:$AU$502,3,)=0,0,(VLOOKUP($D362,$C$5:$AU$502,28,)/VLOOKUP($D362,$C$5:$AU$502,3,))*$E362)</f>
        <v>0</v>
      </c>
      <c r="AE362" s="66">
        <f>IF(VLOOKUP($D362,$C$5:$AU$502,3,)=0,0,(VLOOKUP($D362,$C$5:$AU$502,29,)/VLOOKUP($D362,$C$5:$AU$502,3,))*$E362)</f>
        <v>0</v>
      </c>
      <c r="AF362" s="66">
        <f>IF(VLOOKUP($D362,$C$5:$AU$502,3,)=0,0,(VLOOKUP($D362,$C$5:$AU$502,30,)/VLOOKUP($D362,$C$5:$AU$502,3,))*$E362)</f>
        <v>0</v>
      </c>
      <c r="AG362" s="260">
        <f t="shared" si="128"/>
        <v>148135.75999999786</v>
      </c>
      <c r="AH362" s="254" t="str">
        <f t="shared" si="105"/>
        <v>ok</v>
      </c>
      <c r="AI362" s="253">
        <f t="shared" si="127"/>
        <v>1</v>
      </c>
      <c r="AJ362" s="50">
        <v>148135.75999999998</v>
      </c>
      <c r="AK362" s="50"/>
    </row>
    <row r="363" spans="1:39" s="253" customFormat="1" x14ac:dyDescent="0.2">
      <c r="A363" s="257">
        <v>1.06</v>
      </c>
      <c r="B363" s="253" t="s">
        <v>1133</v>
      </c>
      <c r="D363" s="253" t="s">
        <v>261</v>
      </c>
      <c r="E363" s="260">
        <f t="shared" si="95"/>
        <v>-234653.01</v>
      </c>
      <c r="F363" s="66">
        <f t="shared" si="96"/>
        <v>-187226.7052338958</v>
      </c>
      <c r="G363" s="66">
        <f t="shared" si="97"/>
        <v>-53.38030121810349</v>
      </c>
      <c r="H363" s="66">
        <f t="shared" si="98"/>
        <v>-9950.5338361589384</v>
      </c>
      <c r="I363" s="66">
        <f t="shared" si="99"/>
        <v>-2635.9480080013282</v>
      </c>
      <c r="J363" s="66">
        <f t="shared" si="100"/>
        <v>-1002.443546935694</v>
      </c>
      <c r="K363" s="66">
        <f t="shared" si="101"/>
        <v>-3891.0702523352015</v>
      </c>
      <c r="L363" s="66">
        <f t="shared" si="102"/>
        <v>-13214.20038171486</v>
      </c>
      <c r="M363" s="66">
        <f t="shared" si="103"/>
        <v>-16678.728439736802</v>
      </c>
      <c r="N363" s="66">
        <f t="shared" si="106"/>
        <v>0</v>
      </c>
      <c r="O363" s="66">
        <f t="shared" si="107"/>
        <v>0</v>
      </c>
      <c r="P363" s="66">
        <f t="shared" si="108"/>
        <v>0</v>
      </c>
      <c r="Q363" s="66">
        <f t="shared" si="109"/>
        <v>0</v>
      </c>
      <c r="R363" s="66">
        <f t="shared" si="110"/>
        <v>0</v>
      </c>
      <c r="S363" s="66">
        <f t="shared" si="111"/>
        <v>0</v>
      </c>
      <c r="T363" s="66">
        <f t="shared" si="112"/>
        <v>0</v>
      </c>
      <c r="U363" s="66">
        <f t="shared" si="113"/>
        <v>0</v>
      </c>
      <c r="V363" s="66">
        <f t="shared" si="114"/>
        <v>0</v>
      </c>
      <c r="W363" s="66">
        <f t="shared" si="115"/>
        <v>0</v>
      </c>
      <c r="X363" s="66">
        <f t="shared" si="116"/>
        <v>0</v>
      </c>
      <c r="Y363" s="66">
        <f t="shared" si="117"/>
        <v>0</v>
      </c>
      <c r="Z363" s="66">
        <f t="shared" si="118"/>
        <v>0</v>
      </c>
      <c r="AA363" s="66">
        <f t="shared" si="119"/>
        <v>0</v>
      </c>
      <c r="AB363" s="66">
        <f t="shared" si="120"/>
        <v>0</v>
      </c>
      <c r="AC363" s="66">
        <f t="shared" si="121"/>
        <v>0</v>
      </c>
      <c r="AD363" s="66">
        <f t="shared" si="122"/>
        <v>0</v>
      </c>
      <c r="AE363" s="66">
        <f t="shared" si="123"/>
        <v>0</v>
      </c>
      <c r="AF363" s="66">
        <f t="shared" si="124"/>
        <v>0</v>
      </c>
      <c r="AG363" s="260">
        <f t="shared" si="104"/>
        <v>-234653.00999999669</v>
      </c>
      <c r="AH363" s="254" t="str">
        <f t="shared" si="105"/>
        <v>ok</v>
      </c>
      <c r="AI363" s="253">
        <f t="shared" si="127"/>
        <v>1</v>
      </c>
      <c r="AJ363" s="50">
        <v>-234653.01</v>
      </c>
      <c r="AK363" s="50"/>
    </row>
    <row r="364" spans="1:39" s="253" customFormat="1" x14ac:dyDescent="0.2">
      <c r="A364" s="253">
        <v>1.07</v>
      </c>
      <c r="B364" s="253" t="s">
        <v>1134</v>
      </c>
      <c r="D364" s="253" t="s">
        <v>261</v>
      </c>
      <c r="E364" s="260">
        <f t="shared" si="95"/>
        <v>-1566.24</v>
      </c>
      <c r="F364" s="66">
        <f t="shared" si="96"/>
        <v>-1249.6833294639473</v>
      </c>
      <c r="G364" s="66">
        <f t="shared" si="97"/>
        <v>-0.3562978500887008</v>
      </c>
      <c r="H364" s="66">
        <f t="shared" si="98"/>
        <v>-66.416894100551175</v>
      </c>
      <c r="I364" s="66">
        <f t="shared" si="99"/>
        <v>-17.594179627408145</v>
      </c>
      <c r="J364" s="66">
        <f t="shared" si="100"/>
        <v>-6.6910165821122911</v>
      </c>
      <c r="K364" s="66">
        <f t="shared" si="101"/>
        <v>-25.971752384584736</v>
      </c>
      <c r="L364" s="66">
        <f t="shared" si="102"/>
        <v>-88.200910808078191</v>
      </c>
      <c r="M364" s="66">
        <f t="shared" si="103"/>
        <v>-111.32561918320744</v>
      </c>
      <c r="N364" s="66">
        <f t="shared" si="106"/>
        <v>0</v>
      </c>
      <c r="O364" s="66">
        <f t="shared" si="107"/>
        <v>0</v>
      </c>
      <c r="P364" s="66">
        <f t="shared" si="108"/>
        <v>0</v>
      </c>
      <c r="Q364" s="66">
        <f t="shared" si="109"/>
        <v>0</v>
      </c>
      <c r="R364" s="66">
        <f t="shared" si="110"/>
        <v>0</v>
      </c>
      <c r="S364" s="66">
        <f t="shared" si="111"/>
        <v>0</v>
      </c>
      <c r="T364" s="66">
        <f t="shared" si="112"/>
        <v>0</v>
      </c>
      <c r="U364" s="66">
        <f t="shared" si="113"/>
        <v>0</v>
      </c>
      <c r="V364" s="66">
        <f t="shared" si="114"/>
        <v>0</v>
      </c>
      <c r="W364" s="66">
        <f t="shared" si="115"/>
        <v>0</v>
      </c>
      <c r="X364" s="66">
        <f t="shared" si="116"/>
        <v>0</v>
      </c>
      <c r="Y364" s="66">
        <f t="shared" si="117"/>
        <v>0</v>
      </c>
      <c r="Z364" s="66">
        <f t="shared" si="118"/>
        <v>0</v>
      </c>
      <c r="AA364" s="66">
        <f t="shared" si="119"/>
        <v>0</v>
      </c>
      <c r="AB364" s="66">
        <f t="shared" si="120"/>
        <v>0</v>
      </c>
      <c r="AC364" s="66">
        <f t="shared" si="121"/>
        <v>0</v>
      </c>
      <c r="AD364" s="66">
        <f t="shared" si="122"/>
        <v>0</v>
      </c>
      <c r="AE364" s="66">
        <f t="shared" si="123"/>
        <v>0</v>
      </c>
      <c r="AF364" s="66">
        <f t="shared" si="124"/>
        <v>0</v>
      </c>
      <c r="AG364" s="260">
        <f t="shared" si="104"/>
        <v>-1566.2399999999777</v>
      </c>
      <c r="AH364" s="254" t="str">
        <f t="shared" si="105"/>
        <v>ok</v>
      </c>
      <c r="AI364" s="253">
        <f t="shared" si="127"/>
        <v>1</v>
      </c>
      <c r="AJ364" s="50">
        <v>-1566.24</v>
      </c>
      <c r="AK364" s="50"/>
    </row>
    <row r="365" spans="1:39" s="253" customFormat="1" x14ac:dyDescent="0.2">
      <c r="A365" s="257">
        <v>1.08</v>
      </c>
      <c r="B365" s="253" t="s">
        <v>1135</v>
      </c>
      <c r="C365" s="50"/>
      <c r="D365" s="253" t="s">
        <v>261</v>
      </c>
      <c r="E365" s="260">
        <f t="shared" si="95"/>
        <v>-6165.1999999999971</v>
      </c>
      <c r="F365" s="66">
        <f t="shared" si="96"/>
        <v>-4919.1360601256029</v>
      </c>
      <c r="G365" s="66">
        <f t="shared" si="97"/>
        <v>-1.4024973856923952</v>
      </c>
      <c r="H365" s="66">
        <f t="shared" si="98"/>
        <v>-261.437222589589</v>
      </c>
      <c r="I365" s="66">
        <f t="shared" si="99"/>
        <v>-69.256075849739915</v>
      </c>
      <c r="J365" s="66">
        <f t="shared" si="100"/>
        <v>-26.337889105142686</v>
      </c>
      <c r="K365" s="66">
        <f t="shared" si="101"/>
        <v>-102.23276624364193</v>
      </c>
      <c r="L365" s="66">
        <f t="shared" si="102"/>
        <v>-347.18577951907974</v>
      </c>
      <c r="M365" s="66">
        <f t="shared" si="103"/>
        <v>-438.2117091814219</v>
      </c>
      <c r="N365" s="66">
        <f t="shared" si="106"/>
        <v>0</v>
      </c>
      <c r="O365" s="66">
        <f t="shared" si="107"/>
        <v>0</v>
      </c>
      <c r="P365" s="66">
        <f t="shared" si="108"/>
        <v>0</v>
      </c>
      <c r="Q365" s="66">
        <f t="shared" si="109"/>
        <v>0</v>
      </c>
      <c r="R365" s="66">
        <f t="shared" si="110"/>
        <v>0</v>
      </c>
      <c r="S365" s="66">
        <f t="shared" si="111"/>
        <v>0</v>
      </c>
      <c r="T365" s="66">
        <f t="shared" si="112"/>
        <v>0</v>
      </c>
      <c r="U365" s="66">
        <f t="shared" si="113"/>
        <v>0</v>
      </c>
      <c r="V365" s="66">
        <f t="shared" si="114"/>
        <v>0</v>
      </c>
      <c r="W365" s="66">
        <f t="shared" si="115"/>
        <v>0</v>
      </c>
      <c r="X365" s="66">
        <f t="shared" si="116"/>
        <v>0</v>
      </c>
      <c r="Y365" s="66">
        <f t="shared" si="117"/>
        <v>0</v>
      </c>
      <c r="Z365" s="66">
        <f t="shared" si="118"/>
        <v>0</v>
      </c>
      <c r="AA365" s="66">
        <f t="shared" si="119"/>
        <v>0</v>
      </c>
      <c r="AB365" s="66">
        <f t="shared" si="120"/>
        <v>0</v>
      </c>
      <c r="AC365" s="66">
        <f t="shared" si="121"/>
        <v>0</v>
      </c>
      <c r="AD365" s="66">
        <f t="shared" si="122"/>
        <v>0</v>
      </c>
      <c r="AE365" s="66">
        <f t="shared" si="123"/>
        <v>0</v>
      </c>
      <c r="AF365" s="66">
        <f t="shared" si="124"/>
        <v>0</v>
      </c>
      <c r="AG365" s="260">
        <f t="shared" si="104"/>
        <v>-6165.1999999999098</v>
      </c>
      <c r="AH365" s="254" t="str">
        <f t="shared" si="105"/>
        <v>ok</v>
      </c>
      <c r="AI365" s="253">
        <f t="shared" si="127"/>
        <v>1</v>
      </c>
      <c r="AJ365" s="50">
        <v>-6165.1999999999971</v>
      </c>
      <c r="AK365" s="50"/>
    </row>
    <row r="366" spans="1:39" s="253" customFormat="1" x14ac:dyDescent="0.2">
      <c r="A366" s="257">
        <v>1.0900000000000001</v>
      </c>
      <c r="B366" s="253" t="s">
        <v>1052</v>
      </c>
      <c r="C366" s="50"/>
      <c r="D366" s="253" t="s">
        <v>285</v>
      </c>
      <c r="E366" s="260">
        <f t="shared" si="95"/>
        <v>80568.94895824985</v>
      </c>
      <c r="F366" s="66">
        <f t="shared" si="96"/>
        <v>69796.616005951408</v>
      </c>
      <c r="G366" s="66">
        <f t="shared" si="97"/>
        <v>21.797251785114742</v>
      </c>
      <c r="H366" s="66">
        <f t="shared" si="98"/>
        <v>3638.9415748882925</v>
      </c>
      <c r="I366" s="66">
        <f t="shared" si="99"/>
        <v>896.85014148012033</v>
      </c>
      <c r="J366" s="66">
        <f t="shared" si="100"/>
        <v>426.16961221049525</v>
      </c>
      <c r="K366" s="66">
        <f t="shared" si="101"/>
        <v>1164.6696492623892</v>
      </c>
      <c r="L366" s="66">
        <f t="shared" si="102"/>
        <v>3885.1174867813224</v>
      </c>
      <c r="M366" s="66">
        <f t="shared" si="103"/>
        <v>738.78723589063532</v>
      </c>
      <c r="N366" s="66">
        <f t="shared" si="106"/>
        <v>0</v>
      </c>
      <c r="O366" s="66">
        <f t="shared" si="107"/>
        <v>0</v>
      </c>
      <c r="P366" s="66">
        <f t="shared" si="108"/>
        <v>0</v>
      </c>
      <c r="Q366" s="66">
        <f t="shared" si="109"/>
        <v>0</v>
      </c>
      <c r="R366" s="66">
        <f t="shared" si="110"/>
        <v>0</v>
      </c>
      <c r="S366" s="66">
        <f t="shared" si="111"/>
        <v>0</v>
      </c>
      <c r="T366" s="66">
        <f t="shared" si="112"/>
        <v>0</v>
      </c>
      <c r="U366" s="66">
        <f t="shared" si="113"/>
        <v>0</v>
      </c>
      <c r="V366" s="66">
        <f t="shared" si="114"/>
        <v>0</v>
      </c>
      <c r="W366" s="66">
        <f t="shared" si="115"/>
        <v>0</v>
      </c>
      <c r="X366" s="66">
        <f t="shared" si="116"/>
        <v>0</v>
      </c>
      <c r="Y366" s="66">
        <f t="shared" si="117"/>
        <v>0</v>
      </c>
      <c r="Z366" s="66">
        <f t="shared" si="118"/>
        <v>0</v>
      </c>
      <c r="AA366" s="66">
        <f t="shared" si="119"/>
        <v>0</v>
      </c>
      <c r="AB366" s="66">
        <f t="shared" si="120"/>
        <v>0</v>
      </c>
      <c r="AC366" s="66">
        <f t="shared" si="121"/>
        <v>0</v>
      </c>
      <c r="AD366" s="66">
        <f t="shared" si="122"/>
        <v>0</v>
      </c>
      <c r="AE366" s="66">
        <f t="shared" si="123"/>
        <v>0</v>
      </c>
      <c r="AF366" s="66">
        <f t="shared" si="124"/>
        <v>0</v>
      </c>
      <c r="AG366" s="260">
        <f t="shared" si="104"/>
        <v>80568.948958249763</v>
      </c>
      <c r="AH366" s="254" t="str">
        <f t="shared" si="105"/>
        <v>ok</v>
      </c>
      <c r="AI366" s="253">
        <f t="shared" si="127"/>
        <v>1</v>
      </c>
      <c r="AJ366" s="50">
        <v>80568.94895824985</v>
      </c>
      <c r="AK366" s="50"/>
    </row>
    <row r="367" spans="1:39" s="253" customFormat="1" x14ac:dyDescent="0.2">
      <c r="A367" s="258">
        <v>1.1000000000000001</v>
      </c>
      <c r="B367" s="253" t="s">
        <v>1136</v>
      </c>
      <c r="C367" s="50"/>
      <c r="D367" s="253" t="s">
        <v>261</v>
      </c>
      <c r="E367" s="260">
        <f t="shared" si="95"/>
        <v>-3428.3333333333285</v>
      </c>
      <c r="F367" s="66">
        <f t="shared" si="96"/>
        <v>-2735.424337593362</v>
      </c>
      <c r="G367" s="66">
        <f t="shared" si="97"/>
        <v>-0.77989822508306139</v>
      </c>
      <c r="H367" s="66">
        <f t="shared" si="98"/>
        <v>-145.37954077369324</v>
      </c>
      <c r="I367" s="66">
        <f t="shared" si="99"/>
        <v>-38.511794162642701</v>
      </c>
      <c r="J367" s="66">
        <f t="shared" si="100"/>
        <v>-14.64592602815763</v>
      </c>
      <c r="K367" s="66">
        <f t="shared" si="101"/>
        <v>-56.849412877433352</v>
      </c>
      <c r="L367" s="66">
        <f t="shared" si="102"/>
        <v>-193.06244416800382</v>
      </c>
      <c r="M367" s="66">
        <f t="shared" si="103"/>
        <v>-243.67997950490494</v>
      </c>
      <c r="N367" s="66">
        <f t="shared" si="106"/>
        <v>0</v>
      </c>
      <c r="O367" s="66">
        <f t="shared" si="107"/>
        <v>0</v>
      </c>
      <c r="P367" s="66">
        <f t="shared" si="108"/>
        <v>0</v>
      </c>
      <c r="Q367" s="66">
        <f t="shared" si="109"/>
        <v>0</v>
      </c>
      <c r="R367" s="66">
        <f t="shared" si="110"/>
        <v>0</v>
      </c>
      <c r="S367" s="66">
        <f t="shared" si="111"/>
        <v>0</v>
      </c>
      <c r="T367" s="66">
        <f t="shared" si="112"/>
        <v>0</v>
      </c>
      <c r="U367" s="66">
        <f t="shared" si="113"/>
        <v>0</v>
      </c>
      <c r="V367" s="66">
        <f t="shared" si="114"/>
        <v>0</v>
      </c>
      <c r="W367" s="66">
        <f t="shared" si="115"/>
        <v>0</v>
      </c>
      <c r="X367" s="66">
        <f t="shared" si="116"/>
        <v>0</v>
      </c>
      <c r="Y367" s="66">
        <f t="shared" si="117"/>
        <v>0</v>
      </c>
      <c r="Z367" s="66">
        <f t="shared" si="118"/>
        <v>0</v>
      </c>
      <c r="AA367" s="66">
        <f t="shared" si="119"/>
        <v>0</v>
      </c>
      <c r="AB367" s="66">
        <f t="shared" si="120"/>
        <v>0</v>
      </c>
      <c r="AC367" s="66">
        <f t="shared" si="121"/>
        <v>0</v>
      </c>
      <c r="AD367" s="66">
        <f t="shared" si="122"/>
        <v>0</v>
      </c>
      <c r="AE367" s="66">
        <f t="shared" si="123"/>
        <v>0</v>
      </c>
      <c r="AF367" s="66">
        <f t="shared" si="124"/>
        <v>0</v>
      </c>
      <c r="AG367" s="260">
        <f>SUM(F367:AF367)</f>
        <v>-3428.3333333332807</v>
      </c>
      <c r="AH367" s="254" t="str">
        <f>IF(ABS(E367-AG367)&lt;0.01,"ok","err")</f>
        <v>ok</v>
      </c>
      <c r="AI367" s="253">
        <f t="shared" si="127"/>
        <v>1</v>
      </c>
      <c r="AJ367" s="50">
        <v>-3428.3333333333285</v>
      </c>
      <c r="AK367" s="50"/>
    </row>
    <row r="368" spans="1:39" s="253" customFormat="1" x14ac:dyDescent="0.2">
      <c r="A368" s="257">
        <v>1.1100000000000001</v>
      </c>
      <c r="B368" s="253" t="s">
        <v>1175</v>
      </c>
      <c r="C368" s="50"/>
      <c r="D368" s="253" t="s">
        <v>261</v>
      </c>
      <c r="E368" s="260">
        <f t="shared" si="95"/>
        <v>0</v>
      </c>
      <c r="F368" s="66">
        <f t="shared" si="96"/>
        <v>0</v>
      </c>
      <c r="G368" s="66">
        <f t="shared" si="97"/>
        <v>0</v>
      </c>
      <c r="H368" s="66">
        <f t="shared" si="98"/>
        <v>0</v>
      </c>
      <c r="I368" s="66">
        <f t="shared" si="99"/>
        <v>0</v>
      </c>
      <c r="J368" s="66">
        <f t="shared" si="100"/>
        <v>0</v>
      </c>
      <c r="K368" s="66">
        <f t="shared" si="101"/>
        <v>0</v>
      </c>
      <c r="L368" s="66">
        <f t="shared" si="102"/>
        <v>0</v>
      </c>
      <c r="M368" s="66">
        <f t="shared" si="103"/>
        <v>0</v>
      </c>
      <c r="N368" s="66">
        <f t="shared" si="106"/>
        <v>0</v>
      </c>
      <c r="O368" s="66">
        <f t="shared" si="107"/>
        <v>0</v>
      </c>
      <c r="P368" s="66">
        <f t="shared" si="108"/>
        <v>0</v>
      </c>
      <c r="Q368" s="66">
        <f t="shared" si="109"/>
        <v>0</v>
      </c>
      <c r="R368" s="66">
        <f t="shared" si="110"/>
        <v>0</v>
      </c>
      <c r="S368" s="66">
        <f t="shared" si="111"/>
        <v>0</v>
      </c>
      <c r="T368" s="66">
        <f t="shared" si="112"/>
        <v>0</v>
      </c>
      <c r="U368" s="66">
        <f t="shared" si="113"/>
        <v>0</v>
      </c>
      <c r="V368" s="66">
        <f t="shared" si="114"/>
        <v>0</v>
      </c>
      <c r="W368" s="66">
        <f t="shared" si="115"/>
        <v>0</v>
      </c>
      <c r="X368" s="66">
        <f t="shared" si="116"/>
        <v>0</v>
      </c>
      <c r="Y368" s="66">
        <f t="shared" si="117"/>
        <v>0</v>
      </c>
      <c r="Z368" s="66">
        <f t="shared" si="118"/>
        <v>0</v>
      </c>
      <c r="AA368" s="66">
        <f t="shared" si="119"/>
        <v>0</v>
      </c>
      <c r="AB368" s="66">
        <f t="shared" si="120"/>
        <v>0</v>
      </c>
      <c r="AC368" s="66">
        <f t="shared" si="121"/>
        <v>0</v>
      </c>
      <c r="AD368" s="66">
        <f t="shared" si="122"/>
        <v>0</v>
      </c>
      <c r="AE368" s="66">
        <f t="shared" si="123"/>
        <v>0</v>
      </c>
      <c r="AF368" s="66">
        <f t="shared" si="124"/>
        <v>0</v>
      </c>
      <c r="AG368" s="260">
        <f>SUM(F368:AF368)</f>
        <v>0</v>
      </c>
      <c r="AH368" s="254" t="str">
        <f>IF(ABS(E368-AG368)&lt;0.01,"ok","err")</f>
        <v>ok</v>
      </c>
      <c r="AI368" s="253">
        <v>0</v>
      </c>
      <c r="AJ368" s="50">
        <v>0</v>
      </c>
      <c r="AK368" s="50"/>
    </row>
    <row r="369" spans="1:37" s="253" customFormat="1" x14ac:dyDescent="0.2">
      <c r="A369" s="257">
        <v>1.1200000000000001</v>
      </c>
      <c r="B369" s="253" t="s">
        <v>1137</v>
      </c>
      <c r="C369" s="50"/>
      <c r="D369" s="253" t="s">
        <v>261</v>
      </c>
      <c r="E369" s="260">
        <f t="shared" si="95"/>
        <v>0</v>
      </c>
      <c r="F369" s="66">
        <f t="shared" si="96"/>
        <v>0</v>
      </c>
      <c r="G369" s="66">
        <f t="shared" si="97"/>
        <v>0</v>
      </c>
      <c r="H369" s="66">
        <f t="shared" si="98"/>
        <v>0</v>
      </c>
      <c r="I369" s="66">
        <f t="shared" si="99"/>
        <v>0</v>
      </c>
      <c r="J369" s="66">
        <f t="shared" si="100"/>
        <v>0</v>
      </c>
      <c r="K369" s="66">
        <f t="shared" si="101"/>
        <v>0</v>
      </c>
      <c r="L369" s="66">
        <f t="shared" si="102"/>
        <v>0</v>
      </c>
      <c r="M369" s="66">
        <f t="shared" si="103"/>
        <v>0</v>
      </c>
      <c r="N369" s="66">
        <f t="shared" si="106"/>
        <v>0</v>
      </c>
      <c r="O369" s="66">
        <f t="shared" si="107"/>
        <v>0</v>
      </c>
      <c r="P369" s="66">
        <f t="shared" si="108"/>
        <v>0</v>
      </c>
      <c r="Q369" s="66">
        <f t="shared" si="109"/>
        <v>0</v>
      </c>
      <c r="R369" s="66">
        <f t="shared" si="110"/>
        <v>0</v>
      </c>
      <c r="S369" s="66">
        <f t="shared" si="111"/>
        <v>0</v>
      </c>
      <c r="T369" s="66">
        <f t="shared" si="112"/>
        <v>0</v>
      </c>
      <c r="U369" s="66">
        <f t="shared" si="113"/>
        <v>0</v>
      </c>
      <c r="V369" s="66">
        <f t="shared" si="114"/>
        <v>0</v>
      </c>
      <c r="W369" s="66">
        <f t="shared" si="115"/>
        <v>0</v>
      </c>
      <c r="X369" s="66">
        <f t="shared" si="116"/>
        <v>0</v>
      </c>
      <c r="Y369" s="66">
        <f t="shared" si="117"/>
        <v>0</v>
      </c>
      <c r="Z369" s="66">
        <f t="shared" si="118"/>
        <v>0</v>
      </c>
      <c r="AA369" s="66">
        <f t="shared" si="119"/>
        <v>0</v>
      </c>
      <c r="AB369" s="66">
        <f t="shared" si="120"/>
        <v>0</v>
      </c>
      <c r="AC369" s="66">
        <f t="shared" si="121"/>
        <v>0</v>
      </c>
      <c r="AD369" s="66">
        <f t="shared" si="122"/>
        <v>0</v>
      </c>
      <c r="AE369" s="66">
        <f t="shared" si="123"/>
        <v>0</v>
      </c>
      <c r="AF369" s="66">
        <f t="shared" si="124"/>
        <v>0</v>
      </c>
      <c r="AG369" s="260">
        <f t="shared" si="104"/>
        <v>0</v>
      </c>
      <c r="AH369" s="254" t="str">
        <f t="shared" si="105"/>
        <v>ok</v>
      </c>
      <c r="AI369" s="253">
        <v>0</v>
      </c>
      <c r="AJ369" s="50">
        <v>-130541.4700000002</v>
      </c>
      <c r="AK369" s="50"/>
    </row>
    <row r="370" spans="1:37" s="253" customFormat="1" x14ac:dyDescent="0.2">
      <c r="A370" s="253">
        <v>1.1299999999999999</v>
      </c>
      <c r="B370" s="253" t="s">
        <v>1138</v>
      </c>
      <c r="C370" s="50"/>
      <c r="D370" s="253" t="s">
        <v>285</v>
      </c>
      <c r="E370" s="260">
        <f t="shared" si="95"/>
        <v>-44597.669734681789</v>
      </c>
      <c r="F370" s="66">
        <f t="shared" si="96"/>
        <v>-38634.81489431909</v>
      </c>
      <c r="G370" s="66">
        <f t="shared" si="97"/>
        <v>-12.0655246072527</v>
      </c>
      <c r="H370" s="66">
        <f t="shared" si="98"/>
        <v>-2014.27865994339</v>
      </c>
      <c r="I370" s="66">
        <f t="shared" si="99"/>
        <v>-496.43723702985591</v>
      </c>
      <c r="J370" s="66">
        <f t="shared" si="100"/>
        <v>-235.89946079810372</v>
      </c>
      <c r="K370" s="66">
        <f t="shared" si="101"/>
        <v>-644.68449743247095</v>
      </c>
      <c r="L370" s="66">
        <f t="shared" si="102"/>
        <v>-2150.5454495341123</v>
      </c>
      <c r="M370" s="66">
        <f t="shared" si="103"/>
        <v>-408.94401101747616</v>
      </c>
      <c r="N370" s="66">
        <f t="shared" si="106"/>
        <v>0</v>
      </c>
      <c r="O370" s="66">
        <f t="shared" si="107"/>
        <v>0</v>
      </c>
      <c r="P370" s="66">
        <f t="shared" si="108"/>
        <v>0</v>
      </c>
      <c r="Q370" s="66">
        <f t="shared" si="109"/>
        <v>0</v>
      </c>
      <c r="R370" s="66">
        <f t="shared" si="110"/>
        <v>0</v>
      </c>
      <c r="S370" s="66">
        <f t="shared" si="111"/>
        <v>0</v>
      </c>
      <c r="T370" s="66">
        <f t="shared" si="112"/>
        <v>0</v>
      </c>
      <c r="U370" s="66">
        <f t="shared" si="113"/>
        <v>0</v>
      </c>
      <c r="V370" s="66">
        <f t="shared" si="114"/>
        <v>0</v>
      </c>
      <c r="W370" s="66">
        <f t="shared" si="115"/>
        <v>0</v>
      </c>
      <c r="X370" s="66">
        <f t="shared" si="116"/>
        <v>0</v>
      </c>
      <c r="Y370" s="66">
        <f t="shared" si="117"/>
        <v>0</v>
      </c>
      <c r="Z370" s="66">
        <f t="shared" si="118"/>
        <v>0</v>
      </c>
      <c r="AA370" s="66">
        <f t="shared" si="119"/>
        <v>0</v>
      </c>
      <c r="AB370" s="66">
        <f t="shared" si="120"/>
        <v>0</v>
      </c>
      <c r="AC370" s="66">
        <f t="shared" si="121"/>
        <v>0</v>
      </c>
      <c r="AD370" s="66">
        <f t="shared" si="122"/>
        <v>0</v>
      </c>
      <c r="AE370" s="66">
        <f t="shared" si="123"/>
        <v>0</v>
      </c>
      <c r="AF370" s="66">
        <f t="shared" si="124"/>
        <v>0</v>
      </c>
      <c r="AG370" s="260">
        <f t="shared" si="104"/>
        <v>-44597.669734681745</v>
      </c>
      <c r="AH370" s="254" t="str">
        <f t="shared" si="105"/>
        <v>ok</v>
      </c>
      <c r="AI370" s="253">
        <f>AI358</f>
        <v>1</v>
      </c>
      <c r="AJ370" s="50">
        <v>-44597.669734681789</v>
      </c>
      <c r="AK370" s="50"/>
    </row>
    <row r="371" spans="1:37" s="253" customFormat="1" x14ac:dyDescent="0.2">
      <c r="A371" s="257">
        <v>1.1399999999999999</v>
      </c>
      <c r="B371" s="253" t="s">
        <v>1176</v>
      </c>
      <c r="C371" s="50"/>
      <c r="D371" s="253" t="s">
        <v>273</v>
      </c>
      <c r="E371" s="260">
        <f t="shared" si="95"/>
        <v>0</v>
      </c>
      <c r="F371" s="66">
        <f t="shared" si="96"/>
        <v>0</v>
      </c>
      <c r="G371" s="66">
        <f t="shared" si="97"/>
        <v>0</v>
      </c>
      <c r="H371" s="66">
        <f t="shared" si="98"/>
        <v>0</v>
      </c>
      <c r="I371" s="66">
        <f t="shared" si="99"/>
        <v>0</v>
      </c>
      <c r="J371" s="66">
        <f t="shared" si="100"/>
        <v>0</v>
      </c>
      <c r="K371" s="66">
        <f t="shared" si="101"/>
        <v>0</v>
      </c>
      <c r="L371" s="66">
        <f t="shared" si="102"/>
        <v>0</v>
      </c>
      <c r="M371" s="66">
        <f t="shared" si="103"/>
        <v>0</v>
      </c>
      <c r="N371" s="66">
        <f t="shared" si="106"/>
        <v>0</v>
      </c>
      <c r="O371" s="66">
        <f t="shared" si="107"/>
        <v>0</v>
      </c>
      <c r="P371" s="66">
        <f t="shared" si="108"/>
        <v>0</v>
      </c>
      <c r="Q371" s="66">
        <f t="shared" si="109"/>
        <v>0</v>
      </c>
      <c r="R371" s="66">
        <f t="shared" si="110"/>
        <v>0</v>
      </c>
      <c r="S371" s="66">
        <f t="shared" si="111"/>
        <v>0</v>
      </c>
      <c r="T371" s="66">
        <f t="shared" si="112"/>
        <v>0</v>
      </c>
      <c r="U371" s="66">
        <f t="shared" si="113"/>
        <v>0</v>
      </c>
      <c r="V371" s="66">
        <f t="shared" si="114"/>
        <v>0</v>
      </c>
      <c r="W371" s="66">
        <f t="shared" si="115"/>
        <v>0</v>
      </c>
      <c r="X371" s="66">
        <f t="shared" si="116"/>
        <v>0</v>
      </c>
      <c r="Y371" s="66">
        <f t="shared" si="117"/>
        <v>0</v>
      </c>
      <c r="Z371" s="66">
        <f t="shared" si="118"/>
        <v>0</v>
      </c>
      <c r="AA371" s="66">
        <f t="shared" si="119"/>
        <v>0</v>
      </c>
      <c r="AB371" s="66">
        <f t="shared" si="120"/>
        <v>0</v>
      </c>
      <c r="AC371" s="66">
        <f t="shared" si="121"/>
        <v>0</v>
      </c>
      <c r="AD371" s="66">
        <f t="shared" si="122"/>
        <v>0</v>
      </c>
      <c r="AE371" s="66">
        <f t="shared" si="123"/>
        <v>0</v>
      </c>
      <c r="AF371" s="66">
        <f t="shared" si="124"/>
        <v>0</v>
      </c>
      <c r="AG371" s="260">
        <f t="shared" si="104"/>
        <v>0</v>
      </c>
      <c r="AH371" s="254" t="str">
        <f t="shared" si="105"/>
        <v>ok</v>
      </c>
      <c r="AI371" s="253">
        <v>0</v>
      </c>
      <c r="AJ371" s="50">
        <v>0</v>
      </c>
      <c r="AK371" s="50"/>
    </row>
    <row r="372" spans="1:37" s="253" customFormat="1" x14ac:dyDescent="0.2">
      <c r="A372" s="257"/>
      <c r="C372" s="50"/>
      <c r="D372" s="253" t="s">
        <v>261</v>
      </c>
      <c r="E372" s="260">
        <f t="shared" si="95"/>
        <v>0</v>
      </c>
      <c r="F372" s="66">
        <f t="shared" si="96"/>
        <v>0</v>
      </c>
      <c r="G372" s="66">
        <f t="shared" si="97"/>
        <v>0</v>
      </c>
      <c r="H372" s="66">
        <f t="shared" si="98"/>
        <v>0</v>
      </c>
      <c r="I372" s="66">
        <f t="shared" si="99"/>
        <v>0</v>
      </c>
      <c r="J372" s="66">
        <f t="shared" si="100"/>
        <v>0</v>
      </c>
      <c r="K372" s="66">
        <f t="shared" si="101"/>
        <v>0</v>
      </c>
      <c r="L372" s="66">
        <f t="shared" si="102"/>
        <v>0</v>
      </c>
      <c r="M372" s="66">
        <f t="shared" si="103"/>
        <v>0</v>
      </c>
      <c r="N372" s="66">
        <f t="shared" si="106"/>
        <v>0</v>
      </c>
      <c r="O372" s="66">
        <f t="shared" si="107"/>
        <v>0</v>
      </c>
      <c r="P372" s="66">
        <f t="shared" si="108"/>
        <v>0</v>
      </c>
      <c r="Q372" s="66">
        <f t="shared" si="109"/>
        <v>0</v>
      </c>
      <c r="R372" s="66">
        <f t="shared" si="110"/>
        <v>0</v>
      </c>
      <c r="S372" s="66">
        <f t="shared" si="111"/>
        <v>0</v>
      </c>
      <c r="T372" s="66">
        <f t="shared" si="112"/>
        <v>0</v>
      </c>
      <c r="U372" s="66">
        <f t="shared" si="113"/>
        <v>0</v>
      </c>
      <c r="V372" s="66">
        <f t="shared" si="114"/>
        <v>0</v>
      </c>
      <c r="W372" s="66">
        <f t="shared" si="115"/>
        <v>0</v>
      </c>
      <c r="X372" s="66">
        <f t="shared" si="116"/>
        <v>0</v>
      </c>
      <c r="Y372" s="66">
        <f t="shared" si="117"/>
        <v>0</v>
      </c>
      <c r="Z372" s="66">
        <f t="shared" si="118"/>
        <v>0</v>
      </c>
      <c r="AA372" s="66">
        <f t="shared" si="119"/>
        <v>0</v>
      </c>
      <c r="AB372" s="66">
        <f t="shared" si="120"/>
        <v>0</v>
      </c>
      <c r="AC372" s="66">
        <f t="shared" si="121"/>
        <v>0</v>
      </c>
      <c r="AD372" s="66">
        <f t="shared" si="122"/>
        <v>0</v>
      </c>
      <c r="AE372" s="66">
        <f t="shared" si="123"/>
        <v>0</v>
      </c>
      <c r="AF372" s="66">
        <f t="shared" si="124"/>
        <v>0</v>
      </c>
      <c r="AG372" s="260">
        <f t="shared" si="104"/>
        <v>0</v>
      </c>
      <c r="AH372" s="254" t="str">
        <f t="shared" si="105"/>
        <v>ok</v>
      </c>
      <c r="AI372" s="253">
        <v>0</v>
      </c>
      <c r="AK372" s="50"/>
    </row>
    <row r="373" spans="1:37" hidden="1" x14ac:dyDescent="0.2">
      <c r="A373" s="208"/>
      <c r="B373" s="208"/>
      <c r="C373" s="50"/>
      <c r="D373" s="14" t="s">
        <v>261</v>
      </c>
      <c r="E373" s="93">
        <v>0</v>
      </c>
      <c r="F373" s="66">
        <f t="shared" si="96"/>
        <v>0</v>
      </c>
      <c r="G373" s="66">
        <f t="shared" si="97"/>
        <v>0</v>
      </c>
      <c r="H373" s="66">
        <f t="shared" si="98"/>
        <v>0</v>
      </c>
      <c r="I373" s="66">
        <f t="shared" si="99"/>
        <v>0</v>
      </c>
      <c r="J373" s="66">
        <f t="shared" si="100"/>
        <v>0</v>
      </c>
      <c r="K373" s="66">
        <f t="shared" si="101"/>
        <v>0</v>
      </c>
      <c r="L373" s="66">
        <f t="shared" si="102"/>
        <v>0</v>
      </c>
      <c r="M373" s="66">
        <f t="shared" si="103"/>
        <v>0</v>
      </c>
      <c r="N373" s="66">
        <f t="shared" si="106"/>
        <v>0</v>
      </c>
      <c r="O373" s="66">
        <f t="shared" si="107"/>
        <v>0</v>
      </c>
      <c r="P373" s="66">
        <f t="shared" si="108"/>
        <v>0</v>
      </c>
      <c r="Q373" s="66">
        <f t="shared" si="109"/>
        <v>0</v>
      </c>
      <c r="R373" s="66">
        <f t="shared" si="110"/>
        <v>0</v>
      </c>
      <c r="S373" s="66">
        <f t="shared" si="111"/>
        <v>0</v>
      </c>
      <c r="T373" s="66">
        <f t="shared" si="112"/>
        <v>0</v>
      </c>
      <c r="U373" s="66">
        <f t="shared" si="113"/>
        <v>0</v>
      </c>
      <c r="V373" s="66">
        <f t="shared" si="114"/>
        <v>0</v>
      </c>
      <c r="W373" s="66">
        <f t="shared" si="115"/>
        <v>0</v>
      </c>
      <c r="X373" s="66">
        <f t="shared" si="116"/>
        <v>0</v>
      </c>
      <c r="Y373" s="66">
        <f t="shared" si="117"/>
        <v>0</v>
      </c>
      <c r="Z373" s="66">
        <f t="shared" si="118"/>
        <v>0</v>
      </c>
      <c r="AA373" s="66">
        <f t="shared" si="119"/>
        <v>0</v>
      </c>
      <c r="AB373" s="66">
        <f t="shared" si="120"/>
        <v>0</v>
      </c>
      <c r="AC373" s="66">
        <f t="shared" si="121"/>
        <v>0</v>
      </c>
      <c r="AD373" s="66">
        <f t="shared" si="122"/>
        <v>0</v>
      </c>
      <c r="AE373" s="66">
        <f t="shared" si="123"/>
        <v>0</v>
      </c>
      <c r="AF373" s="66">
        <f t="shared" si="124"/>
        <v>0</v>
      </c>
      <c r="AG373" s="93">
        <f t="shared" ref="AG373" si="129">SUM(F373:AF373)</f>
        <v>0</v>
      </c>
      <c r="AH373" s="30" t="str">
        <f t="shared" ref="AH373" si="130">IF(ABS(E373-AG373)&lt;0.01,"ok","err")</f>
        <v>ok</v>
      </c>
    </row>
    <row r="374" spans="1:37" hidden="1" x14ac:dyDescent="0.2">
      <c r="A374" s="209"/>
      <c r="B374" s="208"/>
      <c r="C374" s="50"/>
      <c r="D374" s="14" t="s">
        <v>261</v>
      </c>
      <c r="E374" s="93">
        <v>0</v>
      </c>
      <c r="F374" s="66">
        <f t="shared" si="96"/>
        <v>0</v>
      </c>
      <c r="G374" s="66">
        <f t="shared" si="97"/>
        <v>0</v>
      </c>
      <c r="H374" s="66">
        <f t="shared" si="98"/>
        <v>0</v>
      </c>
      <c r="I374" s="66">
        <f t="shared" si="99"/>
        <v>0</v>
      </c>
      <c r="J374" s="66">
        <f t="shared" si="100"/>
        <v>0</v>
      </c>
      <c r="K374" s="66">
        <f t="shared" si="101"/>
        <v>0</v>
      </c>
      <c r="L374" s="66">
        <f t="shared" si="102"/>
        <v>0</v>
      </c>
      <c r="M374" s="66">
        <f t="shared" si="103"/>
        <v>0</v>
      </c>
      <c r="N374" s="66">
        <f t="shared" si="106"/>
        <v>0</v>
      </c>
      <c r="O374" s="66">
        <f t="shared" si="107"/>
        <v>0</v>
      </c>
      <c r="P374" s="66">
        <f t="shared" si="108"/>
        <v>0</v>
      </c>
      <c r="Q374" s="66">
        <f t="shared" si="109"/>
        <v>0</v>
      </c>
      <c r="R374" s="66">
        <f t="shared" si="110"/>
        <v>0</v>
      </c>
      <c r="S374" s="66">
        <f t="shared" si="111"/>
        <v>0</v>
      </c>
      <c r="T374" s="66">
        <f t="shared" si="112"/>
        <v>0</v>
      </c>
      <c r="U374" s="66">
        <f t="shared" si="113"/>
        <v>0</v>
      </c>
      <c r="V374" s="66">
        <f t="shared" si="114"/>
        <v>0</v>
      </c>
      <c r="W374" s="66">
        <f t="shared" si="115"/>
        <v>0</v>
      </c>
      <c r="X374" s="66">
        <f t="shared" si="116"/>
        <v>0</v>
      </c>
      <c r="Y374" s="66">
        <f t="shared" si="117"/>
        <v>0</v>
      </c>
      <c r="Z374" s="66">
        <f t="shared" si="118"/>
        <v>0</v>
      </c>
      <c r="AA374" s="66">
        <f t="shared" si="119"/>
        <v>0</v>
      </c>
      <c r="AB374" s="66">
        <f t="shared" si="120"/>
        <v>0</v>
      </c>
      <c r="AC374" s="66">
        <f t="shared" si="121"/>
        <v>0</v>
      </c>
      <c r="AD374" s="66">
        <f t="shared" si="122"/>
        <v>0</v>
      </c>
      <c r="AE374" s="66">
        <f t="shared" si="123"/>
        <v>0</v>
      </c>
      <c r="AF374" s="66">
        <f t="shared" si="124"/>
        <v>0</v>
      </c>
      <c r="AG374" s="93">
        <f>SUM(F374:AF374)</f>
        <v>0</v>
      </c>
      <c r="AH374" s="30" t="str">
        <f>IF(ABS(E374-AG374)&lt;0.01,"ok","err")</f>
        <v>ok</v>
      </c>
    </row>
    <row r="375" spans="1:37" hidden="1" x14ac:dyDescent="0.2">
      <c r="A375" s="209"/>
      <c r="B375" s="208"/>
      <c r="C375" s="50"/>
      <c r="D375" s="14" t="s">
        <v>261</v>
      </c>
      <c r="E375" s="93">
        <v>0</v>
      </c>
      <c r="F375" s="66">
        <f t="shared" si="96"/>
        <v>0</v>
      </c>
      <c r="G375" s="66">
        <f t="shared" si="97"/>
        <v>0</v>
      </c>
      <c r="H375" s="66">
        <f t="shared" si="98"/>
        <v>0</v>
      </c>
      <c r="I375" s="66">
        <f t="shared" si="99"/>
        <v>0</v>
      </c>
      <c r="J375" s="66">
        <f t="shared" si="100"/>
        <v>0</v>
      </c>
      <c r="K375" s="66">
        <f t="shared" si="101"/>
        <v>0</v>
      </c>
      <c r="L375" s="66">
        <f t="shared" si="102"/>
        <v>0</v>
      </c>
      <c r="M375" s="66">
        <f t="shared" si="103"/>
        <v>0</v>
      </c>
      <c r="N375" s="66">
        <f t="shared" si="106"/>
        <v>0</v>
      </c>
      <c r="O375" s="66">
        <f t="shared" si="107"/>
        <v>0</v>
      </c>
      <c r="P375" s="66">
        <f t="shared" si="108"/>
        <v>0</v>
      </c>
      <c r="Q375" s="66">
        <f t="shared" si="109"/>
        <v>0</v>
      </c>
      <c r="R375" s="66">
        <f t="shared" si="110"/>
        <v>0</v>
      </c>
      <c r="S375" s="66">
        <f t="shared" si="111"/>
        <v>0</v>
      </c>
      <c r="T375" s="66">
        <f t="shared" si="112"/>
        <v>0</v>
      </c>
      <c r="U375" s="66">
        <f t="shared" si="113"/>
        <v>0</v>
      </c>
      <c r="V375" s="66">
        <f t="shared" si="114"/>
        <v>0</v>
      </c>
      <c r="W375" s="66">
        <f t="shared" si="115"/>
        <v>0</v>
      </c>
      <c r="X375" s="66">
        <f t="shared" si="116"/>
        <v>0</v>
      </c>
      <c r="Y375" s="66">
        <f t="shared" si="117"/>
        <v>0</v>
      </c>
      <c r="Z375" s="66">
        <f t="shared" si="118"/>
        <v>0</v>
      </c>
      <c r="AA375" s="66">
        <f t="shared" si="119"/>
        <v>0</v>
      </c>
      <c r="AB375" s="66">
        <f t="shared" si="120"/>
        <v>0</v>
      </c>
      <c r="AC375" s="66">
        <f t="shared" si="121"/>
        <v>0</v>
      </c>
      <c r="AD375" s="66">
        <f t="shared" si="122"/>
        <v>0</v>
      </c>
      <c r="AE375" s="66">
        <f t="shared" si="123"/>
        <v>0</v>
      </c>
      <c r="AF375" s="66">
        <f t="shared" si="124"/>
        <v>0</v>
      </c>
      <c r="AG375" s="93">
        <f t="shared" ref="AG375:AG378" si="131">SUM(F375:AF375)</f>
        <v>0</v>
      </c>
      <c r="AH375" s="30" t="str">
        <f t="shared" ref="AH375:AH378" si="132">IF(ABS(E375-AG375)&lt;0.01,"ok","err")</f>
        <v>ok</v>
      </c>
    </row>
    <row r="376" spans="1:37" hidden="1" x14ac:dyDescent="0.2">
      <c r="A376" s="209"/>
      <c r="B376" s="208"/>
      <c r="D376" s="14" t="s">
        <v>261</v>
      </c>
      <c r="E376" s="66">
        <v>0</v>
      </c>
      <c r="F376" s="66">
        <f t="shared" si="96"/>
        <v>0</v>
      </c>
      <c r="G376" s="66">
        <f t="shared" si="97"/>
        <v>0</v>
      </c>
      <c r="H376" s="66">
        <f t="shared" si="98"/>
        <v>0</v>
      </c>
      <c r="I376" s="66">
        <f t="shared" si="99"/>
        <v>0</v>
      </c>
      <c r="J376" s="66">
        <f t="shared" si="100"/>
        <v>0</v>
      </c>
      <c r="K376" s="66">
        <f t="shared" si="101"/>
        <v>0</v>
      </c>
      <c r="L376" s="66">
        <f t="shared" si="102"/>
        <v>0</v>
      </c>
      <c r="M376" s="66">
        <f t="shared" si="103"/>
        <v>0</v>
      </c>
      <c r="N376" s="66">
        <f t="shared" si="106"/>
        <v>0</v>
      </c>
      <c r="O376" s="66">
        <f t="shared" si="107"/>
        <v>0</v>
      </c>
      <c r="P376" s="66">
        <f t="shared" si="108"/>
        <v>0</v>
      </c>
      <c r="Q376" s="66">
        <f t="shared" si="109"/>
        <v>0</v>
      </c>
      <c r="R376" s="66">
        <f t="shared" si="110"/>
        <v>0</v>
      </c>
      <c r="S376" s="66">
        <f t="shared" si="111"/>
        <v>0</v>
      </c>
      <c r="T376" s="66">
        <f t="shared" si="112"/>
        <v>0</v>
      </c>
      <c r="U376" s="66">
        <f t="shared" si="113"/>
        <v>0</v>
      </c>
      <c r="V376" s="66">
        <f t="shared" si="114"/>
        <v>0</v>
      </c>
      <c r="W376" s="66">
        <f t="shared" si="115"/>
        <v>0</v>
      </c>
      <c r="X376" s="66">
        <f t="shared" si="116"/>
        <v>0</v>
      </c>
      <c r="Y376" s="66">
        <f t="shared" si="117"/>
        <v>0</v>
      </c>
      <c r="Z376" s="66">
        <f t="shared" si="118"/>
        <v>0</v>
      </c>
      <c r="AA376" s="66">
        <f t="shared" si="119"/>
        <v>0</v>
      </c>
      <c r="AB376" s="66">
        <f t="shared" si="120"/>
        <v>0</v>
      </c>
      <c r="AC376" s="66">
        <f t="shared" si="121"/>
        <v>0</v>
      </c>
      <c r="AD376" s="66">
        <f t="shared" si="122"/>
        <v>0</v>
      </c>
      <c r="AE376" s="66">
        <f t="shared" si="123"/>
        <v>0</v>
      </c>
      <c r="AF376" s="66">
        <f t="shared" si="124"/>
        <v>0</v>
      </c>
      <c r="AG376" s="93">
        <f t="shared" si="131"/>
        <v>0</v>
      </c>
      <c r="AH376" s="30" t="str">
        <f t="shared" si="132"/>
        <v>ok</v>
      </c>
    </row>
    <row r="377" spans="1:37" hidden="1" x14ac:dyDescent="0.2">
      <c r="A377" s="209"/>
      <c r="B377" s="208"/>
      <c r="D377" s="14" t="s">
        <v>261</v>
      </c>
      <c r="E377" s="66">
        <v>0</v>
      </c>
      <c r="F377" s="66">
        <f t="shared" si="96"/>
        <v>0</v>
      </c>
      <c r="G377" s="66">
        <f t="shared" si="97"/>
        <v>0</v>
      </c>
      <c r="H377" s="66">
        <f t="shared" si="98"/>
        <v>0</v>
      </c>
      <c r="I377" s="66">
        <f t="shared" si="99"/>
        <v>0</v>
      </c>
      <c r="J377" s="66">
        <f t="shared" si="100"/>
        <v>0</v>
      </c>
      <c r="K377" s="66">
        <f t="shared" si="101"/>
        <v>0</v>
      </c>
      <c r="L377" s="66">
        <f t="shared" si="102"/>
        <v>0</v>
      </c>
      <c r="M377" s="66">
        <f t="shared" si="103"/>
        <v>0</v>
      </c>
      <c r="N377" s="66">
        <f t="shared" si="106"/>
        <v>0</v>
      </c>
      <c r="O377" s="66">
        <f t="shared" si="107"/>
        <v>0</v>
      </c>
      <c r="P377" s="66">
        <f t="shared" si="108"/>
        <v>0</v>
      </c>
      <c r="Q377" s="66">
        <f t="shared" si="109"/>
        <v>0</v>
      </c>
      <c r="R377" s="66">
        <f t="shared" si="110"/>
        <v>0</v>
      </c>
      <c r="S377" s="66">
        <f t="shared" si="111"/>
        <v>0</v>
      </c>
      <c r="T377" s="66">
        <f t="shared" si="112"/>
        <v>0</v>
      </c>
      <c r="U377" s="66">
        <f t="shared" si="113"/>
        <v>0</v>
      </c>
      <c r="V377" s="66">
        <f t="shared" si="114"/>
        <v>0</v>
      </c>
      <c r="W377" s="66">
        <f t="shared" si="115"/>
        <v>0</v>
      </c>
      <c r="X377" s="66">
        <f t="shared" si="116"/>
        <v>0</v>
      </c>
      <c r="Y377" s="66">
        <f t="shared" si="117"/>
        <v>0</v>
      </c>
      <c r="Z377" s="66">
        <f t="shared" si="118"/>
        <v>0</v>
      </c>
      <c r="AA377" s="66">
        <f t="shared" si="119"/>
        <v>0</v>
      </c>
      <c r="AB377" s="66">
        <f t="shared" si="120"/>
        <v>0</v>
      </c>
      <c r="AC377" s="66">
        <f t="shared" si="121"/>
        <v>0</v>
      </c>
      <c r="AD377" s="66">
        <f t="shared" si="122"/>
        <v>0</v>
      </c>
      <c r="AE377" s="66">
        <f t="shared" si="123"/>
        <v>0</v>
      </c>
      <c r="AF377" s="66">
        <f t="shared" si="124"/>
        <v>0</v>
      </c>
      <c r="AG377" s="93">
        <f t="shared" si="131"/>
        <v>0</v>
      </c>
      <c r="AH377" s="30" t="str">
        <f t="shared" si="132"/>
        <v>ok</v>
      </c>
    </row>
    <row r="378" spans="1:37" hidden="1" x14ac:dyDescent="0.2">
      <c r="A378" s="209"/>
      <c r="B378" s="208"/>
      <c r="D378" s="14" t="s">
        <v>261</v>
      </c>
      <c r="E378" s="66">
        <v>0</v>
      </c>
      <c r="F378" s="66">
        <f t="shared" si="96"/>
        <v>0</v>
      </c>
      <c r="G378" s="66">
        <f t="shared" si="97"/>
        <v>0</v>
      </c>
      <c r="H378" s="66">
        <f t="shared" si="98"/>
        <v>0</v>
      </c>
      <c r="I378" s="66">
        <f t="shared" si="99"/>
        <v>0</v>
      </c>
      <c r="J378" s="66">
        <f t="shared" si="100"/>
        <v>0</v>
      </c>
      <c r="K378" s="66">
        <f t="shared" si="101"/>
        <v>0</v>
      </c>
      <c r="L378" s="66">
        <f t="shared" si="102"/>
        <v>0</v>
      </c>
      <c r="M378" s="66">
        <f t="shared" si="103"/>
        <v>0</v>
      </c>
      <c r="N378" s="66">
        <f t="shared" si="106"/>
        <v>0</v>
      </c>
      <c r="O378" s="66">
        <f t="shared" si="107"/>
        <v>0</v>
      </c>
      <c r="P378" s="66">
        <f t="shared" si="108"/>
        <v>0</v>
      </c>
      <c r="Q378" s="66">
        <f t="shared" si="109"/>
        <v>0</v>
      </c>
      <c r="R378" s="66">
        <f t="shared" si="110"/>
        <v>0</v>
      </c>
      <c r="S378" s="66">
        <f t="shared" si="111"/>
        <v>0</v>
      </c>
      <c r="T378" s="66">
        <f t="shared" si="112"/>
        <v>0</v>
      </c>
      <c r="U378" s="66">
        <f t="shared" si="113"/>
        <v>0</v>
      </c>
      <c r="V378" s="66">
        <f t="shared" si="114"/>
        <v>0</v>
      </c>
      <c r="W378" s="66">
        <f t="shared" si="115"/>
        <v>0</v>
      </c>
      <c r="X378" s="66">
        <f t="shared" si="116"/>
        <v>0</v>
      </c>
      <c r="Y378" s="66">
        <f t="shared" si="117"/>
        <v>0</v>
      </c>
      <c r="Z378" s="66">
        <f t="shared" si="118"/>
        <v>0</v>
      </c>
      <c r="AA378" s="66">
        <f t="shared" si="119"/>
        <v>0</v>
      </c>
      <c r="AB378" s="66">
        <f t="shared" si="120"/>
        <v>0</v>
      </c>
      <c r="AC378" s="66">
        <f t="shared" si="121"/>
        <v>0</v>
      </c>
      <c r="AD378" s="66">
        <f t="shared" si="122"/>
        <v>0</v>
      </c>
      <c r="AE378" s="66">
        <f t="shared" si="123"/>
        <v>0</v>
      </c>
      <c r="AF378" s="66">
        <f t="shared" si="124"/>
        <v>0</v>
      </c>
      <c r="AG378" s="93">
        <f t="shared" si="131"/>
        <v>0</v>
      </c>
      <c r="AH378" s="30" t="str">
        <f t="shared" si="132"/>
        <v>ok</v>
      </c>
    </row>
    <row r="379" spans="1:37" hidden="1" x14ac:dyDescent="0.2">
      <c r="A379" s="209"/>
      <c r="B379" s="208"/>
      <c r="D379" s="14" t="s">
        <v>261</v>
      </c>
      <c r="E379" s="66">
        <v>0</v>
      </c>
      <c r="F379" s="66">
        <f t="shared" si="96"/>
        <v>0</v>
      </c>
      <c r="G379" s="66">
        <f t="shared" si="97"/>
        <v>0</v>
      </c>
      <c r="H379" s="66">
        <f t="shared" si="98"/>
        <v>0</v>
      </c>
      <c r="I379" s="66">
        <f t="shared" si="99"/>
        <v>0</v>
      </c>
      <c r="J379" s="66">
        <f t="shared" si="100"/>
        <v>0</v>
      </c>
      <c r="K379" s="66">
        <f t="shared" si="101"/>
        <v>0</v>
      </c>
      <c r="L379" s="66">
        <f t="shared" si="102"/>
        <v>0</v>
      </c>
      <c r="M379" s="66">
        <f t="shared" si="103"/>
        <v>0</v>
      </c>
      <c r="N379" s="66">
        <f t="shared" si="106"/>
        <v>0</v>
      </c>
      <c r="O379" s="66">
        <f t="shared" si="107"/>
        <v>0</v>
      </c>
      <c r="P379" s="66">
        <f t="shared" si="108"/>
        <v>0</v>
      </c>
      <c r="Q379" s="66">
        <f t="shared" si="109"/>
        <v>0</v>
      </c>
      <c r="R379" s="66">
        <f t="shared" si="110"/>
        <v>0</v>
      </c>
      <c r="S379" s="66">
        <f t="shared" si="111"/>
        <v>0</v>
      </c>
      <c r="T379" s="66">
        <f t="shared" si="112"/>
        <v>0</v>
      </c>
      <c r="U379" s="66">
        <f t="shared" si="113"/>
        <v>0</v>
      </c>
      <c r="V379" s="66">
        <f t="shared" si="114"/>
        <v>0</v>
      </c>
      <c r="W379" s="66">
        <f t="shared" si="115"/>
        <v>0</v>
      </c>
      <c r="X379" s="66">
        <f t="shared" si="116"/>
        <v>0</v>
      </c>
      <c r="Y379" s="66">
        <f t="shared" si="117"/>
        <v>0</v>
      </c>
      <c r="Z379" s="66">
        <f t="shared" si="118"/>
        <v>0</v>
      </c>
      <c r="AA379" s="66">
        <f t="shared" si="119"/>
        <v>0</v>
      </c>
      <c r="AB379" s="66">
        <f t="shared" si="120"/>
        <v>0</v>
      </c>
      <c r="AC379" s="66">
        <f t="shared" si="121"/>
        <v>0</v>
      </c>
      <c r="AD379" s="66">
        <f t="shared" si="122"/>
        <v>0</v>
      </c>
      <c r="AE379" s="66">
        <f t="shared" si="123"/>
        <v>0</v>
      </c>
      <c r="AF379" s="66">
        <f t="shared" si="124"/>
        <v>0</v>
      </c>
      <c r="AG379" s="93">
        <f t="shared" ref="AG379:AG380" si="133">SUM(F379:AF379)</f>
        <v>0</v>
      </c>
      <c r="AH379" s="30" t="str">
        <f t="shared" ref="AH379:AH380" si="134">IF(ABS(E379-AG379)&lt;0.01,"ok","err")</f>
        <v>ok</v>
      </c>
    </row>
    <row r="380" spans="1:37" hidden="1" x14ac:dyDescent="0.2">
      <c r="A380" s="209"/>
      <c r="B380" s="208"/>
      <c r="D380" s="14" t="s">
        <v>261</v>
      </c>
      <c r="E380" s="66">
        <v>0</v>
      </c>
      <c r="F380" s="66">
        <f t="shared" si="96"/>
        <v>0</v>
      </c>
      <c r="G380" s="66">
        <f t="shared" si="97"/>
        <v>0</v>
      </c>
      <c r="H380" s="66">
        <f t="shared" si="98"/>
        <v>0</v>
      </c>
      <c r="I380" s="66">
        <f t="shared" si="99"/>
        <v>0</v>
      </c>
      <c r="J380" s="66">
        <f t="shared" si="100"/>
        <v>0</v>
      </c>
      <c r="K380" s="66">
        <f t="shared" si="101"/>
        <v>0</v>
      </c>
      <c r="L380" s="66">
        <f t="shared" si="102"/>
        <v>0</v>
      </c>
      <c r="M380" s="66">
        <f t="shared" si="103"/>
        <v>0</v>
      </c>
      <c r="N380" s="66">
        <f t="shared" si="106"/>
        <v>0</v>
      </c>
      <c r="O380" s="66">
        <f t="shared" si="107"/>
        <v>0</v>
      </c>
      <c r="P380" s="66">
        <f t="shared" si="108"/>
        <v>0</v>
      </c>
      <c r="Q380" s="66">
        <f t="shared" si="109"/>
        <v>0</v>
      </c>
      <c r="R380" s="66">
        <f t="shared" si="110"/>
        <v>0</v>
      </c>
      <c r="S380" s="66">
        <f t="shared" si="111"/>
        <v>0</v>
      </c>
      <c r="T380" s="66">
        <f t="shared" si="112"/>
        <v>0</v>
      </c>
      <c r="U380" s="66">
        <f t="shared" si="113"/>
        <v>0</v>
      </c>
      <c r="V380" s="66">
        <f t="shared" si="114"/>
        <v>0</v>
      </c>
      <c r="W380" s="66">
        <f t="shared" si="115"/>
        <v>0</v>
      </c>
      <c r="X380" s="66">
        <f t="shared" si="116"/>
        <v>0</v>
      </c>
      <c r="Y380" s="66">
        <f t="shared" si="117"/>
        <v>0</v>
      </c>
      <c r="Z380" s="66">
        <f t="shared" si="118"/>
        <v>0</v>
      </c>
      <c r="AA380" s="66">
        <f t="shared" si="119"/>
        <v>0</v>
      </c>
      <c r="AB380" s="66">
        <f t="shared" si="120"/>
        <v>0</v>
      </c>
      <c r="AC380" s="66">
        <f t="shared" si="121"/>
        <v>0</v>
      </c>
      <c r="AD380" s="66">
        <f t="shared" si="122"/>
        <v>0</v>
      </c>
      <c r="AE380" s="66">
        <f t="shared" si="123"/>
        <v>0</v>
      </c>
      <c r="AF380" s="66">
        <f t="shared" si="124"/>
        <v>0</v>
      </c>
      <c r="AG380" s="93">
        <f t="shared" si="133"/>
        <v>0</v>
      </c>
      <c r="AH380" s="30" t="str">
        <f t="shared" si="134"/>
        <v>ok</v>
      </c>
    </row>
    <row r="381" spans="1:37" hidden="1" x14ac:dyDescent="0.2">
      <c r="A381" s="209"/>
      <c r="B381" s="208"/>
      <c r="D381" s="14" t="s">
        <v>261</v>
      </c>
      <c r="E381" s="66">
        <v>0</v>
      </c>
      <c r="F381" s="66">
        <f t="shared" si="96"/>
        <v>0</v>
      </c>
      <c r="G381" s="66">
        <f t="shared" si="97"/>
        <v>0</v>
      </c>
      <c r="H381" s="66">
        <f t="shared" si="98"/>
        <v>0</v>
      </c>
      <c r="I381" s="66">
        <f t="shared" si="99"/>
        <v>0</v>
      </c>
      <c r="J381" s="66">
        <f t="shared" si="100"/>
        <v>0</v>
      </c>
      <c r="K381" s="66">
        <f t="shared" si="101"/>
        <v>0</v>
      </c>
      <c r="L381" s="66">
        <f t="shared" si="102"/>
        <v>0</v>
      </c>
      <c r="M381" s="66">
        <f t="shared" si="103"/>
        <v>0</v>
      </c>
      <c r="N381" s="66">
        <f t="shared" si="106"/>
        <v>0</v>
      </c>
      <c r="O381" s="66">
        <f t="shared" si="107"/>
        <v>0</v>
      </c>
      <c r="P381" s="66">
        <f t="shared" si="108"/>
        <v>0</v>
      </c>
      <c r="Q381" s="66">
        <f t="shared" si="109"/>
        <v>0</v>
      </c>
      <c r="R381" s="66">
        <f t="shared" si="110"/>
        <v>0</v>
      </c>
      <c r="S381" s="66">
        <f t="shared" si="111"/>
        <v>0</v>
      </c>
      <c r="T381" s="66">
        <f t="shared" si="112"/>
        <v>0</v>
      </c>
      <c r="U381" s="66">
        <f t="shared" si="113"/>
        <v>0</v>
      </c>
      <c r="V381" s="66">
        <f t="shared" si="114"/>
        <v>0</v>
      </c>
      <c r="W381" s="66">
        <f t="shared" si="115"/>
        <v>0</v>
      </c>
      <c r="X381" s="66">
        <f t="shared" si="116"/>
        <v>0</v>
      </c>
      <c r="Y381" s="66">
        <f t="shared" si="117"/>
        <v>0</v>
      </c>
      <c r="Z381" s="66">
        <f t="shared" si="118"/>
        <v>0</v>
      </c>
      <c r="AA381" s="66">
        <f t="shared" si="119"/>
        <v>0</v>
      </c>
      <c r="AB381" s="66">
        <f t="shared" si="120"/>
        <v>0</v>
      </c>
      <c r="AC381" s="66">
        <f t="shared" si="121"/>
        <v>0</v>
      </c>
      <c r="AD381" s="66">
        <f t="shared" si="122"/>
        <v>0</v>
      </c>
      <c r="AE381" s="66">
        <f t="shared" si="123"/>
        <v>0</v>
      </c>
      <c r="AF381" s="66">
        <f t="shared" si="124"/>
        <v>0</v>
      </c>
      <c r="AG381" s="93">
        <f t="shared" ref="AG381" si="135">SUM(F381:AF381)</f>
        <v>0</v>
      </c>
      <c r="AH381" s="30" t="str">
        <f t="shared" ref="AH381" si="136">IF(ABS(E381-AG381)&lt;0.01,"ok","err")</f>
        <v>ok</v>
      </c>
    </row>
    <row r="382" spans="1:37" hidden="1" x14ac:dyDescent="0.2">
      <c r="A382" s="209"/>
      <c r="B382" s="208"/>
      <c r="D382" s="14" t="s">
        <v>261</v>
      </c>
      <c r="E382" s="66">
        <v>0</v>
      </c>
      <c r="F382" s="66">
        <f t="shared" si="96"/>
        <v>0</v>
      </c>
      <c r="G382" s="66">
        <f t="shared" si="97"/>
        <v>0</v>
      </c>
      <c r="H382" s="66">
        <f t="shared" si="98"/>
        <v>0</v>
      </c>
      <c r="I382" s="66">
        <f t="shared" si="99"/>
        <v>0</v>
      </c>
      <c r="J382" s="66">
        <f t="shared" si="100"/>
        <v>0</v>
      </c>
      <c r="K382" s="66">
        <f t="shared" si="101"/>
        <v>0</v>
      </c>
      <c r="L382" s="66">
        <f t="shared" si="102"/>
        <v>0</v>
      </c>
      <c r="M382" s="66">
        <f t="shared" si="103"/>
        <v>0</v>
      </c>
      <c r="N382" s="66">
        <f t="shared" si="106"/>
        <v>0</v>
      </c>
      <c r="O382" s="66">
        <f t="shared" si="107"/>
        <v>0</v>
      </c>
      <c r="P382" s="66">
        <f t="shared" si="108"/>
        <v>0</v>
      </c>
      <c r="Q382" s="66">
        <f t="shared" si="109"/>
        <v>0</v>
      </c>
      <c r="R382" s="66">
        <f t="shared" si="110"/>
        <v>0</v>
      </c>
      <c r="S382" s="66">
        <f t="shared" si="111"/>
        <v>0</v>
      </c>
      <c r="T382" s="66">
        <f t="shared" si="112"/>
        <v>0</v>
      </c>
      <c r="U382" s="66">
        <f t="shared" si="113"/>
        <v>0</v>
      </c>
      <c r="V382" s="66">
        <f t="shared" si="114"/>
        <v>0</v>
      </c>
      <c r="W382" s="66">
        <f t="shared" si="115"/>
        <v>0</v>
      </c>
      <c r="X382" s="66">
        <f t="shared" si="116"/>
        <v>0</v>
      </c>
      <c r="Y382" s="66">
        <f t="shared" si="117"/>
        <v>0</v>
      </c>
      <c r="Z382" s="66">
        <f t="shared" si="118"/>
        <v>0</v>
      </c>
      <c r="AA382" s="66">
        <f t="shared" si="119"/>
        <v>0</v>
      </c>
      <c r="AB382" s="66">
        <f t="shared" si="120"/>
        <v>0</v>
      </c>
      <c r="AC382" s="66">
        <f t="shared" si="121"/>
        <v>0</v>
      </c>
      <c r="AD382" s="66">
        <f t="shared" si="122"/>
        <v>0</v>
      </c>
      <c r="AE382" s="66">
        <f t="shared" si="123"/>
        <v>0</v>
      </c>
      <c r="AF382" s="66">
        <f t="shared" si="124"/>
        <v>0</v>
      </c>
      <c r="AG382" s="93">
        <f t="shared" si="104"/>
        <v>0</v>
      </c>
      <c r="AH382" s="30" t="str">
        <f t="shared" si="105"/>
        <v>ok</v>
      </c>
    </row>
    <row r="383" spans="1:37" x14ac:dyDescent="0.2">
      <c r="B383" s="27" t="s">
        <v>902</v>
      </c>
      <c r="E383" s="104">
        <f>SUM(E358:E382)</f>
        <v>-8973256.6796569042</v>
      </c>
      <c r="F383" s="104">
        <f t="shared" ref="F383:R383" si="137">SUM(F358:F382)</f>
        <v>-6627774.9370848807</v>
      </c>
      <c r="G383" s="104">
        <f t="shared" si="137"/>
        <v>-1362.3384595877371</v>
      </c>
      <c r="H383" s="104">
        <f t="shared" si="137"/>
        <v>-371321.45574200747</v>
      </c>
      <c r="I383" s="104">
        <f t="shared" si="137"/>
        <v>-232197.21778568564</v>
      </c>
      <c r="J383" s="104">
        <f t="shared" si="137"/>
        <v>-17354.727976507449</v>
      </c>
      <c r="K383" s="104">
        <f t="shared" si="137"/>
        <v>-265298.54955390975</v>
      </c>
      <c r="L383" s="104">
        <f t="shared" si="137"/>
        <v>-1447763.7471215543</v>
      </c>
      <c r="M383" s="104">
        <f t="shared" si="137"/>
        <v>-10183.705932770656</v>
      </c>
      <c r="N383" s="104">
        <f t="shared" si="137"/>
        <v>0</v>
      </c>
      <c r="O383" s="104">
        <f t="shared" si="137"/>
        <v>0</v>
      </c>
      <c r="P383" s="104">
        <f t="shared" si="137"/>
        <v>0</v>
      </c>
      <c r="Q383" s="104">
        <f t="shared" si="137"/>
        <v>0</v>
      </c>
      <c r="R383" s="104">
        <f t="shared" si="137"/>
        <v>0</v>
      </c>
      <c r="S383" s="66"/>
      <c r="T383" s="66"/>
      <c r="U383" s="66"/>
      <c r="V383" s="66"/>
      <c r="W383" s="66"/>
      <c r="X383" s="66"/>
      <c r="Y383" s="66"/>
      <c r="Z383" s="66"/>
      <c r="AA383" s="66"/>
      <c r="AB383" s="66"/>
      <c r="AC383" s="66"/>
      <c r="AD383" s="66"/>
      <c r="AE383" s="66"/>
      <c r="AF383" s="66"/>
      <c r="AG383" s="104">
        <f t="shared" si="104"/>
        <v>-8973256.6796569023</v>
      </c>
      <c r="AH383" s="30" t="str">
        <f t="shared" si="105"/>
        <v>ok</v>
      </c>
    </row>
    <row r="384" spans="1:37" x14ac:dyDescent="0.2">
      <c r="E384" s="93"/>
    </row>
    <row r="385" spans="1:34" x14ac:dyDescent="0.2">
      <c r="A385" s="14" t="s">
        <v>572</v>
      </c>
      <c r="E385" s="93">
        <f>E355+E383</f>
        <v>40628481.860343084</v>
      </c>
      <c r="F385" s="93">
        <f t="shared" ref="F385:R385" si="138">F355+F383</f>
        <v>29445337.537399482</v>
      </c>
      <c r="G385" s="93">
        <f t="shared" si="138"/>
        <v>6690.5631612728967</v>
      </c>
      <c r="H385" s="93">
        <f t="shared" si="138"/>
        <v>1730430.5927262092</v>
      </c>
      <c r="I385" s="93">
        <f t="shared" si="138"/>
        <v>903934.95775096409</v>
      </c>
      <c r="J385" s="93">
        <f t="shared" si="138"/>
        <v>111187.23586681814</v>
      </c>
      <c r="K385" s="93">
        <f t="shared" si="138"/>
        <v>916733.48251977772</v>
      </c>
      <c r="L385" s="93">
        <f t="shared" si="138"/>
        <v>6424792.7317347992</v>
      </c>
      <c r="M385" s="93">
        <f t="shared" si="138"/>
        <v>1089374.763439781</v>
      </c>
      <c r="N385" s="93">
        <f t="shared" si="138"/>
        <v>0</v>
      </c>
      <c r="O385" s="93">
        <f t="shared" si="138"/>
        <v>0</v>
      </c>
      <c r="P385" s="93">
        <f t="shared" si="138"/>
        <v>0</v>
      </c>
      <c r="Q385" s="93">
        <f t="shared" si="138"/>
        <v>0</v>
      </c>
      <c r="R385" s="93">
        <f t="shared" si="138"/>
        <v>0</v>
      </c>
      <c r="S385" s="93">
        <f t="shared" ref="S385:AF385" si="139">SUM(S355:S384)</f>
        <v>0</v>
      </c>
      <c r="T385" s="93">
        <f t="shared" si="139"/>
        <v>0</v>
      </c>
      <c r="U385" s="93">
        <f t="shared" si="139"/>
        <v>0</v>
      </c>
      <c r="V385" s="93">
        <f t="shared" si="139"/>
        <v>0</v>
      </c>
      <c r="W385" s="93">
        <f t="shared" si="139"/>
        <v>0</v>
      </c>
      <c r="X385" s="93">
        <f t="shared" si="139"/>
        <v>0</v>
      </c>
      <c r="Y385" s="93">
        <f t="shared" si="139"/>
        <v>0</v>
      </c>
      <c r="Z385" s="93">
        <f t="shared" si="139"/>
        <v>0</v>
      </c>
      <c r="AA385" s="93">
        <f t="shared" si="139"/>
        <v>0</v>
      </c>
      <c r="AB385" s="93">
        <f t="shared" si="139"/>
        <v>0</v>
      </c>
      <c r="AC385" s="93">
        <f t="shared" si="139"/>
        <v>0</v>
      </c>
      <c r="AD385" s="93">
        <f t="shared" si="139"/>
        <v>0</v>
      </c>
      <c r="AE385" s="93">
        <f t="shared" si="139"/>
        <v>0</v>
      </c>
      <c r="AF385" s="93">
        <f t="shared" si="139"/>
        <v>0</v>
      </c>
      <c r="AG385" s="93">
        <f>SUM(F385:AF385)</f>
        <v>40628481.864599109</v>
      </c>
      <c r="AH385" s="30" t="str">
        <f>IF(ABS(E385-AG385)&lt;0.01,"ok","err")</f>
        <v>ok</v>
      </c>
    </row>
    <row r="387" spans="1:34" x14ac:dyDescent="0.2">
      <c r="A387" s="13" t="s">
        <v>573</v>
      </c>
      <c r="E387" s="93">
        <f t="shared" ref="E387:AF387" si="140">E351-E385</f>
        <v>516933.72965691239</v>
      </c>
      <c r="F387" s="93">
        <f t="shared" si="140"/>
        <v>156842.50450983644</v>
      </c>
      <c r="G387" s="93">
        <f t="shared" si="140"/>
        <v>200.07819824234048</v>
      </c>
      <c r="H387" s="93">
        <f t="shared" si="140"/>
        <v>-38017.117817462888</v>
      </c>
      <c r="I387" s="93">
        <f t="shared" si="140"/>
        <v>238010.3788573636</v>
      </c>
      <c r="J387" s="93">
        <f t="shared" si="140"/>
        <v>-8379.6039723680879</v>
      </c>
      <c r="K387" s="93">
        <f t="shared" si="140"/>
        <v>82634.687723306124</v>
      </c>
      <c r="L387" s="93">
        <f t="shared" si="140"/>
        <v>-492218.6072080154</v>
      </c>
      <c r="M387" s="93">
        <f t="shared" si="140"/>
        <v>577861.40656021866</v>
      </c>
      <c r="N387" s="93">
        <f t="shared" si="140"/>
        <v>0</v>
      </c>
      <c r="O387" s="93">
        <f t="shared" si="140"/>
        <v>0</v>
      </c>
      <c r="P387" s="93">
        <f t="shared" si="140"/>
        <v>0</v>
      </c>
      <c r="Q387" s="93">
        <f t="shared" si="140"/>
        <v>0</v>
      </c>
      <c r="R387" s="93">
        <f t="shared" si="140"/>
        <v>0</v>
      </c>
      <c r="S387" s="93">
        <f t="shared" si="140"/>
        <v>0</v>
      </c>
      <c r="T387" s="93">
        <f t="shared" si="140"/>
        <v>0</v>
      </c>
      <c r="U387" s="93">
        <f t="shared" si="140"/>
        <v>0</v>
      </c>
      <c r="V387" s="93">
        <f t="shared" si="140"/>
        <v>0</v>
      </c>
      <c r="W387" s="93">
        <f t="shared" si="140"/>
        <v>0</v>
      </c>
      <c r="X387" s="93">
        <f t="shared" si="140"/>
        <v>0</v>
      </c>
      <c r="Y387" s="93">
        <f t="shared" si="140"/>
        <v>0</v>
      </c>
      <c r="Z387" s="93">
        <f t="shared" si="140"/>
        <v>0</v>
      </c>
      <c r="AA387" s="93">
        <f t="shared" si="140"/>
        <v>0</v>
      </c>
      <c r="AB387" s="93">
        <f t="shared" si="140"/>
        <v>0</v>
      </c>
      <c r="AC387" s="93">
        <f t="shared" si="140"/>
        <v>0</v>
      </c>
      <c r="AD387" s="93">
        <f t="shared" si="140"/>
        <v>0</v>
      </c>
      <c r="AE387" s="93">
        <f t="shared" si="140"/>
        <v>0</v>
      </c>
      <c r="AF387" s="93">
        <f t="shared" si="140"/>
        <v>0</v>
      </c>
      <c r="AG387" s="93">
        <f>SUM(F387:AF387)</f>
        <v>516933.72685112082</v>
      </c>
      <c r="AH387" s="30" t="str">
        <f>IF(ABS(E387-AG387)&lt;0.01,"ok","err")</f>
        <v>ok</v>
      </c>
    </row>
    <row r="389" spans="1:34" x14ac:dyDescent="0.2">
      <c r="A389" s="13" t="s">
        <v>249</v>
      </c>
      <c r="E389" s="93">
        <f t="shared" ref="E389:AF389" si="141">E328</f>
        <v>76145092.302499995</v>
      </c>
      <c r="F389" s="93">
        <f t="shared" si="141"/>
        <v>60755217.891847856</v>
      </c>
      <c r="G389" s="93">
        <f t="shared" si="141"/>
        <v>17321.951094459615</v>
      </c>
      <c r="H389" s="93">
        <f t="shared" si="141"/>
        <v>3228956.3104836014</v>
      </c>
      <c r="I389" s="93">
        <f t="shared" si="141"/>
        <v>855367.26920252212</v>
      </c>
      <c r="J389" s="93">
        <f t="shared" si="141"/>
        <v>325293.74504705437</v>
      </c>
      <c r="K389" s="93">
        <f t="shared" si="141"/>
        <v>1262655.4567511231</v>
      </c>
      <c r="L389" s="93">
        <f t="shared" si="141"/>
        <v>4288018.7548815534</v>
      </c>
      <c r="M389" s="93">
        <f t="shared" si="141"/>
        <v>5412260.9231907595</v>
      </c>
      <c r="N389" s="93">
        <f>N328</f>
        <v>0</v>
      </c>
      <c r="O389" s="93">
        <f t="shared" si="141"/>
        <v>0</v>
      </c>
      <c r="P389" s="93">
        <f t="shared" si="141"/>
        <v>0</v>
      </c>
      <c r="Q389" s="93">
        <f t="shared" si="141"/>
        <v>0</v>
      </c>
      <c r="R389" s="93">
        <f t="shared" si="141"/>
        <v>0</v>
      </c>
      <c r="S389" s="93">
        <f t="shared" si="141"/>
        <v>0</v>
      </c>
      <c r="T389" s="93">
        <f t="shared" si="141"/>
        <v>0</v>
      </c>
      <c r="U389" s="93">
        <f t="shared" si="141"/>
        <v>0</v>
      </c>
      <c r="V389" s="93">
        <f t="shared" si="141"/>
        <v>0</v>
      </c>
      <c r="W389" s="93">
        <f t="shared" si="141"/>
        <v>0</v>
      </c>
      <c r="X389" s="93">
        <f t="shared" si="141"/>
        <v>0</v>
      </c>
      <c r="Y389" s="93">
        <f t="shared" si="141"/>
        <v>0</v>
      </c>
      <c r="Z389" s="93">
        <f t="shared" si="141"/>
        <v>0</v>
      </c>
      <c r="AA389" s="93">
        <f t="shared" si="141"/>
        <v>0</v>
      </c>
      <c r="AB389" s="93">
        <f t="shared" si="141"/>
        <v>0</v>
      </c>
      <c r="AC389" s="93">
        <f t="shared" si="141"/>
        <v>0</v>
      </c>
      <c r="AD389" s="93">
        <f t="shared" si="141"/>
        <v>0</v>
      </c>
      <c r="AE389" s="93">
        <f t="shared" si="141"/>
        <v>0</v>
      </c>
      <c r="AF389" s="93">
        <f t="shared" si="141"/>
        <v>0</v>
      </c>
      <c r="AG389" s="93">
        <f>SUM(F389:AF389)</f>
        <v>76145092.302498922</v>
      </c>
      <c r="AH389" s="30" t="str">
        <f>IF(ABS(E389-AG389)&lt;0.01,"ok","err")</f>
        <v>ok</v>
      </c>
    </row>
    <row r="390" spans="1:34" x14ac:dyDescent="0.2">
      <c r="A390" s="14" t="s">
        <v>751</v>
      </c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  <c r="Z390" s="93"/>
      <c r="AA390" s="93"/>
      <c r="AB390" s="93"/>
      <c r="AC390" s="93"/>
      <c r="AD390" s="93"/>
      <c r="AE390" s="93"/>
      <c r="AF390" s="93"/>
      <c r="AG390" s="93"/>
      <c r="AH390" s="30"/>
    </row>
    <row r="391" spans="1:34" x14ac:dyDescent="0.2">
      <c r="A391" s="13"/>
      <c r="B391" s="14" t="s">
        <v>1051</v>
      </c>
      <c r="D391" s="14" t="s">
        <v>261</v>
      </c>
      <c r="E391" s="93">
        <v>0</v>
      </c>
      <c r="F391" s="66">
        <f>IF(VLOOKUP($D391,$C$5:$AU$520,3,)=0,0,(VLOOKUP($D391,$C$5:$AU$520,4,)/VLOOKUP($D391,$C$5:$AU$520,3,))*$E391)</f>
        <v>0</v>
      </c>
      <c r="G391" s="66">
        <f>IF(VLOOKUP($D391,$C$5:$AU$520,3,)=0,0,(VLOOKUP($D391,$C$5:$AU$520,5,)/VLOOKUP($D391,$C$5:$AU$520,3,))*$E391)</f>
        <v>0</v>
      </c>
      <c r="H391" s="66">
        <f>IF(VLOOKUP($D391,$C$5:$AU$520,3,)=0,0,(VLOOKUP($D391,$C$5:$AU$520,6,)/VLOOKUP($D391,$C$5:$AU$520,3,))*$E391)</f>
        <v>0</v>
      </c>
      <c r="I391" s="66">
        <f>IF(VLOOKUP($D391,$C$5:$AU$520,3,)=0,0,(VLOOKUP($D391,$C$5:$AU$520,7,)/VLOOKUP($D391,$C$5:$AU$520,3,))*$E391)</f>
        <v>0</v>
      </c>
      <c r="J391" s="66">
        <f>IF(VLOOKUP($D391,$C$5:$AU$520,3,)=0,0,(VLOOKUP($D391,$C$5:$AU$520,8,)/VLOOKUP($D391,$C$5:$AU$520,3,))*$E391)</f>
        <v>0</v>
      </c>
      <c r="K391" s="66">
        <f>IF(VLOOKUP($D391,$C$5:$AU$520,3,)=0,0,(VLOOKUP($D391,$C$5:$AU$520,9,)/VLOOKUP($D391,$C$5:$AU$520,3,))*$E391)</f>
        <v>0</v>
      </c>
      <c r="L391" s="66">
        <f>IF(VLOOKUP($D391,$C$5:$AU$520,3,)=0,0,(VLOOKUP($D391,$C$5:$AU$520,10,)/VLOOKUP($D391,$C$5:$AU$520,3,))*$E391)</f>
        <v>0</v>
      </c>
      <c r="M391" s="66">
        <f>IF(VLOOKUP($D391,$C$5:$AU$520,3,)=0,0,(VLOOKUP($D391,$C$5:$AU$520,11,)/VLOOKUP($D391,$C$5:$AU$520,3,))*$E391)</f>
        <v>0</v>
      </c>
      <c r="N391" s="66">
        <f>IF(VLOOKUP($D391,$C$5:$AU$520,3,)=0,0,(VLOOKUP($D391,$C$5:$AU$520,12,)/VLOOKUP($D391,$C$5:$AU$520,3,))*$E391)</f>
        <v>0</v>
      </c>
      <c r="O391" s="66">
        <f>IF(VLOOKUP($D391,$C$5:$AU$520,3,)=0,0,(VLOOKUP($D391,$C$5:$AU$520,13,)/VLOOKUP($D391,$C$5:$AU$520,3,))*$E391)</f>
        <v>0</v>
      </c>
      <c r="P391" s="66">
        <f>IF(VLOOKUP($D391,$C$5:$AU$520,3,)=0,0,(VLOOKUP($D391,$C$5:$AU$520,14,)/VLOOKUP($D391,$C$5:$AU$520,3,))*$E391)</f>
        <v>0</v>
      </c>
      <c r="Q391" s="66">
        <f>IF(VLOOKUP($D391,$C$5:$AU$520,3,)=0,0,(VLOOKUP($D391,$C$5:$AU$520,15,)/VLOOKUP($D391,$C$5:$AU$520,3,))*$E391)</f>
        <v>0</v>
      </c>
      <c r="R391" s="66">
        <f>IF(VLOOKUP($D391,$C$5:$AU$520,3,)=0,0,(VLOOKUP($D391,$C$5:$AU$520,16,)/VLOOKUP($D391,$C$5:$AU$520,3,))*$E391)</f>
        <v>0</v>
      </c>
      <c r="S391" s="66">
        <f>IF(VLOOKUP($D391,$C$5:$AU$520,3,)=0,0,(VLOOKUP($D391,$C$5:$AU$520,17,)/VLOOKUP($D391,$C$5:$AU$520,3,))*$E391)</f>
        <v>0</v>
      </c>
      <c r="T391" s="66">
        <f>IF(VLOOKUP($D391,$C$5:$AU$520,3,)=0,0,(VLOOKUP($D391,$C$5:$AU$520,18,)/VLOOKUP($D391,$C$5:$AU$520,3,))*$E391)</f>
        <v>0</v>
      </c>
      <c r="U391" s="66">
        <f>IF(VLOOKUP($D391,$C$5:$AU$520,3,)=0,0,(VLOOKUP($D391,$C$5:$AU$520,19,)/VLOOKUP($D391,$C$5:$AU$520,3,))*$E391)</f>
        <v>0</v>
      </c>
      <c r="V391" s="66">
        <f>IF(VLOOKUP($D391,$C$5:$AU$520,3,)=0,0,(VLOOKUP($D391,$C$5:$AU$520,20,)/VLOOKUP($D391,$C$5:$AU$520,3,))*$E391)</f>
        <v>0</v>
      </c>
      <c r="W391" s="66">
        <f>IF(VLOOKUP($D391,$C$5:$AU$520,3,)=0,0,(VLOOKUP($D391,$C$5:$AU$520,21,)/VLOOKUP($D391,$C$5:$AU$520,3,))*$E391)</f>
        <v>0</v>
      </c>
      <c r="X391" s="66">
        <f>IF(VLOOKUP($D391,$C$5:$AU$520,3,)=0,0,(VLOOKUP($D391,$C$5:$AU$520,22,)/VLOOKUP($D391,$C$5:$AU$520,3,))*$E391)</f>
        <v>0</v>
      </c>
      <c r="Y391" s="66">
        <f>IF(VLOOKUP($D391,$C$5:$AU$520,3,)=0,0,(VLOOKUP($D391,$C$5:$AU$520,23,)/VLOOKUP($D391,$C$5:$AU$520,3,))*$E391)</f>
        <v>0</v>
      </c>
      <c r="Z391" s="66">
        <f>IF(VLOOKUP($D391,$C$5:$AU$520,3,)=0,0,(VLOOKUP($D391,$C$5:$AU$520,24,)/VLOOKUP($D391,$C$5:$AU$520,3,))*$E391)</f>
        <v>0</v>
      </c>
      <c r="AA391" s="66">
        <f>IF(VLOOKUP($D391,$C$5:$AU$520,3,)=0,0,(VLOOKUP($D391,$C$5:$AU$520,25,)/VLOOKUP($D391,$C$5:$AU$520,3,))*$E391)</f>
        <v>0</v>
      </c>
      <c r="AB391" s="66">
        <f>IF(VLOOKUP($D391,$C$5:$AU$520,3,)=0,0,(VLOOKUP($D391,$C$5:$AU$520,26,)/VLOOKUP($D391,$C$5:$AU$520,3,))*$E391)</f>
        <v>0</v>
      </c>
      <c r="AC391" s="66">
        <f>IF(VLOOKUP($D391,$C$5:$AU$520,3,)=0,0,(VLOOKUP($D391,$C$5:$AU$520,27,)/VLOOKUP($D391,$C$5:$AU$520,3,))*$E391)</f>
        <v>0</v>
      </c>
      <c r="AD391" s="66">
        <f>IF(VLOOKUP($D391,$C$5:$AU$520,3,)=0,0,(VLOOKUP($D391,$C$5:$AU$520,28,)/VLOOKUP($D391,$C$5:$AU$520,3,))*$E391)</f>
        <v>0</v>
      </c>
      <c r="AE391" s="66">
        <f>IF(VLOOKUP($D391,$C$5:$AU$520,3,)=0,0,(VLOOKUP($D391,$C$5:$AU$520,29,)/VLOOKUP($D391,$C$5:$AU$520,3,))*$E391)</f>
        <v>0</v>
      </c>
      <c r="AF391" s="66">
        <f>IF(VLOOKUP($D391,$C$5:$AU$520,3,)=0,0,(VLOOKUP($D391,$C$5:$AU$520,30,)/VLOOKUP($D391,$C$5:$AU$520,3,))*$E391)</f>
        <v>0</v>
      </c>
      <c r="AG391" s="93">
        <f>SUM(F391:AF391)</f>
        <v>0</v>
      </c>
      <c r="AH391" s="30" t="str">
        <f>IF(ABS(E391-AG391)&lt;0.01,"ok","err")</f>
        <v>ok</v>
      </c>
    </row>
    <row r="392" spans="1:34" x14ac:dyDescent="0.2">
      <c r="A392" s="13"/>
      <c r="E392" s="93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  <c r="AB392" s="66"/>
      <c r="AC392" s="66"/>
      <c r="AD392" s="66"/>
      <c r="AE392" s="66"/>
      <c r="AF392" s="66"/>
      <c r="AG392" s="93"/>
      <c r="AH392" s="30"/>
    </row>
    <row r="393" spans="1:34" x14ac:dyDescent="0.2">
      <c r="A393" s="14" t="s">
        <v>750</v>
      </c>
      <c r="E393" s="93">
        <f>E389+E391</f>
        <v>76145092.302499995</v>
      </c>
      <c r="F393" s="93">
        <f t="shared" ref="F393:U393" si="142">F389+F391</f>
        <v>60755217.891847856</v>
      </c>
      <c r="G393" s="93">
        <f t="shared" si="142"/>
        <v>17321.951094459615</v>
      </c>
      <c r="H393" s="93">
        <f t="shared" si="142"/>
        <v>3228956.3104836014</v>
      </c>
      <c r="I393" s="93">
        <f t="shared" si="142"/>
        <v>855367.26920252212</v>
      </c>
      <c r="J393" s="93">
        <f t="shared" si="142"/>
        <v>325293.74504705437</v>
      </c>
      <c r="K393" s="93">
        <f t="shared" si="142"/>
        <v>1262655.4567511231</v>
      </c>
      <c r="L393" s="93">
        <f t="shared" si="142"/>
        <v>4288018.7548815534</v>
      </c>
      <c r="M393" s="93">
        <f t="shared" si="142"/>
        <v>5412260.9231907595</v>
      </c>
      <c r="N393" s="93">
        <f t="shared" si="142"/>
        <v>0</v>
      </c>
      <c r="O393" s="93">
        <f t="shared" si="142"/>
        <v>0</v>
      </c>
      <c r="P393" s="93">
        <f>P389+P391</f>
        <v>0</v>
      </c>
      <c r="Q393" s="93">
        <f t="shared" si="142"/>
        <v>0</v>
      </c>
      <c r="R393" s="93">
        <f t="shared" si="142"/>
        <v>0</v>
      </c>
      <c r="S393" s="66">
        <f t="shared" si="142"/>
        <v>0</v>
      </c>
      <c r="T393" s="66">
        <f t="shared" si="142"/>
        <v>0</v>
      </c>
      <c r="U393" s="66">
        <f t="shared" si="142"/>
        <v>0</v>
      </c>
      <c r="V393" s="66"/>
      <c r="W393" s="66"/>
      <c r="X393" s="66"/>
      <c r="Y393" s="66"/>
      <c r="Z393" s="66"/>
      <c r="AA393" s="66"/>
      <c r="AB393" s="66"/>
      <c r="AC393" s="66"/>
      <c r="AD393" s="66"/>
      <c r="AE393" s="66"/>
      <c r="AF393" s="66"/>
      <c r="AG393" s="93">
        <f>SUM(F393:AF393)</f>
        <v>76145092.302498922</v>
      </c>
      <c r="AH393" s="30" t="str">
        <f>IF(ABS(E393-AG393)&lt;0.01,"ok","err")</f>
        <v>ok</v>
      </c>
    </row>
    <row r="394" spans="1:34" ht="13.5" thickBot="1" x14ac:dyDescent="0.25"/>
    <row r="395" spans="1:34" ht="13.5" thickBot="1" x14ac:dyDescent="0.25">
      <c r="A395" s="188" t="s">
        <v>334</v>
      </c>
      <c r="B395" s="189"/>
      <c r="C395" s="189"/>
      <c r="D395" s="189"/>
      <c r="E395" s="103">
        <f t="shared" ref="E395:R395" si="143">E387/E393</f>
        <v>6.788799041746521E-3</v>
      </c>
      <c r="F395" s="103">
        <f t="shared" si="143"/>
        <v>2.581547889253502E-3</v>
      </c>
      <c r="G395" s="103">
        <f t="shared" si="143"/>
        <v>1.1550557852939269E-2</v>
      </c>
      <c r="H395" s="103">
        <f t="shared" si="143"/>
        <v>-1.1773809913138483E-2</v>
      </c>
      <c r="I395" s="103">
        <f t="shared" si="143"/>
        <v>0.27825518631226787</v>
      </c>
      <c r="J395" s="103">
        <f t="shared" si="143"/>
        <v>-2.5760114050628186E-2</v>
      </c>
      <c r="K395" s="103">
        <f t="shared" si="143"/>
        <v>6.5445159470446032E-2</v>
      </c>
      <c r="L395" s="103">
        <f t="shared" si="143"/>
        <v>-0.11478928506263303</v>
      </c>
      <c r="M395" s="103">
        <f t="shared" si="143"/>
        <v>0.10676894827523294</v>
      </c>
      <c r="N395" s="103" t="e">
        <f t="shared" si="143"/>
        <v>#DIV/0!</v>
      </c>
      <c r="O395" s="103" t="e">
        <f t="shared" si="143"/>
        <v>#DIV/0!</v>
      </c>
      <c r="P395" s="103" t="e">
        <f t="shared" si="143"/>
        <v>#DIV/0!</v>
      </c>
      <c r="Q395" s="103" t="e">
        <f t="shared" si="143"/>
        <v>#DIV/0!</v>
      </c>
      <c r="R395" s="103" t="e">
        <f t="shared" si="143"/>
        <v>#DIV/0!</v>
      </c>
      <c r="S395" s="103" t="e">
        <f t="shared" ref="S395:AF395" si="144">S387/S389</f>
        <v>#DIV/0!</v>
      </c>
      <c r="T395" s="103" t="e">
        <f t="shared" si="144"/>
        <v>#DIV/0!</v>
      </c>
      <c r="U395" s="103" t="e">
        <f t="shared" si="144"/>
        <v>#DIV/0!</v>
      </c>
      <c r="V395" s="103" t="e">
        <f t="shared" si="144"/>
        <v>#DIV/0!</v>
      </c>
      <c r="W395" s="103" t="e">
        <f t="shared" si="144"/>
        <v>#DIV/0!</v>
      </c>
      <c r="X395" s="103" t="e">
        <f t="shared" si="144"/>
        <v>#DIV/0!</v>
      </c>
      <c r="Y395" s="103" t="e">
        <f t="shared" si="144"/>
        <v>#DIV/0!</v>
      </c>
      <c r="Z395" s="103" t="e">
        <f t="shared" si="144"/>
        <v>#DIV/0!</v>
      </c>
      <c r="AA395" s="103" t="e">
        <f t="shared" si="144"/>
        <v>#DIV/0!</v>
      </c>
      <c r="AB395" s="103" t="e">
        <f t="shared" si="144"/>
        <v>#DIV/0!</v>
      </c>
      <c r="AC395" s="103" t="e">
        <f t="shared" si="144"/>
        <v>#DIV/0!</v>
      </c>
      <c r="AD395" s="103" t="e">
        <f t="shared" si="144"/>
        <v>#DIV/0!</v>
      </c>
      <c r="AE395" s="103" t="e">
        <f t="shared" si="144"/>
        <v>#DIV/0!</v>
      </c>
      <c r="AF395" s="103" t="e">
        <f t="shared" si="144"/>
        <v>#DIV/0!</v>
      </c>
      <c r="AG395" s="93"/>
      <c r="AH395" s="30"/>
    </row>
    <row r="396" spans="1:34" x14ac:dyDescent="0.2">
      <c r="A396" s="13" t="s">
        <v>958</v>
      </c>
      <c r="B396" s="13"/>
      <c r="C396" s="13"/>
      <c r="D396" s="13"/>
      <c r="E396" s="191">
        <f>E395/$E$395</f>
        <v>1</v>
      </c>
      <c r="F396" s="191">
        <f t="shared" ref="F396:AF396" si="145">F395/$E$395</f>
        <v>0.38026576915574156</v>
      </c>
      <c r="G396" s="191">
        <f t="shared" si="145"/>
        <v>1.7014140176946104</v>
      </c>
      <c r="H396" s="191">
        <f t="shared" si="145"/>
        <v>-1.7342993717648023</v>
      </c>
      <c r="I396" s="191">
        <f t="shared" si="145"/>
        <v>40.987394766170972</v>
      </c>
      <c r="J396" s="191">
        <f t="shared" si="145"/>
        <v>-3.7945023695974669</v>
      </c>
      <c r="K396" s="191">
        <f t="shared" si="145"/>
        <v>9.6401674387476461</v>
      </c>
      <c r="L396" s="191">
        <f t="shared" si="145"/>
        <v>-16.908629104611375</v>
      </c>
      <c r="M396" s="191">
        <f t="shared" si="145"/>
        <v>15.72722179853552</v>
      </c>
      <c r="N396" s="191" t="e">
        <f t="shared" si="145"/>
        <v>#DIV/0!</v>
      </c>
      <c r="O396" s="191" t="e">
        <f t="shared" si="145"/>
        <v>#DIV/0!</v>
      </c>
      <c r="P396" s="191" t="e">
        <f t="shared" si="145"/>
        <v>#DIV/0!</v>
      </c>
      <c r="Q396" s="191" t="e">
        <f t="shared" si="145"/>
        <v>#DIV/0!</v>
      </c>
      <c r="R396" s="191" t="e">
        <f t="shared" si="145"/>
        <v>#DIV/0!</v>
      </c>
      <c r="S396" s="191" t="e">
        <f t="shared" si="145"/>
        <v>#DIV/0!</v>
      </c>
      <c r="T396" s="191" t="e">
        <f t="shared" si="145"/>
        <v>#DIV/0!</v>
      </c>
      <c r="U396" s="191" t="e">
        <f t="shared" si="145"/>
        <v>#DIV/0!</v>
      </c>
      <c r="V396" s="191" t="e">
        <f t="shared" si="145"/>
        <v>#DIV/0!</v>
      </c>
      <c r="W396" s="191" t="e">
        <f t="shared" si="145"/>
        <v>#DIV/0!</v>
      </c>
      <c r="X396" s="191" t="e">
        <f t="shared" si="145"/>
        <v>#DIV/0!</v>
      </c>
      <c r="Y396" s="191" t="e">
        <f t="shared" si="145"/>
        <v>#DIV/0!</v>
      </c>
      <c r="Z396" s="191" t="e">
        <f t="shared" si="145"/>
        <v>#DIV/0!</v>
      </c>
      <c r="AA396" s="191" t="e">
        <f t="shared" si="145"/>
        <v>#DIV/0!</v>
      </c>
      <c r="AB396" s="191" t="e">
        <f t="shared" si="145"/>
        <v>#DIV/0!</v>
      </c>
      <c r="AC396" s="191" t="e">
        <f t="shared" si="145"/>
        <v>#DIV/0!</v>
      </c>
      <c r="AD396" s="191" t="e">
        <f t="shared" si="145"/>
        <v>#DIV/0!</v>
      </c>
      <c r="AE396" s="191" t="e">
        <f t="shared" si="145"/>
        <v>#DIV/0!</v>
      </c>
      <c r="AF396" s="191" t="e">
        <f t="shared" si="145"/>
        <v>#DIV/0!</v>
      </c>
      <c r="AG396" s="93"/>
      <c r="AH396" s="30"/>
    </row>
    <row r="399" spans="1:34" x14ac:dyDescent="0.2">
      <c r="A399" s="28" t="s">
        <v>567</v>
      </c>
    </row>
    <row r="401" spans="1:34" x14ac:dyDescent="0.2">
      <c r="A401" s="13" t="s">
        <v>335</v>
      </c>
    </row>
    <row r="402" spans="1:34" x14ac:dyDescent="0.2">
      <c r="A402" s="14" t="s">
        <v>336</v>
      </c>
      <c r="C402" s="14" t="s">
        <v>214</v>
      </c>
      <c r="D402" s="14" t="s">
        <v>11</v>
      </c>
      <c r="E402" s="49">
        <v>1</v>
      </c>
      <c r="F402" s="49">
        <f>IF(VLOOKUP($D402,$C$5:$AU$502,3,)=0,0,(VLOOKUP($D402,$C$5:$AU$502,4,)/VLOOKUP($D402,$C$5:$AU$502,3,))*$E402)</f>
        <v>0.69114736701682955</v>
      </c>
      <c r="G402" s="49">
        <f>IF(VLOOKUP($D402,$C$5:$AU$502,3,)=0,0,(VLOOKUP($D402,$C$5:$AU$502,5,)/VLOOKUP($D402,$C$5:$AU$502,3,))*$E402)</f>
        <v>1.2774871303039038E-4</v>
      </c>
      <c r="H402" s="49">
        <f>IF(VLOOKUP($D402,$C$5:$AU$502,3,)=0,0,(VLOOKUP($D402,$C$5:$AU$502,6,)/VLOOKUP($D402,$C$5:$AU$502,3,))*$E402)</f>
        <v>3.7879145484857421E-2</v>
      </c>
      <c r="I402" s="49">
        <f>IF(VLOOKUP($D402,$C$5:$AU$502,3,)=0,0,(VLOOKUP($D402,$C$5:$AU$502,7,)/VLOOKUP($D402,$C$5:$AU$502,3,))*$E402)</f>
        <v>2.4855482666694552E-2</v>
      </c>
      <c r="J402" s="49">
        <f>IF(VLOOKUP($D402,$C$5:$AU$502,3,)=0,0,(VLOOKUP($D402,$C$5:$AU$502,8,)/VLOOKUP($D402,$C$5:$AU$502,3,))*$E402)</f>
        <v>1.7693239259473339E-3</v>
      </c>
      <c r="K402" s="49">
        <f>IF(VLOOKUP($D402,$C$5:$AU$502,3,)=0,0,(VLOOKUP($D402,$C$5:$AU$502,9,)/VLOOKUP($D402,$C$5:$AU$502,3,))*$E402)</f>
        <v>3.2002821069911126E-2</v>
      </c>
      <c r="L402" s="49">
        <f>IF(VLOOKUP($D402,$C$5:$AU$502,3,)=0,0,(VLOOKUP($D402,$C$5:$AU$502,10,)/VLOOKUP($D402,$C$5:$AU$502,3,))*$E402)</f>
        <v>0.19021532927001947</v>
      </c>
      <c r="M402" s="49">
        <f>IF(VLOOKUP($D402,$C$5:$AU$502,3,)=0,0,(VLOOKUP($D402,$C$5:$AU$502,11,)/VLOOKUP($D402,$C$5:$AU$502,3,))*$E402)</f>
        <v>2.2002781852710377E-2</v>
      </c>
      <c r="N402" s="49">
        <f>IF(VLOOKUP($D402,$C$5:$AU$502,3,)=0,0,(VLOOKUP($D402,$C$5:$AU$502,12,)/VLOOKUP($D402,$C$5:$AU$502,3,))*$E402)</f>
        <v>0</v>
      </c>
      <c r="O402" s="49">
        <f>IF(VLOOKUP($D402,$C$5:$AU$502,3,)=0,0,(VLOOKUP($D402,$C$5:$AU$502,13,)/VLOOKUP($D402,$C$5:$AU$502,3,))*$E402)</f>
        <v>0</v>
      </c>
      <c r="P402" s="49">
        <f>IF(VLOOKUP($D402,$C$5:$AU$502,3,)=0,0,(VLOOKUP($D402,$C$5:$AU$502,14,)/VLOOKUP($D402,$C$5:$AU$502,3,))*$E402)</f>
        <v>0</v>
      </c>
      <c r="Q402" s="49">
        <f>IF(VLOOKUP($D402,$C$5:$AU$502,3,)=0,0,(VLOOKUP($D402,$C$5:$AU$502,15,)/VLOOKUP($D402,$C$5:$AU$502,3,))*$E402)</f>
        <v>0</v>
      </c>
      <c r="R402" s="49">
        <f>IF(VLOOKUP($D402,$C$5:$AU$502,3,)=0,0,(VLOOKUP($D402,$C$5:$AU$502,16,)/VLOOKUP($D402,$C$5:$AU$502,3,))*$E402)</f>
        <v>0</v>
      </c>
      <c r="S402" s="49">
        <f>IF(VLOOKUP($D402,$C$5:$AU$502,3,)=0,0,(VLOOKUP($D402,$C$5:$AU$502,17,)/VLOOKUP($D402,$C$5:$AU$502,3,))*$E402)</f>
        <v>0</v>
      </c>
      <c r="T402" s="49">
        <f>IF(VLOOKUP($D402,$C$5:$AU$502,3,)=0,0,(VLOOKUP($D402,$C$5:$AU$502,18,)/VLOOKUP($D402,$C$5:$AU$502,3,))*$E402)</f>
        <v>0</v>
      </c>
      <c r="U402" s="49">
        <f>IF(VLOOKUP($D402,$C$5:$AU$502,3,)=0,0,(VLOOKUP($D402,$C$5:$AU$502,19,)/VLOOKUP($D402,$C$5:$AU$502,3,))*$E402)</f>
        <v>0</v>
      </c>
      <c r="V402" s="49">
        <f>IF(VLOOKUP($D402,$C$5:$AU$502,3,)=0,0,(VLOOKUP($D402,$C$5:$AU$502,20,)/VLOOKUP($D402,$C$5:$AU$502,3,))*$E402)</f>
        <v>0</v>
      </c>
      <c r="W402" s="49">
        <f>IF(VLOOKUP($D402,$C$5:$AU$502,3,)=0,0,(VLOOKUP($D402,$C$5:$AU$502,21,)/VLOOKUP($D402,$C$5:$AU$502,3,))*$E402)</f>
        <v>0</v>
      </c>
      <c r="X402" s="49">
        <f>IF(VLOOKUP($D402,$C$5:$AU$502,3,)=0,0,(VLOOKUP($D402,$C$5:$AU$502,22,)/VLOOKUP($D402,$C$5:$AU$502,3,))*$E402)</f>
        <v>0</v>
      </c>
      <c r="Y402" s="49">
        <f>IF(VLOOKUP($D402,$C$5:$AU$502,3,)=0,0,(VLOOKUP($D402,$C$5:$AU$502,23,)/VLOOKUP($D402,$C$5:$AU$502,3,))*$E402)</f>
        <v>0</v>
      </c>
      <c r="Z402" s="49">
        <f>IF(VLOOKUP($D402,$C$5:$AU$502,3,)=0,0,(VLOOKUP($D402,$C$5:$AU$502,24,)/VLOOKUP($D402,$C$5:$AU$502,3,))*$E402)</f>
        <v>0</v>
      </c>
      <c r="AA402" s="49">
        <f>IF(VLOOKUP($D402,$C$5:$AU$502,3,)=0,0,(VLOOKUP($D402,$C$5:$AU$502,25,)/VLOOKUP($D402,$C$5:$AU$502,3,))*$E402)</f>
        <v>0</v>
      </c>
      <c r="AB402" s="49">
        <f>IF(VLOOKUP($D402,$C$5:$AU$502,3,)=0,0,(VLOOKUP($D402,$C$5:$AU$502,26,)/VLOOKUP($D402,$C$5:$AU$502,3,))*$E402)</f>
        <v>0</v>
      </c>
      <c r="AC402" s="49">
        <f>IF(VLOOKUP($D402,$C$5:$AU$502,3,)=0,0,(VLOOKUP($D402,$C$5:$AU$502,27,)/VLOOKUP($D402,$C$5:$AU$502,3,))*$E402)</f>
        <v>0</v>
      </c>
      <c r="AD402" s="49">
        <f>IF(VLOOKUP($D402,$C$5:$AU$502,3,)=0,0,(VLOOKUP($D402,$C$5:$AU$502,28,)/VLOOKUP($D402,$C$5:$AU$502,3,))*$E402)</f>
        <v>0</v>
      </c>
      <c r="AE402" s="49">
        <f>IF(VLOOKUP($D402,$C$5:$AU$502,3,)=0,0,(VLOOKUP($D402,$C$5:$AU$502,29,)/VLOOKUP($D402,$C$5:$AU$502,3,))*$E402)</f>
        <v>0</v>
      </c>
      <c r="AF402" s="49">
        <f>IF(VLOOKUP($D402,$C$5:$AU$502,3,)=0,0,(VLOOKUP($D402,$C$5:$AU$502,30,)/VLOOKUP($D402,$C$5:$AU$502,3,))*$E402)</f>
        <v>0</v>
      </c>
      <c r="AG402" s="49">
        <f>SUM(F402:AF402)</f>
        <v>1.0000000000000002</v>
      </c>
      <c r="AH402" s="30" t="str">
        <f>IF(ABS(E402-AG402)&lt;0.01,"ok","err")</f>
        <v>ok</v>
      </c>
    </row>
    <row r="404" spans="1:34" x14ac:dyDescent="0.2">
      <c r="A404" s="13" t="s">
        <v>337</v>
      </c>
    </row>
    <row r="405" spans="1:34" x14ac:dyDescent="0.2">
      <c r="A405" s="14" t="s">
        <v>338</v>
      </c>
      <c r="C405" s="14" t="s">
        <v>211</v>
      </c>
      <c r="D405" s="14" t="s">
        <v>963</v>
      </c>
      <c r="E405" s="97">
        <v>1</v>
      </c>
      <c r="F405" s="49">
        <f>IF(VLOOKUP($D405,$C$5:$AU$502,3,)=0,0,(VLOOKUP($D405,$C$5:$AU$502,4,)/VLOOKUP($D405,$C$5:$AU$502,3,))*$E405)</f>
        <v>0.68523699088394763</v>
      </c>
      <c r="G405" s="49">
        <f>IF(VLOOKUP($D405,$C$5:$AU$502,3,)=0,0,(VLOOKUP($D405,$C$5:$AU$502,5,)/VLOOKUP($D405,$C$5:$AU$502,3,))*$E405)</f>
        <v>1.3498591675383911E-4</v>
      </c>
      <c r="H405" s="49">
        <f>IF(VLOOKUP($D405,$C$5:$AU$502,3,)=0,0,(VLOOKUP($D405,$C$5:$AU$502,6,)/VLOOKUP($D405,$C$5:$AU$502,3,))*$E405)</f>
        <v>5.1087470117208822E-2</v>
      </c>
      <c r="I405" s="49">
        <f>IF(VLOOKUP($D405,$C$5:$AU$502,3,)=0,0,(VLOOKUP($D405,$C$5:$AU$502,7,)/VLOOKUP($D405,$C$5:$AU$502,3,))*$E405)</f>
        <v>3.3476979721700106E-2</v>
      </c>
      <c r="J405" s="49">
        <f>IF(VLOOKUP($D405,$C$5:$AU$502,3,)=0,0,(VLOOKUP($D405,$C$5:$AU$502,8,)/VLOOKUP($D405,$C$5:$AU$502,3,))*$E405)</f>
        <v>1.7318716752833601E-3</v>
      </c>
      <c r="K405" s="49">
        <f>IF(VLOOKUP($D405,$C$5:$AU$502,3,)=0,0,(VLOOKUP($D405,$C$5:$AU$502,9,)/VLOOKUP($D405,$C$5:$AU$502,3,))*$E405)</f>
        <v>1.3496976749243522E-2</v>
      </c>
      <c r="L405" s="49">
        <f>IF(VLOOKUP($D405,$C$5:$AU$502,3,)=0,0,(VLOOKUP($D405,$C$5:$AU$502,10,)/VLOOKUP($D405,$C$5:$AU$502,3,))*$E405)</f>
        <v>0.20304949039128845</v>
      </c>
      <c r="M405" s="49">
        <f>IF(VLOOKUP($D405,$C$5:$AU$502,3,)=0,0,(VLOOKUP($D405,$C$5:$AU$502,11,)/VLOOKUP($D405,$C$5:$AU$502,3,))*$E405)</f>
        <v>1.1785234544574273E-2</v>
      </c>
      <c r="N405" s="49">
        <f>IF(VLOOKUP($D405,$C$5:$AU$502,3,)=0,0,(VLOOKUP($D405,$C$5:$AU$502,12,)/VLOOKUP($D405,$C$5:$AU$502,3,))*$E405)</f>
        <v>0</v>
      </c>
      <c r="O405" s="49">
        <f>IF(VLOOKUP($D405,$C$5:$AU$502,3,)=0,0,(VLOOKUP($D405,$C$5:$AU$502,13,)/VLOOKUP($D405,$C$5:$AU$502,3,))*$E405)</f>
        <v>0</v>
      </c>
      <c r="P405" s="49">
        <f>IF(VLOOKUP($D405,$C$5:$AU$502,3,)=0,0,(VLOOKUP($D405,$C$5:$AU$502,14,)/VLOOKUP($D405,$C$5:$AU$502,3,))*$E405)</f>
        <v>0</v>
      </c>
      <c r="Q405" s="49">
        <f>IF(VLOOKUP($D405,$C$5:$AU$502,3,)=0,0,(VLOOKUP($D405,$C$5:$AU$502,15,)/VLOOKUP($D405,$C$5:$AU$502,3,))*$E405)</f>
        <v>0</v>
      </c>
      <c r="R405" s="49">
        <f>IF(VLOOKUP($D405,$C$5:$AU$502,3,)=0,0,(VLOOKUP($D405,$C$5:$AU$502,16,)/VLOOKUP($D405,$C$5:$AU$502,3,))*$E405)</f>
        <v>0</v>
      </c>
      <c r="S405" s="49">
        <f>IF(VLOOKUP($D405,$C$5:$AU$502,3,)=0,0,(VLOOKUP($D405,$C$5:$AU$502,17,)/VLOOKUP($D405,$C$5:$AU$502,3,))*$E405)</f>
        <v>0</v>
      </c>
      <c r="T405" s="49">
        <f>IF(VLOOKUP($D405,$C$5:$AU$502,3,)=0,0,(VLOOKUP($D405,$C$5:$AU$502,18,)/VLOOKUP($D405,$C$5:$AU$502,3,))*$E405)</f>
        <v>0</v>
      </c>
      <c r="U405" s="49">
        <f>IF(VLOOKUP($D405,$C$5:$AU$502,3,)=0,0,(VLOOKUP($D405,$C$5:$AU$502,19,)/VLOOKUP($D405,$C$5:$AU$502,3,))*$E405)</f>
        <v>0</v>
      </c>
      <c r="V405" s="49">
        <f>IF(VLOOKUP($D405,$C$5:$AU$502,3,)=0,0,(VLOOKUP($D405,$C$5:$AU$502,20,)/VLOOKUP($D405,$C$5:$AU$502,3,))*$E405)</f>
        <v>0</v>
      </c>
      <c r="W405" s="49">
        <f>IF(VLOOKUP($D405,$C$5:$AU$502,3,)=0,0,(VLOOKUP($D405,$C$5:$AU$502,21,)/VLOOKUP($D405,$C$5:$AU$502,3,))*$E405)</f>
        <v>0</v>
      </c>
      <c r="X405" s="49">
        <f>IF(VLOOKUP($D405,$C$5:$AU$502,3,)=0,0,(VLOOKUP($D405,$C$5:$AU$502,22,)/VLOOKUP($D405,$C$5:$AU$502,3,))*$E405)</f>
        <v>0</v>
      </c>
      <c r="Y405" s="49">
        <f>IF(VLOOKUP($D405,$C$5:$AU$502,3,)=0,0,(VLOOKUP($D405,$C$5:$AU$502,23,)/VLOOKUP($D405,$C$5:$AU$502,3,))*$E405)</f>
        <v>0</v>
      </c>
      <c r="Z405" s="49">
        <f>IF(VLOOKUP($D405,$C$5:$AU$502,3,)=0,0,(VLOOKUP($D405,$C$5:$AU$502,24,)/VLOOKUP($D405,$C$5:$AU$502,3,))*$E405)</f>
        <v>0</v>
      </c>
      <c r="AA405" s="49">
        <f>IF(VLOOKUP($D405,$C$5:$AU$502,3,)=0,0,(VLOOKUP($D405,$C$5:$AU$502,25,)/VLOOKUP($D405,$C$5:$AU$502,3,))*$E405)</f>
        <v>0</v>
      </c>
      <c r="AB405" s="49">
        <f>IF(VLOOKUP($D405,$C$5:$AU$502,3,)=0,0,(VLOOKUP($D405,$C$5:$AU$502,26,)/VLOOKUP($D405,$C$5:$AU$502,3,))*$E405)</f>
        <v>0</v>
      </c>
      <c r="AC405" s="49">
        <f>IF(VLOOKUP($D405,$C$5:$AU$502,3,)=0,0,(VLOOKUP($D405,$C$5:$AU$502,27,)/VLOOKUP($D405,$C$5:$AU$502,3,))*$E405)</f>
        <v>0</v>
      </c>
      <c r="AD405" s="49">
        <f>IF(VLOOKUP($D405,$C$5:$AU$502,3,)=0,0,(VLOOKUP($D405,$C$5:$AU$502,28,)/VLOOKUP($D405,$C$5:$AU$502,3,))*$E405)</f>
        <v>0</v>
      </c>
      <c r="AE405" s="49">
        <f>IF(VLOOKUP($D405,$C$5:$AU$502,3,)=0,0,(VLOOKUP($D405,$C$5:$AU$502,29,)/VLOOKUP($D405,$C$5:$AU$502,3,))*$E405)</f>
        <v>0</v>
      </c>
      <c r="AF405" s="49">
        <f>IF(VLOOKUP($D405,$C$5:$AU$502,3,)=0,0,(VLOOKUP($D405,$C$5:$AU$502,30,)/VLOOKUP($D405,$C$5:$AU$502,3,))*$E405)</f>
        <v>0</v>
      </c>
      <c r="AG405" s="49">
        <f>SUM(F405:AF405)</f>
        <v>1.0000000000000002</v>
      </c>
      <c r="AH405" s="30" t="str">
        <f t="shared" ref="AH405:AH410" si="146">IF(ABS(E405-AG405)&lt;0.01,"ok","err")</f>
        <v>ok</v>
      </c>
    </row>
    <row r="406" spans="1:34" x14ac:dyDescent="0.2">
      <c r="A406" s="14" t="s">
        <v>339</v>
      </c>
      <c r="C406" s="14" t="s">
        <v>218</v>
      </c>
      <c r="D406" s="14" t="s">
        <v>566</v>
      </c>
      <c r="E406" s="97">
        <v>1</v>
      </c>
      <c r="F406" s="49">
        <f>IF(VLOOKUP($D406,$C$5:$AU$502,3,)=0,0,(VLOOKUP($D406,$C$5:$AU$502,4,)/VLOOKUP($D406,$C$5:$AU$502,3,))*$E406)</f>
        <v>0.6681823196633967</v>
      </c>
      <c r="G406" s="49">
        <f>IF(VLOOKUP($D406,$C$5:$AU$502,3,)=0,0,(VLOOKUP($D406,$C$5:$AU$502,5,)/VLOOKUP($D406,$C$5:$AU$502,3,))*$E406)</f>
        <v>2.4701057933751929E-4</v>
      </c>
      <c r="H406" s="49">
        <f>IF(VLOOKUP($D406,$C$5:$AU$502,3,)=0,0,(VLOOKUP($D406,$C$5:$AU$502,6,)/VLOOKUP($D406,$C$5:$AU$502,3,))*$E406)</f>
        <v>4.2098034344189864E-2</v>
      </c>
      <c r="I406" s="49">
        <f>IF(VLOOKUP($D406,$C$5:$AU$502,3,)=0,0,(VLOOKUP($D406,$C$5:$AU$502,7,)/VLOOKUP($D406,$C$5:$AU$502,3,))*$E406)</f>
        <v>2.9351287362927227E-2</v>
      </c>
      <c r="J406" s="49">
        <f>IF(VLOOKUP($D406,$C$5:$AU$502,3,)=0,0,(VLOOKUP($D406,$C$5:$AU$502,8,)/VLOOKUP($D406,$C$5:$AU$502,3,))*$E406)</f>
        <v>1.6259757389088887E-3</v>
      </c>
      <c r="K406" s="49">
        <f>IF(VLOOKUP($D406,$C$5:$AU$502,3,)=0,0,(VLOOKUP($D406,$C$5:$AU$502,9,)/VLOOKUP($D406,$C$5:$AU$502,3,))*$E406)</f>
        <v>5.247035798413642E-2</v>
      </c>
      <c r="L406" s="49">
        <f>IF(VLOOKUP($D406,$C$5:$AU$502,3,)=0,0,(VLOOKUP($D406,$C$5:$AU$502,10,)/VLOOKUP($D406,$C$5:$AU$502,3,))*$E406)</f>
        <v>0.19069106361800875</v>
      </c>
      <c r="M406" s="49">
        <f>IF(VLOOKUP($D406,$C$5:$AU$502,3,)=0,0,(VLOOKUP($D406,$C$5:$AU$502,11,)/VLOOKUP($D406,$C$5:$AU$502,3,))*$E406)</f>
        <v>1.5333950709094735E-2</v>
      </c>
      <c r="N406" s="49">
        <f>IF(VLOOKUP($D406,$C$5:$AU$502,3,)=0,0,(VLOOKUP($D406,$C$5:$AU$502,12,)/VLOOKUP($D406,$C$5:$AU$502,3,))*$E406)</f>
        <v>0</v>
      </c>
      <c r="O406" s="49">
        <f>IF(VLOOKUP($D406,$C$5:$AU$502,3,)=0,0,(VLOOKUP($D406,$C$5:$AU$502,13,)/VLOOKUP($D406,$C$5:$AU$502,3,))*$E406)</f>
        <v>0</v>
      </c>
      <c r="P406" s="49">
        <f>IF(VLOOKUP($D406,$C$5:$AU$502,3,)=0,0,(VLOOKUP($D406,$C$5:$AU$502,14,)/VLOOKUP($D406,$C$5:$AU$502,3,))*$E406)</f>
        <v>0</v>
      </c>
      <c r="Q406" s="49">
        <f>IF(VLOOKUP($D406,$C$5:$AU$502,3,)=0,0,(VLOOKUP($D406,$C$5:$AU$502,15,)/VLOOKUP($D406,$C$5:$AU$502,3,))*$E406)</f>
        <v>0</v>
      </c>
      <c r="R406" s="49">
        <f>IF(VLOOKUP($D406,$C$5:$AU$502,3,)=0,0,(VLOOKUP($D406,$C$5:$AU$502,16,)/VLOOKUP($D406,$C$5:$AU$502,3,))*$E406)</f>
        <v>0</v>
      </c>
      <c r="S406" s="49">
        <f>IF(VLOOKUP($D406,$C$5:$AU$502,3,)=0,0,(VLOOKUP($D406,$C$5:$AU$502,17,)/VLOOKUP($D406,$C$5:$AU$502,3,))*$E406)</f>
        <v>0</v>
      </c>
      <c r="T406" s="49">
        <f>IF(VLOOKUP($D406,$C$5:$AU$502,3,)=0,0,(VLOOKUP($D406,$C$5:$AU$502,18,)/VLOOKUP($D406,$C$5:$AU$502,3,))*$E406)</f>
        <v>0</v>
      </c>
      <c r="U406" s="49">
        <f>IF(VLOOKUP($D406,$C$5:$AU$502,3,)=0,0,(VLOOKUP($D406,$C$5:$AU$502,19,)/VLOOKUP($D406,$C$5:$AU$502,3,))*$E406)</f>
        <v>0</v>
      </c>
      <c r="V406" s="49">
        <f>IF(VLOOKUP($D406,$C$5:$AU$502,3,)=0,0,(VLOOKUP($D406,$C$5:$AU$502,20,)/VLOOKUP($D406,$C$5:$AU$502,3,))*$E406)</f>
        <v>0</v>
      </c>
      <c r="W406" s="49">
        <f>IF(VLOOKUP($D406,$C$5:$AU$502,3,)=0,0,(VLOOKUP($D406,$C$5:$AU$502,21,)/VLOOKUP($D406,$C$5:$AU$502,3,))*$E406)</f>
        <v>0</v>
      </c>
      <c r="X406" s="49">
        <f>IF(VLOOKUP($D406,$C$5:$AU$502,3,)=0,0,(VLOOKUP($D406,$C$5:$AU$502,22,)/VLOOKUP($D406,$C$5:$AU$502,3,))*$E406)</f>
        <v>0</v>
      </c>
      <c r="Y406" s="49">
        <f>IF(VLOOKUP($D406,$C$5:$AU$502,3,)=0,0,(VLOOKUP($D406,$C$5:$AU$502,23,)/VLOOKUP($D406,$C$5:$AU$502,3,))*$E406)</f>
        <v>0</v>
      </c>
      <c r="Z406" s="49">
        <f>IF(VLOOKUP($D406,$C$5:$AU$502,3,)=0,0,(VLOOKUP($D406,$C$5:$AU$502,24,)/VLOOKUP($D406,$C$5:$AU$502,3,))*$E406)</f>
        <v>0</v>
      </c>
      <c r="AA406" s="49">
        <f>IF(VLOOKUP($D406,$C$5:$AU$502,3,)=0,0,(VLOOKUP($D406,$C$5:$AU$502,25,)/VLOOKUP($D406,$C$5:$AU$502,3,))*$E406)</f>
        <v>0</v>
      </c>
      <c r="AB406" s="49">
        <f>IF(VLOOKUP($D406,$C$5:$AU$502,3,)=0,0,(VLOOKUP($D406,$C$5:$AU$502,26,)/VLOOKUP($D406,$C$5:$AU$502,3,))*$E406)</f>
        <v>0</v>
      </c>
      <c r="AC406" s="49">
        <f>IF(VLOOKUP($D406,$C$5:$AU$502,3,)=0,0,(VLOOKUP($D406,$C$5:$AU$502,27,)/VLOOKUP($D406,$C$5:$AU$502,3,))*$E406)</f>
        <v>0</v>
      </c>
      <c r="AD406" s="49">
        <f>IF(VLOOKUP($D406,$C$5:$AU$502,3,)=0,0,(VLOOKUP($D406,$C$5:$AU$502,28,)/VLOOKUP($D406,$C$5:$AU$502,3,))*$E406)</f>
        <v>0</v>
      </c>
      <c r="AE406" s="49">
        <f>IF(VLOOKUP($D406,$C$5:$AU$502,3,)=0,0,(VLOOKUP($D406,$C$5:$AU$502,29,)/VLOOKUP($D406,$C$5:$AU$502,3,))*$E406)</f>
        <v>0</v>
      </c>
      <c r="AF406" s="49">
        <f>IF(VLOOKUP($D406,$C$5:$AU$502,3,)=0,0,(VLOOKUP($D406,$C$5:$AU$502,30,)/VLOOKUP($D406,$C$5:$AU$502,3,))*$E406)</f>
        <v>0</v>
      </c>
      <c r="AG406" s="49">
        <f>SUM(F406:AF406)</f>
        <v>1.0000000000000002</v>
      </c>
      <c r="AH406" s="30" t="str">
        <f t="shared" si="146"/>
        <v>ok</v>
      </c>
    </row>
    <row r="407" spans="1:34" x14ac:dyDescent="0.2">
      <c r="A407" s="14" t="s">
        <v>340</v>
      </c>
      <c r="C407" s="14" t="s">
        <v>220</v>
      </c>
      <c r="D407" s="14" t="s">
        <v>566</v>
      </c>
      <c r="E407" s="97">
        <v>1</v>
      </c>
      <c r="F407" s="49">
        <f>IF(VLOOKUP($D407,$C$5:$AU$502,3,)=0,0,(VLOOKUP($D407,$C$5:$AU$502,4,)/VLOOKUP($D407,$C$5:$AU$502,3,))*$E407)</f>
        <v>0.6681823196633967</v>
      </c>
      <c r="G407" s="49">
        <f>IF(VLOOKUP($D407,$C$5:$AU$502,3,)=0,0,(VLOOKUP($D407,$C$5:$AU$502,5,)/VLOOKUP($D407,$C$5:$AU$502,3,))*$E407)</f>
        <v>2.4701057933751929E-4</v>
      </c>
      <c r="H407" s="49">
        <f>IF(VLOOKUP($D407,$C$5:$AU$502,3,)=0,0,(VLOOKUP($D407,$C$5:$AU$502,6,)/VLOOKUP($D407,$C$5:$AU$502,3,))*$E407)</f>
        <v>4.2098034344189864E-2</v>
      </c>
      <c r="I407" s="49">
        <f>IF(VLOOKUP($D407,$C$5:$AU$502,3,)=0,0,(VLOOKUP($D407,$C$5:$AU$502,7,)/VLOOKUP($D407,$C$5:$AU$502,3,))*$E407)</f>
        <v>2.9351287362927227E-2</v>
      </c>
      <c r="J407" s="49">
        <f>IF(VLOOKUP($D407,$C$5:$AU$502,3,)=0,0,(VLOOKUP($D407,$C$5:$AU$502,8,)/VLOOKUP($D407,$C$5:$AU$502,3,))*$E407)</f>
        <v>1.6259757389088887E-3</v>
      </c>
      <c r="K407" s="49">
        <f>IF(VLOOKUP($D407,$C$5:$AU$502,3,)=0,0,(VLOOKUP($D407,$C$5:$AU$502,9,)/VLOOKUP($D407,$C$5:$AU$502,3,))*$E407)</f>
        <v>5.247035798413642E-2</v>
      </c>
      <c r="L407" s="49">
        <f>IF(VLOOKUP($D407,$C$5:$AU$502,3,)=0,0,(VLOOKUP($D407,$C$5:$AU$502,10,)/VLOOKUP($D407,$C$5:$AU$502,3,))*$E407)</f>
        <v>0.19069106361800875</v>
      </c>
      <c r="M407" s="49">
        <f>IF(VLOOKUP($D407,$C$5:$AU$502,3,)=0,0,(VLOOKUP($D407,$C$5:$AU$502,11,)/VLOOKUP($D407,$C$5:$AU$502,3,))*$E407)</f>
        <v>1.5333950709094735E-2</v>
      </c>
      <c r="N407" s="49">
        <f>IF(VLOOKUP($D407,$C$5:$AU$502,3,)=0,0,(VLOOKUP($D407,$C$5:$AU$502,12,)/VLOOKUP($D407,$C$5:$AU$502,3,))*$E407)</f>
        <v>0</v>
      </c>
      <c r="O407" s="49">
        <f>IF(VLOOKUP($D407,$C$5:$AU$502,3,)=0,0,(VLOOKUP($D407,$C$5:$AU$502,13,)/VLOOKUP($D407,$C$5:$AU$502,3,))*$E407)</f>
        <v>0</v>
      </c>
      <c r="P407" s="49">
        <f>IF(VLOOKUP($D407,$C$5:$AU$502,3,)=0,0,(VLOOKUP($D407,$C$5:$AU$502,14,)/VLOOKUP($D407,$C$5:$AU$502,3,))*$E407)</f>
        <v>0</v>
      </c>
      <c r="Q407" s="49">
        <f>IF(VLOOKUP($D407,$C$5:$AU$502,3,)=0,0,(VLOOKUP($D407,$C$5:$AU$502,15,)/VLOOKUP($D407,$C$5:$AU$502,3,))*$E407)</f>
        <v>0</v>
      </c>
      <c r="R407" s="49">
        <f>IF(VLOOKUP($D407,$C$5:$AU$502,3,)=0,0,(VLOOKUP($D407,$C$5:$AU$502,16,)/VLOOKUP($D407,$C$5:$AU$502,3,))*$E407)</f>
        <v>0</v>
      </c>
      <c r="S407" s="49">
        <f>IF(VLOOKUP($D407,$C$5:$AU$502,3,)=0,0,(VLOOKUP($D407,$C$5:$AU$502,17,)/VLOOKUP($D407,$C$5:$AU$502,3,))*$E407)</f>
        <v>0</v>
      </c>
      <c r="T407" s="49">
        <f>IF(VLOOKUP($D407,$C$5:$AU$502,3,)=0,0,(VLOOKUP($D407,$C$5:$AU$502,18,)/VLOOKUP($D407,$C$5:$AU$502,3,))*$E407)</f>
        <v>0</v>
      </c>
      <c r="U407" s="49">
        <f>IF(VLOOKUP($D407,$C$5:$AU$502,3,)=0,0,(VLOOKUP($D407,$C$5:$AU$502,19,)/VLOOKUP($D407,$C$5:$AU$502,3,))*$E407)</f>
        <v>0</v>
      </c>
      <c r="V407" s="49">
        <f>IF(VLOOKUP($D407,$C$5:$AU$502,3,)=0,0,(VLOOKUP($D407,$C$5:$AU$502,20,)/VLOOKUP($D407,$C$5:$AU$502,3,))*$E407)</f>
        <v>0</v>
      </c>
      <c r="W407" s="49">
        <f>IF(VLOOKUP($D407,$C$5:$AU$502,3,)=0,0,(VLOOKUP($D407,$C$5:$AU$502,21,)/VLOOKUP($D407,$C$5:$AU$502,3,))*$E407)</f>
        <v>0</v>
      </c>
      <c r="X407" s="49">
        <f>IF(VLOOKUP($D407,$C$5:$AU$502,3,)=0,0,(VLOOKUP($D407,$C$5:$AU$502,22,)/VLOOKUP($D407,$C$5:$AU$502,3,))*$E407)</f>
        <v>0</v>
      </c>
      <c r="Y407" s="49">
        <f>IF(VLOOKUP($D407,$C$5:$AU$502,3,)=0,0,(VLOOKUP($D407,$C$5:$AU$502,23,)/VLOOKUP($D407,$C$5:$AU$502,3,))*$E407)</f>
        <v>0</v>
      </c>
      <c r="Z407" s="49">
        <f>IF(VLOOKUP($D407,$C$5:$AU$502,3,)=0,0,(VLOOKUP($D407,$C$5:$AU$502,24,)/VLOOKUP($D407,$C$5:$AU$502,3,))*$E407)</f>
        <v>0</v>
      </c>
      <c r="AA407" s="49">
        <f>IF(VLOOKUP($D407,$C$5:$AU$502,3,)=0,0,(VLOOKUP($D407,$C$5:$AU$502,25,)/VLOOKUP($D407,$C$5:$AU$502,3,))*$E407)</f>
        <v>0</v>
      </c>
      <c r="AB407" s="49">
        <f>IF(VLOOKUP($D407,$C$5:$AU$502,3,)=0,0,(VLOOKUP($D407,$C$5:$AU$502,26,)/VLOOKUP($D407,$C$5:$AU$502,3,))*$E407)</f>
        <v>0</v>
      </c>
      <c r="AC407" s="49">
        <f>IF(VLOOKUP($D407,$C$5:$AU$502,3,)=0,0,(VLOOKUP($D407,$C$5:$AU$502,27,)/VLOOKUP($D407,$C$5:$AU$502,3,))*$E407)</f>
        <v>0</v>
      </c>
      <c r="AD407" s="49">
        <f>IF(VLOOKUP($D407,$C$5:$AU$502,3,)=0,0,(VLOOKUP($D407,$C$5:$AU$502,28,)/VLOOKUP($D407,$C$5:$AU$502,3,))*$E407)</f>
        <v>0</v>
      </c>
      <c r="AE407" s="49">
        <f>IF(VLOOKUP($D407,$C$5:$AU$502,3,)=0,0,(VLOOKUP($D407,$C$5:$AU$502,29,)/VLOOKUP($D407,$C$5:$AU$502,3,))*$E407)</f>
        <v>0</v>
      </c>
      <c r="AF407" s="49">
        <f>IF(VLOOKUP($D407,$C$5:$AU$502,3,)=0,0,(VLOOKUP($D407,$C$5:$AU$502,30,)/VLOOKUP($D407,$C$5:$AU$502,3,))*$E407)</f>
        <v>0</v>
      </c>
      <c r="AG407" s="49">
        <f>SUM(F407:AF407)</f>
        <v>1.0000000000000002</v>
      </c>
      <c r="AH407" s="30" t="str">
        <f t="shared" si="146"/>
        <v>ok</v>
      </c>
    </row>
    <row r="408" spans="1:34" x14ac:dyDescent="0.2">
      <c r="A408" s="14" t="s">
        <v>700</v>
      </c>
      <c r="C408" s="14" t="s">
        <v>701</v>
      </c>
      <c r="E408" s="97">
        <f>Services!G33</f>
        <v>0.99999999999999989</v>
      </c>
      <c r="F408" s="49">
        <f>Services!G6</f>
        <v>0.89873262241242002</v>
      </c>
      <c r="G408" s="49">
        <f>Services!G7</f>
        <v>3.5984489730900353E-4</v>
      </c>
      <c r="H408" s="49">
        <f>Services!G8</f>
        <v>8.0479586754078583E-2</v>
      </c>
      <c r="I408" s="49">
        <f>Services!G9</f>
        <v>8.070009802462242E-3</v>
      </c>
      <c r="J408" s="49">
        <f>Services!G10</f>
        <v>7.6766911425920747E-3</v>
      </c>
      <c r="K408" s="49">
        <f>Services!G11</f>
        <v>2.2180728696826048E-3</v>
      </c>
      <c r="L408" s="49">
        <f>Services!G12</f>
        <v>2.4631721214553614E-3</v>
      </c>
      <c r="M408" s="49">
        <f>Services!G13</f>
        <v>0</v>
      </c>
      <c r="N408" s="49">
        <f>Services!G14</f>
        <v>0</v>
      </c>
      <c r="O408" s="49">
        <f>Services!G15</f>
        <v>0</v>
      </c>
      <c r="P408" s="49">
        <f>Services!G26</f>
        <v>0</v>
      </c>
      <c r="Q408" s="49">
        <f>Services!G28</f>
        <v>0</v>
      </c>
      <c r="R408" s="49">
        <f>Services!G30</f>
        <v>0</v>
      </c>
      <c r="S408" s="49">
        <v>0</v>
      </c>
      <c r="T408" s="49">
        <v>0</v>
      </c>
      <c r="U408" s="49">
        <v>0</v>
      </c>
      <c r="V408" s="49">
        <f>Services!W6</f>
        <v>0</v>
      </c>
      <c r="W408" s="49">
        <f>Services!X6</f>
        <v>0</v>
      </c>
      <c r="X408" s="49">
        <f>Services!Y6</f>
        <v>0</v>
      </c>
      <c r="Y408" s="49">
        <f>Services!Z6</f>
        <v>0</v>
      </c>
      <c r="Z408" s="49">
        <f>Services!AA6</f>
        <v>0</v>
      </c>
      <c r="AA408" s="49">
        <f>Services!AB6</f>
        <v>0</v>
      </c>
      <c r="AB408" s="49">
        <f>Services!AC6</f>
        <v>0</v>
      </c>
      <c r="AC408" s="49">
        <f>Services!AD6</f>
        <v>0</v>
      </c>
      <c r="AD408" s="49">
        <f>Services!AE6</f>
        <v>0</v>
      </c>
      <c r="AE408" s="49">
        <f>Services!AF6</f>
        <v>0</v>
      </c>
      <c r="AF408" s="49">
        <f>Services!AG6</f>
        <v>0</v>
      </c>
      <c r="AG408" s="49">
        <f>SUM(F408:AF408)</f>
        <v>0.99999999999999989</v>
      </c>
      <c r="AH408" s="30" t="str">
        <f t="shared" si="146"/>
        <v>ok</v>
      </c>
    </row>
    <row r="409" spans="1:34" x14ac:dyDescent="0.2">
      <c r="A409" s="14" t="s">
        <v>748</v>
      </c>
      <c r="C409" s="14" t="s">
        <v>749</v>
      </c>
      <c r="E409" s="97">
        <v>1</v>
      </c>
      <c r="F409" s="49">
        <f t="shared" ref="F409:AF409" si="147">F408</f>
        <v>0.89873262241242002</v>
      </c>
      <c r="G409" s="49">
        <f t="shared" si="147"/>
        <v>3.5984489730900353E-4</v>
      </c>
      <c r="H409" s="49">
        <f t="shared" si="147"/>
        <v>8.0479586754078583E-2</v>
      </c>
      <c r="I409" s="49">
        <f t="shared" si="147"/>
        <v>8.070009802462242E-3</v>
      </c>
      <c r="J409" s="49">
        <f t="shared" si="147"/>
        <v>7.6766911425920747E-3</v>
      </c>
      <c r="K409" s="49">
        <f t="shared" si="147"/>
        <v>2.2180728696826048E-3</v>
      </c>
      <c r="L409" s="49">
        <f t="shared" si="147"/>
        <v>2.4631721214553614E-3</v>
      </c>
      <c r="M409" s="49">
        <f t="shared" si="147"/>
        <v>0</v>
      </c>
      <c r="N409" s="49">
        <f t="shared" si="147"/>
        <v>0</v>
      </c>
      <c r="O409" s="49">
        <f t="shared" si="147"/>
        <v>0</v>
      </c>
      <c r="P409" s="49">
        <f t="shared" si="147"/>
        <v>0</v>
      </c>
      <c r="Q409" s="49">
        <f t="shared" si="147"/>
        <v>0</v>
      </c>
      <c r="R409" s="49">
        <f t="shared" si="147"/>
        <v>0</v>
      </c>
      <c r="S409" s="49">
        <f t="shared" si="147"/>
        <v>0</v>
      </c>
      <c r="T409" s="49">
        <f t="shared" si="147"/>
        <v>0</v>
      </c>
      <c r="U409" s="49">
        <f t="shared" si="147"/>
        <v>0</v>
      </c>
      <c r="V409" s="49">
        <f t="shared" si="147"/>
        <v>0</v>
      </c>
      <c r="W409" s="49">
        <f t="shared" si="147"/>
        <v>0</v>
      </c>
      <c r="X409" s="49">
        <f t="shared" si="147"/>
        <v>0</v>
      </c>
      <c r="Y409" s="49">
        <f t="shared" si="147"/>
        <v>0</v>
      </c>
      <c r="Z409" s="49">
        <f t="shared" si="147"/>
        <v>0</v>
      </c>
      <c r="AA409" s="49">
        <f t="shared" si="147"/>
        <v>0</v>
      </c>
      <c r="AB409" s="49">
        <f t="shared" si="147"/>
        <v>0</v>
      </c>
      <c r="AC409" s="49">
        <f t="shared" si="147"/>
        <v>0</v>
      </c>
      <c r="AD409" s="49">
        <f t="shared" si="147"/>
        <v>0</v>
      </c>
      <c r="AE409" s="49">
        <f t="shared" si="147"/>
        <v>0</v>
      </c>
      <c r="AF409" s="49">
        <f t="shared" si="147"/>
        <v>0</v>
      </c>
      <c r="AG409" s="49">
        <f>SUM(F409:R409)</f>
        <v>0.99999999999999989</v>
      </c>
      <c r="AH409" s="30" t="str">
        <f t="shared" si="146"/>
        <v>ok</v>
      </c>
    </row>
    <row r="410" spans="1:34" x14ac:dyDescent="0.2">
      <c r="A410" s="14" t="s">
        <v>961</v>
      </c>
      <c r="C410" s="14" t="s">
        <v>962</v>
      </c>
      <c r="E410" s="50">
        <f>F410+G410+H410+I410+J410+K410</f>
        <v>39178616.069999993</v>
      </c>
      <c r="F410" s="50">
        <f>F313</f>
        <v>34527804.599999994</v>
      </c>
      <c r="G410" s="50">
        <f>G313</f>
        <v>7534.4299999999994</v>
      </c>
      <c r="H410" s="50">
        <f t="shared" ref="H410:K410" si="148">H313</f>
        <v>1909411.8199999998</v>
      </c>
      <c r="I410" s="50">
        <f t="shared" si="148"/>
        <v>1357876.44</v>
      </c>
      <c r="J410" s="50">
        <f t="shared" si="148"/>
        <v>103827.47</v>
      </c>
      <c r="K410" s="50">
        <f t="shared" si="148"/>
        <v>1272161.3099999998</v>
      </c>
      <c r="L410" s="50">
        <v>0</v>
      </c>
      <c r="M410" s="50">
        <v>0</v>
      </c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  <c r="AA410" s="49"/>
      <c r="AB410" s="49"/>
      <c r="AC410" s="49"/>
      <c r="AD410" s="49"/>
      <c r="AE410" s="49"/>
      <c r="AF410" s="49"/>
      <c r="AG410" s="50">
        <f>SUM(F410:R410)</f>
        <v>39178616.069999993</v>
      </c>
      <c r="AH410" s="30" t="str">
        <f t="shared" si="146"/>
        <v>ok</v>
      </c>
    </row>
    <row r="411" spans="1:34" x14ac:dyDescent="0.2">
      <c r="F411" s="105"/>
    </row>
    <row r="412" spans="1:34" x14ac:dyDescent="0.2">
      <c r="A412" s="13" t="s">
        <v>341</v>
      </c>
    </row>
    <row r="413" spans="1:34" x14ac:dyDescent="0.2">
      <c r="A413" s="14" t="s">
        <v>342</v>
      </c>
      <c r="C413" s="14" t="s">
        <v>223</v>
      </c>
      <c r="D413" s="14" t="s">
        <v>562</v>
      </c>
      <c r="E413" s="97">
        <v>1</v>
      </c>
      <c r="F413" s="49">
        <f>IF(VLOOKUP($D413,$C$5:$AU$502,3,)=0,0,(VLOOKUP($D413,$C$5:$AU$502,4,)/VLOOKUP($D413,$C$5:$AU$502,3,))*$E413)</f>
        <v>0.92130502500204936</v>
      </c>
      <c r="G413" s="49">
        <f>IF(VLOOKUP($D413,$C$5:$AU$502,3,)=0,0,(VLOOKUP($D413,$C$5:$AU$502,5,)/VLOOKUP($D413,$C$5:$AU$502,3,))*$E413)</f>
        <v>3.6888269530289367E-4</v>
      </c>
      <c r="H413" s="49">
        <f>IF(VLOOKUP($D413,$C$5:$AU$502,3,)=0,0,(VLOOKUP($D413,$C$5:$AU$502,6,)/VLOOKUP($D413,$C$5:$AU$502,3,))*$E413)</f>
        <v>5.2422329699155668E-2</v>
      </c>
      <c r="I413" s="49">
        <f>IF(VLOOKUP($D413,$C$5:$AU$502,3,)=0,0,(VLOOKUP($D413,$C$5:$AU$502,7,)/VLOOKUP($D413,$C$5:$AU$502,3,))*$E413)</f>
        <v>7.0087712107549799E-3</v>
      </c>
      <c r="J413" s="49">
        <f>IF(VLOOKUP($D413,$C$5:$AU$502,3,)=0,0,(VLOOKUP($D413,$C$5:$AU$502,8,)/VLOOKUP($D413,$C$5:$AU$502,3,))*$E413)</f>
        <v>7.8694974997950643E-3</v>
      </c>
      <c r="K413" s="49">
        <f>IF(VLOOKUP($D413,$C$5:$AU$502,3,)=0,0,(VLOOKUP($D413,$C$5:$AU$502,9,)/VLOOKUP($D413,$C$5:$AU$502,3,))*$E413)</f>
        <v>1.9263874088040003E-3</v>
      </c>
      <c r="L413" s="49">
        <f>IF(VLOOKUP($D413,$C$5:$AU$502,3,)=0,0,(VLOOKUP($D413,$C$5:$AU$502,10,)/VLOOKUP($D413,$C$5:$AU$502,3,))*$E413)</f>
        <v>2.5002049348307239E-3</v>
      </c>
      <c r="M413" s="49">
        <f>IF(VLOOKUP($D413,$C$5:$AU$502,3,)=0,0,(VLOOKUP($D413,$C$5:$AU$502,11,)/VLOOKUP($D413,$C$5:$AU$502,3,))*$E413)</f>
        <v>6.59890154930732E-3</v>
      </c>
      <c r="N413" s="49">
        <f>IF(VLOOKUP($D413,$C$5:$AU$502,3,)=0,0,(VLOOKUP($D413,$C$5:$AU$502,12,)/VLOOKUP($D413,$C$5:$AU$502,3,))*$E413)</f>
        <v>0</v>
      </c>
      <c r="O413" s="49">
        <f>IF(VLOOKUP($D413,$C$5:$AU$502,3,)=0,0,(VLOOKUP($D413,$C$5:$AU$502,13,)/VLOOKUP($D413,$C$5:$AU$502,3,))*$E413)</f>
        <v>0</v>
      </c>
      <c r="P413" s="49">
        <f>IF(VLOOKUP($D413,$C$5:$AU$502,3,)=0,0,(VLOOKUP($D413,$C$5:$AU$502,14,)/VLOOKUP($D413,$C$5:$AU$502,3,))*$E413)</f>
        <v>0</v>
      </c>
      <c r="Q413" s="49">
        <f>IF(VLOOKUP($D413,$C$5:$AU$502,3,)=0,0,(VLOOKUP($D413,$C$5:$AU$502,15,)/VLOOKUP($D413,$C$5:$AU$502,3,))*$E413)</f>
        <v>0</v>
      </c>
      <c r="R413" s="49">
        <f>IF(VLOOKUP($D413,$C$5:$AU$502,3,)=0,0,(VLOOKUP($D413,$C$5:$AU$502,16,)/VLOOKUP($D413,$C$5:$AU$502,3,))*$E413)</f>
        <v>0</v>
      </c>
      <c r="S413" s="49">
        <f>IF(VLOOKUP($D413,$C$5:$AU$502,3,)=0,0,(VLOOKUP($D413,$C$5:$AU$502,17,)/VLOOKUP($D413,$C$5:$AU$502,3,))*$E413)</f>
        <v>0</v>
      </c>
      <c r="T413" s="49">
        <f>IF(VLOOKUP($D413,$C$5:$AU$502,3,)=0,0,(VLOOKUP($D413,$C$5:$AU$502,18,)/VLOOKUP($D413,$C$5:$AU$502,3,))*$E413)</f>
        <v>0</v>
      </c>
      <c r="U413" s="49">
        <f>IF(VLOOKUP($D413,$C$5:$AU$502,3,)=0,0,(VLOOKUP($D413,$C$5:$AU$502,19,)/VLOOKUP($D413,$C$5:$AU$502,3,))*$E413)</f>
        <v>0</v>
      </c>
      <c r="V413" s="49">
        <f>IF(VLOOKUP($D413,$C$5:$AU$502,3,)=0,0,(VLOOKUP($D413,$C$5:$AU$502,20,)/VLOOKUP($D413,$C$5:$AU$502,3,))*$E413)</f>
        <v>0</v>
      </c>
      <c r="W413" s="49">
        <f>IF(VLOOKUP($D413,$C$5:$AU$502,3,)=0,0,(VLOOKUP($D413,$C$5:$AU$502,21,)/VLOOKUP($D413,$C$5:$AU$502,3,))*$E413)</f>
        <v>0</v>
      </c>
      <c r="X413" s="49">
        <f>IF(VLOOKUP($D413,$C$5:$AU$502,3,)=0,0,(VLOOKUP($D413,$C$5:$AU$502,22,)/VLOOKUP($D413,$C$5:$AU$502,3,))*$E413)</f>
        <v>0</v>
      </c>
      <c r="Y413" s="49">
        <f>IF(VLOOKUP($D413,$C$5:$AU$502,3,)=0,0,(VLOOKUP($D413,$C$5:$AU$502,23,)/VLOOKUP($D413,$C$5:$AU$502,3,))*$E413)</f>
        <v>0</v>
      </c>
      <c r="Z413" s="49">
        <f>IF(VLOOKUP($D413,$C$5:$AU$502,3,)=0,0,(VLOOKUP($D413,$C$5:$AU$502,24,)/VLOOKUP($D413,$C$5:$AU$502,3,))*$E413)</f>
        <v>0</v>
      </c>
      <c r="AA413" s="49">
        <f>IF(VLOOKUP($D413,$C$5:$AU$502,3,)=0,0,(VLOOKUP($D413,$C$5:$AU$502,25,)/VLOOKUP($D413,$C$5:$AU$502,3,))*$E413)</f>
        <v>0</v>
      </c>
      <c r="AB413" s="49">
        <f>IF(VLOOKUP($D413,$C$5:$AU$502,3,)=0,0,(VLOOKUP($D413,$C$5:$AU$502,26,)/VLOOKUP($D413,$C$5:$AU$502,3,))*$E413)</f>
        <v>0</v>
      </c>
      <c r="AC413" s="49">
        <f>IF(VLOOKUP($D413,$C$5:$AU$502,3,)=0,0,(VLOOKUP($D413,$C$5:$AU$502,27,)/VLOOKUP($D413,$C$5:$AU$502,3,))*$E413)</f>
        <v>0</v>
      </c>
      <c r="AD413" s="49">
        <f>IF(VLOOKUP($D413,$C$5:$AU$502,3,)=0,0,(VLOOKUP($D413,$C$5:$AU$502,28,)/VLOOKUP($D413,$C$5:$AU$502,3,))*$E413)</f>
        <v>0</v>
      </c>
      <c r="AE413" s="49">
        <f>IF(VLOOKUP($D413,$C$5:$AU$502,3,)=0,0,(VLOOKUP($D413,$C$5:$AU$502,29,)/VLOOKUP($D413,$C$5:$AU$502,3,))*$E413)</f>
        <v>0</v>
      </c>
      <c r="AF413" s="49">
        <f>IF(VLOOKUP($D413,$C$5:$AU$502,3,)=0,0,(VLOOKUP($D413,$C$5:$AU$502,30,)/VLOOKUP($D413,$C$5:$AU$502,3,))*$E413)</f>
        <v>0</v>
      </c>
      <c r="AG413" s="101">
        <f t="shared" ref="AG413:AG418" si="149">SUM(F413:AF413)</f>
        <v>0.99999999999999989</v>
      </c>
      <c r="AH413" s="30" t="str">
        <f t="shared" ref="AH413:AH418" si="150">IF(ABS(E413-AG413)&lt;0.01,"ok","err")</f>
        <v>ok</v>
      </c>
    </row>
    <row r="414" spans="1:34" x14ac:dyDescent="0.2">
      <c r="A414" s="14" t="s">
        <v>343</v>
      </c>
      <c r="C414" s="14" t="s">
        <v>227</v>
      </c>
      <c r="D414" s="14" t="s">
        <v>563</v>
      </c>
      <c r="E414" s="97">
        <v>1</v>
      </c>
      <c r="F414" s="49">
        <f>IF(VLOOKUP($D414,$C$5:$AU$502,3,)=0,0,(VLOOKUP($D414,$C$5:$AU$502,4,)/VLOOKUP($D414,$C$5:$AU$502,3,))*$E414)</f>
        <v>0.92130502500204936</v>
      </c>
      <c r="G414" s="49">
        <f>IF(VLOOKUP($D414,$C$5:$AU$502,3,)=0,0,(VLOOKUP($D414,$C$5:$AU$502,5,)/VLOOKUP($D414,$C$5:$AU$502,3,))*$E414)</f>
        <v>3.6888269530289367E-4</v>
      </c>
      <c r="H414" s="49">
        <f>IF(VLOOKUP($D414,$C$5:$AU$502,3,)=0,0,(VLOOKUP($D414,$C$5:$AU$502,6,)/VLOOKUP($D414,$C$5:$AU$502,3,))*$E414)</f>
        <v>5.2422329699155668E-2</v>
      </c>
      <c r="I414" s="49">
        <f>IF(VLOOKUP($D414,$C$5:$AU$502,3,)=0,0,(VLOOKUP($D414,$C$5:$AU$502,7,)/VLOOKUP($D414,$C$5:$AU$502,3,))*$E414)</f>
        <v>7.0087712107549799E-3</v>
      </c>
      <c r="J414" s="49">
        <f>IF(VLOOKUP($D414,$C$5:$AU$502,3,)=0,0,(VLOOKUP($D414,$C$5:$AU$502,8,)/VLOOKUP($D414,$C$5:$AU$502,3,))*$E414)</f>
        <v>7.8694974997950643E-3</v>
      </c>
      <c r="K414" s="49">
        <f>IF(VLOOKUP($D414,$C$5:$AU$502,3,)=0,0,(VLOOKUP($D414,$C$5:$AU$502,9,)/VLOOKUP($D414,$C$5:$AU$502,3,))*$E414)</f>
        <v>1.9263874088040003E-3</v>
      </c>
      <c r="L414" s="49">
        <f>IF(VLOOKUP($D414,$C$5:$AU$502,3,)=0,0,(VLOOKUP($D414,$C$5:$AU$502,10,)/VLOOKUP($D414,$C$5:$AU$502,3,))*$E414)</f>
        <v>2.5002049348307239E-3</v>
      </c>
      <c r="M414" s="49">
        <f>IF(VLOOKUP($D414,$C$5:$AU$502,3,)=0,0,(VLOOKUP($D414,$C$5:$AU$502,11,)/VLOOKUP($D414,$C$5:$AU$502,3,))*$E414)</f>
        <v>6.59890154930732E-3</v>
      </c>
      <c r="N414" s="49">
        <f>IF(VLOOKUP($D414,$C$5:$AU$502,3,)=0,0,(VLOOKUP($D414,$C$5:$AU$502,12,)/VLOOKUP($D414,$C$5:$AU$502,3,))*$E414)</f>
        <v>0</v>
      </c>
      <c r="O414" s="49">
        <f>IF(VLOOKUP($D414,$C$5:$AU$502,3,)=0,0,(VLOOKUP($D414,$C$5:$AU$502,13,)/VLOOKUP($D414,$C$5:$AU$502,3,))*$E414)</f>
        <v>0</v>
      </c>
      <c r="P414" s="49">
        <f>IF(VLOOKUP($D414,$C$5:$AU$502,3,)=0,0,(VLOOKUP($D414,$C$5:$AU$502,14,)/VLOOKUP($D414,$C$5:$AU$502,3,))*$E414)</f>
        <v>0</v>
      </c>
      <c r="Q414" s="49">
        <f>IF(VLOOKUP($D414,$C$5:$AU$502,3,)=0,0,(VLOOKUP($D414,$C$5:$AU$502,15,)/VLOOKUP($D414,$C$5:$AU$502,3,))*$E414)</f>
        <v>0</v>
      </c>
      <c r="R414" s="49">
        <f>IF(VLOOKUP($D414,$C$5:$AU$502,3,)=0,0,(VLOOKUP($D414,$C$5:$AU$502,16,)/VLOOKUP($D414,$C$5:$AU$502,3,))*$E414)</f>
        <v>0</v>
      </c>
      <c r="S414" s="49">
        <f>IF(VLOOKUP($D414,$C$5:$AU$502,3,)=0,0,(VLOOKUP($D414,$C$5:$AU$502,17,)/VLOOKUP($D414,$C$5:$AU$502,3,))*$E414)</f>
        <v>0</v>
      </c>
      <c r="T414" s="49">
        <f>IF(VLOOKUP($D414,$C$5:$AU$502,3,)=0,0,(VLOOKUP($D414,$C$5:$AU$502,18,)/VLOOKUP($D414,$C$5:$AU$502,3,))*$E414)</f>
        <v>0</v>
      </c>
      <c r="U414" s="49">
        <f>IF(VLOOKUP($D414,$C$5:$AU$502,3,)=0,0,(VLOOKUP($D414,$C$5:$AU$502,19,)/VLOOKUP($D414,$C$5:$AU$502,3,))*$E414)</f>
        <v>0</v>
      </c>
      <c r="V414" s="49">
        <f>IF(VLOOKUP($D414,$C$5:$AU$502,3,)=0,0,(VLOOKUP($D414,$C$5:$AU$502,20,)/VLOOKUP($D414,$C$5:$AU$502,3,))*$E414)</f>
        <v>0</v>
      </c>
      <c r="W414" s="49">
        <f>IF(VLOOKUP($D414,$C$5:$AU$502,3,)=0,0,(VLOOKUP($D414,$C$5:$AU$502,21,)/VLOOKUP($D414,$C$5:$AU$502,3,))*$E414)</f>
        <v>0</v>
      </c>
      <c r="X414" s="49">
        <f>IF(VLOOKUP($D414,$C$5:$AU$502,3,)=0,0,(VLOOKUP($D414,$C$5:$AU$502,22,)/VLOOKUP($D414,$C$5:$AU$502,3,))*$E414)</f>
        <v>0</v>
      </c>
      <c r="Y414" s="49">
        <f>IF(VLOOKUP($D414,$C$5:$AU$502,3,)=0,0,(VLOOKUP($D414,$C$5:$AU$502,23,)/VLOOKUP($D414,$C$5:$AU$502,3,))*$E414)</f>
        <v>0</v>
      </c>
      <c r="Z414" s="49">
        <f>IF(VLOOKUP($D414,$C$5:$AU$502,3,)=0,0,(VLOOKUP($D414,$C$5:$AU$502,24,)/VLOOKUP($D414,$C$5:$AU$502,3,))*$E414)</f>
        <v>0</v>
      </c>
      <c r="AA414" s="49">
        <f>IF(VLOOKUP($D414,$C$5:$AU$502,3,)=0,0,(VLOOKUP($D414,$C$5:$AU$502,25,)/VLOOKUP($D414,$C$5:$AU$502,3,))*$E414)</f>
        <v>0</v>
      </c>
      <c r="AB414" s="49">
        <f>IF(VLOOKUP($D414,$C$5:$AU$502,3,)=0,0,(VLOOKUP($D414,$C$5:$AU$502,26,)/VLOOKUP($D414,$C$5:$AU$502,3,))*$E414)</f>
        <v>0</v>
      </c>
      <c r="AC414" s="49">
        <f>IF(VLOOKUP($D414,$C$5:$AU$502,3,)=0,0,(VLOOKUP($D414,$C$5:$AU$502,27,)/VLOOKUP($D414,$C$5:$AU$502,3,))*$E414)</f>
        <v>0</v>
      </c>
      <c r="AD414" s="49">
        <f>IF(VLOOKUP($D414,$C$5:$AU$502,3,)=0,0,(VLOOKUP($D414,$C$5:$AU$502,28,)/VLOOKUP($D414,$C$5:$AU$502,3,))*$E414)</f>
        <v>0</v>
      </c>
      <c r="AE414" s="49">
        <f>IF(VLOOKUP($D414,$C$5:$AU$502,3,)=0,0,(VLOOKUP($D414,$C$5:$AU$502,29,)/VLOOKUP($D414,$C$5:$AU$502,3,))*$E414)</f>
        <v>0</v>
      </c>
      <c r="AF414" s="49">
        <f>IF(VLOOKUP($D414,$C$5:$AU$502,3,)=0,0,(VLOOKUP($D414,$C$5:$AU$502,30,)/VLOOKUP($D414,$C$5:$AU$502,3,))*$E414)</f>
        <v>0</v>
      </c>
      <c r="AG414" s="101">
        <f t="shared" si="149"/>
        <v>0.99999999999999989</v>
      </c>
      <c r="AH414" s="30" t="str">
        <f t="shared" si="150"/>
        <v>ok</v>
      </c>
    </row>
    <row r="415" spans="1:34" x14ac:dyDescent="0.2">
      <c r="A415" s="14" t="s">
        <v>344</v>
      </c>
      <c r="C415" s="14" t="s">
        <v>230</v>
      </c>
      <c r="E415" s="97">
        <f>Meters!$G32</f>
        <v>0.99999999999999989</v>
      </c>
      <c r="F415" s="49">
        <f>Meters!$G6</f>
        <v>0.88936852613037087</v>
      </c>
      <c r="G415" s="49">
        <f>Meters!$G7</f>
        <v>3.5609559280956219E-4</v>
      </c>
      <c r="H415" s="49">
        <f>Meters!$G8</f>
        <v>5.0605140355936676E-2</v>
      </c>
      <c r="I415" s="49">
        <f>Meters!$G9</f>
        <v>1.5335166588512823E-2</v>
      </c>
      <c r="J415" s="49">
        <f>Meters!$G10</f>
        <v>7.5967059799373262E-3</v>
      </c>
      <c r="K415" s="49">
        <f>Meters!$G11</f>
        <v>9.4334651991138559E-3</v>
      </c>
      <c r="L415" s="49">
        <f>Meters!$G12</f>
        <v>2.7304900153318795E-2</v>
      </c>
      <c r="M415" s="49">
        <f>Meters!$G13</f>
        <v>0</v>
      </c>
      <c r="N415" s="49">
        <f>Meters!$G14</f>
        <v>0</v>
      </c>
      <c r="O415" s="49">
        <f>Meters!$G15</f>
        <v>0</v>
      </c>
      <c r="P415" s="49">
        <f>Meters!$G26</f>
        <v>0</v>
      </c>
      <c r="Q415" s="49">
        <f>Meters!$G28</f>
        <v>0</v>
      </c>
      <c r="R415" s="49">
        <f>Meters!$G30</f>
        <v>0</v>
      </c>
      <c r="S415" s="49">
        <v>0</v>
      </c>
      <c r="T415" s="49">
        <v>0</v>
      </c>
      <c r="U415" s="49">
        <v>0</v>
      </c>
      <c r="V415" s="49">
        <f>Meters!X6</f>
        <v>0</v>
      </c>
      <c r="W415" s="49">
        <f>Meters!Y6</f>
        <v>0</v>
      </c>
      <c r="X415" s="49">
        <f>Meters!Z6</f>
        <v>0</v>
      </c>
      <c r="Y415" s="49">
        <f>Meters!AA6</f>
        <v>0</v>
      </c>
      <c r="Z415" s="49">
        <f>Meters!AB6</f>
        <v>0</v>
      </c>
      <c r="AA415" s="49">
        <f>Meters!AC6</f>
        <v>0</v>
      </c>
      <c r="AB415" s="49">
        <f>Meters!AD6</f>
        <v>0</v>
      </c>
      <c r="AC415" s="49">
        <f>Meters!AE6</f>
        <v>0</v>
      </c>
      <c r="AD415" s="49">
        <f>Meters!AF6</f>
        <v>0</v>
      </c>
      <c r="AE415" s="49">
        <f>Meters!AG6</f>
        <v>0</v>
      </c>
      <c r="AF415" s="49">
        <f>Meters!AH6</f>
        <v>0</v>
      </c>
      <c r="AG415" s="101">
        <f t="shared" si="149"/>
        <v>0.99999999999999989</v>
      </c>
      <c r="AH415" s="30" t="str">
        <f t="shared" si="150"/>
        <v>ok</v>
      </c>
    </row>
    <row r="416" spans="1:34" x14ac:dyDescent="0.2">
      <c r="A416" s="14" t="s">
        <v>345</v>
      </c>
      <c r="C416" s="14" t="s">
        <v>232</v>
      </c>
      <c r="D416" s="14" t="s">
        <v>565</v>
      </c>
      <c r="E416" s="97">
        <v>1</v>
      </c>
      <c r="F416" s="49">
        <f>IF(VLOOKUP($D416,$C$5:$AU$502,3,)=0,0,(VLOOKUP($D416,$C$5:$AU$502,4,)/VLOOKUP($D416,$C$5:$AU$502,3,))*$E416)</f>
        <v>0</v>
      </c>
      <c r="G416" s="49">
        <f>IF(VLOOKUP($D416,$C$5:$AU$502,3,)=0,0,(VLOOKUP($D416,$C$5:$AU$502,5,)/VLOOKUP($D416,$C$5:$AU$502,3,))*$E416)</f>
        <v>0</v>
      </c>
      <c r="H416" s="49">
        <f>IF(VLOOKUP($D416,$C$5:$AU$502,3,)=0,0,(VLOOKUP($D416,$C$5:$AU$502,6,)/VLOOKUP($D416,$C$5:$AU$502,3,))*$E416)</f>
        <v>0</v>
      </c>
      <c r="I416" s="49">
        <f>IF(VLOOKUP($D416,$C$5:$AU$502,3,)=0,0,(VLOOKUP($D416,$C$5:$AU$502,7,)/VLOOKUP($D416,$C$5:$AU$502,3,))*$E416)</f>
        <v>0</v>
      </c>
      <c r="J416" s="49">
        <f>IF(VLOOKUP($D416,$C$5:$AU$502,3,)=0,0,(VLOOKUP($D416,$C$5:$AU$502,8,)/VLOOKUP($D416,$C$5:$AU$502,3,))*$E416)</f>
        <v>0</v>
      </c>
      <c r="K416" s="49">
        <v>0</v>
      </c>
      <c r="L416" s="49">
        <f>IF(VLOOKUP($D416,$C$5:$AU$502,3,)=0,0,(VLOOKUP($D416,$C$5:$AU$502,10,)/VLOOKUP($D416,$C$5:$AU$502,3,))*$E416)</f>
        <v>0</v>
      </c>
      <c r="M416" s="49">
        <f>IF(VLOOKUP($D416,$C$5:$AU$502,3,)=0,0,(VLOOKUP($D416,$C$5:$AU$502,11,)/VLOOKUP($D416,$C$5:$AU$502,3,))*$E416)</f>
        <v>1</v>
      </c>
      <c r="N416" s="49">
        <f>IF(VLOOKUP($D416,$C$5:$AU$502,3,)=0,0,(VLOOKUP($D416,$C$5:$AU$502,12,)/VLOOKUP($D416,$C$5:$AU$502,3,))*$E416)</f>
        <v>0</v>
      </c>
      <c r="O416" s="49">
        <v>0</v>
      </c>
      <c r="P416" s="49">
        <f>IF(VLOOKUP($D416,$C$5:$AU$502,3,)=0,0,(VLOOKUP($D416,$C$5:$AU$502,14,)/VLOOKUP($D416,$C$5:$AU$502,3,))*$E416)</f>
        <v>0</v>
      </c>
      <c r="Q416" s="49">
        <f>IF(VLOOKUP($D416,$C$5:$AU$502,3,)=0,0,(VLOOKUP($D416,$C$5:$AU$502,15,)/VLOOKUP($D416,$C$5:$AU$502,3,))*$E416)</f>
        <v>0</v>
      </c>
      <c r="R416" s="49">
        <f>IF(VLOOKUP($D416,$C$5:$AU$502,3,)=0,0,(VLOOKUP($D416,$C$5:$AU$502,16,)/VLOOKUP($D416,$C$5:$AU$502,3,))*$E416)</f>
        <v>0</v>
      </c>
      <c r="S416" s="49">
        <f>IF(VLOOKUP($D416,$C$5:$AU$502,3,)=0,0,(VLOOKUP($D416,$C$5:$AU$502,17,)/VLOOKUP($D416,$C$5:$AU$502,3,))*$E416)</f>
        <v>0</v>
      </c>
      <c r="T416" s="49">
        <f>IF(VLOOKUP($D416,$C$5:$AU$502,3,)=0,0,(VLOOKUP($D416,$C$5:$AU$502,18,)/VLOOKUP($D416,$C$5:$AU$502,3,))*$E416)</f>
        <v>0</v>
      </c>
      <c r="U416" s="49">
        <f>IF(VLOOKUP($D416,$C$5:$AU$502,3,)=0,0,(VLOOKUP($D416,$C$5:$AU$502,19,)/VLOOKUP($D416,$C$5:$AU$502,3,))*$E416)</f>
        <v>0</v>
      </c>
      <c r="V416" s="49">
        <f>IF(VLOOKUP($D416,$C$5:$AU$502,3,)=0,0,(VLOOKUP($D416,$C$5:$AU$502,20,)/VLOOKUP($D416,$C$5:$AU$502,3,))*$E416)</f>
        <v>0</v>
      </c>
      <c r="W416" s="49">
        <f>IF(VLOOKUP($D416,$C$5:$AU$502,3,)=0,0,(VLOOKUP($D416,$C$5:$AU$502,21,)/VLOOKUP($D416,$C$5:$AU$502,3,))*$E416)</f>
        <v>0</v>
      </c>
      <c r="X416" s="49">
        <f>IF(VLOOKUP($D416,$C$5:$AU$502,3,)=0,0,(VLOOKUP($D416,$C$5:$AU$502,22,)/VLOOKUP($D416,$C$5:$AU$502,3,))*$E416)</f>
        <v>0</v>
      </c>
      <c r="Y416" s="49">
        <f>IF(VLOOKUP($D416,$C$5:$AU$502,3,)=0,0,(VLOOKUP($D416,$C$5:$AU$502,23,)/VLOOKUP($D416,$C$5:$AU$502,3,))*$E416)</f>
        <v>0</v>
      </c>
      <c r="Z416" s="49">
        <f>IF(VLOOKUP($D416,$C$5:$AU$502,3,)=0,0,(VLOOKUP($D416,$C$5:$AU$502,24,)/VLOOKUP($D416,$C$5:$AU$502,3,))*$E416)</f>
        <v>0</v>
      </c>
      <c r="AA416" s="49">
        <f>IF(VLOOKUP($D416,$C$5:$AU$502,3,)=0,0,(VLOOKUP($D416,$C$5:$AU$502,25,)/VLOOKUP($D416,$C$5:$AU$502,3,))*$E416)</f>
        <v>0</v>
      </c>
      <c r="AB416" s="49">
        <f>IF(VLOOKUP($D416,$C$5:$AU$502,3,)=0,0,(VLOOKUP($D416,$C$5:$AU$502,26,)/VLOOKUP($D416,$C$5:$AU$502,3,))*$E416)</f>
        <v>0</v>
      </c>
      <c r="AC416" s="49">
        <f>IF(VLOOKUP($D416,$C$5:$AU$502,3,)=0,0,(VLOOKUP($D416,$C$5:$AU$502,27,)/VLOOKUP($D416,$C$5:$AU$502,3,))*$E416)</f>
        <v>0</v>
      </c>
      <c r="AD416" s="49">
        <f>IF(VLOOKUP($D416,$C$5:$AU$502,3,)=0,0,(VLOOKUP($D416,$C$5:$AU$502,28,)/VLOOKUP($D416,$C$5:$AU$502,3,))*$E416)</f>
        <v>0</v>
      </c>
      <c r="AE416" s="49">
        <f>IF(VLOOKUP($D416,$C$5:$AU$502,3,)=0,0,(VLOOKUP($D416,$C$5:$AU$502,29,)/VLOOKUP($D416,$C$5:$AU$502,3,))*$E416)</f>
        <v>0</v>
      </c>
      <c r="AF416" s="49">
        <f>IF(VLOOKUP($D416,$C$5:$AU$502,3,)=0,0,(VLOOKUP($D416,$C$5:$AU$502,30,)/VLOOKUP($D416,$C$5:$AU$502,3,))*$E416)</f>
        <v>0</v>
      </c>
      <c r="AG416" s="101">
        <f t="shared" si="149"/>
        <v>1</v>
      </c>
      <c r="AH416" s="30" t="str">
        <f t="shared" si="150"/>
        <v>ok</v>
      </c>
    </row>
    <row r="417" spans="1:34" x14ac:dyDescent="0.2">
      <c r="A417" s="14" t="s">
        <v>346</v>
      </c>
      <c r="C417" s="14" t="s">
        <v>234</v>
      </c>
      <c r="D417" s="14" t="s">
        <v>617</v>
      </c>
      <c r="E417" s="97">
        <v>1</v>
      </c>
      <c r="F417" s="49">
        <f>IF(VLOOKUP($D417,$C$5:$AU$502,3,)=0,0,(VLOOKUP($D417,$C$5:$AU$502,4,)/VLOOKUP($D417,$C$5:$AU$502,3,))*$E417)</f>
        <v>0.92728812844578334</v>
      </c>
      <c r="G417" s="49">
        <f>IF(VLOOKUP($D417,$C$5:$AU$502,3,)=0,0,(VLOOKUP($D417,$C$5:$AU$502,5,)/VLOOKUP($D417,$C$5:$AU$502,3,))*$E417)</f>
        <v>3.7127827902891939E-4</v>
      </c>
      <c r="H417" s="49">
        <f>IF(VLOOKUP($D417,$C$5:$AU$502,3,)=0,0,(VLOOKUP($D417,$C$5:$AU$502,6,)/VLOOKUP($D417,$C$5:$AU$502,3,))*$E417)</f>
        <v>5.2762768764220876E-2</v>
      </c>
      <c r="I417" s="49">
        <f>IF(VLOOKUP($D417,$C$5:$AU$502,3,)=0,0,(VLOOKUP($D417,$C$5:$AU$502,7,)/VLOOKUP($D417,$C$5:$AU$502,3,))*$E417)</f>
        <v>7.0542873015494679E-3</v>
      </c>
      <c r="J417" s="49">
        <f>IF(VLOOKUP($D417,$C$5:$AU$502,3,)=0,0,(VLOOKUP($D417,$C$5:$AU$502,8,)/VLOOKUP($D417,$C$5:$AU$502,3,))*$E417)</f>
        <v>7.9206032859502808E-3</v>
      </c>
      <c r="K417" s="49">
        <f>IF(VLOOKUP($D417,$C$5:$AU$502,3,)=0,0,(VLOOKUP($D417,$C$5:$AU$502,9,)/VLOOKUP($D417,$C$5:$AU$502,3,))*$E417)</f>
        <v>1.9388976793732458E-3</v>
      </c>
      <c r="L417" s="49">
        <f>IF(VLOOKUP($D417,$C$5:$AU$502,3,)=0,0,(VLOOKUP($D417,$C$5:$AU$502,10,)/VLOOKUP($D417,$C$5:$AU$502,3,))*$E417)</f>
        <v>2.5164416689737869E-3</v>
      </c>
      <c r="M417" s="49">
        <f>IF(VLOOKUP($D417,$C$5:$AU$502,3,)=0,0,(VLOOKUP($D417,$C$5:$AU$502,11,)/VLOOKUP($D417,$C$5:$AU$502,3,))*$E417)</f>
        <v>1.4759457512013833E-4</v>
      </c>
      <c r="N417" s="49">
        <f>IF(VLOOKUP($D417,$C$5:$AU$502,3,)=0,0,(VLOOKUP($D417,$C$5:$AU$502,12,)/VLOOKUP($D417,$C$5:$AU$502,3,))*$E417)</f>
        <v>0</v>
      </c>
      <c r="O417" s="49">
        <f>IF(VLOOKUP($D417,$C$5:$AU$502,3,)=0,0,(VLOOKUP($D417,$C$5:$AU$502,13,)/VLOOKUP($D417,$C$5:$AU$502,3,))*$E417)</f>
        <v>0</v>
      </c>
      <c r="P417" s="49">
        <f>IF(VLOOKUP($D417,$C$5:$AU$502,3,)=0,0,(VLOOKUP($D417,$C$5:$AU$502,14,)/VLOOKUP($D417,$C$5:$AU$502,3,))*$E417)</f>
        <v>0</v>
      </c>
      <c r="Q417" s="49">
        <f>IF(VLOOKUP($D417,$C$5:$AU$502,3,)=0,0,(VLOOKUP($D417,$C$5:$AU$502,15,)/VLOOKUP($D417,$C$5:$AU$502,3,))*$E417)</f>
        <v>0</v>
      </c>
      <c r="R417" s="49">
        <f>IF(VLOOKUP($D417,$C$5:$AU$502,3,)=0,0,(VLOOKUP($D417,$C$5:$AU$502,16,)/VLOOKUP($D417,$C$5:$AU$502,3,))*$E417)</f>
        <v>0</v>
      </c>
      <c r="S417" s="49">
        <f>IF(VLOOKUP($D417,$C$5:$AU$502,3,)=0,0,(VLOOKUP($D417,$C$5:$AU$502,17,)/VLOOKUP($D417,$C$5:$AU$502,3,))*$E417)</f>
        <v>0</v>
      </c>
      <c r="T417" s="49">
        <f>IF(VLOOKUP($D417,$C$5:$AU$502,3,)=0,0,(VLOOKUP($D417,$C$5:$AU$502,18,)/VLOOKUP($D417,$C$5:$AU$502,3,))*$E417)</f>
        <v>0</v>
      </c>
      <c r="U417" s="49">
        <f>IF(VLOOKUP($D417,$C$5:$AU$502,3,)=0,0,(VLOOKUP($D417,$C$5:$AU$502,19,)/VLOOKUP($D417,$C$5:$AU$502,3,))*$E417)</f>
        <v>0</v>
      </c>
      <c r="V417" s="49">
        <f>IF(VLOOKUP($D417,$C$5:$AU$502,3,)=0,0,(VLOOKUP($D417,$C$5:$AU$502,20,)/VLOOKUP($D417,$C$5:$AU$502,3,))*$E417)</f>
        <v>0</v>
      </c>
      <c r="W417" s="49">
        <f>IF(VLOOKUP($D417,$C$5:$AU$502,3,)=0,0,(VLOOKUP($D417,$C$5:$AU$502,21,)/VLOOKUP($D417,$C$5:$AU$502,3,))*$E417)</f>
        <v>0</v>
      </c>
      <c r="X417" s="49">
        <f>IF(VLOOKUP($D417,$C$5:$AU$502,3,)=0,0,(VLOOKUP($D417,$C$5:$AU$502,22,)/VLOOKUP($D417,$C$5:$AU$502,3,))*$E417)</f>
        <v>0</v>
      </c>
      <c r="Y417" s="49">
        <f>IF(VLOOKUP($D417,$C$5:$AU$502,3,)=0,0,(VLOOKUP($D417,$C$5:$AU$502,23,)/VLOOKUP($D417,$C$5:$AU$502,3,))*$E417)</f>
        <v>0</v>
      </c>
      <c r="Z417" s="49">
        <f>IF(VLOOKUP($D417,$C$5:$AU$502,3,)=0,0,(VLOOKUP($D417,$C$5:$AU$502,24,)/VLOOKUP($D417,$C$5:$AU$502,3,))*$E417)</f>
        <v>0</v>
      </c>
      <c r="AA417" s="49">
        <f>IF(VLOOKUP($D417,$C$5:$AU$502,3,)=0,0,(VLOOKUP($D417,$C$5:$AU$502,25,)/VLOOKUP($D417,$C$5:$AU$502,3,))*$E417)</f>
        <v>0</v>
      </c>
      <c r="AB417" s="49">
        <f>IF(VLOOKUP($D417,$C$5:$AU$502,3,)=0,0,(VLOOKUP($D417,$C$5:$AU$502,26,)/VLOOKUP($D417,$C$5:$AU$502,3,))*$E417)</f>
        <v>0</v>
      </c>
      <c r="AC417" s="49">
        <f>IF(VLOOKUP($D417,$C$5:$AU$502,3,)=0,0,(VLOOKUP($D417,$C$5:$AU$502,27,)/VLOOKUP($D417,$C$5:$AU$502,3,))*$E417)</f>
        <v>0</v>
      </c>
      <c r="AD417" s="49">
        <f>IF(VLOOKUP($D417,$C$5:$AU$502,3,)=0,0,(VLOOKUP($D417,$C$5:$AU$502,28,)/VLOOKUP($D417,$C$5:$AU$502,3,))*$E417)</f>
        <v>0</v>
      </c>
      <c r="AE417" s="49">
        <f>IF(VLOOKUP($D417,$C$5:$AU$502,3,)=0,0,(VLOOKUP($D417,$C$5:$AU$502,29,)/VLOOKUP($D417,$C$5:$AU$502,3,))*$E417)</f>
        <v>0</v>
      </c>
      <c r="AF417" s="49">
        <f>IF(VLOOKUP($D417,$C$5:$AU$502,3,)=0,0,(VLOOKUP($D417,$C$5:$AU$502,30,)/VLOOKUP($D417,$C$5:$AU$502,3,))*$E417)</f>
        <v>0</v>
      </c>
      <c r="AG417" s="101">
        <f t="shared" si="149"/>
        <v>1</v>
      </c>
      <c r="AH417" s="30" t="str">
        <f t="shared" si="150"/>
        <v>ok</v>
      </c>
    </row>
    <row r="418" spans="1:34" x14ac:dyDescent="0.2">
      <c r="A418" s="14" t="s">
        <v>470</v>
      </c>
      <c r="C418" s="14" t="s">
        <v>235</v>
      </c>
      <c r="D418" s="14" t="s">
        <v>618</v>
      </c>
      <c r="E418" s="97">
        <v>1</v>
      </c>
      <c r="F418" s="49">
        <f>IF(VLOOKUP($D418,$C$5:$AU$502,3,)=0,0,(VLOOKUP($D418,$C$5:$AU$502,4,)/VLOOKUP($D418,$C$5:$AU$502,3,))*$E418)</f>
        <v>0.92728812844578334</v>
      </c>
      <c r="G418" s="49">
        <f>IF(VLOOKUP($D418,$C$5:$AU$502,3,)=0,0,(VLOOKUP($D418,$C$5:$AU$502,5,)/VLOOKUP($D418,$C$5:$AU$502,3,))*$E418)</f>
        <v>3.7127827902891939E-4</v>
      </c>
      <c r="H418" s="49">
        <f>IF(VLOOKUP($D418,$C$5:$AU$502,3,)=0,0,(VLOOKUP($D418,$C$5:$AU$502,6,)/VLOOKUP($D418,$C$5:$AU$502,3,))*$E418)</f>
        <v>5.2762768764220876E-2</v>
      </c>
      <c r="I418" s="49">
        <f>IF(VLOOKUP($D418,$C$5:$AU$502,3,)=0,0,(VLOOKUP($D418,$C$5:$AU$502,7,)/VLOOKUP($D418,$C$5:$AU$502,3,))*$E418)</f>
        <v>7.0542873015494679E-3</v>
      </c>
      <c r="J418" s="49">
        <f>IF(VLOOKUP($D418,$C$5:$AU$502,3,)=0,0,(VLOOKUP($D418,$C$5:$AU$502,8,)/VLOOKUP($D418,$C$5:$AU$502,3,))*$E418)</f>
        <v>7.9206032859502808E-3</v>
      </c>
      <c r="K418" s="49">
        <f>IF(VLOOKUP($D418,$C$5:$AU$502,3,)=0,0,(VLOOKUP($D418,$C$5:$AU$502,9,)/VLOOKUP($D418,$C$5:$AU$502,3,))*$E418)</f>
        <v>1.9388976793732458E-3</v>
      </c>
      <c r="L418" s="49">
        <f>IF(VLOOKUP($D418,$C$5:$AU$502,3,)=0,0,(VLOOKUP($D418,$C$5:$AU$502,10,)/VLOOKUP($D418,$C$5:$AU$502,3,))*$E418)</f>
        <v>2.5164416689737869E-3</v>
      </c>
      <c r="M418" s="49">
        <f>IF(VLOOKUP($D418,$C$5:$AU$502,3,)=0,0,(VLOOKUP($D418,$C$5:$AU$502,11,)/VLOOKUP($D418,$C$5:$AU$502,3,))*$E418)</f>
        <v>1.4759457512013833E-4</v>
      </c>
      <c r="N418" s="49">
        <f>IF(VLOOKUP($D418,$C$5:$AU$502,3,)=0,0,(VLOOKUP($D418,$C$5:$AU$502,12,)/VLOOKUP($D418,$C$5:$AU$502,3,))*$E418)</f>
        <v>0</v>
      </c>
      <c r="O418" s="49">
        <f>IF(VLOOKUP($D418,$C$5:$AU$502,3,)=0,0,(VLOOKUP($D418,$C$5:$AU$502,13,)/VLOOKUP($D418,$C$5:$AU$502,3,))*$E418)</f>
        <v>0</v>
      </c>
      <c r="P418" s="49">
        <f>IF(VLOOKUP($D418,$C$5:$AU$502,3,)=0,0,(VLOOKUP($D418,$C$5:$AU$502,14,)/VLOOKUP($D418,$C$5:$AU$502,3,))*$E418)</f>
        <v>0</v>
      </c>
      <c r="Q418" s="49">
        <f>IF(VLOOKUP($D418,$C$5:$AU$502,3,)=0,0,(VLOOKUP($D418,$C$5:$AU$502,15,)/VLOOKUP($D418,$C$5:$AU$502,3,))*$E418)</f>
        <v>0</v>
      </c>
      <c r="R418" s="49">
        <f>IF(VLOOKUP($D418,$C$5:$AU$502,3,)=0,0,(VLOOKUP($D418,$C$5:$AU$502,16,)/VLOOKUP($D418,$C$5:$AU$502,3,))*$E418)</f>
        <v>0</v>
      </c>
      <c r="S418" s="49">
        <f>IF(VLOOKUP($D418,$C$5:$AU$502,3,)=0,0,(VLOOKUP($D418,$C$5:$AU$502,17,)/VLOOKUP($D418,$C$5:$AU$502,3,))*$E418)</f>
        <v>0</v>
      </c>
      <c r="T418" s="49">
        <f>IF(VLOOKUP($D418,$C$5:$AU$502,3,)=0,0,(VLOOKUP($D418,$C$5:$AU$502,18,)/VLOOKUP($D418,$C$5:$AU$502,3,))*$E418)</f>
        <v>0</v>
      </c>
      <c r="U418" s="49">
        <f>IF(VLOOKUP($D418,$C$5:$AU$502,3,)=0,0,(VLOOKUP($D418,$C$5:$AU$502,19,)/VLOOKUP($D418,$C$5:$AU$502,3,))*$E418)</f>
        <v>0</v>
      </c>
      <c r="V418" s="49">
        <f>IF(VLOOKUP($D418,$C$5:$AU$502,3,)=0,0,(VLOOKUP($D418,$C$5:$AU$502,20,)/VLOOKUP($D418,$C$5:$AU$502,3,))*$E418)</f>
        <v>0</v>
      </c>
      <c r="W418" s="49">
        <f>IF(VLOOKUP($D418,$C$5:$AU$502,3,)=0,0,(VLOOKUP($D418,$C$5:$AU$502,21,)/VLOOKUP($D418,$C$5:$AU$502,3,))*$E418)</f>
        <v>0</v>
      </c>
      <c r="X418" s="49">
        <f>IF(VLOOKUP($D418,$C$5:$AU$502,3,)=0,0,(VLOOKUP($D418,$C$5:$AU$502,22,)/VLOOKUP($D418,$C$5:$AU$502,3,))*$E418)</f>
        <v>0</v>
      </c>
      <c r="Y418" s="49">
        <f>IF(VLOOKUP($D418,$C$5:$AU$502,3,)=0,0,(VLOOKUP($D418,$C$5:$AU$502,23,)/VLOOKUP($D418,$C$5:$AU$502,3,))*$E418)</f>
        <v>0</v>
      </c>
      <c r="Z418" s="49">
        <f>IF(VLOOKUP($D418,$C$5:$AU$502,3,)=0,0,(VLOOKUP($D418,$C$5:$AU$502,24,)/VLOOKUP($D418,$C$5:$AU$502,3,))*$E418)</f>
        <v>0</v>
      </c>
      <c r="AA418" s="49">
        <f>IF(VLOOKUP($D418,$C$5:$AU$502,3,)=0,0,(VLOOKUP($D418,$C$5:$AU$502,25,)/VLOOKUP($D418,$C$5:$AU$502,3,))*$E418)</f>
        <v>0</v>
      </c>
      <c r="AB418" s="49">
        <f>IF(VLOOKUP($D418,$C$5:$AU$502,3,)=0,0,(VLOOKUP($D418,$C$5:$AU$502,26,)/VLOOKUP($D418,$C$5:$AU$502,3,))*$E418)</f>
        <v>0</v>
      </c>
      <c r="AC418" s="49">
        <f>IF(VLOOKUP($D418,$C$5:$AU$502,3,)=0,0,(VLOOKUP($D418,$C$5:$AU$502,27,)/VLOOKUP($D418,$C$5:$AU$502,3,))*$E418)</f>
        <v>0</v>
      </c>
      <c r="AD418" s="49">
        <f>IF(VLOOKUP($D418,$C$5:$AU$502,3,)=0,0,(VLOOKUP($D418,$C$5:$AU$502,28,)/VLOOKUP($D418,$C$5:$AU$502,3,))*$E418)</f>
        <v>0</v>
      </c>
      <c r="AE418" s="49">
        <f>IF(VLOOKUP($D418,$C$5:$AU$502,3,)=0,0,(VLOOKUP($D418,$C$5:$AU$502,29,)/VLOOKUP($D418,$C$5:$AU$502,3,))*$E418)</f>
        <v>0</v>
      </c>
      <c r="AF418" s="49">
        <f>IF(VLOOKUP($D418,$C$5:$AU$502,3,)=0,0,(VLOOKUP($D418,$C$5:$AU$502,30,)/VLOOKUP($D418,$C$5:$AU$502,3,))*$E418)</f>
        <v>0</v>
      </c>
      <c r="AG418" s="101">
        <f t="shared" si="149"/>
        <v>1</v>
      </c>
      <c r="AH418" s="30" t="str">
        <f t="shared" si="150"/>
        <v>ok</v>
      </c>
    </row>
    <row r="420" spans="1:34" x14ac:dyDescent="0.2">
      <c r="A420" s="13" t="s">
        <v>868</v>
      </c>
      <c r="D420" s="47"/>
    </row>
    <row r="421" spans="1:34" x14ac:dyDescent="0.2">
      <c r="A421" s="14" t="s">
        <v>349</v>
      </c>
      <c r="C421" s="14" t="s">
        <v>561</v>
      </c>
      <c r="E421" s="50">
        <f>'Billing Det'!E25</f>
        <v>48265262.169999994</v>
      </c>
      <c r="F421" s="50">
        <f>'Billing Det'!$E8</f>
        <v>34527804.599999994</v>
      </c>
      <c r="G421" s="50">
        <f>'Billing Det'!$E9</f>
        <v>7534.4299999999994</v>
      </c>
      <c r="H421" s="50">
        <f>'Billing Det'!$E10</f>
        <v>1909411.8199999998</v>
      </c>
      <c r="I421" s="50">
        <f>'Billing Det'!$E11</f>
        <v>1357876.44</v>
      </c>
      <c r="J421" s="50">
        <f>'Billing Det'!$E12</f>
        <v>103827.47</v>
      </c>
      <c r="K421" s="50">
        <f>'Billing Det'!$E13</f>
        <v>1272161.3099999998</v>
      </c>
      <c r="L421" s="50">
        <f>'Billing Det'!$E14</f>
        <v>7414373.6000000006</v>
      </c>
      <c r="M421" s="50">
        <f>'Billing Det'!$E15</f>
        <v>1672272.4999999998</v>
      </c>
      <c r="N421" s="50">
        <f>'Billing Det'!$E16</f>
        <v>0</v>
      </c>
      <c r="O421" s="50">
        <f>'Billing Det'!$E17</f>
        <v>0</v>
      </c>
      <c r="P421" s="50">
        <f>'Billing Det'!$E18</f>
        <v>0</v>
      </c>
      <c r="Q421" s="50">
        <f>'Billing Det'!$E19</f>
        <v>0</v>
      </c>
      <c r="R421" s="50">
        <f>'Billing Det'!$E20</f>
        <v>0</v>
      </c>
      <c r="S421" s="50">
        <f>'Billing Det'!$E21</f>
        <v>0</v>
      </c>
      <c r="T421" s="50">
        <f>'Billing Det'!$E22</f>
        <v>0</v>
      </c>
      <c r="U421" s="50">
        <f>'Billing Det'!$E23</f>
        <v>0</v>
      </c>
      <c r="V421" s="50">
        <v>0</v>
      </c>
      <c r="W421" s="50">
        <v>0</v>
      </c>
      <c r="X421" s="50">
        <v>0</v>
      </c>
      <c r="Y421" s="50">
        <v>0</v>
      </c>
      <c r="Z421" s="50">
        <v>0</v>
      </c>
      <c r="AA421" s="50">
        <v>0</v>
      </c>
      <c r="AB421" s="50">
        <v>0</v>
      </c>
      <c r="AC421" s="50">
        <v>0</v>
      </c>
      <c r="AD421" s="50">
        <v>0</v>
      </c>
      <c r="AE421" s="50"/>
      <c r="AF421" s="50"/>
      <c r="AG421" s="50">
        <f t="shared" ref="AG421:AG431" si="151">SUM(F421:AF421)</f>
        <v>48265262.169999994</v>
      </c>
      <c r="AH421" s="30" t="str">
        <f t="shared" ref="AH421:AH431" si="152">IF(ABS(E421-AG421)&lt;0.01,"ok","err")</f>
        <v>ok</v>
      </c>
    </row>
    <row r="422" spans="1:34" x14ac:dyDescent="0.2">
      <c r="A422" s="14" t="s">
        <v>11</v>
      </c>
      <c r="C422" s="14" t="s">
        <v>214</v>
      </c>
      <c r="E422" s="50">
        <f>'Billing Det'!D25</f>
        <v>392718965</v>
      </c>
      <c r="F422" s="50">
        <f>'Billing Det'!D8</f>
        <v>268297725</v>
      </c>
      <c r="G422" s="50">
        <f>'Billing Det'!D9</f>
        <v>49591</v>
      </c>
      <c r="H422" s="50">
        <f>'Billing Det'!D10</f>
        <v>15091330</v>
      </c>
      <c r="I422" s="50">
        <f>'Billing Det'!D11</f>
        <v>9902607</v>
      </c>
      <c r="J422" s="50">
        <f>'Billing Det'!D12</f>
        <v>686837</v>
      </c>
      <c r="K422" s="50">
        <f>'Billing Det'!D13</f>
        <v>12423232</v>
      </c>
      <c r="L422" s="50">
        <f>'Billing Det'!D14</f>
        <v>77726344</v>
      </c>
      <c r="M422" s="50">
        <f>'Billing Det'!D15</f>
        <v>8541299</v>
      </c>
      <c r="N422" s="50">
        <f>'Billing Det'!D16</f>
        <v>0</v>
      </c>
      <c r="O422" s="50">
        <f>'Billing Det'!D17</f>
        <v>0</v>
      </c>
      <c r="P422" s="50">
        <f>'Billing Det'!D18</f>
        <v>0</v>
      </c>
      <c r="Q422" s="50">
        <f>'Billing Det'!D19</f>
        <v>0</v>
      </c>
      <c r="R422" s="50">
        <f>'Billing Det'!D20</f>
        <v>0</v>
      </c>
      <c r="S422" s="50">
        <f>'Billing Det'!$D21</f>
        <v>0</v>
      </c>
      <c r="T422" s="50">
        <f>'Billing Det'!$D22</f>
        <v>0</v>
      </c>
      <c r="U422" s="50">
        <f>'Billing Det'!$D23</f>
        <v>0</v>
      </c>
      <c r="V422" s="50">
        <v>0</v>
      </c>
      <c r="W422" s="50">
        <v>0</v>
      </c>
      <c r="X422" s="50">
        <v>0</v>
      </c>
      <c r="Y422" s="50">
        <v>0</v>
      </c>
      <c r="Z422" s="50">
        <v>0</v>
      </c>
      <c r="AA422" s="50">
        <v>0</v>
      </c>
      <c r="AB422" s="50">
        <v>0</v>
      </c>
      <c r="AC422" s="50">
        <v>0</v>
      </c>
      <c r="AD422" s="50">
        <v>0</v>
      </c>
      <c r="AE422" s="50"/>
      <c r="AF422" s="50"/>
      <c r="AG422" s="50">
        <f>SUM(F422:AF422)</f>
        <v>392718965</v>
      </c>
      <c r="AH422" s="30" t="str">
        <f t="shared" si="152"/>
        <v>ok</v>
      </c>
    </row>
    <row r="423" spans="1:34" x14ac:dyDescent="0.2">
      <c r="A423" s="14" t="s">
        <v>745</v>
      </c>
      <c r="E423" s="106">
        <v>0.05</v>
      </c>
      <c r="F423" s="106">
        <v>0.05</v>
      </c>
      <c r="G423" s="106">
        <v>0.05</v>
      </c>
      <c r="H423" s="106">
        <v>2.5000000000000001E-2</v>
      </c>
      <c r="I423" s="106">
        <v>2.5000000000000001E-2</v>
      </c>
      <c r="J423" s="203">
        <v>0.05</v>
      </c>
      <c r="K423" s="203">
        <v>0.05</v>
      </c>
      <c r="L423" s="50">
        <v>0</v>
      </c>
      <c r="M423" s="106">
        <v>0.05</v>
      </c>
      <c r="N423" s="106">
        <v>0</v>
      </c>
      <c r="O423" s="106">
        <v>0</v>
      </c>
      <c r="P423" s="106"/>
      <c r="Q423" s="106"/>
      <c r="R423" s="106"/>
      <c r="S423" s="106"/>
      <c r="T423" s="106"/>
      <c r="U423" s="106"/>
      <c r="V423" s="106"/>
      <c r="W423" s="106"/>
      <c r="X423" s="106"/>
      <c r="Y423" s="106"/>
      <c r="Z423" s="106"/>
      <c r="AA423" s="106"/>
      <c r="AB423" s="106"/>
      <c r="AC423" s="106"/>
      <c r="AD423" s="106"/>
      <c r="AE423" s="106"/>
      <c r="AF423" s="106"/>
      <c r="AG423" s="170"/>
      <c r="AH423" s="30"/>
    </row>
    <row r="424" spans="1:34" x14ac:dyDescent="0.2">
      <c r="A424" s="14" t="s">
        <v>746</v>
      </c>
      <c r="C424" s="14" t="s">
        <v>11</v>
      </c>
      <c r="E424" s="50">
        <v>408622923.81106603</v>
      </c>
      <c r="F424" s="50">
        <f t="shared" ref="F424:AF424" si="153">F422/(1-F423)</f>
        <v>282418657.89473683</v>
      </c>
      <c r="G424" s="50">
        <f t="shared" si="153"/>
        <v>52201.052631578947</v>
      </c>
      <c r="H424" s="50">
        <f t="shared" si="153"/>
        <v>15478287.17948718</v>
      </c>
      <c r="I424" s="50">
        <f t="shared" si="153"/>
        <v>10156520</v>
      </c>
      <c r="J424" s="50">
        <f t="shared" si="153"/>
        <v>722986.31578947371</v>
      </c>
      <c r="K424" s="50">
        <f t="shared" si="153"/>
        <v>13077086.315789474</v>
      </c>
      <c r="L424" s="50">
        <f t="shared" si="153"/>
        <v>77726344</v>
      </c>
      <c r="M424" s="50">
        <f t="shared" si="153"/>
        <v>8990841.0526315793</v>
      </c>
      <c r="N424" s="50">
        <f t="shared" si="153"/>
        <v>0</v>
      </c>
      <c r="O424" s="50">
        <f t="shared" si="153"/>
        <v>0</v>
      </c>
      <c r="P424" s="50">
        <f t="shared" si="153"/>
        <v>0</v>
      </c>
      <c r="Q424" s="50">
        <f t="shared" si="153"/>
        <v>0</v>
      </c>
      <c r="R424" s="50">
        <f t="shared" si="153"/>
        <v>0</v>
      </c>
      <c r="S424" s="50">
        <f t="shared" si="153"/>
        <v>0</v>
      </c>
      <c r="T424" s="50">
        <f t="shared" si="153"/>
        <v>0</v>
      </c>
      <c r="U424" s="50">
        <f t="shared" si="153"/>
        <v>0</v>
      </c>
      <c r="V424" s="50">
        <f t="shared" si="153"/>
        <v>0</v>
      </c>
      <c r="W424" s="50">
        <f t="shared" si="153"/>
        <v>0</v>
      </c>
      <c r="X424" s="50">
        <f t="shared" si="153"/>
        <v>0</v>
      </c>
      <c r="Y424" s="50">
        <f t="shared" si="153"/>
        <v>0</v>
      </c>
      <c r="Z424" s="50">
        <f t="shared" si="153"/>
        <v>0</v>
      </c>
      <c r="AA424" s="50">
        <f t="shared" si="153"/>
        <v>0</v>
      </c>
      <c r="AB424" s="50">
        <f t="shared" si="153"/>
        <v>0</v>
      </c>
      <c r="AC424" s="50">
        <f t="shared" si="153"/>
        <v>0</v>
      </c>
      <c r="AD424" s="50">
        <f t="shared" si="153"/>
        <v>0</v>
      </c>
      <c r="AE424" s="50">
        <f t="shared" si="153"/>
        <v>0</v>
      </c>
      <c r="AF424" s="50">
        <f t="shared" si="153"/>
        <v>0</v>
      </c>
      <c r="AG424" s="50">
        <f t="shared" si="151"/>
        <v>408622923.81106603</v>
      </c>
      <c r="AH424" s="30" t="str">
        <f t="shared" si="152"/>
        <v>ok</v>
      </c>
    </row>
    <row r="425" spans="1:34" x14ac:dyDescent="0.2">
      <c r="A425" s="14" t="s">
        <v>558</v>
      </c>
      <c r="E425" s="50">
        <f>'Billing Det'!C25*12</f>
        <v>292776</v>
      </c>
      <c r="F425" s="50">
        <f>'Billing Det'!$C8*12</f>
        <v>269736</v>
      </c>
      <c r="G425" s="50">
        <f>'Billing Det'!$C9*12</f>
        <v>108</v>
      </c>
      <c r="H425" s="50">
        <f>'Billing Det'!$C10*12</f>
        <v>15348</v>
      </c>
      <c r="I425" s="50">
        <f>'Billing Det'!$C11*12</f>
        <v>2052</v>
      </c>
      <c r="J425" s="50">
        <f>'Billing Det'!$C12*12</f>
        <v>2304</v>
      </c>
      <c r="K425" s="50">
        <f>'Billing Det'!$C13*12</f>
        <v>564</v>
      </c>
      <c r="L425" s="50">
        <f>'Billing Det'!$C14*12</f>
        <v>732</v>
      </c>
      <c r="M425" s="50">
        <f>'Billing Det'!$C15*12</f>
        <v>1932</v>
      </c>
      <c r="N425" s="50">
        <f>'Billing Det'!$C16*12</f>
        <v>0</v>
      </c>
      <c r="O425" s="50">
        <f>'Billing Det'!$C17*12</f>
        <v>0</v>
      </c>
      <c r="P425" s="50">
        <f>'Billing Det'!$C18*12</f>
        <v>0</v>
      </c>
      <c r="Q425" s="50">
        <f>'Billing Det'!$C19*12</f>
        <v>0</v>
      </c>
      <c r="R425" s="50">
        <f>'Billing Det'!$C20*12</f>
        <v>0</v>
      </c>
      <c r="S425" s="50">
        <f>'Billing Det'!$C21*12</f>
        <v>0</v>
      </c>
      <c r="T425" s="50">
        <f>'Billing Det'!$C22*12</f>
        <v>0</v>
      </c>
      <c r="U425" s="50">
        <f>'Billing Det'!$C23*12</f>
        <v>0</v>
      </c>
      <c r="V425" s="50">
        <v>0</v>
      </c>
      <c r="W425" s="50">
        <v>0</v>
      </c>
      <c r="X425" s="50">
        <v>0</v>
      </c>
      <c r="Y425" s="50">
        <v>0</v>
      </c>
      <c r="Z425" s="50">
        <v>0</v>
      </c>
      <c r="AA425" s="50">
        <v>0</v>
      </c>
      <c r="AB425" s="50">
        <v>0</v>
      </c>
      <c r="AC425" s="50">
        <v>0</v>
      </c>
      <c r="AD425" s="50">
        <v>0</v>
      </c>
      <c r="AE425" s="50"/>
      <c r="AF425" s="50"/>
      <c r="AG425" s="50">
        <f t="shared" si="151"/>
        <v>292776</v>
      </c>
      <c r="AH425" s="30" t="str">
        <f t="shared" si="152"/>
        <v>ok</v>
      </c>
    </row>
    <row r="426" spans="1:34" x14ac:dyDescent="0.2">
      <c r="A426" s="14" t="s">
        <v>559</v>
      </c>
      <c r="C426" s="14" t="s">
        <v>562</v>
      </c>
      <c r="E426" s="50">
        <v>24398</v>
      </c>
      <c r="F426" s="50">
        <f>F425/12</f>
        <v>22478</v>
      </c>
      <c r="G426" s="50">
        <f t="shared" ref="G426:AF426" si="154">G425/12</f>
        <v>9</v>
      </c>
      <c r="H426" s="50">
        <f>H425/12</f>
        <v>1279</v>
      </c>
      <c r="I426" s="50">
        <f t="shared" si="154"/>
        <v>171</v>
      </c>
      <c r="J426" s="50">
        <f t="shared" si="154"/>
        <v>192</v>
      </c>
      <c r="K426" s="50">
        <f t="shared" si="154"/>
        <v>47</v>
      </c>
      <c r="L426" s="50">
        <f t="shared" si="154"/>
        <v>61</v>
      </c>
      <c r="M426" s="50">
        <f t="shared" si="154"/>
        <v>161</v>
      </c>
      <c r="N426" s="50">
        <v>0</v>
      </c>
      <c r="O426" s="50">
        <v>0</v>
      </c>
      <c r="P426" s="50">
        <f t="shared" si="154"/>
        <v>0</v>
      </c>
      <c r="Q426" s="50">
        <f t="shared" si="154"/>
        <v>0</v>
      </c>
      <c r="R426" s="50">
        <f t="shared" si="154"/>
        <v>0</v>
      </c>
      <c r="S426" s="50">
        <f t="shared" si="154"/>
        <v>0</v>
      </c>
      <c r="T426" s="50">
        <f t="shared" si="154"/>
        <v>0</v>
      </c>
      <c r="U426" s="50">
        <f t="shared" si="154"/>
        <v>0</v>
      </c>
      <c r="V426" s="50">
        <v>0</v>
      </c>
      <c r="W426" s="50">
        <v>0</v>
      </c>
      <c r="X426" s="50">
        <v>0</v>
      </c>
      <c r="Y426" s="50">
        <v>0</v>
      </c>
      <c r="Z426" s="50">
        <f t="shared" si="154"/>
        <v>0</v>
      </c>
      <c r="AA426" s="50">
        <f t="shared" si="154"/>
        <v>0</v>
      </c>
      <c r="AB426" s="50">
        <f t="shared" si="154"/>
        <v>0</v>
      </c>
      <c r="AC426" s="50">
        <f t="shared" si="154"/>
        <v>0</v>
      </c>
      <c r="AD426" s="50">
        <f t="shared" si="154"/>
        <v>0</v>
      </c>
      <c r="AE426" s="50">
        <f t="shared" si="154"/>
        <v>0</v>
      </c>
      <c r="AF426" s="50">
        <f t="shared" si="154"/>
        <v>0</v>
      </c>
      <c r="AG426" s="50">
        <f t="shared" si="151"/>
        <v>24398</v>
      </c>
      <c r="AH426" s="30" t="str">
        <f t="shared" si="152"/>
        <v>ok</v>
      </c>
    </row>
    <row r="427" spans="1:34" x14ac:dyDescent="0.2">
      <c r="A427" s="14" t="s">
        <v>560</v>
      </c>
      <c r="C427" s="14" t="s">
        <v>563</v>
      </c>
      <c r="E427" s="50">
        <f>E426</f>
        <v>24398</v>
      </c>
      <c r="F427" s="50">
        <f t="shared" ref="F427:O427" si="155">F426</f>
        <v>22478</v>
      </c>
      <c r="G427" s="50">
        <f t="shared" si="155"/>
        <v>9</v>
      </c>
      <c r="H427" s="50">
        <f t="shared" si="155"/>
        <v>1279</v>
      </c>
      <c r="I427" s="50">
        <f t="shared" si="155"/>
        <v>171</v>
      </c>
      <c r="J427" s="50">
        <f t="shared" si="155"/>
        <v>192</v>
      </c>
      <c r="K427" s="50">
        <f t="shared" si="155"/>
        <v>47</v>
      </c>
      <c r="L427" s="50">
        <f t="shared" si="155"/>
        <v>61</v>
      </c>
      <c r="M427" s="50">
        <f t="shared" si="155"/>
        <v>161</v>
      </c>
      <c r="N427" s="50">
        <f t="shared" si="155"/>
        <v>0</v>
      </c>
      <c r="O427" s="50">
        <f t="shared" si="155"/>
        <v>0</v>
      </c>
      <c r="P427" s="50">
        <f t="shared" ref="P427:U427" si="156">P426</f>
        <v>0</v>
      </c>
      <c r="Q427" s="50">
        <f t="shared" si="156"/>
        <v>0</v>
      </c>
      <c r="R427" s="50">
        <f t="shared" si="156"/>
        <v>0</v>
      </c>
      <c r="S427" s="50">
        <f t="shared" si="156"/>
        <v>0</v>
      </c>
      <c r="T427" s="50">
        <f t="shared" si="156"/>
        <v>0</v>
      </c>
      <c r="U427" s="50">
        <f t="shared" si="156"/>
        <v>0</v>
      </c>
      <c r="V427" s="50">
        <v>0</v>
      </c>
      <c r="W427" s="50">
        <v>0</v>
      </c>
      <c r="X427" s="50">
        <v>0</v>
      </c>
      <c r="Y427" s="50">
        <v>0</v>
      </c>
      <c r="Z427" s="36">
        <f t="shared" ref="Z427:AF427" si="157">Z426</f>
        <v>0</v>
      </c>
      <c r="AA427" s="36">
        <f t="shared" si="157"/>
        <v>0</v>
      </c>
      <c r="AB427" s="36">
        <f t="shared" si="157"/>
        <v>0</v>
      </c>
      <c r="AC427" s="36">
        <f t="shared" si="157"/>
        <v>0</v>
      </c>
      <c r="AD427" s="36">
        <f t="shared" si="157"/>
        <v>0</v>
      </c>
      <c r="AE427" s="36">
        <f t="shared" si="157"/>
        <v>0</v>
      </c>
      <c r="AF427" s="36">
        <f t="shared" si="157"/>
        <v>0</v>
      </c>
      <c r="AG427" s="50">
        <f t="shared" si="151"/>
        <v>24398</v>
      </c>
      <c r="AH427" s="30" t="str">
        <f t="shared" si="152"/>
        <v>ok</v>
      </c>
    </row>
    <row r="428" spans="1:34" x14ac:dyDescent="0.2">
      <c r="A428" s="14" t="s">
        <v>903</v>
      </c>
      <c r="C428" s="14" t="s">
        <v>564</v>
      </c>
      <c r="E428" s="50">
        <v>24240.577777777777</v>
      </c>
      <c r="F428" s="36">
        <f>F426</f>
        <v>22478</v>
      </c>
      <c r="G428" s="36">
        <f t="shared" ref="G428:L428" si="158">G426</f>
        <v>9</v>
      </c>
      <c r="H428" s="36">
        <f t="shared" si="158"/>
        <v>1279</v>
      </c>
      <c r="I428" s="36">
        <f t="shared" si="158"/>
        <v>171</v>
      </c>
      <c r="J428" s="36">
        <f t="shared" si="158"/>
        <v>192</v>
      </c>
      <c r="K428" s="36">
        <f t="shared" si="158"/>
        <v>47</v>
      </c>
      <c r="L428" s="36">
        <f t="shared" si="158"/>
        <v>61</v>
      </c>
      <c r="M428" s="80">
        <f>M426/45</f>
        <v>3.5777777777777779</v>
      </c>
      <c r="N428" s="36">
        <f t="shared" ref="N428:R428" si="159">N426</f>
        <v>0</v>
      </c>
      <c r="O428" s="36">
        <f>O426</f>
        <v>0</v>
      </c>
      <c r="P428" s="36">
        <f>P426/45</f>
        <v>0</v>
      </c>
      <c r="Q428" s="36">
        <f t="shared" si="159"/>
        <v>0</v>
      </c>
      <c r="R428" s="36">
        <f t="shared" si="159"/>
        <v>0</v>
      </c>
      <c r="S428" s="50">
        <f>S426</f>
        <v>0</v>
      </c>
      <c r="T428" s="50">
        <f>T426</f>
        <v>0</v>
      </c>
      <c r="U428" s="50">
        <f>U426</f>
        <v>0</v>
      </c>
      <c r="V428" s="50">
        <v>0</v>
      </c>
      <c r="W428" s="50">
        <v>0</v>
      </c>
      <c r="X428" s="50">
        <v>0</v>
      </c>
      <c r="Y428" s="50">
        <v>0</v>
      </c>
      <c r="Z428" s="36">
        <f t="shared" ref="Z428:AF428" si="160">Z426</f>
        <v>0</v>
      </c>
      <c r="AA428" s="36">
        <f t="shared" si="160"/>
        <v>0</v>
      </c>
      <c r="AB428" s="36">
        <f t="shared" si="160"/>
        <v>0</v>
      </c>
      <c r="AC428" s="36">
        <f t="shared" si="160"/>
        <v>0</v>
      </c>
      <c r="AD428" s="36">
        <f t="shared" si="160"/>
        <v>0</v>
      </c>
      <c r="AE428" s="36">
        <f t="shared" si="160"/>
        <v>0</v>
      </c>
      <c r="AF428" s="36">
        <f t="shared" si="160"/>
        <v>0</v>
      </c>
      <c r="AG428" s="50">
        <f>SUM(F428:AF428)</f>
        <v>24240.577777777777</v>
      </c>
      <c r="AH428" s="30" t="str">
        <f t="shared" si="152"/>
        <v>ok</v>
      </c>
    </row>
    <row r="429" spans="1:34" x14ac:dyDescent="0.2">
      <c r="A429" s="14" t="s">
        <v>756</v>
      </c>
      <c r="C429" s="14" t="s">
        <v>565</v>
      </c>
      <c r="E429" s="50">
        <v>1</v>
      </c>
      <c r="F429" s="50">
        <v>0</v>
      </c>
      <c r="G429" s="50">
        <v>0</v>
      </c>
      <c r="H429" s="50">
        <v>0</v>
      </c>
      <c r="I429" s="50">
        <v>0</v>
      </c>
      <c r="J429" s="50">
        <v>0</v>
      </c>
      <c r="K429" s="50">
        <v>0</v>
      </c>
      <c r="L429" s="50">
        <v>0</v>
      </c>
      <c r="M429" s="50">
        <v>1</v>
      </c>
      <c r="N429" s="50">
        <v>0</v>
      </c>
      <c r="O429" s="50">
        <v>0</v>
      </c>
      <c r="P429" s="50">
        <f>'Billing Det'!C18</f>
        <v>0</v>
      </c>
      <c r="Q429" s="50">
        <v>0</v>
      </c>
      <c r="R429" s="50">
        <v>0</v>
      </c>
      <c r="S429" s="50">
        <v>0</v>
      </c>
      <c r="T429" s="50">
        <v>0</v>
      </c>
      <c r="U429" s="50">
        <v>0</v>
      </c>
      <c r="V429" s="50">
        <v>0</v>
      </c>
      <c r="W429" s="50">
        <v>0</v>
      </c>
      <c r="X429" s="50">
        <v>0</v>
      </c>
      <c r="Y429" s="50">
        <v>0</v>
      </c>
      <c r="Z429" s="36"/>
      <c r="AA429" s="36"/>
      <c r="AB429" s="36"/>
      <c r="AC429" s="36"/>
      <c r="AD429" s="36"/>
      <c r="AE429" s="36"/>
      <c r="AF429" s="36"/>
      <c r="AG429" s="50">
        <f t="shared" si="151"/>
        <v>1</v>
      </c>
      <c r="AH429" s="30" t="str">
        <f t="shared" si="152"/>
        <v>ok</v>
      </c>
    </row>
    <row r="430" spans="1:34" x14ac:dyDescent="0.2">
      <c r="A430" s="14" t="s">
        <v>616</v>
      </c>
      <c r="C430" s="14" t="s">
        <v>617</v>
      </c>
      <c r="E430" s="50">
        <f>E428</f>
        <v>24240.577777777777</v>
      </c>
      <c r="F430" s="50">
        <f t="shared" ref="F430:M430" si="161">F428</f>
        <v>22478</v>
      </c>
      <c r="G430" s="50">
        <f t="shared" si="161"/>
        <v>9</v>
      </c>
      <c r="H430" s="50">
        <f t="shared" si="161"/>
        <v>1279</v>
      </c>
      <c r="I430" s="50">
        <f t="shared" si="161"/>
        <v>171</v>
      </c>
      <c r="J430" s="50">
        <f t="shared" si="161"/>
        <v>192</v>
      </c>
      <c r="K430" s="50">
        <f t="shared" si="161"/>
        <v>47</v>
      </c>
      <c r="L430" s="50">
        <f t="shared" si="161"/>
        <v>61</v>
      </c>
      <c r="M430" s="48">
        <f t="shared" si="161"/>
        <v>3.5777777777777779</v>
      </c>
      <c r="N430" s="36">
        <f t="shared" ref="N430:O430" si="162">N427</f>
        <v>0</v>
      </c>
      <c r="O430" s="36">
        <f t="shared" si="162"/>
        <v>0</v>
      </c>
      <c r="P430" s="36">
        <f>P428</f>
        <v>0</v>
      </c>
      <c r="Q430" s="50">
        <f>Q425/12*2.11</f>
        <v>0</v>
      </c>
      <c r="R430" s="50">
        <f>R425/12*2.11</f>
        <v>0</v>
      </c>
      <c r="S430" s="50">
        <f>S428</f>
        <v>0</v>
      </c>
      <c r="T430" s="50">
        <f>T428</f>
        <v>0</v>
      </c>
      <c r="U430" s="50">
        <f>U428</f>
        <v>0</v>
      </c>
      <c r="V430" s="50">
        <v>0</v>
      </c>
      <c r="W430" s="50">
        <v>0</v>
      </c>
      <c r="X430" s="50">
        <v>0</v>
      </c>
      <c r="Y430" s="50">
        <v>0</v>
      </c>
      <c r="Z430" s="36">
        <v>0</v>
      </c>
      <c r="AA430" s="36">
        <v>0</v>
      </c>
      <c r="AB430" s="36">
        <v>0</v>
      </c>
      <c r="AC430" s="36">
        <v>0</v>
      </c>
      <c r="AD430" s="36">
        <v>0</v>
      </c>
      <c r="AE430" s="36">
        <v>0</v>
      </c>
      <c r="AF430" s="36">
        <v>0</v>
      </c>
      <c r="AG430" s="50">
        <f t="shared" si="151"/>
        <v>24240.577777777777</v>
      </c>
      <c r="AH430" s="30" t="str">
        <f t="shared" si="152"/>
        <v>ok</v>
      </c>
    </row>
    <row r="431" spans="1:34" x14ac:dyDescent="0.2">
      <c r="A431" s="14" t="s">
        <v>470</v>
      </c>
      <c r="C431" s="14" t="s">
        <v>618</v>
      </c>
      <c r="E431" s="50">
        <f>E430</f>
        <v>24240.577777777777</v>
      </c>
      <c r="F431" s="50">
        <f t="shared" ref="F431:M431" si="163">F430</f>
        <v>22478</v>
      </c>
      <c r="G431" s="50">
        <f t="shared" si="163"/>
        <v>9</v>
      </c>
      <c r="H431" s="50">
        <f t="shared" si="163"/>
        <v>1279</v>
      </c>
      <c r="I431" s="50">
        <f t="shared" si="163"/>
        <v>171</v>
      </c>
      <c r="J431" s="50">
        <f t="shared" si="163"/>
        <v>192</v>
      </c>
      <c r="K431" s="50">
        <f t="shared" si="163"/>
        <v>47</v>
      </c>
      <c r="L431" s="50">
        <f t="shared" si="163"/>
        <v>61</v>
      </c>
      <c r="M431" s="48">
        <f t="shared" si="163"/>
        <v>3.5777777777777779</v>
      </c>
      <c r="N431" s="36">
        <f t="shared" ref="N431:O431" si="164">N427</f>
        <v>0</v>
      </c>
      <c r="O431" s="36">
        <f t="shared" si="164"/>
        <v>0</v>
      </c>
      <c r="P431" s="36">
        <f t="shared" ref="P431:Q431" si="165">P427</f>
        <v>0</v>
      </c>
      <c r="Q431" s="36">
        <f t="shared" si="165"/>
        <v>0</v>
      </c>
      <c r="R431" s="36">
        <f>R427</f>
        <v>0</v>
      </c>
      <c r="S431" s="50">
        <f>S427</f>
        <v>0</v>
      </c>
      <c r="T431" s="50">
        <v>0</v>
      </c>
      <c r="U431" s="50">
        <v>0</v>
      </c>
      <c r="V431" s="50">
        <v>0</v>
      </c>
      <c r="W431" s="50">
        <v>0</v>
      </c>
      <c r="X431" s="50">
        <v>0</v>
      </c>
      <c r="Y431" s="50">
        <v>0</v>
      </c>
      <c r="Z431" s="36"/>
      <c r="AA431" s="36"/>
      <c r="AB431" s="36"/>
      <c r="AC431" s="36"/>
      <c r="AD431" s="36"/>
      <c r="AE431" s="36"/>
      <c r="AF431" s="36"/>
      <c r="AG431" s="50">
        <f t="shared" si="151"/>
        <v>24240.577777777777</v>
      </c>
      <c r="AH431" s="30" t="str">
        <f t="shared" si="152"/>
        <v>ok</v>
      </c>
    </row>
    <row r="433" spans="1:34" x14ac:dyDescent="0.2">
      <c r="A433" s="14" t="s">
        <v>691</v>
      </c>
      <c r="C433" s="14" t="s">
        <v>964</v>
      </c>
      <c r="E433" s="50">
        <f>'Billing Det'!$K$25</f>
        <v>757140.00044834544</v>
      </c>
      <c r="F433" s="50">
        <f>'Billing Det'!$K$8</f>
        <v>525004.64825781807</v>
      </c>
      <c r="G433" s="50">
        <f>'Billing Det'!$K$9</f>
        <v>125.0591759655007</v>
      </c>
      <c r="H433" s="50">
        <f>'Billing Det'!$K$10</f>
        <v>36575.764618535584</v>
      </c>
      <c r="I433" s="50">
        <f>'Billing Det'!$K$11</f>
        <v>23657.937182722555</v>
      </c>
      <c r="J433" s="50">
        <f>'Billing Det'!$K$12</f>
        <v>1322.8993162189986</v>
      </c>
      <c r="K433" s="50">
        <f>'Billing Det'!$K$13</f>
        <v>10746.868986818514</v>
      </c>
      <c r="L433" s="50">
        <f>'Billing Det'!$K$14</f>
        <v>148109.1857238863</v>
      </c>
      <c r="M433" s="50">
        <f>'Billing Det'!$K$15</f>
        <v>11597.637186379929</v>
      </c>
      <c r="N433" s="50">
        <f>'Billing Det'!$K$16</f>
        <v>0</v>
      </c>
      <c r="O433" s="50">
        <f>'Billing Det'!$K$17</f>
        <v>0</v>
      </c>
      <c r="P433" s="50">
        <f>'Billing Det'!$K$18</f>
        <v>0</v>
      </c>
      <c r="Q433" s="50">
        <f>'Billing Det'!$K$19</f>
        <v>0</v>
      </c>
      <c r="R433" s="50">
        <f>'Billing Det'!$K$20</f>
        <v>0</v>
      </c>
      <c r="S433" s="50">
        <f>'Billing Det'!$K$21</f>
        <v>0</v>
      </c>
      <c r="T433" s="50">
        <f>'Billing Det'!$K$22</f>
        <v>0</v>
      </c>
      <c r="U433" s="50">
        <f>'Billing Det'!$K$23</f>
        <v>0</v>
      </c>
      <c r="V433" s="50">
        <v>0</v>
      </c>
      <c r="W433" s="50">
        <v>0</v>
      </c>
      <c r="X433" s="50">
        <v>0</v>
      </c>
      <c r="Y433" s="50">
        <v>0</v>
      </c>
      <c r="Z433" s="50">
        <v>0</v>
      </c>
      <c r="AA433" s="50">
        <v>0</v>
      </c>
      <c r="AB433" s="50">
        <v>0</v>
      </c>
      <c r="AC433" s="50">
        <v>0</v>
      </c>
      <c r="AD433" s="50">
        <v>0</v>
      </c>
      <c r="AE433" s="50"/>
      <c r="AF433" s="50"/>
      <c r="AG433" s="93">
        <f>SUM(F433:AF433)</f>
        <v>757140.00044834544</v>
      </c>
      <c r="AH433" s="30" t="str">
        <f>IF(ABS(E433-AG433)&lt;0.01,"ok","err")</f>
        <v>ok</v>
      </c>
    </row>
    <row r="434" spans="1:34" x14ac:dyDescent="0.2">
      <c r="A434" s="14" t="s">
        <v>692</v>
      </c>
      <c r="C434" s="14" t="s">
        <v>965</v>
      </c>
      <c r="E434" s="50">
        <f>'Billing Det'!$J$25</f>
        <v>226942.00000019782</v>
      </c>
      <c r="F434" s="50">
        <f>'Billing Det'!$J$8</f>
        <v>149324.74051259732</v>
      </c>
      <c r="G434" s="50">
        <f>'Billing Det'!$J$9</f>
        <v>7.7780350259978217</v>
      </c>
      <c r="H434" s="50">
        <f>'Billing Det'!$J$10</f>
        <v>13698.495172262454</v>
      </c>
      <c r="I434" s="50">
        <f>'Billing Det'!$J$11</f>
        <v>9286.1559907834107</v>
      </c>
      <c r="J434" s="50">
        <f>'Billing Det'!$J$12</f>
        <v>381.40442651402043</v>
      </c>
      <c r="K434" s="50">
        <f>'Billing Det'!$J$13</f>
        <v>2535.2628925845293</v>
      </c>
      <c r="L434" s="50">
        <f>'Billing Det'!$J$14</f>
        <v>51708.162970430101</v>
      </c>
      <c r="M434" s="50">
        <f>'Billing Det'!$J$15</f>
        <v>0</v>
      </c>
      <c r="N434" s="50">
        <f>'Billing Det'!$J$16</f>
        <v>0</v>
      </c>
      <c r="O434" s="50">
        <f>'Billing Det'!$J$17</f>
        <v>0</v>
      </c>
      <c r="P434" s="50">
        <f>'Billing Det'!$J$18</f>
        <v>0</v>
      </c>
      <c r="Q434" s="50">
        <f>'Billing Det'!$J$19</f>
        <v>0</v>
      </c>
      <c r="R434" s="50">
        <f>'Billing Det'!$J$20</f>
        <v>0</v>
      </c>
      <c r="S434" s="50">
        <f>'Billing Det'!$J$21</f>
        <v>0</v>
      </c>
      <c r="T434" s="50">
        <f>'Billing Det'!$J$22</f>
        <v>0</v>
      </c>
      <c r="U434" s="50">
        <f>'Billing Det'!$J$23</f>
        <v>0</v>
      </c>
      <c r="V434" s="50">
        <v>0</v>
      </c>
      <c r="W434" s="50">
        <v>0</v>
      </c>
      <c r="X434" s="50">
        <v>0</v>
      </c>
      <c r="Y434" s="50">
        <v>0</v>
      </c>
      <c r="Z434" s="50">
        <v>0</v>
      </c>
      <c r="AA434" s="50">
        <v>0</v>
      </c>
      <c r="AB434" s="50">
        <v>0</v>
      </c>
      <c r="AC434" s="50">
        <v>0</v>
      </c>
      <c r="AD434" s="50">
        <v>0</v>
      </c>
      <c r="AE434" s="50"/>
      <c r="AF434" s="50"/>
      <c r="AG434" s="93">
        <f>SUM(F434:AF434)</f>
        <v>226942.00000019782</v>
      </c>
      <c r="AH434" s="30" t="str">
        <f>IF(ABS(E434-AG434)&lt;0.01,"ok","err")</f>
        <v>ok</v>
      </c>
    </row>
    <row r="435" spans="1:34" x14ac:dyDescent="0.2">
      <c r="A435" s="14" t="s">
        <v>892</v>
      </c>
      <c r="C435" s="14" t="s">
        <v>963</v>
      </c>
      <c r="E435" s="50">
        <f>'Billing Det'!$I$25</f>
        <v>984082.00044854335</v>
      </c>
      <c r="F435" s="50">
        <f>'Billing Det'!$I$8</f>
        <v>674329.38877041545</v>
      </c>
      <c r="G435" s="50">
        <f>'Billing Det'!$I$9</f>
        <v>132.83721099149852</v>
      </c>
      <c r="H435" s="50">
        <f>'Billing Det'!$I$10</f>
        <v>50274.259790798038</v>
      </c>
      <c r="I435" s="50">
        <f>'Billing Det'!$I$11</f>
        <v>32944.093173505964</v>
      </c>
      <c r="J435" s="50">
        <f>'Billing Det'!$I$12</f>
        <v>1704.3037427330191</v>
      </c>
      <c r="K435" s="50">
        <f>'Billing Det'!$I$13</f>
        <v>13282.131879403043</v>
      </c>
      <c r="L435" s="50">
        <f>'Billing Det'!$I$14</f>
        <v>199817.3486943164</v>
      </c>
      <c r="M435" s="50">
        <f>'Billing Det'!$I$15</f>
        <v>11597.637186379929</v>
      </c>
      <c r="N435" s="50">
        <f>'Billing Det'!$I$16</f>
        <v>0</v>
      </c>
      <c r="O435" s="50">
        <f>'Billing Det'!$I$17</f>
        <v>0</v>
      </c>
      <c r="P435" s="50">
        <f>'Billing Det'!$I$18</f>
        <v>0</v>
      </c>
      <c r="Q435" s="50">
        <f>'Billing Det'!$I$19</f>
        <v>0</v>
      </c>
      <c r="R435" s="50">
        <f>'Billing Det'!$I$20</f>
        <v>0</v>
      </c>
      <c r="S435" s="50">
        <f>'Billing Det'!$I$21</f>
        <v>0</v>
      </c>
      <c r="T435" s="50">
        <f>'Billing Det'!$I$22</f>
        <v>0</v>
      </c>
      <c r="U435" s="50">
        <f>'Billing Det'!$I$23</f>
        <v>0</v>
      </c>
      <c r="V435" s="50">
        <v>0</v>
      </c>
      <c r="W435" s="50">
        <v>0</v>
      </c>
      <c r="X435" s="50">
        <v>0</v>
      </c>
      <c r="Y435" s="50">
        <v>0</v>
      </c>
      <c r="Z435" s="50">
        <v>0</v>
      </c>
      <c r="AA435" s="50">
        <v>0</v>
      </c>
      <c r="AB435" s="50">
        <v>0</v>
      </c>
      <c r="AC435" s="50">
        <v>0</v>
      </c>
      <c r="AD435" s="50">
        <v>0</v>
      </c>
      <c r="AE435" s="50"/>
      <c r="AF435" s="50"/>
      <c r="AG435" s="93">
        <f>SUM(F435:AF435)</f>
        <v>984082.00044854335</v>
      </c>
      <c r="AH435" s="30" t="str">
        <f>IF(ABS(E435-AG435)&lt;0.01,"ok","err")</f>
        <v>ok</v>
      </c>
    </row>
    <row r="436" spans="1:34" x14ac:dyDescent="0.2">
      <c r="A436" s="14" t="s">
        <v>693</v>
      </c>
      <c r="C436" s="14" t="s">
        <v>566</v>
      </c>
      <c r="E436" s="50">
        <f>'Billing Det'!$H$25</f>
        <v>137969.98830478825</v>
      </c>
      <c r="F436" s="50">
        <f>'Billing Det'!$H$8</f>
        <v>92189.106829425131</v>
      </c>
      <c r="G436" s="50">
        <f>'Billing Det'!$H$9</f>
        <v>34.080046742356508</v>
      </c>
      <c r="H436" s="50">
        <f>'Billing Det'!$H$10</f>
        <v>5808.2653061224491</v>
      </c>
      <c r="I436" s="50">
        <f>'Billing Det'!$H$11</f>
        <v>4049.5967741935488</v>
      </c>
      <c r="J436" s="50">
        <f>'Billing Det'!$H$12</f>
        <v>224.33585368112881</v>
      </c>
      <c r="K436" s="50">
        <f>'Billing Det'!$H$13</f>
        <v>7239.3346774193542</v>
      </c>
      <c r="L436" s="50">
        <f>'Billing Det'!$H$14</f>
        <v>26309.643817204298</v>
      </c>
      <c r="M436" s="50">
        <f>'Billing Det'!$H$15</f>
        <v>2115.625</v>
      </c>
      <c r="N436" s="50">
        <f>'Billing Det'!$H$16</f>
        <v>0</v>
      </c>
      <c r="O436" s="50">
        <f>'Billing Det'!$H$17</f>
        <v>0</v>
      </c>
      <c r="P436" s="50">
        <f>'Billing Det'!$H$18</f>
        <v>0</v>
      </c>
      <c r="Q436" s="50">
        <f>'Billing Det'!$H$19</f>
        <v>0</v>
      </c>
      <c r="R436" s="50">
        <f>'Billing Det'!$H$20</f>
        <v>0</v>
      </c>
      <c r="S436" s="50">
        <f>'Billing Det'!$H$21</f>
        <v>0</v>
      </c>
      <c r="T436" s="50">
        <f>'Billing Det'!$H$22</f>
        <v>0</v>
      </c>
      <c r="U436" s="50">
        <f>'Billing Det'!$H$23</f>
        <v>0</v>
      </c>
      <c r="V436" s="50">
        <v>0</v>
      </c>
      <c r="W436" s="50">
        <v>0</v>
      </c>
      <c r="X436" s="50">
        <v>0</v>
      </c>
      <c r="Y436" s="50">
        <v>0</v>
      </c>
      <c r="Z436" s="50">
        <v>0</v>
      </c>
      <c r="AA436" s="50">
        <v>0</v>
      </c>
      <c r="AB436" s="50">
        <v>0</v>
      </c>
      <c r="AC436" s="50">
        <v>0</v>
      </c>
      <c r="AD436" s="50">
        <v>0</v>
      </c>
      <c r="AE436" s="50"/>
      <c r="AF436" s="50"/>
      <c r="AG436" s="93">
        <f>SUM(F436:AF436)</f>
        <v>137969.98830478825</v>
      </c>
      <c r="AH436" s="30" t="str">
        <f>IF(ABS(E436-AG436)&lt;0.01,"ok","err")</f>
        <v>ok</v>
      </c>
    </row>
    <row r="437" spans="1:34" x14ac:dyDescent="0.2">
      <c r="A437" s="14" t="s">
        <v>747</v>
      </c>
      <c r="C437" s="14" t="s">
        <v>893</v>
      </c>
      <c r="E437" s="50">
        <f>'Billing Det'!$F$25</f>
        <v>2534232.9152061706</v>
      </c>
      <c r="F437" s="50">
        <f>'Billing Det'!$F$8</f>
        <v>2043653.4905167264</v>
      </c>
      <c r="G437" s="50">
        <f>'Billing Det'!$F$9</f>
        <v>376.0886207828413</v>
      </c>
      <c r="H437" s="50">
        <f>'Billing Det'!$F$10</f>
        <v>90005.068679178061</v>
      </c>
      <c r="I437" s="50">
        <f>'Billing Det'!$F$11</f>
        <v>37784.720823798634</v>
      </c>
      <c r="J437" s="50">
        <f>'Billing Det'!$F$12</f>
        <v>5230.2410287591747</v>
      </c>
      <c r="K437" s="50">
        <f>'Billing Det'!$F$13</f>
        <v>73993.832189607958</v>
      </c>
      <c r="L437" s="50">
        <f>'Billing Det'!$F$14</f>
        <v>259768.94279176201</v>
      </c>
      <c r="M437" s="50">
        <f>'Billing Det'!$F$15</f>
        <v>23420.530555555553</v>
      </c>
      <c r="N437" s="50">
        <f>'Billing Det'!$F$16</f>
        <v>0</v>
      </c>
      <c r="O437" s="50">
        <f>'Billing Det'!$F$17</f>
        <v>0</v>
      </c>
      <c r="P437" s="50">
        <f>'Billing Det'!$F$18</f>
        <v>0</v>
      </c>
      <c r="Q437" s="50">
        <f>'Billing Det'!$F$19</f>
        <v>0</v>
      </c>
      <c r="R437" s="50">
        <f>'Billing Det'!$F$20</f>
        <v>0</v>
      </c>
      <c r="S437" s="50">
        <f>'Billing Det'!$F$21</f>
        <v>0</v>
      </c>
      <c r="T437" s="50">
        <f>'Billing Det'!$F$22</f>
        <v>0</v>
      </c>
      <c r="U437" s="50">
        <f>'Billing Det'!$F$23</f>
        <v>0</v>
      </c>
      <c r="V437" s="50">
        <v>0</v>
      </c>
      <c r="W437" s="50">
        <v>0</v>
      </c>
      <c r="X437" s="50">
        <v>0</v>
      </c>
      <c r="Y437" s="50">
        <v>0</v>
      </c>
      <c r="Z437" s="50">
        <v>0</v>
      </c>
      <c r="AA437" s="50">
        <v>0</v>
      </c>
      <c r="AB437" s="50">
        <v>0</v>
      </c>
      <c r="AC437" s="50">
        <v>0</v>
      </c>
      <c r="AD437" s="50">
        <v>0</v>
      </c>
      <c r="AE437" s="50"/>
      <c r="AF437" s="50"/>
      <c r="AG437" s="93">
        <f>SUM(F437:AF437)</f>
        <v>2534232.9152061706</v>
      </c>
      <c r="AH437" s="30" t="str">
        <f>IF(ABS(E437-AG437)&lt;0.01,"ok","err")</f>
        <v>ok</v>
      </c>
    </row>
    <row r="439" spans="1:34" x14ac:dyDescent="0.2">
      <c r="A439" s="28" t="s">
        <v>904</v>
      </c>
    </row>
    <row r="440" spans="1:34" x14ac:dyDescent="0.2"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  <c r="AH440" s="30"/>
    </row>
    <row r="441" spans="1:34" x14ac:dyDescent="0.2">
      <c r="A441" s="14" t="s">
        <v>597</v>
      </c>
      <c r="C441" s="14" t="s">
        <v>598</v>
      </c>
      <c r="E441" s="50">
        <v>984081.99788370263</v>
      </c>
      <c r="F441" s="50">
        <f t="shared" ref="F441:S441" si="166">F435</f>
        <v>674329.38877041545</v>
      </c>
      <c r="G441" s="50">
        <f t="shared" si="166"/>
        <v>132.83721099149852</v>
      </c>
      <c r="H441" s="50">
        <f t="shared" si="166"/>
        <v>50274.259790798038</v>
      </c>
      <c r="I441" s="50">
        <f t="shared" si="166"/>
        <v>32944.093173505964</v>
      </c>
      <c r="J441" s="50">
        <f t="shared" si="166"/>
        <v>1704.3037427330191</v>
      </c>
      <c r="K441" s="50">
        <f t="shared" si="166"/>
        <v>13282.131879403043</v>
      </c>
      <c r="L441" s="50">
        <f t="shared" si="166"/>
        <v>199817.3486943164</v>
      </c>
      <c r="M441" s="50">
        <f t="shared" si="166"/>
        <v>11597.637186379929</v>
      </c>
      <c r="N441" s="50">
        <f t="shared" si="166"/>
        <v>0</v>
      </c>
      <c r="O441" s="50">
        <f t="shared" si="166"/>
        <v>0</v>
      </c>
      <c r="P441" s="50">
        <f t="shared" si="166"/>
        <v>0</v>
      </c>
      <c r="Q441" s="50">
        <f t="shared" si="166"/>
        <v>0</v>
      </c>
      <c r="R441" s="50">
        <f t="shared" si="166"/>
        <v>0</v>
      </c>
      <c r="S441" s="50">
        <f t="shared" si="166"/>
        <v>0</v>
      </c>
      <c r="T441" s="50">
        <f t="shared" ref="T441:AF441" si="167">T436</f>
        <v>0</v>
      </c>
      <c r="U441" s="50">
        <f t="shared" si="167"/>
        <v>0</v>
      </c>
      <c r="V441" s="50">
        <f t="shared" si="167"/>
        <v>0</v>
      </c>
      <c r="W441" s="50">
        <f t="shared" si="167"/>
        <v>0</v>
      </c>
      <c r="X441" s="50">
        <f t="shared" si="167"/>
        <v>0</v>
      </c>
      <c r="Y441" s="50">
        <f t="shared" si="167"/>
        <v>0</v>
      </c>
      <c r="Z441" s="50">
        <f t="shared" si="167"/>
        <v>0</v>
      </c>
      <c r="AA441" s="50">
        <f t="shared" si="167"/>
        <v>0</v>
      </c>
      <c r="AB441" s="50">
        <f t="shared" si="167"/>
        <v>0</v>
      </c>
      <c r="AC441" s="50">
        <f t="shared" si="167"/>
        <v>0</v>
      </c>
      <c r="AD441" s="50">
        <f t="shared" si="167"/>
        <v>0</v>
      </c>
      <c r="AE441" s="50">
        <f t="shared" si="167"/>
        <v>0</v>
      </c>
      <c r="AF441" s="50">
        <f t="shared" si="167"/>
        <v>0</v>
      </c>
      <c r="AG441" s="50">
        <f>SUM(F441:AF441)</f>
        <v>984082.00044854335</v>
      </c>
      <c r="AH441" s="30" t="str">
        <f t="shared" ref="AH441:AH446" si="168">IF(ABS(E441-AG441)&lt;0.01,"ok","err")</f>
        <v>ok</v>
      </c>
    </row>
    <row r="442" spans="1:34" x14ac:dyDescent="0.2">
      <c r="A442" s="14" t="s">
        <v>596</v>
      </c>
      <c r="E442" s="93">
        <f>'Func &amp; Classif'!K35</f>
        <v>0</v>
      </c>
      <c r="AG442" s="93">
        <f>E442</f>
        <v>0</v>
      </c>
      <c r="AH442" s="30" t="str">
        <f t="shared" si="168"/>
        <v>ok</v>
      </c>
    </row>
    <row r="443" spans="1:34" x14ac:dyDescent="0.2">
      <c r="A443" s="14" t="s">
        <v>594</v>
      </c>
      <c r="E443" s="66"/>
      <c r="M443" s="50">
        <v>0</v>
      </c>
      <c r="N443" s="50">
        <v>0</v>
      </c>
      <c r="O443" s="50"/>
      <c r="P443" s="50"/>
      <c r="AG443" s="93">
        <f>SUM(F443:AF443)</f>
        <v>0</v>
      </c>
      <c r="AH443" s="30" t="str">
        <f t="shared" si="168"/>
        <v>ok</v>
      </c>
    </row>
    <row r="444" spans="1:34" x14ac:dyDescent="0.2">
      <c r="A444" s="14" t="s">
        <v>595</v>
      </c>
      <c r="D444" s="14" t="s">
        <v>598</v>
      </c>
      <c r="E444" s="93">
        <f>E442-E443</f>
        <v>0</v>
      </c>
      <c r="F444" s="66">
        <f>IF(VLOOKUP($D444,$C$5:$AU$520,3,)=0,0,(VLOOKUP($D444,$C$5:$AU$520,4,)/VLOOKUP($D444,$C$5:$AU$520,3,))*$E444)</f>
        <v>0</v>
      </c>
      <c r="G444" s="66">
        <f>IF(VLOOKUP($D444,$C$5:$AU$520,3,)=0,0,(VLOOKUP($D444,$C$5:$AU$520,5,)/VLOOKUP($D444,$C$5:$AU$520,3,))*$E444)</f>
        <v>0</v>
      </c>
      <c r="H444" s="66">
        <f>IF(VLOOKUP($D444,$C$5:$AU$520,3,)=0,0,(VLOOKUP($D444,$C$5:$AU$520,6,)/VLOOKUP($D444,$C$5:$AU$520,3,))*$E444)</f>
        <v>0</v>
      </c>
      <c r="I444" s="66">
        <f>IF(VLOOKUP($D444,$C$5:$AU$520,3,)=0,0,(VLOOKUP($D444,$C$5:$AU$520,7,)/VLOOKUP($D444,$C$5:$AU$520,3,))*$E444)</f>
        <v>0</v>
      </c>
      <c r="J444" s="66">
        <f>IF(VLOOKUP($D444,$C$5:$AU$520,3,)=0,0,(VLOOKUP($D444,$C$5:$AU$520,8,)/VLOOKUP($D444,$C$5:$AU$520,3,))*$E444)</f>
        <v>0</v>
      </c>
      <c r="K444" s="66">
        <f>IF(VLOOKUP($D444,$C$5:$AU$520,3,)=0,0,(VLOOKUP($D444,$C$5:$AU$520,9,)/VLOOKUP($D444,$C$5:$AU$520,3,))*$E444)</f>
        <v>0</v>
      </c>
      <c r="L444" s="66">
        <f>IF(VLOOKUP($D444,$C$5:$AU$520,3,)=0,0,(VLOOKUP($D444,$C$5:$AU$520,10,)/VLOOKUP($D444,$C$5:$AU$520,3,))*$E444)</f>
        <v>0</v>
      </c>
      <c r="M444" s="66">
        <f>IF(VLOOKUP($D444,$C$5:$AU$520,3,)=0,0,(VLOOKUP($D444,$C$5:$AU$520,11,)/VLOOKUP($D444,$C$5:$AU$520,3,))*$E444)</f>
        <v>0</v>
      </c>
      <c r="N444" s="66">
        <f>IF(VLOOKUP($D444,$C$5:$AU$520,3,)=0,0,(VLOOKUP($D444,$C$5:$AU$520,12,)/VLOOKUP($D444,$C$5:$AU$520,3,))*$E444)</f>
        <v>0</v>
      </c>
      <c r="O444" s="66">
        <f>IF(VLOOKUP($D444,$C$5:$AU$520,3,)=0,0,(VLOOKUP($D444,$C$5:$AU$520,13,)/VLOOKUP($D444,$C$5:$AU$520,3,))*$E444)</f>
        <v>0</v>
      </c>
      <c r="P444" s="66">
        <f>IF(VLOOKUP($D444,$C$5:$AU$520,3,)=0,0,(VLOOKUP($D444,$C$5:$AU$520,14,)/VLOOKUP($D444,$C$5:$AU$520,3,))*$E444)</f>
        <v>0</v>
      </c>
      <c r="Q444" s="66">
        <f>IF(VLOOKUP($D444,$C$5:$AU$520,3,)=0,0,(VLOOKUP($D444,$C$5:$AU$520,15,)/VLOOKUP($D444,$C$5:$AU$520,3,))*$E444)</f>
        <v>0</v>
      </c>
      <c r="R444" s="66">
        <f>IF(VLOOKUP($D444,$C$5:$AU$520,3,)=0,0,(VLOOKUP($D444,$C$5:$AU$520,16,)/VLOOKUP($D444,$C$5:$AU$520,3,))*$E444)</f>
        <v>0</v>
      </c>
      <c r="S444" s="66">
        <f>IF(VLOOKUP($D444,$C$5:$AU$520,3,)=0,0,(VLOOKUP($D444,$C$5:$AU$520,17,)/VLOOKUP($D444,$C$5:$AU$520,3,))*$E444)</f>
        <v>0</v>
      </c>
      <c r="T444" s="66">
        <f>IF(VLOOKUP($D444,$C$5:$AU$520,3,)=0,0,(VLOOKUP($D444,$C$5:$AU$520,18,)/VLOOKUP($D444,$C$5:$AU$520,3,))*$E444)</f>
        <v>0</v>
      </c>
      <c r="U444" s="66">
        <f>IF(VLOOKUP($D444,$C$5:$AU$520,3,)=0,0,(VLOOKUP($D444,$C$5:$AU$520,19,)/VLOOKUP($D444,$C$5:$AU$520,3,))*$E444)</f>
        <v>0</v>
      </c>
      <c r="V444" s="66">
        <f>IF(VLOOKUP($D444,$C$5:$AU$520,3,)=0,0,(VLOOKUP($D444,$C$5:$AU$520,20,)/VLOOKUP($D444,$C$5:$AU$520,3,))*$E444)</f>
        <v>0</v>
      </c>
      <c r="W444" s="66">
        <f>IF(VLOOKUP($D444,$C$5:$AU$520,3,)=0,0,(VLOOKUP($D444,$C$5:$AU$520,21,)/VLOOKUP($D444,$C$5:$AU$520,3,))*$E444)</f>
        <v>0</v>
      </c>
      <c r="X444" s="66">
        <f>IF(VLOOKUP($D444,$C$5:$AU$520,3,)=0,0,(VLOOKUP($D444,$C$5:$AU$520,22,)/VLOOKUP($D444,$C$5:$AU$520,3,))*$E444)</f>
        <v>0</v>
      </c>
      <c r="Y444" s="66">
        <f>IF(VLOOKUP($D444,$C$5:$AU$520,3,)=0,0,(VLOOKUP($D444,$C$5:$AU$520,23,)/VLOOKUP($D444,$C$5:$AU$520,3,))*$E444)</f>
        <v>0</v>
      </c>
      <c r="Z444" s="66">
        <f>IF(VLOOKUP($D444,$C$5:$AU$520,3,)=0,0,(VLOOKUP($D444,$C$5:$AU$520,24,)/VLOOKUP($D444,$C$5:$AU$520,3,))*$E444)</f>
        <v>0</v>
      </c>
      <c r="AA444" s="66">
        <f>IF(VLOOKUP($D444,$C$5:$AU$520,3,)=0,0,(VLOOKUP($D444,$C$5:$AU$520,25,)/VLOOKUP($D444,$C$5:$AU$520,3,))*$E444)</f>
        <v>0</v>
      </c>
      <c r="AB444" s="66">
        <f>IF(VLOOKUP($D444,$C$5:$AU$520,3,)=0,0,(VLOOKUP($D444,$C$5:$AU$520,26,)/VLOOKUP($D444,$C$5:$AU$520,3,))*$E444)</f>
        <v>0</v>
      </c>
      <c r="AC444" s="66">
        <f>IF(VLOOKUP($D444,$C$5:$AU$520,3,)=0,0,(VLOOKUP($D444,$C$5:$AU$520,27,)/VLOOKUP($D444,$C$5:$AU$520,3,))*$E444)</f>
        <v>0</v>
      </c>
      <c r="AD444" s="66">
        <f>IF(VLOOKUP($D444,$C$5:$AU$520,3,)=0,0,(VLOOKUP($D444,$C$5:$AU$520,28,)/VLOOKUP($D444,$C$5:$AU$520,3,))*$E444)</f>
        <v>0</v>
      </c>
      <c r="AE444" s="66">
        <f>IF(VLOOKUP($D444,$C$5:$AU$520,3,)=0,0,(VLOOKUP($D444,$C$5:$AU$520,29,)/VLOOKUP($D444,$C$5:$AU$520,3,))*$E444)</f>
        <v>0</v>
      </c>
      <c r="AF444" s="66">
        <f>IF(VLOOKUP($D444,$C$5:$AU$520,3,)=0,0,(VLOOKUP($D444,$C$5:$AU$520,30,)/VLOOKUP($D444,$C$5:$AU$520,3,))*$E444)</f>
        <v>0</v>
      </c>
      <c r="AG444" s="93">
        <f>SUM(F444:AF444)</f>
        <v>0</v>
      </c>
      <c r="AH444" s="30" t="str">
        <f t="shared" si="168"/>
        <v>ok</v>
      </c>
    </row>
    <row r="445" spans="1:34" x14ac:dyDescent="0.2">
      <c r="A445" s="14" t="s">
        <v>600</v>
      </c>
      <c r="C445" s="14" t="s">
        <v>599</v>
      </c>
      <c r="E445" s="93">
        <f>E443+E444</f>
        <v>0</v>
      </c>
      <c r="F445" s="93">
        <f t="shared" ref="F445:U445" si="169">F443+F444</f>
        <v>0</v>
      </c>
      <c r="G445" s="93">
        <f t="shared" si="169"/>
        <v>0</v>
      </c>
      <c r="H445" s="93">
        <f t="shared" si="169"/>
        <v>0</v>
      </c>
      <c r="I445" s="93">
        <f t="shared" si="169"/>
        <v>0</v>
      </c>
      <c r="J445" s="93">
        <f t="shared" si="169"/>
        <v>0</v>
      </c>
      <c r="K445" s="93">
        <f t="shared" si="169"/>
        <v>0</v>
      </c>
      <c r="L445" s="93">
        <f t="shared" si="169"/>
        <v>0</v>
      </c>
      <c r="M445" s="93">
        <f t="shared" si="169"/>
        <v>0</v>
      </c>
      <c r="N445" s="93">
        <f t="shared" si="169"/>
        <v>0</v>
      </c>
      <c r="O445" s="93">
        <f t="shared" si="169"/>
        <v>0</v>
      </c>
      <c r="P445" s="93">
        <f t="shared" si="169"/>
        <v>0</v>
      </c>
      <c r="Q445" s="93">
        <f t="shared" si="169"/>
        <v>0</v>
      </c>
      <c r="R445" s="93">
        <f t="shared" si="169"/>
        <v>0</v>
      </c>
      <c r="S445" s="93">
        <f t="shared" si="169"/>
        <v>0</v>
      </c>
      <c r="T445" s="93">
        <f t="shared" si="169"/>
        <v>0</v>
      </c>
      <c r="U445" s="93">
        <f t="shared" si="169"/>
        <v>0</v>
      </c>
      <c r="V445" s="93"/>
      <c r="W445" s="93"/>
      <c r="X445" s="93"/>
      <c r="Y445" s="93"/>
      <c r="Z445" s="93"/>
      <c r="AA445" s="93"/>
      <c r="AB445" s="93"/>
      <c r="AC445" s="93"/>
      <c r="AD445" s="93"/>
      <c r="AE445" s="93"/>
      <c r="AF445" s="93"/>
      <c r="AG445" s="93">
        <f>SUM(F445:AF445)</f>
        <v>0</v>
      </c>
      <c r="AH445" s="30" t="str">
        <f t="shared" si="168"/>
        <v>ok</v>
      </c>
    </row>
    <row r="446" spans="1:34" x14ac:dyDescent="0.2">
      <c r="A446" s="14" t="s">
        <v>623</v>
      </c>
      <c r="C446" s="14" t="s">
        <v>601</v>
      </c>
      <c r="D446" s="14" t="s">
        <v>599</v>
      </c>
      <c r="E446" s="49">
        <v>0</v>
      </c>
      <c r="F446" s="101">
        <f>IF(VLOOKUP($D446,$C$5:$AU$520,3,)=0,0,(VLOOKUP($D446,$C$5:$AU$520,4,)/VLOOKUP($D446,$C$5:$AU$520,3,))*$E446)</f>
        <v>0</v>
      </c>
      <c r="G446" s="101">
        <f>IF(VLOOKUP($D446,$C$5:$AU$520,3,)=0,0,(VLOOKUP($D446,$C$5:$AU$520,5,)/VLOOKUP($D446,$C$5:$AU$520,3,))*$E446)</f>
        <v>0</v>
      </c>
      <c r="H446" s="101">
        <f>IF(VLOOKUP($D446,$C$5:$AU$520,3,)=0,0,(VLOOKUP($D446,$C$5:$AU$520,6,)/VLOOKUP($D446,$C$5:$AU$520,3,))*$E446)</f>
        <v>0</v>
      </c>
      <c r="I446" s="101">
        <f>IF(VLOOKUP($D446,$C$5:$AU$520,3,)=0,0,(VLOOKUP($D446,$C$5:$AU$520,7,)/VLOOKUP($D446,$C$5:$AU$520,3,))*$E446)</f>
        <v>0</v>
      </c>
      <c r="J446" s="101">
        <f>IF(VLOOKUP($D446,$C$5:$AU$520,3,)=0,0,(VLOOKUP($D446,$C$5:$AU$520,8,)/VLOOKUP($D446,$C$5:$AU$520,3,))*$E446)</f>
        <v>0</v>
      </c>
      <c r="K446" s="101">
        <f>IF(VLOOKUP($D446,$C$5:$AU$520,3,)=0,0,(VLOOKUP($D446,$C$5:$AU$520,9,)/VLOOKUP($D446,$C$5:$AU$520,3,))*$E446)</f>
        <v>0</v>
      </c>
      <c r="L446" s="101">
        <f>IF(VLOOKUP($D446,$C$5:$AU$520,3,)=0,0,(VLOOKUP($D446,$C$5:$AU$520,10,)/VLOOKUP($D446,$C$5:$AU$520,3,))*$E446)</f>
        <v>0</v>
      </c>
      <c r="M446" s="101">
        <f>IF(VLOOKUP($D446,$C$5:$AU$520,3,)=0,0,(VLOOKUP($D446,$C$5:$AU$520,11,)/VLOOKUP($D446,$C$5:$AU$520,3,))*$E446)</f>
        <v>0</v>
      </c>
      <c r="N446" s="101">
        <f>IF(VLOOKUP($D446,$C$5:$AU$520,3,)=0,0,(VLOOKUP($D446,$C$5:$AU$520,12,)/VLOOKUP($D446,$C$5:$AU$520,3,))*$E446)</f>
        <v>0</v>
      </c>
      <c r="O446" s="101">
        <f>IF(VLOOKUP($D446,$C$5:$AU$520,3,)=0,0,(VLOOKUP($D446,$C$5:$AU$520,13,)/VLOOKUP($D446,$C$5:$AU$520,3,))*$E446)</f>
        <v>0</v>
      </c>
      <c r="P446" s="101">
        <f>IF(VLOOKUP($D446,$C$5:$AU$520,3,)=0,0,(VLOOKUP($D446,$C$5:$AU$520,14,)/VLOOKUP($D446,$C$5:$AU$520,3,))*$E446)</f>
        <v>0</v>
      </c>
      <c r="Q446" s="101">
        <f>IF(VLOOKUP($D446,$C$5:$AU$520,3,)=0,0,(VLOOKUP($D446,$C$5:$AU$520,15,)/VLOOKUP($D446,$C$5:$AU$520,3,))*$E446)</f>
        <v>0</v>
      </c>
      <c r="R446" s="101">
        <f>IF(VLOOKUP($D446,$C$5:$AU$520,3,)=0,0,(VLOOKUP($D446,$C$5:$AU$520,16,)/VLOOKUP($D446,$C$5:$AU$520,3,))*$E446)</f>
        <v>0</v>
      </c>
      <c r="S446" s="101">
        <f>IF(VLOOKUP($D446,$C$5:$AU$520,3,)=0,0,(VLOOKUP($D446,$C$5:$AU$520,17,)/VLOOKUP($D446,$C$5:$AU$520,3,))*$E446)</f>
        <v>0</v>
      </c>
      <c r="T446" s="101">
        <f>IF(VLOOKUP($D446,$C$5:$AU$520,3,)=0,0,(VLOOKUP($D446,$C$5:$AU$520,18,)/VLOOKUP($D446,$C$5:$AU$520,3,))*$E446)</f>
        <v>0</v>
      </c>
      <c r="U446" s="101">
        <f>IF(VLOOKUP($D446,$C$5:$AU$520,3,)=0,0,(VLOOKUP($D446,$C$5:$AU$520,19,)/VLOOKUP($D446,$C$5:$AU$520,3,))*$E446)</f>
        <v>0</v>
      </c>
      <c r="V446" s="101">
        <f>IF(VLOOKUP($D446,$C$5:$AU$520,3,)=0,0,(VLOOKUP($D446,$C$5:$AU$520,20,)/VLOOKUP($D446,$C$5:$AU$520,3,))*$E446)</f>
        <v>0</v>
      </c>
      <c r="W446" s="101">
        <f>IF(VLOOKUP($D446,$C$5:$AU$520,3,)=0,0,(VLOOKUP($D446,$C$5:$AU$520,21,)/VLOOKUP($D446,$C$5:$AU$520,3,))*$E446)</f>
        <v>0</v>
      </c>
      <c r="X446" s="101">
        <f>IF(VLOOKUP($D446,$C$5:$AU$520,3,)=0,0,(VLOOKUP($D446,$C$5:$AU$520,22,)/VLOOKUP($D446,$C$5:$AU$520,3,))*$E446)</f>
        <v>0</v>
      </c>
      <c r="Y446" s="101">
        <f>IF(VLOOKUP($D446,$C$5:$AU$520,3,)=0,0,(VLOOKUP($D446,$C$5:$AU$520,23,)/VLOOKUP($D446,$C$5:$AU$520,3,))*$E446)</f>
        <v>0</v>
      </c>
      <c r="Z446" s="101">
        <f>IF(VLOOKUP($D446,$C$5:$AU$520,3,)=0,0,(VLOOKUP($D446,$C$5:$AU$520,24,)/VLOOKUP($D446,$C$5:$AU$520,3,))*$E446)</f>
        <v>0</v>
      </c>
      <c r="AA446" s="101">
        <f>IF(VLOOKUP($D446,$C$5:$AU$520,3,)=0,0,(VLOOKUP($D446,$C$5:$AU$520,25,)/VLOOKUP($D446,$C$5:$AU$520,3,))*$E446)</f>
        <v>0</v>
      </c>
      <c r="AB446" s="101">
        <f>IF(VLOOKUP($D446,$C$5:$AU$520,3,)=0,0,(VLOOKUP($D446,$C$5:$AU$520,26,)/VLOOKUP($D446,$C$5:$AU$520,3,))*$E446)</f>
        <v>0</v>
      </c>
      <c r="AC446" s="101">
        <f>IF(VLOOKUP($D446,$C$5:$AU$520,3,)=0,0,(VLOOKUP($D446,$C$5:$AU$520,27,)/VLOOKUP($D446,$C$5:$AU$520,3,))*$E446)</f>
        <v>0</v>
      </c>
      <c r="AD446" s="101">
        <f>IF(VLOOKUP($D446,$C$5:$AU$520,3,)=0,0,(VLOOKUP($D446,$C$5:$AU$520,28,)/VLOOKUP($D446,$C$5:$AU$520,3,))*$E446)</f>
        <v>0</v>
      </c>
      <c r="AE446" s="101">
        <f>IF(VLOOKUP($D446,$C$5:$AU$520,3,)=0,0,(VLOOKUP($D446,$C$5:$AU$520,29,)/VLOOKUP($D446,$C$5:$AU$520,3,))*$E446)</f>
        <v>0</v>
      </c>
      <c r="AF446" s="101">
        <f>IF(VLOOKUP($D446,$C$5:$AU$520,3,)=0,0,(VLOOKUP($D446,$C$5:$AU$520,30,)/VLOOKUP($D446,$C$5:$AU$520,3,))*$E446)</f>
        <v>0</v>
      </c>
      <c r="AG446" s="101">
        <f>SUM(F446:AF446)</f>
        <v>0</v>
      </c>
      <c r="AH446" s="30" t="str">
        <f t="shared" si="168"/>
        <v>ok</v>
      </c>
    </row>
    <row r="447" spans="1:34" x14ac:dyDescent="0.2"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  <c r="AA447" s="49"/>
      <c r="AB447" s="49"/>
      <c r="AC447" s="49"/>
      <c r="AD447" s="49"/>
      <c r="AE447" s="49"/>
      <c r="AF447" s="49"/>
      <c r="AG447" s="49"/>
      <c r="AH447" s="30"/>
    </row>
    <row r="448" spans="1:34" x14ac:dyDescent="0.2">
      <c r="A448" s="14" t="s">
        <v>597</v>
      </c>
      <c r="C448" s="14" t="s">
        <v>624</v>
      </c>
      <c r="E448" s="50">
        <f t="shared" ref="E448:AF448" si="170">E441</f>
        <v>984081.99788370263</v>
      </c>
      <c r="F448" s="50">
        <f t="shared" si="170"/>
        <v>674329.38877041545</v>
      </c>
      <c r="G448" s="50">
        <f t="shared" si="170"/>
        <v>132.83721099149852</v>
      </c>
      <c r="H448" s="50">
        <f t="shared" si="170"/>
        <v>50274.259790798038</v>
      </c>
      <c r="I448" s="50">
        <f t="shared" si="170"/>
        <v>32944.093173505964</v>
      </c>
      <c r="J448" s="50">
        <f t="shared" si="170"/>
        <v>1704.3037427330191</v>
      </c>
      <c r="K448" s="50">
        <f t="shared" si="170"/>
        <v>13282.131879403043</v>
      </c>
      <c r="L448" s="50">
        <f t="shared" si="170"/>
        <v>199817.3486943164</v>
      </c>
      <c r="M448" s="50">
        <f t="shared" si="170"/>
        <v>11597.637186379929</v>
      </c>
      <c r="N448" s="50">
        <f t="shared" si="170"/>
        <v>0</v>
      </c>
      <c r="O448" s="50">
        <f t="shared" si="170"/>
        <v>0</v>
      </c>
      <c r="P448" s="50">
        <f t="shared" si="170"/>
        <v>0</v>
      </c>
      <c r="Q448" s="50">
        <f t="shared" si="170"/>
        <v>0</v>
      </c>
      <c r="R448" s="50">
        <f t="shared" si="170"/>
        <v>0</v>
      </c>
      <c r="S448" s="50">
        <f t="shared" si="170"/>
        <v>0</v>
      </c>
      <c r="T448" s="50">
        <f t="shared" si="170"/>
        <v>0</v>
      </c>
      <c r="U448" s="50">
        <f t="shared" si="170"/>
        <v>0</v>
      </c>
      <c r="V448" s="50">
        <f t="shared" si="170"/>
        <v>0</v>
      </c>
      <c r="W448" s="50">
        <f t="shared" si="170"/>
        <v>0</v>
      </c>
      <c r="X448" s="50">
        <f t="shared" si="170"/>
        <v>0</v>
      </c>
      <c r="Y448" s="50">
        <f t="shared" si="170"/>
        <v>0</v>
      </c>
      <c r="Z448" s="50">
        <f t="shared" si="170"/>
        <v>0</v>
      </c>
      <c r="AA448" s="50">
        <f t="shared" si="170"/>
        <v>0</v>
      </c>
      <c r="AB448" s="50">
        <f t="shared" si="170"/>
        <v>0</v>
      </c>
      <c r="AC448" s="50">
        <f t="shared" si="170"/>
        <v>0</v>
      </c>
      <c r="AD448" s="50">
        <f t="shared" si="170"/>
        <v>0</v>
      </c>
      <c r="AE448" s="50">
        <f t="shared" si="170"/>
        <v>0</v>
      </c>
      <c r="AF448" s="50">
        <f t="shared" si="170"/>
        <v>0</v>
      </c>
      <c r="AG448" s="50">
        <f>SUM(F448:AF448)</f>
        <v>984082.00044854335</v>
      </c>
      <c r="AH448" s="30" t="str">
        <f t="shared" ref="AH448:AH453" si="171">IF(ABS(E448-AG448)&lt;0.01,"ok","err")</f>
        <v>ok</v>
      </c>
    </row>
    <row r="449" spans="1:34" x14ac:dyDescent="0.2">
      <c r="A449" s="14" t="s">
        <v>596</v>
      </c>
      <c r="E449" s="93">
        <f>E442</f>
        <v>0</v>
      </c>
      <c r="AG449" s="93">
        <f>E449</f>
        <v>0</v>
      </c>
      <c r="AH449" s="30" t="str">
        <f t="shared" si="171"/>
        <v>ok</v>
      </c>
    </row>
    <row r="450" spans="1:34" x14ac:dyDescent="0.2">
      <c r="A450" s="14" t="s">
        <v>594</v>
      </c>
      <c r="E450" s="66">
        <f>E443</f>
        <v>0</v>
      </c>
      <c r="F450" s="48">
        <f>F443</f>
        <v>0</v>
      </c>
      <c r="G450" s="48">
        <f t="shared" ref="G450:S450" si="172">G443</f>
        <v>0</v>
      </c>
      <c r="H450" s="48">
        <f t="shared" si="172"/>
        <v>0</v>
      </c>
      <c r="I450" s="48">
        <f t="shared" si="172"/>
        <v>0</v>
      </c>
      <c r="J450" s="48">
        <f t="shared" si="172"/>
        <v>0</v>
      </c>
      <c r="K450" s="48">
        <f t="shared" si="172"/>
        <v>0</v>
      </c>
      <c r="L450" s="48">
        <f t="shared" si="172"/>
        <v>0</v>
      </c>
      <c r="M450" s="48">
        <f t="shared" si="172"/>
        <v>0</v>
      </c>
      <c r="N450" s="48">
        <f t="shared" si="172"/>
        <v>0</v>
      </c>
      <c r="O450" s="50">
        <f t="shared" si="172"/>
        <v>0</v>
      </c>
      <c r="P450" s="50">
        <f t="shared" si="172"/>
        <v>0</v>
      </c>
      <c r="Q450" s="14">
        <f t="shared" si="172"/>
        <v>0</v>
      </c>
      <c r="R450" s="14">
        <f t="shared" si="172"/>
        <v>0</v>
      </c>
      <c r="S450" s="14">
        <f t="shared" si="172"/>
        <v>0</v>
      </c>
      <c r="AG450" s="93">
        <f>SUM(F450:AF450)</f>
        <v>0</v>
      </c>
      <c r="AH450" s="30" t="str">
        <f t="shared" si="171"/>
        <v>ok</v>
      </c>
    </row>
    <row r="451" spans="1:34" x14ac:dyDescent="0.2">
      <c r="A451" s="14" t="s">
        <v>595</v>
      </c>
      <c r="D451" s="14" t="s">
        <v>624</v>
      </c>
      <c r="E451" s="93">
        <f>E449-E450</f>
        <v>0</v>
      </c>
      <c r="F451" s="66">
        <f>IF(VLOOKUP($D451,$C$5:$AU$520,3,)=0,0,(VLOOKUP($D451,$C$5:$AU$520,4,)/VLOOKUP($D451,$C$5:$AU$520,3,))*$E451)</f>
        <v>0</v>
      </c>
      <c r="G451" s="66">
        <f>IF(VLOOKUP($D451,$C$5:$AU$520,3,)=0,0,(VLOOKUP($D451,$C$5:$AU$520,5,)/VLOOKUP($D451,$C$5:$AU$520,3,))*$E451)</f>
        <v>0</v>
      </c>
      <c r="H451" s="66">
        <f>IF(VLOOKUP($D451,$C$5:$AU$520,3,)=0,0,(VLOOKUP($D451,$C$5:$AU$520,6,)/VLOOKUP($D451,$C$5:$AU$520,3,))*$E451)</f>
        <v>0</v>
      </c>
      <c r="I451" s="66">
        <f>IF(VLOOKUP($D451,$C$5:$AU$520,3,)=0,0,(VLOOKUP($D451,$C$5:$AU$520,7,)/VLOOKUP($D451,$C$5:$AU$520,3,))*$E451)</f>
        <v>0</v>
      </c>
      <c r="J451" s="66">
        <f>IF(VLOOKUP($D451,$C$5:$AU$520,3,)=0,0,(VLOOKUP($D451,$C$5:$AU$520,8,)/VLOOKUP($D451,$C$5:$AU$520,3,))*$E451)</f>
        <v>0</v>
      </c>
      <c r="K451" s="66">
        <f>IF(VLOOKUP($D451,$C$5:$AU$520,3,)=0,0,(VLOOKUP($D451,$C$5:$AU$520,9,)/VLOOKUP($D451,$C$5:$AU$520,3,))*$E451)</f>
        <v>0</v>
      </c>
      <c r="L451" s="66">
        <f>IF(VLOOKUP($D451,$C$5:$AU$520,3,)=0,0,(VLOOKUP($D451,$C$5:$AU$520,10,)/VLOOKUP($D451,$C$5:$AU$520,3,))*$E451)</f>
        <v>0</v>
      </c>
      <c r="M451" s="66">
        <f>IF(VLOOKUP($D451,$C$5:$AU$520,3,)=0,0,(VLOOKUP($D451,$C$5:$AU$520,11,)/VLOOKUP($D451,$C$5:$AU$520,3,))*$E451)</f>
        <v>0</v>
      </c>
      <c r="N451" s="66">
        <f>IF(VLOOKUP($D451,$C$5:$AU$520,3,)=0,0,(VLOOKUP($D451,$C$5:$AU$520,12,)/VLOOKUP($D451,$C$5:$AU$520,3,))*$E451)</f>
        <v>0</v>
      </c>
      <c r="O451" s="66">
        <f>IF(VLOOKUP($D451,$C$5:$AU$520,3,)=0,0,(VLOOKUP($D451,$C$5:$AU$520,13,)/VLOOKUP($D451,$C$5:$AU$520,3,))*$E451)</f>
        <v>0</v>
      </c>
      <c r="P451" s="66">
        <f>IF(VLOOKUP($D451,$C$5:$AU$520,3,)=0,0,(VLOOKUP($D451,$C$5:$AU$520,14,)/VLOOKUP($D451,$C$5:$AU$520,3,))*$E451)</f>
        <v>0</v>
      </c>
      <c r="Q451" s="66">
        <f>IF(VLOOKUP($D451,$C$5:$AU$520,3,)=0,0,(VLOOKUP($D451,$C$5:$AU$520,15,)/VLOOKUP($D451,$C$5:$AU$520,3,))*$E451)</f>
        <v>0</v>
      </c>
      <c r="R451" s="66">
        <f>IF(VLOOKUP($D451,$C$5:$AU$520,3,)=0,0,(VLOOKUP($D451,$C$5:$AU$520,16,)/VLOOKUP($D451,$C$5:$AU$520,3,))*$E451)</f>
        <v>0</v>
      </c>
      <c r="S451" s="66">
        <f>IF(VLOOKUP($D451,$C$5:$AU$520,3,)=0,0,(VLOOKUP($D451,$C$5:$AU$520,17,)/VLOOKUP($D451,$C$5:$AU$520,3,))*$E451)</f>
        <v>0</v>
      </c>
      <c r="T451" s="66">
        <f>IF(VLOOKUP($D451,$C$5:$AU$520,3,)=0,0,(VLOOKUP($D451,$C$5:$AU$520,18,)/VLOOKUP($D451,$C$5:$AU$520,3,))*$E451)</f>
        <v>0</v>
      </c>
      <c r="U451" s="66">
        <f>IF(VLOOKUP($D451,$C$5:$AU$520,3,)=0,0,(VLOOKUP($D451,$C$5:$AU$520,19,)/VLOOKUP($D451,$C$5:$AU$520,3,))*$E451)</f>
        <v>0</v>
      </c>
      <c r="V451" s="66">
        <f>IF(VLOOKUP($D451,$C$5:$AU$520,3,)=0,0,(VLOOKUP($D451,$C$5:$AU$520,20,)/VLOOKUP($D451,$C$5:$AU$520,3,))*$E451)</f>
        <v>0</v>
      </c>
      <c r="W451" s="66">
        <f>IF(VLOOKUP($D451,$C$5:$AU$520,3,)=0,0,(VLOOKUP($D451,$C$5:$AU$520,21,)/VLOOKUP($D451,$C$5:$AU$520,3,))*$E451)</f>
        <v>0</v>
      </c>
      <c r="X451" s="66">
        <f>IF(VLOOKUP($D451,$C$5:$AU$520,3,)=0,0,(VLOOKUP($D451,$C$5:$AU$520,22,)/VLOOKUP($D451,$C$5:$AU$520,3,))*$E451)</f>
        <v>0</v>
      </c>
      <c r="Y451" s="66">
        <f>IF(VLOOKUP($D451,$C$5:$AU$520,3,)=0,0,(VLOOKUP($D451,$C$5:$AU$520,23,)/VLOOKUP($D451,$C$5:$AU$520,3,))*$E451)</f>
        <v>0</v>
      </c>
      <c r="Z451" s="66">
        <f>IF(VLOOKUP($D451,$C$5:$AU$520,3,)=0,0,(VLOOKUP($D451,$C$5:$AU$520,24,)/VLOOKUP($D451,$C$5:$AU$520,3,))*$E451)</f>
        <v>0</v>
      </c>
      <c r="AA451" s="66">
        <f>IF(VLOOKUP($D451,$C$5:$AU$520,3,)=0,0,(VLOOKUP($D451,$C$5:$AU$520,25,)/VLOOKUP($D451,$C$5:$AU$520,3,))*$E451)</f>
        <v>0</v>
      </c>
      <c r="AB451" s="66">
        <f>IF(VLOOKUP($D451,$C$5:$AU$520,3,)=0,0,(VLOOKUP($D451,$C$5:$AU$520,26,)/VLOOKUP($D451,$C$5:$AU$520,3,))*$E451)</f>
        <v>0</v>
      </c>
      <c r="AC451" s="66">
        <f>IF(VLOOKUP($D451,$C$5:$AU$520,3,)=0,0,(VLOOKUP($D451,$C$5:$AU$520,27,)/VLOOKUP($D451,$C$5:$AU$520,3,))*$E451)</f>
        <v>0</v>
      </c>
      <c r="AD451" s="66">
        <f>IF(VLOOKUP($D451,$C$5:$AU$520,3,)=0,0,(VLOOKUP($D451,$C$5:$AU$520,28,)/VLOOKUP($D451,$C$5:$AU$520,3,))*$E451)</f>
        <v>0</v>
      </c>
      <c r="AE451" s="66">
        <f>IF(VLOOKUP($D451,$C$5:$AU$520,3,)=0,0,(VLOOKUP($D451,$C$5:$AU$520,29,)/VLOOKUP($D451,$C$5:$AU$520,3,))*$E451)</f>
        <v>0</v>
      </c>
      <c r="AF451" s="66">
        <f>IF(VLOOKUP($D451,$C$5:$AU$520,3,)=0,0,(VLOOKUP($D451,$C$5:$AU$520,30,)/VLOOKUP($D451,$C$5:$AU$520,3,))*$E451)</f>
        <v>0</v>
      </c>
      <c r="AG451" s="93">
        <f>SUM(F451:AF451)</f>
        <v>0</v>
      </c>
      <c r="AH451" s="30" t="str">
        <f t="shared" si="171"/>
        <v>ok</v>
      </c>
    </row>
    <row r="452" spans="1:34" x14ac:dyDescent="0.2">
      <c r="A452" s="14" t="s">
        <v>600</v>
      </c>
      <c r="C452" s="14" t="s">
        <v>625</v>
      </c>
      <c r="E452" s="93">
        <f t="shared" ref="E452:U452" si="173">E450+E451</f>
        <v>0</v>
      </c>
      <c r="F452" s="93">
        <f t="shared" si="173"/>
        <v>0</v>
      </c>
      <c r="G452" s="93">
        <f t="shared" si="173"/>
        <v>0</v>
      </c>
      <c r="H452" s="93">
        <f t="shared" si="173"/>
        <v>0</v>
      </c>
      <c r="I452" s="93">
        <f t="shared" si="173"/>
        <v>0</v>
      </c>
      <c r="J452" s="93">
        <f t="shared" si="173"/>
        <v>0</v>
      </c>
      <c r="K452" s="93">
        <f t="shared" si="173"/>
        <v>0</v>
      </c>
      <c r="L452" s="93">
        <f t="shared" si="173"/>
        <v>0</v>
      </c>
      <c r="M452" s="93">
        <f t="shared" si="173"/>
        <v>0</v>
      </c>
      <c r="N452" s="93">
        <f t="shared" si="173"/>
        <v>0</v>
      </c>
      <c r="O452" s="93">
        <f t="shared" si="173"/>
        <v>0</v>
      </c>
      <c r="P452" s="93">
        <f t="shared" si="173"/>
        <v>0</v>
      </c>
      <c r="Q452" s="93">
        <f t="shared" si="173"/>
        <v>0</v>
      </c>
      <c r="R452" s="93">
        <f t="shared" si="173"/>
        <v>0</v>
      </c>
      <c r="S452" s="93">
        <f t="shared" si="173"/>
        <v>0</v>
      </c>
      <c r="T452" s="93">
        <f t="shared" si="173"/>
        <v>0</v>
      </c>
      <c r="U452" s="93">
        <f t="shared" si="173"/>
        <v>0</v>
      </c>
      <c r="V452" s="93"/>
      <c r="W452" s="93"/>
      <c r="X452" s="93"/>
      <c r="Y452" s="93"/>
      <c r="Z452" s="93"/>
      <c r="AA452" s="93"/>
      <c r="AB452" s="93"/>
      <c r="AC452" s="93"/>
      <c r="AD452" s="93"/>
      <c r="AE452" s="93"/>
      <c r="AF452" s="93"/>
      <c r="AG452" s="93">
        <f>SUM(F452:AF452)</f>
        <v>0</v>
      </c>
      <c r="AH452" s="30" t="str">
        <f t="shared" si="171"/>
        <v>ok</v>
      </c>
    </row>
    <row r="453" spans="1:34" x14ac:dyDescent="0.2">
      <c r="A453" s="14" t="s">
        <v>633</v>
      </c>
      <c r="C453" s="14" t="s">
        <v>626</v>
      </c>
      <c r="D453" s="14" t="s">
        <v>625</v>
      </c>
      <c r="E453" s="49">
        <v>0</v>
      </c>
      <c r="F453" s="101">
        <f>IF(VLOOKUP($D453,$C$5:$AU$520,3,)=0,0,(VLOOKUP($D453,$C$5:$AU$520,4,)/VLOOKUP($D453,$C$5:$AU$520,3,))*$E453)</f>
        <v>0</v>
      </c>
      <c r="G453" s="101">
        <f>IF(VLOOKUP($D453,$C$5:$AU$520,3,)=0,0,(VLOOKUP($D453,$C$5:$AU$520,5,)/VLOOKUP($D453,$C$5:$AU$520,3,))*$E453)</f>
        <v>0</v>
      </c>
      <c r="H453" s="101">
        <f>IF(VLOOKUP($D453,$C$5:$AU$520,3,)=0,0,(VLOOKUP($D453,$C$5:$AU$520,6,)/VLOOKUP($D453,$C$5:$AU$520,3,))*$E453)</f>
        <v>0</v>
      </c>
      <c r="I453" s="101">
        <f>IF(VLOOKUP($D453,$C$5:$AU$520,3,)=0,0,(VLOOKUP($D453,$C$5:$AU$520,7,)/VLOOKUP($D453,$C$5:$AU$520,3,))*$E453)</f>
        <v>0</v>
      </c>
      <c r="J453" s="101">
        <f>IF(VLOOKUP($D453,$C$5:$AU$520,3,)=0,0,(VLOOKUP($D453,$C$5:$AU$520,8,)/VLOOKUP($D453,$C$5:$AU$520,3,))*$E453)</f>
        <v>0</v>
      </c>
      <c r="K453" s="101">
        <f>IF(VLOOKUP($D453,$C$5:$AU$520,3,)=0,0,(VLOOKUP($D453,$C$5:$AU$520,9,)/VLOOKUP($D453,$C$5:$AU$520,3,))*$E453)</f>
        <v>0</v>
      </c>
      <c r="L453" s="101">
        <f>IF(VLOOKUP($D453,$C$5:$AU$520,3,)=0,0,(VLOOKUP($D453,$C$5:$AU$520,10,)/VLOOKUP($D453,$C$5:$AU$520,3,))*$E453)</f>
        <v>0</v>
      </c>
      <c r="M453" s="101">
        <f>IF(VLOOKUP($D453,$C$5:$AU$520,3,)=0,0,(VLOOKUP($D453,$C$5:$AU$520,11,)/VLOOKUP($D453,$C$5:$AU$520,3,))*$E453)</f>
        <v>0</v>
      </c>
      <c r="N453" s="101">
        <f>IF(VLOOKUP($D453,$C$5:$AU$520,3,)=0,0,(VLOOKUP($D453,$C$5:$AU$520,12,)/VLOOKUP($D453,$C$5:$AU$520,3,))*$E453)</f>
        <v>0</v>
      </c>
      <c r="O453" s="101">
        <f>IF(VLOOKUP($D453,$C$5:$AU$520,3,)=0,0,(VLOOKUP($D453,$C$5:$AU$520,13,)/VLOOKUP($D453,$C$5:$AU$520,3,))*$E453)</f>
        <v>0</v>
      </c>
      <c r="P453" s="101">
        <f>IF(VLOOKUP($D453,$C$5:$AU$520,3,)=0,0,(VLOOKUP($D453,$C$5:$AU$520,14,)/VLOOKUP($D453,$C$5:$AU$520,3,))*$E453)</f>
        <v>0</v>
      </c>
      <c r="Q453" s="101">
        <f>IF(VLOOKUP($D453,$C$5:$AU$520,3,)=0,0,(VLOOKUP($D453,$C$5:$AU$520,15,)/VLOOKUP($D453,$C$5:$AU$520,3,))*$E453)</f>
        <v>0</v>
      </c>
      <c r="R453" s="101">
        <f>IF(VLOOKUP($D453,$C$5:$AU$520,3,)=0,0,(VLOOKUP($D453,$C$5:$AU$520,16,)/VLOOKUP($D453,$C$5:$AU$520,3,))*$E453)</f>
        <v>0</v>
      </c>
      <c r="S453" s="101">
        <f>IF(VLOOKUP($D453,$C$5:$AU$520,3,)=0,0,(VLOOKUP($D453,$C$5:$AU$520,17,)/VLOOKUP($D453,$C$5:$AU$520,3,))*$E453)</f>
        <v>0</v>
      </c>
      <c r="T453" s="101">
        <f>IF(VLOOKUP($D453,$C$5:$AU$520,3,)=0,0,(VLOOKUP($D453,$C$5:$AU$520,18,)/VLOOKUP($D453,$C$5:$AU$520,3,))*$E453)</f>
        <v>0</v>
      </c>
      <c r="U453" s="101">
        <f>IF(VLOOKUP($D453,$C$5:$AU$520,3,)=0,0,(VLOOKUP($D453,$C$5:$AU$520,19,)/VLOOKUP($D453,$C$5:$AU$520,3,))*$E453)</f>
        <v>0</v>
      </c>
      <c r="V453" s="101">
        <f>IF(VLOOKUP($D453,$C$5:$AU$520,3,)=0,0,(VLOOKUP($D453,$C$5:$AU$520,20,)/VLOOKUP($D453,$C$5:$AU$520,3,))*$E453)</f>
        <v>0</v>
      </c>
      <c r="W453" s="101">
        <f>IF(VLOOKUP($D453,$C$5:$AU$520,3,)=0,0,(VLOOKUP($D453,$C$5:$AU$520,21,)/VLOOKUP($D453,$C$5:$AU$520,3,))*$E453)</f>
        <v>0</v>
      </c>
      <c r="X453" s="101">
        <f>IF(VLOOKUP($D453,$C$5:$AU$520,3,)=0,0,(VLOOKUP($D453,$C$5:$AU$520,22,)/VLOOKUP($D453,$C$5:$AU$520,3,))*$E453)</f>
        <v>0</v>
      </c>
      <c r="Y453" s="101">
        <f>IF(VLOOKUP($D453,$C$5:$AU$520,3,)=0,0,(VLOOKUP($D453,$C$5:$AU$520,23,)/VLOOKUP($D453,$C$5:$AU$520,3,))*$E453)</f>
        <v>0</v>
      </c>
      <c r="Z453" s="101">
        <f>IF(VLOOKUP($D453,$C$5:$AU$520,3,)=0,0,(VLOOKUP($D453,$C$5:$AU$520,24,)/VLOOKUP($D453,$C$5:$AU$520,3,))*$E453)</f>
        <v>0</v>
      </c>
      <c r="AA453" s="101">
        <f>IF(VLOOKUP($D453,$C$5:$AU$520,3,)=0,0,(VLOOKUP($D453,$C$5:$AU$520,25,)/VLOOKUP($D453,$C$5:$AU$520,3,))*$E453)</f>
        <v>0</v>
      </c>
      <c r="AB453" s="101">
        <f>IF(VLOOKUP($D453,$C$5:$AU$520,3,)=0,0,(VLOOKUP($D453,$C$5:$AU$520,26,)/VLOOKUP($D453,$C$5:$AU$520,3,))*$E453)</f>
        <v>0</v>
      </c>
      <c r="AC453" s="101">
        <f>IF(VLOOKUP($D453,$C$5:$AU$520,3,)=0,0,(VLOOKUP($D453,$C$5:$AU$520,27,)/VLOOKUP($D453,$C$5:$AU$520,3,))*$E453)</f>
        <v>0</v>
      </c>
      <c r="AD453" s="101">
        <f>IF(VLOOKUP($D453,$C$5:$AU$520,3,)=0,0,(VLOOKUP($D453,$C$5:$AU$520,28,)/VLOOKUP($D453,$C$5:$AU$520,3,))*$E453)</f>
        <v>0</v>
      </c>
      <c r="AE453" s="101">
        <f>IF(VLOOKUP($D453,$C$5:$AU$520,3,)=0,0,(VLOOKUP($D453,$C$5:$AU$520,29,)/VLOOKUP($D453,$C$5:$AU$520,3,))*$E453)</f>
        <v>0</v>
      </c>
      <c r="AF453" s="101">
        <f>IF(VLOOKUP($D453,$C$5:$AU$520,3,)=0,0,(VLOOKUP($D453,$C$5:$AU$520,30,)/VLOOKUP($D453,$C$5:$AU$520,3,))*$E453)</f>
        <v>0</v>
      </c>
      <c r="AG453" s="101">
        <f>SUM(F453:AF453)</f>
        <v>0</v>
      </c>
      <c r="AH453" s="30" t="str">
        <f t="shared" si="171"/>
        <v>ok</v>
      </c>
    </row>
    <row r="454" spans="1:34" x14ac:dyDescent="0.2"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  <c r="AA454" s="49"/>
      <c r="AB454" s="49"/>
      <c r="AC454" s="49"/>
      <c r="AD454" s="49"/>
      <c r="AE454" s="49"/>
      <c r="AF454" s="49"/>
      <c r="AG454" s="49"/>
      <c r="AH454" s="30"/>
    </row>
    <row r="455" spans="1:34" x14ac:dyDescent="0.2">
      <c r="A455" s="14" t="s">
        <v>602</v>
      </c>
      <c r="B455" s="50"/>
      <c r="C455" s="14" t="s">
        <v>606</v>
      </c>
      <c r="E455" s="50">
        <v>2534232.9152061706</v>
      </c>
      <c r="F455" s="50">
        <f>F437</f>
        <v>2043653.4905167264</v>
      </c>
      <c r="G455" s="50">
        <f t="shared" ref="G455:M455" si="174">G437</f>
        <v>376.0886207828413</v>
      </c>
      <c r="H455" s="50">
        <f t="shared" si="174"/>
        <v>90005.068679178061</v>
      </c>
      <c r="I455" s="50">
        <f t="shared" si="174"/>
        <v>37784.720823798634</v>
      </c>
      <c r="J455" s="50">
        <f t="shared" si="174"/>
        <v>5230.2410287591747</v>
      </c>
      <c r="K455" s="50">
        <f t="shared" si="174"/>
        <v>73993.832189607958</v>
      </c>
      <c r="L455" s="50">
        <f t="shared" si="174"/>
        <v>259768.94279176201</v>
      </c>
      <c r="M455" s="50">
        <f t="shared" si="174"/>
        <v>23420.530555555553</v>
      </c>
      <c r="N455" s="223">
        <v>0</v>
      </c>
      <c r="O455" s="223">
        <v>0</v>
      </c>
      <c r="P455" s="50">
        <f>P437</f>
        <v>0</v>
      </c>
      <c r="Q455" s="50">
        <f>Q437*2.11</f>
        <v>0</v>
      </c>
      <c r="R455" s="50">
        <f>R437*2.11</f>
        <v>0</v>
      </c>
      <c r="S455" s="50">
        <f>S437</f>
        <v>0</v>
      </c>
      <c r="T455" s="50">
        <f>T437*0.9</f>
        <v>0</v>
      </c>
      <c r="U455" s="50">
        <f t="shared" ref="U455:Z455" si="175">U437</f>
        <v>0</v>
      </c>
      <c r="V455" s="50">
        <f t="shared" si="175"/>
        <v>0</v>
      </c>
      <c r="W455" s="50">
        <f t="shared" si="175"/>
        <v>0</v>
      </c>
      <c r="X455" s="50">
        <f t="shared" si="175"/>
        <v>0</v>
      </c>
      <c r="Y455" s="50">
        <f t="shared" si="175"/>
        <v>0</v>
      </c>
      <c r="Z455" s="50">
        <f t="shared" si="175"/>
        <v>0</v>
      </c>
      <c r="AA455" s="50">
        <f>AA437*0.5</f>
        <v>0</v>
      </c>
      <c r="AB455" s="50">
        <f>AB437*0.1</f>
        <v>0</v>
      </c>
      <c r="AC455" s="50">
        <f>AC437*0.5</f>
        <v>0</v>
      </c>
      <c r="AD455" s="50">
        <f>AD437*0.07</f>
        <v>0</v>
      </c>
      <c r="AE455" s="50">
        <f>AE437*0.07</f>
        <v>0</v>
      </c>
      <c r="AF455" s="50">
        <f>AF437</f>
        <v>0</v>
      </c>
      <c r="AG455" s="50">
        <f>SUM(F455:AF455)</f>
        <v>2534232.9152061706</v>
      </c>
      <c r="AH455" s="30" t="str">
        <f t="shared" ref="AH455:AH460" si="176">IF(ABS(E455-AG455)&lt;0.01,"ok","err")</f>
        <v>ok</v>
      </c>
    </row>
    <row r="456" spans="1:34" x14ac:dyDescent="0.2">
      <c r="A456" s="14" t="s">
        <v>603</v>
      </c>
      <c r="E456" s="93">
        <f>'Func &amp; Classif'!O54</f>
        <v>59727854.059522629</v>
      </c>
      <c r="AG456" s="93">
        <f>E456</f>
        <v>59727854.059522629</v>
      </c>
      <c r="AH456" s="30" t="str">
        <f t="shared" si="176"/>
        <v>ok</v>
      </c>
    </row>
    <row r="457" spans="1:34" x14ac:dyDescent="0.2">
      <c r="A457" s="14" t="s">
        <v>594</v>
      </c>
      <c r="E457" s="66"/>
      <c r="M457" s="50">
        <v>0</v>
      </c>
      <c r="N457" s="50">
        <v>0</v>
      </c>
      <c r="P457" s="50"/>
      <c r="Q457" s="50">
        <f>(1/70)*'Func &amp; Classif'!F53</f>
        <v>0</v>
      </c>
      <c r="AA457" s="66">
        <v>0</v>
      </c>
      <c r="AB457" s="66">
        <v>0</v>
      </c>
      <c r="AC457" s="66">
        <v>0</v>
      </c>
      <c r="AD457" s="66">
        <v>0</v>
      </c>
      <c r="AE457" s="66">
        <v>0</v>
      </c>
      <c r="AG457" s="93">
        <f>SUM(F457:AF457)</f>
        <v>0</v>
      </c>
      <c r="AH457" s="30" t="str">
        <f t="shared" si="176"/>
        <v>ok</v>
      </c>
    </row>
    <row r="458" spans="1:34" x14ac:dyDescent="0.2">
      <c r="A458" s="14" t="s">
        <v>604</v>
      </c>
      <c r="D458" s="14" t="s">
        <v>627</v>
      </c>
      <c r="E458" s="93">
        <f>E456-E457</f>
        <v>59727854.059522629</v>
      </c>
      <c r="F458" s="107">
        <f>IF(VLOOKUP($D458,$C$5:$AU$520,3,)=0,0,(VLOOKUP($D458,$C$5:$AU$520,4,)/VLOOKUP($D458,$C$5:$AU$520,3,))*$E458)</f>
        <v>48165674.392989524</v>
      </c>
      <c r="G458" s="66">
        <f>IF(VLOOKUP($D458,$C$5:$AU$520,3,)=0,0,(VLOOKUP($D458,$C$5:$AU$520,5,)/VLOOKUP($D458,$C$5:$AU$520,3,))*$E458)</f>
        <v>8863.812840871904</v>
      </c>
      <c r="H458" s="66">
        <f>IF(VLOOKUP($D458,$C$5:$AU$520,3,)=0,0,(VLOOKUP($D458,$C$5:$AU$520,6,)/VLOOKUP($D458,$C$5:$AU$520,3,))*$E458)</f>
        <v>2121276.8465087642</v>
      </c>
      <c r="I458" s="66">
        <f>IF(VLOOKUP($D458,$C$5:$AU$520,3,)=0,0,(VLOOKUP($D458,$C$5:$AU$520,7,)/VLOOKUP($D458,$C$5:$AU$520,3,))*$E458)</f>
        <v>890525.99605275434</v>
      </c>
      <c r="J458" s="66">
        <f>IF(VLOOKUP($D458,$C$5:$AU$520,3,)=0,0,(VLOOKUP($D458,$C$5:$AU$520,8,)/VLOOKUP($D458,$C$5:$AU$520,3,))*$E458)</f>
        <v>123268.49319469166</v>
      </c>
      <c r="K458" s="66">
        <f>IF(VLOOKUP($D458,$C$5:$AU$520,3,)=0,0,(VLOOKUP($D458,$C$5:$AU$520,9,)/VLOOKUP($D458,$C$5:$AU$520,3,))*$E458)</f>
        <v>1743917.3738954326</v>
      </c>
      <c r="L458" s="66">
        <f>IF(VLOOKUP($D458,$C$5:$AU$520,3,)=0,0,(VLOOKUP($D458,$C$5:$AU$520,10,)/VLOOKUP($D458,$C$5:$AU$520,3,))*$E458)</f>
        <v>6122342.3510780958</v>
      </c>
      <c r="M458" s="66">
        <f>IF(VLOOKUP($D458,$C$5:$AU$520,3,)=0,0,(VLOOKUP($D458,$C$5:$AU$520,11,)/VLOOKUP($D458,$C$5:$AU$520,3,))*$E458)</f>
        <v>551984.79296249279</v>
      </c>
      <c r="N458" s="66">
        <f>IF(VLOOKUP($D458,$C$5:$AU$520,3,)=0,0,(VLOOKUP($D458,$C$5:$AU$520,12,)/VLOOKUP($D458,$C$5:$AU$520,3,))*$E458)</f>
        <v>0</v>
      </c>
      <c r="O458" s="66">
        <f>IF(VLOOKUP($D458,$C$5:$AU$520,3,)=0,0,(VLOOKUP($D458,$C$5:$AU$520,13,)/VLOOKUP($D458,$C$5:$AU$520,3,))*$E458)</f>
        <v>0</v>
      </c>
      <c r="P458" s="66">
        <f>IF(VLOOKUP($D458,$C$5:$AU$520,3,)=0,0,(VLOOKUP($D458,$C$5:$AU$520,14,)/VLOOKUP($D458,$C$5:$AU$520,3,))*$E458)</f>
        <v>0</v>
      </c>
      <c r="Q458" s="66">
        <f>IF(VLOOKUP($D458,$C$5:$AU$520,3,)=0,0,(VLOOKUP($D458,$C$5:$AU$520,15,)/VLOOKUP($D458,$C$5:$AU$520,3,))*$E458)</f>
        <v>0</v>
      </c>
      <c r="R458" s="66">
        <f>IF(VLOOKUP($D458,$C$5:$AU$520,3,)=0,0,(VLOOKUP($D458,$C$5:$AU$520,16,)/VLOOKUP($D458,$C$5:$AU$520,3,))*$E458)</f>
        <v>0</v>
      </c>
      <c r="S458" s="66">
        <f>IF(VLOOKUP($D458,$C$5:$AU$520,3,)=0,0,(VLOOKUP($D458,$C$5:$AU$520,17,)/VLOOKUP($D458,$C$5:$AU$520,3,))*$E458)</f>
        <v>0</v>
      </c>
      <c r="T458" s="66">
        <f>IF(VLOOKUP($D458,$C$5:$AU$520,3,)=0,0,(VLOOKUP($D458,$C$5:$AU$520,18,)/VLOOKUP($D458,$C$5:$AU$520,3,))*$E458)</f>
        <v>0</v>
      </c>
      <c r="U458" s="66">
        <f>IF(VLOOKUP($D458,$C$5:$AU$520,3,)=0,0,(VLOOKUP($D458,$C$5:$AU$520,19,)/VLOOKUP($D458,$C$5:$AU$520,3,))*$E458)</f>
        <v>0</v>
      </c>
      <c r="V458" s="66">
        <f>IF(VLOOKUP($D458,$C$5:$AU$520,3,)=0,0,(VLOOKUP($D458,$C$5:$AU$520,20,)/VLOOKUP($D458,$C$5:$AU$520,3,))*$E458)</f>
        <v>0</v>
      </c>
      <c r="W458" s="66">
        <f>IF(VLOOKUP($D458,$C$5:$AU$520,3,)=0,0,(VLOOKUP($D458,$C$5:$AU$520,21,)/VLOOKUP($D458,$C$5:$AU$520,3,))*$E458)</f>
        <v>0</v>
      </c>
      <c r="X458" s="66">
        <f>IF(VLOOKUP($D458,$C$5:$AU$520,3,)=0,0,(VLOOKUP($D458,$C$5:$AU$520,22,)/VLOOKUP($D458,$C$5:$AU$520,3,))*$E458)</f>
        <v>0</v>
      </c>
      <c r="Y458" s="66">
        <f>IF(VLOOKUP($D458,$C$5:$AU$520,3,)=0,0,(VLOOKUP($D458,$C$5:$AU$520,23,)/VLOOKUP($D458,$C$5:$AU$520,3,))*$E458)</f>
        <v>0</v>
      </c>
      <c r="Z458" s="66">
        <f>IF(VLOOKUP($D458,$C$5:$AU$520,3,)=0,0,(VLOOKUP($D458,$C$5:$AU$520,24,)/VLOOKUP($D458,$C$5:$AU$520,3,))*$E458)</f>
        <v>0</v>
      </c>
      <c r="AA458" s="66">
        <f>IF(VLOOKUP($D458,$C$5:$AU$520,3,)=0,0,(VLOOKUP($D458,$C$5:$AU$520,25,)/VLOOKUP($D458,$C$5:$AU$520,3,))*$E458)</f>
        <v>0</v>
      </c>
      <c r="AB458" s="66">
        <f>IF(VLOOKUP($D458,$C$5:$AU$520,3,)=0,0,(VLOOKUP($D458,$C$5:$AU$520,26,)/VLOOKUP($D458,$C$5:$AU$520,3,))*$E458)</f>
        <v>0</v>
      </c>
      <c r="AC458" s="66">
        <f>IF(VLOOKUP($D458,$C$5:$AU$520,3,)=0,0,(VLOOKUP($D458,$C$5:$AU$520,27,)/VLOOKUP($D458,$C$5:$AU$520,3,))*$E458)</f>
        <v>0</v>
      </c>
      <c r="AD458" s="66">
        <f>IF(VLOOKUP($D458,$C$5:$AU$520,3,)=0,0,(VLOOKUP($D458,$C$5:$AU$520,28,)/VLOOKUP($D458,$C$5:$AU$520,3,))*$E458)</f>
        <v>0</v>
      </c>
      <c r="AE458" s="66">
        <f>IF(VLOOKUP($D458,$C$5:$AU$520,3,)=0,0,(VLOOKUP($D458,$C$5:$AU$520,29,)/VLOOKUP($D458,$C$5:$AU$520,3,))*$E458)</f>
        <v>0</v>
      </c>
      <c r="AF458" s="66">
        <f>IF(VLOOKUP($D458,$C$5:$AU$520,3,)=0,0,(VLOOKUP($D458,$C$5:$AU$520,30,)/VLOOKUP($D458,$C$5:$AU$520,3,))*$E458)</f>
        <v>0</v>
      </c>
      <c r="AG458" s="93">
        <f>SUM(F458:AF458)</f>
        <v>59727854.059522621</v>
      </c>
      <c r="AH458" s="30" t="str">
        <f t="shared" si="176"/>
        <v>ok</v>
      </c>
    </row>
    <row r="459" spans="1:34" x14ac:dyDescent="0.2">
      <c r="A459" s="14" t="s">
        <v>605</v>
      </c>
      <c r="C459" s="14" t="s">
        <v>608</v>
      </c>
      <c r="E459" s="93">
        <f t="shared" ref="E459:AF459" si="177">E457+E458</f>
        <v>59727854.059522629</v>
      </c>
      <c r="F459" s="108">
        <f t="shared" si="177"/>
        <v>48165674.392989524</v>
      </c>
      <c r="G459" s="93">
        <f t="shared" si="177"/>
        <v>8863.812840871904</v>
      </c>
      <c r="H459" s="93">
        <f t="shared" si="177"/>
        <v>2121276.8465087642</v>
      </c>
      <c r="I459" s="93">
        <f t="shared" si="177"/>
        <v>890525.99605275434</v>
      </c>
      <c r="J459" s="93">
        <f t="shared" si="177"/>
        <v>123268.49319469166</v>
      </c>
      <c r="K459" s="93">
        <f t="shared" si="177"/>
        <v>1743917.3738954326</v>
      </c>
      <c r="L459" s="93">
        <f t="shared" si="177"/>
        <v>6122342.3510780958</v>
      </c>
      <c r="M459" s="93">
        <f t="shared" si="177"/>
        <v>551984.79296249279</v>
      </c>
      <c r="N459" s="93">
        <f t="shared" si="177"/>
        <v>0</v>
      </c>
      <c r="O459" s="93">
        <f t="shared" si="177"/>
        <v>0</v>
      </c>
      <c r="P459" s="93">
        <f>P457+P458</f>
        <v>0</v>
      </c>
      <c r="Q459" s="93">
        <f t="shared" si="177"/>
        <v>0</v>
      </c>
      <c r="R459" s="93">
        <f t="shared" si="177"/>
        <v>0</v>
      </c>
      <c r="S459" s="93">
        <f t="shared" si="177"/>
        <v>0</v>
      </c>
      <c r="T459" s="93">
        <f t="shared" si="177"/>
        <v>0</v>
      </c>
      <c r="U459" s="93">
        <f t="shared" si="177"/>
        <v>0</v>
      </c>
      <c r="V459" s="93">
        <f t="shared" si="177"/>
        <v>0</v>
      </c>
      <c r="W459" s="93">
        <f t="shared" si="177"/>
        <v>0</v>
      </c>
      <c r="X459" s="93">
        <f t="shared" si="177"/>
        <v>0</v>
      </c>
      <c r="Y459" s="93">
        <f t="shared" si="177"/>
        <v>0</v>
      </c>
      <c r="Z459" s="93">
        <f t="shared" si="177"/>
        <v>0</v>
      </c>
      <c r="AA459" s="93">
        <f t="shared" si="177"/>
        <v>0</v>
      </c>
      <c r="AB459" s="93">
        <f t="shared" si="177"/>
        <v>0</v>
      </c>
      <c r="AC459" s="93">
        <f t="shared" si="177"/>
        <v>0</v>
      </c>
      <c r="AD459" s="93">
        <f t="shared" si="177"/>
        <v>0</v>
      </c>
      <c r="AE459" s="93">
        <f t="shared" si="177"/>
        <v>0</v>
      </c>
      <c r="AF459" s="93">
        <f t="shared" si="177"/>
        <v>0</v>
      </c>
      <c r="AG459" s="93">
        <f>SUM(F459:AF459)</f>
        <v>59727854.059522621</v>
      </c>
      <c r="AH459" s="30" t="str">
        <f t="shared" si="176"/>
        <v>ok</v>
      </c>
    </row>
    <row r="460" spans="1:34" x14ac:dyDescent="0.2">
      <c r="A460" s="14" t="s">
        <v>635</v>
      </c>
      <c r="C460" s="14" t="s">
        <v>607</v>
      </c>
      <c r="D460" s="14" t="s">
        <v>608</v>
      </c>
      <c r="E460" s="49">
        <v>1</v>
      </c>
      <c r="F460" s="101">
        <f>IF(VLOOKUP($D460,$C$5:$AU$520,3,)=0,0,(VLOOKUP($D460,$C$5:$AU$520,4,)/VLOOKUP($D460,$C$5:$AU$520,3,))*$E460)</f>
        <v>0.8064189673546508</v>
      </c>
      <c r="G460" s="101">
        <f>IF(VLOOKUP($D460,$C$5:$AU$520,3,)=0,0,(VLOOKUP($D460,$C$5:$AU$520,5,)/VLOOKUP($D460,$C$5:$AU$520,3,))*$E460)</f>
        <v>1.4840333677547743E-4</v>
      </c>
      <c r="H460" s="101">
        <f>IF(VLOOKUP($D460,$C$5:$AU$520,3,)=0,0,(VLOOKUP($D460,$C$5:$AU$520,6,)/VLOOKUP($D460,$C$5:$AU$520,3,))*$E460)</f>
        <v>3.5515705024238377E-2</v>
      </c>
      <c r="I460" s="101">
        <f>IF(VLOOKUP($D460,$C$5:$AU$520,3,)=0,0,(VLOOKUP($D460,$C$5:$AU$520,7,)/VLOOKUP($D460,$C$5:$AU$520,3,))*$E460)</f>
        <v>1.4909726961984742E-2</v>
      </c>
      <c r="J460" s="101">
        <f>IF(VLOOKUP($D460,$C$5:$AU$520,3,)=0,0,(VLOOKUP($D460,$C$5:$AU$520,8,)/VLOOKUP($D460,$C$5:$AU$520,3,))*$E460)</f>
        <v>2.0638359628967536E-3</v>
      </c>
      <c r="K460" s="101">
        <f>IF(VLOOKUP($D460,$C$5:$AU$520,3,)=0,0,(VLOOKUP($D460,$C$5:$AU$520,9,)/VLOOKUP($D460,$C$5:$AU$520,3,))*$E460)</f>
        <v>2.9197723597394063E-2</v>
      </c>
      <c r="L460" s="101">
        <f>IF(VLOOKUP($D460,$C$5:$AU$520,3,)=0,0,(VLOOKUP($D460,$C$5:$AU$520,10,)/VLOOKUP($D460,$C$5:$AU$520,3,))*$E460)</f>
        <v>0.10250397318773231</v>
      </c>
      <c r="M460" s="101">
        <f>IF(VLOOKUP($D460,$C$5:$AU$520,3,)=0,0,(VLOOKUP($D460,$C$5:$AU$520,11,)/VLOOKUP($D460,$C$5:$AU$520,3,))*$E460)</f>
        <v>9.2416645743274919E-3</v>
      </c>
      <c r="N460" s="101">
        <f>IF(VLOOKUP($D460,$C$5:$AU$520,3,)=0,0,(VLOOKUP($D460,$C$5:$AU$520,12,)/VLOOKUP($D460,$C$5:$AU$520,3,))*$E460)</f>
        <v>0</v>
      </c>
      <c r="O460" s="101">
        <f>IF(VLOOKUP($D460,$C$5:$AU$520,3,)=0,0,(VLOOKUP($D460,$C$5:$AU$520,13,)/VLOOKUP($D460,$C$5:$AU$520,3,))*$E460)</f>
        <v>0</v>
      </c>
      <c r="P460" s="101">
        <f>IF(VLOOKUP($D460,$C$5:$AU$520,3,)=0,0,(VLOOKUP($D460,$C$5:$AU$520,14,)/VLOOKUP($D460,$C$5:$AU$520,3,))*$E460)</f>
        <v>0</v>
      </c>
      <c r="Q460" s="101">
        <f>IF(VLOOKUP($D460,$C$5:$AU$520,3,)=0,0,(VLOOKUP($D460,$C$5:$AU$520,15,)/VLOOKUP($D460,$C$5:$AU$520,3,))*$E460)</f>
        <v>0</v>
      </c>
      <c r="R460" s="101">
        <f>IF(VLOOKUP($D460,$C$5:$AU$520,3,)=0,0,(VLOOKUP($D460,$C$5:$AU$520,16,)/VLOOKUP($D460,$C$5:$AU$520,3,))*$E460)</f>
        <v>0</v>
      </c>
      <c r="S460" s="101">
        <f>IF(VLOOKUP($D460,$C$5:$AU$520,3,)=0,0,(VLOOKUP($D460,$C$5:$AU$520,17,)/VLOOKUP($D460,$C$5:$AU$520,3,))*$E460)</f>
        <v>0</v>
      </c>
      <c r="T460" s="101">
        <f>IF(VLOOKUP($D460,$C$5:$AU$520,3,)=0,0,(VLOOKUP($D460,$C$5:$AU$520,18,)/VLOOKUP($D460,$C$5:$AU$520,3,))*$E460)</f>
        <v>0</v>
      </c>
      <c r="U460" s="101">
        <f>IF(VLOOKUP($D460,$C$5:$AU$520,3,)=0,0,(VLOOKUP($D460,$C$5:$AU$520,19,)/VLOOKUP($D460,$C$5:$AU$520,3,))*$E460)</f>
        <v>0</v>
      </c>
      <c r="V460" s="101">
        <f>IF(VLOOKUP($D460,$C$5:$AU$520,3,)=0,0,(VLOOKUP($D460,$C$5:$AU$520,20,)/VLOOKUP($D460,$C$5:$AU$520,3,))*$E460)</f>
        <v>0</v>
      </c>
      <c r="W460" s="101">
        <f>IF(VLOOKUP($D460,$C$5:$AU$520,3,)=0,0,(VLOOKUP($D460,$C$5:$AU$520,21,)/VLOOKUP($D460,$C$5:$AU$520,3,))*$E460)</f>
        <v>0</v>
      </c>
      <c r="X460" s="101">
        <f>IF(VLOOKUP($D460,$C$5:$AU$520,3,)=0,0,(VLOOKUP($D460,$C$5:$AU$520,22,)/VLOOKUP($D460,$C$5:$AU$520,3,))*$E460)</f>
        <v>0</v>
      </c>
      <c r="Y460" s="101">
        <f>IF(VLOOKUP($D460,$C$5:$AU$520,3,)=0,0,(VLOOKUP($D460,$C$5:$AU$520,23,)/VLOOKUP($D460,$C$5:$AU$520,3,))*$E460)</f>
        <v>0</v>
      </c>
      <c r="Z460" s="101">
        <f>IF(VLOOKUP($D460,$C$5:$AU$520,3,)=0,0,(VLOOKUP($D460,$C$5:$AU$520,24,)/VLOOKUP($D460,$C$5:$AU$520,3,))*$E460)</f>
        <v>0</v>
      </c>
      <c r="AA460" s="101">
        <f>IF(VLOOKUP($D460,$C$5:$AU$520,3,)=0,0,(VLOOKUP($D460,$C$5:$AU$520,25,)/VLOOKUP($D460,$C$5:$AU$520,3,))*$E460)</f>
        <v>0</v>
      </c>
      <c r="AB460" s="101">
        <f>IF(VLOOKUP($D460,$C$5:$AU$520,3,)=0,0,(VLOOKUP($D460,$C$5:$AU$520,26,)/VLOOKUP($D460,$C$5:$AU$520,3,))*$E460)</f>
        <v>0</v>
      </c>
      <c r="AC460" s="101">
        <f>IF(VLOOKUP($D460,$C$5:$AU$520,3,)=0,0,(VLOOKUP($D460,$C$5:$AU$520,27,)/VLOOKUP($D460,$C$5:$AU$520,3,))*$E460)</f>
        <v>0</v>
      </c>
      <c r="AD460" s="101">
        <f>IF(VLOOKUP($D460,$C$5:$AU$520,3,)=0,0,(VLOOKUP($D460,$C$5:$AU$520,28,)/VLOOKUP($D460,$C$5:$AU$520,3,))*$E460)</f>
        <v>0</v>
      </c>
      <c r="AE460" s="101">
        <f>IF(VLOOKUP($D460,$C$5:$AU$520,3,)=0,0,(VLOOKUP($D460,$C$5:$AU$520,29,)/VLOOKUP($D460,$C$5:$AU$520,3,))*$E460)</f>
        <v>0</v>
      </c>
      <c r="AF460" s="101">
        <f>IF(VLOOKUP($D460,$C$5:$AU$520,3,)=0,0,(VLOOKUP($D460,$C$5:$AU$520,30,)/VLOOKUP($D460,$C$5:$AU$520,3,))*$E460)</f>
        <v>0</v>
      </c>
      <c r="AG460" s="101">
        <f>SUM(F460:AF460)</f>
        <v>1</v>
      </c>
      <c r="AH460" s="30" t="str">
        <f t="shared" si="176"/>
        <v>ok</v>
      </c>
    </row>
    <row r="462" spans="1:34" x14ac:dyDescent="0.2">
      <c r="A462" s="14" t="s">
        <v>602</v>
      </c>
      <c r="C462" s="14" t="s">
        <v>627</v>
      </c>
      <c r="E462" s="50">
        <f>E455</f>
        <v>2534232.9152061706</v>
      </c>
      <c r="F462" s="48">
        <f>F455</f>
        <v>2043653.4905167264</v>
      </c>
      <c r="G462" s="50">
        <f t="shared" ref="G462:Q462" si="178">G455</f>
        <v>376.0886207828413</v>
      </c>
      <c r="H462" s="50">
        <f t="shared" si="178"/>
        <v>90005.068679178061</v>
      </c>
      <c r="I462" s="50">
        <f t="shared" si="178"/>
        <v>37784.720823798634</v>
      </c>
      <c r="J462" s="50">
        <f t="shared" si="178"/>
        <v>5230.2410287591747</v>
      </c>
      <c r="K462" s="50">
        <f t="shared" si="178"/>
        <v>73993.832189607958</v>
      </c>
      <c r="L462" s="50">
        <f t="shared" si="178"/>
        <v>259768.94279176201</v>
      </c>
      <c r="M462" s="50">
        <f t="shared" si="178"/>
        <v>23420.530555555553</v>
      </c>
      <c r="N462" s="50">
        <f t="shared" si="178"/>
        <v>0</v>
      </c>
      <c r="O462" s="50">
        <f t="shared" si="178"/>
        <v>0</v>
      </c>
      <c r="P462" s="50">
        <f t="shared" si="178"/>
        <v>0</v>
      </c>
      <c r="Q462" s="50">
        <f t="shared" si="178"/>
        <v>0</v>
      </c>
      <c r="R462" s="50">
        <f>R455</f>
        <v>0</v>
      </c>
      <c r="S462" s="50">
        <f>S455</f>
        <v>0</v>
      </c>
      <c r="T462" s="50">
        <f>T455</f>
        <v>0</v>
      </c>
      <c r="U462" s="50">
        <f t="shared" ref="U462:AF462" si="179">U455</f>
        <v>0</v>
      </c>
      <c r="V462" s="50">
        <f t="shared" si="179"/>
        <v>0</v>
      </c>
      <c r="W462" s="50">
        <f t="shared" si="179"/>
        <v>0</v>
      </c>
      <c r="X462" s="50">
        <f t="shared" si="179"/>
        <v>0</v>
      </c>
      <c r="Y462" s="50">
        <f t="shared" si="179"/>
        <v>0</v>
      </c>
      <c r="Z462" s="50">
        <f t="shared" si="179"/>
        <v>0</v>
      </c>
      <c r="AA462" s="50">
        <f t="shared" si="179"/>
        <v>0</v>
      </c>
      <c r="AB462" s="50">
        <f t="shared" si="179"/>
        <v>0</v>
      </c>
      <c r="AC462" s="50">
        <f t="shared" si="179"/>
        <v>0</v>
      </c>
      <c r="AD462" s="50">
        <f t="shared" si="179"/>
        <v>0</v>
      </c>
      <c r="AE462" s="50">
        <f t="shared" si="179"/>
        <v>0</v>
      </c>
      <c r="AF462" s="50">
        <f t="shared" si="179"/>
        <v>0</v>
      </c>
      <c r="AG462" s="50">
        <f>SUM(F462:AF462)</f>
        <v>2534232.9152061706</v>
      </c>
      <c r="AH462" s="30" t="str">
        <f t="shared" ref="AH462:AH467" si="180">IF(ABS(E462-AG462)&lt;0.01,"ok","err")</f>
        <v>ok</v>
      </c>
    </row>
    <row r="463" spans="1:34" x14ac:dyDescent="0.2">
      <c r="A463" s="14" t="s">
        <v>603</v>
      </c>
      <c r="E463" s="93">
        <f>E456</f>
        <v>59727854.059522629</v>
      </c>
      <c r="AG463" s="93">
        <f>E463</f>
        <v>59727854.059522629</v>
      </c>
      <c r="AH463" s="30" t="str">
        <f t="shared" si="180"/>
        <v>ok</v>
      </c>
    </row>
    <row r="464" spans="1:34" x14ac:dyDescent="0.2">
      <c r="A464" s="14" t="s">
        <v>594</v>
      </c>
      <c r="E464" s="66"/>
      <c r="M464" s="50">
        <v>0</v>
      </c>
      <c r="N464" s="50">
        <v>0</v>
      </c>
      <c r="P464" s="50"/>
      <c r="Q464" s="121"/>
      <c r="R464" s="14">
        <v>0</v>
      </c>
      <c r="S464" s="14">
        <v>0</v>
      </c>
      <c r="AA464" s="66">
        <v>0</v>
      </c>
      <c r="AB464" s="66">
        <v>0</v>
      </c>
      <c r="AC464" s="66">
        <v>0</v>
      </c>
      <c r="AD464" s="93">
        <f>AD457</f>
        <v>0</v>
      </c>
      <c r="AE464" s="66">
        <v>0</v>
      </c>
      <c r="AG464" s="93">
        <f>SUM(F464:AF464)</f>
        <v>0</v>
      </c>
      <c r="AH464" s="30" t="str">
        <f t="shared" si="180"/>
        <v>ok</v>
      </c>
    </row>
    <row r="465" spans="1:34" x14ac:dyDescent="0.2">
      <c r="A465" s="14" t="s">
        <v>604</v>
      </c>
      <c r="D465" s="14" t="s">
        <v>627</v>
      </c>
      <c r="E465" s="93">
        <f>E463-E464</f>
        <v>59727854.059522629</v>
      </c>
      <c r="F465" s="107">
        <f>IF(VLOOKUP($D465,$C$5:$AU$520,3,)=0,0,(VLOOKUP($D465,$C$5:$AU$520,4,)/VLOOKUP($D465,$C$5:$AU$520,3,))*$E465)</f>
        <v>48165674.392989524</v>
      </c>
      <c r="G465" s="66">
        <f>IF(VLOOKUP($D465,$C$5:$AU$520,3,)=0,0,(VLOOKUP($D465,$C$5:$AU$520,5,)/VLOOKUP($D465,$C$5:$AU$520,3,))*$E465)</f>
        <v>8863.812840871904</v>
      </c>
      <c r="H465" s="66">
        <f>IF(VLOOKUP($D465,$C$5:$AU$520,3,)=0,0,(VLOOKUP($D465,$C$5:$AU$520,6,)/VLOOKUP($D465,$C$5:$AU$520,3,))*$E465)</f>
        <v>2121276.8465087642</v>
      </c>
      <c r="I465" s="66">
        <f>IF(VLOOKUP($D465,$C$5:$AU$520,3,)=0,0,(VLOOKUP($D465,$C$5:$AU$520,7,)/VLOOKUP($D465,$C$5:$AU$520,3,))*$E465)</f>
        <v>890525.99605275434</v>
      </c>
      <c r="J465" s="66">
        <f>IF(VLOOKUP($D465,$C$5:$AU$520,3,)=0,0,(VLOOKUP($D465,$C$5:$AU$520,8,)/VLOOKUP($D465,$C$5:$AU$520,3,))*$E465)</f>
        <v>123268.49319469166</v>
      </c>
      <c r="K465" s="66">
        <f>IF(VLOOKUP($D465,$C$5:$AU$520,3,)=0,0,(VLOOKUP($D465,$C$5:$AU$520,9,)/VLOOKUP($D465,$C$5:$AU$520,3,))*$E465)</f>
        <v>1743917.3738954326</v>
      </c>
      <c r="L465" s="66">
        <f>IF(VLOOKUP($D465,$C$5:$AU$520,3,)=0,0,(VLOOKUP($D465,$C$5:$AU$520,10,)/VLOOKUP($D465,$C$5:$AU$520,3,))*$E465)</f>
        <v>6122342.3510780958</v>
      </c>
      <c r="M465" s="66">
        <f>IF(VLOOKUP($D465,$C$5:$AU$520,3,)=0,0,(VLOOKUP($D465,$C$5:$AU$520,11,)/VLOOKUP($D465,$C$5:$AU$520,3,))*$E465)</f>
        <v>551984.79296249279</v>
      </c>
      <c r="N465" s="66">
        <f>IF(VLOOKUP($D465,$C$5:$AU$520,3,)=0,0,(VLOOKUP($D465,$C$5:$AU$520,12,)/VLOOKUP($D465,$C$5:$AU$520,3,))*$E465)</f>
        <v>0</v>
      </c>
      <c r="O465" s="66">
        <f>IF(VLOOKUP($D465,$C$5:$AU$520,3,)=0,0,(VLOOKUP($D465,$C$5:$AU$520,13,)/VLOOKUP($D465,$C$5:$AU$520,3,))*$E465)</f>
        <v>0</v>
      </c>
      <c r="P465" s="66">
        <f>IF(VLOOKUP($D465,$C$5:$AU$520,3,)=0,0,(VLOOKUP($D465,$C$5:$AU$520,14,)/VLOOKUP($D465,$C$5:$AU$520,3,))*$E465)</f>
        <v>0</v>
      </c>
      <c r="Q465" s="66">
        <f>IF(VLOOKUP($D465,$C$5:$AU$520,3,)=0,0,(VLOOKUP($D465,$C$5:$AU$520,15,)/VLOOKUP($D465,$C$5:$AU$520,3,))*$E465)</f>
        <v>0</v>
      </c>
      <c r="R465" s="66">
        <f>IF(VLOOKUP($D465,$C$5:$AU$520,3,)=0,0,(VLOOKUP($D465,$C$5:$AU$520,16,)/VLOOKUP($D465,$C$5:$AU$520,3,))*$E465)</f>
        <v>0</v>
      </c>
      <c r="S465" s="66">
        <f>IF(VLOOKUP($D465,$C$5:$AU$520,3,)=0,0,(VLOOKUP($D465,$C$5:$AU$520,17,)/VLOOKUP($D465,$C$5:$AU$520,3,))*$E465)</f>
        <v>0</v>
      </c>
      <c r="T465" s="66">
        <f>IF(VLOOKUP($D465,$C$5:$AU$520,3,)=0,0,(VLOOKUP($D465,$C$5:$AU$520,18,)/VLOOKUP($D465,$C$5:$AU$520,3,))*$E465)</f>
        <v>0</v>
      </c>
      <c r="U465" s="66">
        <f>IF(VLOOKUP($D465,$C$5:$AU$520,3,)=0,0,(VLOOKUP($D465,$C$5:$AU$520,19,)/VLOOKUP($D465,$C$5:$AU$520,3,))*$E465)</f>
        <v>0</v>
      </c>
      <c r="V465" s="66">
        <f>IF(VLOOKUP($D465,$C$5:$AU$520,3,)=0,0,(VLOOKUP($D465,$C$5:$AU$520,20,)/VLOOKUP($D465,$C$5:$AU$520,3,))*$E465)</f>
        <v>0</v>
      </c>
      <c r="W465" s="66">
        <f>IF(VLOOKUP($D465,$C$5:$AU$520,3,)=0,0,(VLOOKUP($D465,$C$5:$AU$520,21,)/VLOOKUP($D465,$C$5:$AU$520,3,))*$E465)</f>
        <v>0</v>
      </c>
      <c r="X465" s="66">
        <f>IF(VLOOKUP($D465,$C$5:$AU$520,3,)=0,0,(VLOOKUP($D465,$C$5:$AU$520,22,)/VLOOKUP($D465,$C$5:$AU$520,3,))*$E465)</f>
        <v>0</v>
      </c>
      <c r="Y465" s="66">
        <f>IF(VLOOKUP($D465,$C$5:$AU$520,3,)=0,0,(VLOOKUP($D465,$C$5:$AU$520,23,)/VLOOKUP($D465,$C$5:$AU$520,3,))*$E465)</f>
        <v>0</v>
      </c>
      <c r="Z465" s="66">
        <f>IF(VLOOKUP($D465,$C$5:$AU$520,3,)=0,0,(VLOOKUP($D465,$C$5:$AU$520,24,)/VLOOKUP($D465,$C$5:$AU$520,3,))*$E465)</f>
        <v>0</v>
      </c>
      <c r="AA465" s="66">
        <f>IF(VLOOKUP($D465,$C$5:$AU$520,3,)=0,0,(VLOOKUP($D465,$C$5:$AU$520,25,)/VLOOKUP($D465,$C$5:$AU$520,3,))*$E465)</f>
        <v>0</v>
      </c>
      <c r="AB465" s="66">
        <f>IF(VLOOKUP($D465,$C$5:$AU$520,3,)=0,0,(VLOOKUP($D465,$C$5:$AU$520,26,)/VLOOKUP($D465,$C$5:$AU$520,3,))*$E465)</f>
        <v>0</v>
      </c>
      <c r="AC465" s="66">
        <f>IF(VLOOKUP($D465,$C$5:$AU$520,3,)=0,0,(VLOOKUP($D465,$C$5:$AU$520,27,)/VLOOKUP($D465,$C$5:$AU$520,3,))*$E465)</f>
        <v>0</v>
      </c>
      <c r="AD465" s="66">
        <f>IF(VLOOKUP($D465,$C$5:$AU$520,3,)=0,0,(VLOOKUP($D465,$C$5:$AU$520,28,)/VLOOKUP($D465,$C$5:$AU$520,3,))*$E465)</f>
        <v>0</v>
      </c>
      <c r="AE465" s="66">
        <f>IF(VLOOKUP($D465,$C$5:$AU$520,3,)=0,0,(VLOOKUP($D465,$C$5:$AU$520,29,)/VLOOKUP($D465,$C$5:$AU$520,3,))*$E465)</f>
        <v>0</v>
      </c>
      <c r="AF465" s="66">
        <f>IF(VLOOKUP($D465,$C$5:$AU$520,3,)=0,0,(VLOOKUP($D465,$C$5:$AU$520,30,)/VLOOKUP($D465,$C$5:$AU$520,3,))*$E465)</f>
        <v>0</v>
      </c>
      <c r="AG465" s="93">
        <f>SUM(F465:AF465)</f>
        <v>59727854.059522621</v>
      </c>
      <c r="AH465" s="30" t="str">
        <f t="shared" si="180"/>
        <v>ok</v>
      </c>
    </row>
    <row r="466" spans="1:34" x14ac:dyDescent="0.2">
      <c r="A466" s="14" t="s">
        <v>605</v>
      </c>
      <c r="C466" s="14" t="s">
        <v>628</v>
      </c>
      <c r="E466" s="93">
        <f t="shared" ref="E466:AF466" si="181">E464+E465</f>
        <v>59727854.059522629</v>
      </c>
      <c r="F466" s="108">
        <f t="shared" si="181"/>
        <v>48165674.392989524</v>
      </c>
      <c r="G466" s="93">
        <f t="shared" si="181"/>
        <v>8863.812840871904</v>
      </c>
      <c r="H466" s="93">
        <f t="shared" si="181"/>
        <v>2121276.8465087642</v>
      </c>
      <c r="I466" s="93">
        <f t="shared" si="181"/>
        <v>890525.99605275434</v>
      </c>
      <c r="J466" s="93">
        <f t="shared" si="181"/>
        <v>123268.49319469166</v>
      </c>
      <c r="K466" s="93">
        <f t="shared" si="181"/>
        <v>1743917.3738954326</v>
      </c>
      <c r="L466" s="93">
        <f t="shared" si="181"/>
        <v>6122342.3510780958</v>
      </c>
      <c r="M466" s="93">
        <f t="shared" si="181"/>
        <v>551984.79296249279</v>
      </c>
      <c r="N466" s="93">
        <f t="shared" si="181"/>
        <v>0</v>
      </c>
      <c r="O466" s="93">
        <f t="shared" si="181"/>
        <v>0</v>
      </c>
      <c r="P466" s="93">
        <f t="shared" si="181"/>
        <v>0</v>
      </c>
      <c r="Q466" s="93">
        <f t="shared" si="181"/>
        <v>0</v>
      </c>
      <c r="R466" s="93">
        <f t="shared" si="181"/>
        <v>0</v>
      </c>
      <c r="S466" s="93">
        <f t="shared" si="181"/>
        <v>0</v>
      </c>
      <c r="T466" s="93">
        <f t="shared" si="181"/>
        <v>0</v>
      </c>
      <c r="U466" s="93">
        <f t="shared" si="181"/>
        <v>0</v>
      </c>
      <c r="V466" s="93">
        <f t="shared" si="181"/>
        <v>0</v>
      </c>
      <c r="W466" s="93">
        <f t="shared" si="181"/>
        <v>0</v>
      </c>
      <c r="X466" s="93">
        <f t="shared" si="181"/>
        <v>0</v>
      </c>
      <c r="Y466" s="93">
        <f t="shared" si="181"/>
        <v>0</v>
      </c>
      <c r="Z466" s="93">
        <f t="shared" si="181"/>
        <v>0</v>
      </c>
      <c r="AA466" s="93">
        <f t="shared" si="181"/>
        <v>0</v>
      </c>
      <c r="AB466" s="93">
        <f t="shared" si="181"/>
        <v>0</v>
      </c>
      <c r="AC466" s="93">
        <f t="shared" si="181"/>
        <v>0</v>
      </c>
      <c r="AD466" s="93">
        <f t="shared" si="181"/>
        <v>0</v>
      </c>
      <c r="AE466" s="93">
        <f t="shared" si="181"/>
        <v>0</v>
      </c>
      <c r="AF466" s="93">
        <f t="shared" si="181"/>
        <v>0</v>
      </c>
      <c r="AG466" s="93">
        <f>SUM(F466:AF466)</f>
        <v>59727854.059522621</v>
      </c>
      <c r="AH466" s="30" t="str">
        <f t="shared" si="180"/>
        <v>ok</v>
      </c>
    </row>
    <row r="467" spans="1:34" x14ac:dyDescent="0.2">
      <c r="A467" s="14" t="s">
        <v>634</v>
      </c>
      <c r="C467" s="14" t="s">
        <v>629</v>
      </c>
      <c r="D467" s="14" t="s">
        <v>628</v>
      </c>
      <c r="E467" s="49">
        <v>1</v>
      </c>
      <c r="F467" s="101">
        <f>IF(VLOOKUP($D467,$C$5:$AU$520,3,)=0,0,(VLOOKUP($D467,$C$5:$AU$520,4,)/VLOOKUP($D467,$C$5:$AU$520,3,))*$E467)</f>
        <v>0.8064189673546508</v>
      </c>
      <c r="G467" s="101">
        <f>IF(VLOOKUP($D467,$C$5:$AU$520,3,)=0,0,(VLOOKUP($D467,$C$5:$AU$520,5,)/VLOOKUP($D467,$C$5:$AU$520,3,))*$E467)</f>
        <v>1.4840333677547743E-4</v>
      </c>
      <c r="H467" s="101">
        <f>IF(VLOOKUP($D467,$C$5:$AU$520,3,)=0,0,(VLOOKUP($D467,$C$5:$AU$520,6,)/VLOOKUP($D467,$C$5:$AU$520,3,))*$E467)</f>
        <v>3.5515705024238377E-2</v>
      </c>
      <c r="I467" s="101">
        <f>IF(VLOOKUP($D467,$C$5:$AU$520,3,)=0,0,(VLOOKUP($D467,$C$5:$AU$520,7,)/VLOOKUP($D467,$C$5:$AU$520,3,))*$E467)</f>
        <v>1.4909726961984742E-2</v>
      </c>
      <c r="J467" s="101">
        <f>IF(VLOOKUP($D467,$C$5:$AU$520,3,)=0,0,(VLOOKUP($D467,$C$5:$AU$520,8,)/VLOOKUP($D467,$C$5:$AU$520,3,))*$E467)</f>
        <v>2.0638359628967536E-3</v>
      </c>
      <c r="K467" s="101">
        <f>IF(VLOOKUP($D467,$C$5:$AU$520,3,)=0,0,(VLOOKUP($D467,$C$5:$AU$520,9,)/VLOOKUP($D467,$C$5:$AU$520,3,))*$E467)</f>
        <v>2.9197723597394063E-2</v>
      </c>
      <c r="L467" s="101">
        <f>IF(VLOOKUP($D467,$C$5:$AU$520,3,)=0,0,(VLOOKUP($D467,$C$5:$AU$520,10,)/VLOOKUP($D467,$C$5:$AU$520,3,))*$E467)</f>
        <v>0.10250397318773231</v>
      </c>
      <c r="M467" s="101">
        <f>IF(VLOOKUP($D467,$C$5:$AU$520,3,)=0,0,(VLOOKUP($D467,$C$5:$AU$520,11,)/VLOOKUP($D467,$C$5:$AU$520,3,))*$E467)</f>
        <v>9.2416645743274919E-3</v>
      </c>
      <c r="N467" s="101">
        <f>IF(VLOOKUP($D467,$C$5:$AU$520,3,)=0,0,(VLOOKUP($D467,$C$5:$AU$520,12,)/VLOOKUP($D467,$C$5:$AU$520,3,))*$E467)</f>
        <v>0</v>
      </c>
      <c r="O467" s="101">
        <f>IF(VLOOKUP($D467,$C$5:$AU$520,3,)=0,0,(VLOOKUP($D467,$C$5:$AU$520,13,)/VLOOKUP($D467,$C$5:$AU$520,3,))*$E467)</f>
        <v>0</v>
      </c>
      <c r="P467" s="101">
        <f>IF(VLOOKUP($D467,$C$5:$AU$520,3,)=0,0,(VLOOKUP($D467,$C$5:$AU$520,14,)/VLOOKUP($D467,$C$5:$AU$520,3,))*$E467)</f>
        <v>0</v>
      </c>
      <c r="Q467" s="101">
        <f>IF(VLOOKUP($D467,$C$5:$AU$520,3,)=0,0,(VLOOKUP($D467,$C$5:$AU$520,15,)/VLOOKUP($D467,$C$5:$AU$520,3,))*$E467)</f>
        <v>0</v>
      </c>
      <c r="R467" s="101">
        <f>IF(VLOOKUP($D467,$C$5:$AU$520,3,)=0,0,(VLOOKUP($D467,$C$5:$AU$520,16,)/VLOOKUP($D467,$C$5:$AU$520,3,))*$E467)</f>
        <v>0</v>
      </c>
      <c r="S467" s="101">
        <f>IF(VLOOKUP($D467,$C$5:$AU$520,3,)=0,0,(VLOOKUP($D467,$C$5:$AU$520,17,)/VLOOKUP($D467,$C$5:$AU$520,3,))*$E467)</f>
        <v>0</v>
      </c>
      <c r="T467" s="101">
        <f>IF(VLOOKUP($D467,$C$5:$AU$520,3,)=0,0,(VLOOKUP($D467,$C$5:$AU$520,18,)/VLOOKUP($D467,$C$5:$AU$520,3,))*$E467)</f>
        <v>0</v>
      </c>
      <c r="U467" s="101">
        <f>IF(VLOOKUP($D467,$C$5:$AU$520,3,)=0,0,(VLOOKUP($D467,$C$5:$AU$520,19,)/VLOOKUP($D467,$C$5:$AU$520,3,))*$E467)</f>
        <v>0</v>
      </c>
      <c r="V467" s="101">
        <f>IF(VLOOKUP($D467,$C$5:$AU$520,3,)=0,0,(VLOOKUP($D467,$C$5:$AU$520,20,)/VLOOKUP($D467,$C$5:$AU$520,3,))*$E467)</f>
        <v>0</v>
      </c>
      <c r="W467" s="101">
        <f>IF(VLOOKUP($D467,$C$5:$AU$520,3,)=0,0,(VLOOKUP($D467,$C$5:$AU$520,21,)/VLOOKUP($D467,$C$5:$AU$520,3,))*$E467)</f>
        <v>0</v>
      </c>
      <c r="X467" s="101">
        <f>IF(VLOOKUP($D467,$C$5:$AU$520,3,)=0,0,(VLOOKUP($D467,$C$5:$AU$520,22,)/VLOOKUP($D467,$C$5:$AU$520,3,))*$E467)</f>
        <v>0</v>
      </c>
      <c r="Y467" s="101">
        <f>IF(VLOOKUP($D467,$C$5:$AU$520,3,)=0,0,(VLOOKUP($D467,$C$5:$AU$520,23,)/VLOOKUP($D467,$C$5:$AU$520,3,))*$E467)</f>
        <v>0</v>
      </c>
      <c r="Z467" s="101">
        <f>IF(VLOOKUP($D467,$C$5:$AU$520,3,)=0,0,(VLOOKUP($D467,$C$5:$AU$520,24,)/VLOOKUP($D467,$C$5:$AU$520,3,))*$E467)</f>
        <v>0</v>
      </c>
      <c r="AA467" s="101">
        <f>IF(VLOOKUP($D467,$C$5:$AU$520,3,)=0,0,(VLOOKUP($D467,$C$5:$AU$520,25,)/VLOOKUP($D467,$C$5:$AU$520,3,))*$E467)</f>
        <v>0</v>
      </c>
      <c r="AB467" s="101">
        <f>IF(VLOOKUP($D467,$C$5:$AU$520,3,)=0,0,(VLOOKUP($D467,$C$5:$AU$520,26,)/VLOOKUP($D467,$C$5:$AU$520,3,))*$E467)</f>
        <v>0</v>
      </c>
      <c r="AC467" s="101">
        <f>IF(VLOOKUP($D467,$C$5:$AU$520,3,)=0,0,(VLOOKUP($D467,$C$5:$AU$520,27,)/VLOOKUP($D467,$C$5:$AU$520,3,))*$E467)</f>
        <v>0</v>
      </c>
      <c r="AD467" s="101">
        <f>IF(VLOOKUP($D467,$C$5:$AU$520,3,)=0,0,(VLOOKUP($D467,$C$5:$AU$520,28,)/VLOOKUP($D467,$C$5:$AU$520,3,))*$E467)</f>
        <v>0</v>
      </c>
      <c r="AE467" s="101">
        <f>IF(VLOOKUP($D467,$C$5:$AU$520,3,)=0,0,(VLOOKUP($D467,$C$5:$AU$520,29,)/VLOOKUP($D467,$C$5:$AU$520,3,))*$E467)</f>
        <v>0</v>
      </c>
      <c r="AF467" s="101">
        <f>IF(VLOOKUP($D467,$C$5:$AU$520,3,)=0,0,(VLOOKUP($D467,$C$5:$AU$520,30,)/VLOOKUP($D467,$C$5:$AU$520,3,))*$E467)</f>
        <v>0</v>
      </c>
      <c r="AG467" s="101">
        <f>SUM(F467:AF467)</f>
        <v>1</v>
      </c>
      <c r="AH467" s="30" t="str">
        <f t="shared" si="180"/>
        <v>ok</v>
      </c>
    </row>
    <row r="469" spans="1:34" x14ac:dyDescent="0.2">
      <c r="A469" s="14" t="s">
        <v>609</v>
      </c>
      <c r="C469" s="14" t="s">
        <v>613</v>
      </c>
      <c r="E469" s="50">
        <v>984082.00073890691</v>
      </c>
      <c r="F469" s="50">
        <f t="shared" ref="F469:S469" si="182">F448</f>
        <v>674329.38877041545</v>
      </c>
      <c r="G469" s="50">
        <f t="shared" si="182"/>
        <v>132.83721099149852</v>
      </c>
      <c r="H469" s="50">
        <f t="shared" si="182"/>
        <v>50274.259790798038</v>
      </c>
      <c r="I469" s="50">
        <f t="shared" si="182"/>
        <v>32944.093173505964</v>
      </c>
      <c r="J469" s="50">
        <f t="shared" si="182"/>
        <v>1704.3037427330191</v>
      </c>
      <c r="K469" s="50">
        <f t="shared" si="182"/>
        <v>13282.131879403043</v>
      </c>
      <c r="L469" s="50">
        <f t="shared" si="182"/>
        <v>199817.3486943164</v>
      </c>
      <c r="M469" s="50">
        <f t="shared" si="182"/>
        <v>11597.637186379929</v>
      </c>
      <c r="N469" s="223">
        <v>0</v>
      </c>
      <c r="O469" s="223">
        <v>0</v>
      </c>
      <c r="P469" s="50">
        <f t="shared" si="182"/>
        <v>0</v>
      </c>
      <c r="Q469" s="50">
        <f t="shared" si="182"/>
        <v>0</v>
      </c>
      <c r="R469" s="50">
        <f t="shared" si="182"/>
        <v>0</v>
      </c>
      <c r="S469" s="50">
        <f t="shared" si="182"/>
        <v>0</v>
      </c>
      <c r="T469" s="50">
        <f t="shared" ref="T469:AC469" si="183">T436</f>
        <v>0</v>
      </c>
      <c r="U469" s="50">
        <f t="shared" si="183"/>
        <v>0</v>
      </c>
      <c r="V469" s="50">
        <f t="shared" si="183"/>
        <v>0</v>
      </c>
      <c r="W469" s="50">
        <f t="shared" si="183"/>
        <v>0</v>
      </c>
      <c r="X469" s="50">
        <f t="shared" si="183"/>
        <v>0</v>
      </c>
      <c r="Y469" s="50">
        <f t="shared" si="183"/>
        <v>0</v>
      </c>
      <c r="Z469" s="50">
        <f t="shared" si="183"/>
        <v>0</v>
      </c>
      <c r="AA469" s="50">
        <f t="shared" si="183"/>
        <v>0</v>
      </c>
      <c r="AB469" s="50">
        <f t="shared" si="183"/>
        <v>0</v>
      </c>
      <c r="AC469" s="50">
        <f t="shared" si="183"/>
        <v>0</v>
      </c>
      <c r="AD469" s="50">
        <v>0</v>
      </c>
      <c r="AE469" s="50">
        <v>0</v>
      </c>
      <c r="AF469" s="50">
        <f>AF436</f>
        <v>0</v>
      </c>
      <c r="AG469" s="93">
        <f>SUM(F469:AF469)</f>
        <v>984082.00044854335</v>
      </c>
      <c r="AH469" s="30" t="str">
        <f t="shared" ref="AH469:AH474" si="184">IF(ABS(E469-AG469)&lt;0.01,"ok","err")</f>
        <v>ok</v>
      </c>
    </row>
    <row r="470" spans="1:34" x14ac:dyDescent="0.2">
      <c r="A470" s="14" t="s">
        <v>610</v>
      </c>
      <c r="E470" s="93">
        <f>'Func &amp; Classif'!M56</f>
        <v>5485.38</v>
      </c>
      <c r="AG470" s="93">
        <f>E470</f>
        <v>5485.38</v>
      </c>
      <c r="AH470" s="30" t="str">
        <f t="shared" si="184"/>
        <v>ok</v>
      </c>
    </row>
    <row r="471" spans="1:34" x14ac:dyDescent="0.2">
      <c r="A471" s="14" t="s">
        <v>594</v>
      </c>
      <c r="E471" s="50"/>
      <c r="F471" s="50">
        <v>0</v>
      </c>
      <c r="G471" s="50">
        <v>0</v>
      </c>
      <c r="H471" s="50">
        <v>0</v>
      </c>
      <c r="I471" s="50">
        <v>0</v>
      </c>
      <c r="J471" s="50">
        <v>0</v>
      </c>
      <c r="K471" s="50">
        <v>0</v>
      </c>
      <c r="L471" s="50">
        <v>0</v>
      </c>
      <c r="M471" s="50">
        <v>0</v>
      </c>
      <c r="N471" s="50">
        <v>0</v>
      </c>
      <c r="O471" s="66"/>
      <c r="P471" s="50"/>
      <c r="Q471" s="14">
        <v>0</v>
      </c>
      <c r="R471" s="14">
        <v>0</v>
      </c>
      <c r="S471" s="14">
        <v>0</v>
      </c>
      <c r="AG471" s="93">
        <f>SUM(F471:AF471)</f>
        <v>0</v>
      </c>
      <c r="AH471" s="30" t="str">
        <f t="shared" si="184"/>
        <v>ok</v>
      </c>
    </row>
    <row r="472" spans="1:34" x14ac:dyDescent="0.2">
      <c r="A472" s="14" t="s">
        <v>611</v>
      </c>
      <c r="D472" s="14" t="s">
        <v>613</v>
      </c>
      <c r="E472" s="93">
        <f>E470-E471</f>
        <v>5485.38</v>
      </c>
      <c r="F472" s="66">
        <f>IF(VLOOKUP($D472,$C$5:$AU$520,3,)=0,0,(VLOOKUP($D472,$C$5:$AU$520,4,)/VLOOKUP($D472,$C$5:$AU$520,3,))*$E472)</f>
        <v>3758.7852839459201</v>
      </c>
      <c r="G472" s="66">
        <f>IF(VLOOKUP($D472,$C$5:$AU$520,3,)=0,0,(VLOOKUP($D472,$C$5:$AU$520,5,)/VLOOKUP($D472,$C$5:$AU$520,3,))*$E472)</f>
        <v>0.74044904782469678</v>
      </c>
      <c r="H472" s="66">
        <f>IF(VLOOKUP($D472,$C$5:$AU$520,3,)=0,0,(VLOOKUP($D472,$C$5:$AU$520,6,)/VLOOKUP($D472,$C$5:$AU$520,3,))*$E472)</f>
        <v>280.23418674884891</v>
      </c>
      <c r="I472" s="66">
        <f>IF(VLOOKUP($D472,$C$5:$AU$520,3,)=0,0,(VLOOKUP($D472,$C$5:$AU$520,7,)/VLOOKUP($D472,$C$5:$AU$520,3,))*$E472)</f>
        <v>183.63395497163626</v>
      </c>
      <c r="J472" s="66">
        <f>IF(VLOOKUP($D472,$C$5:$AU$520,3,)=0,0,(VLOOKUP($D472,$C$5:$AU$520,8,)/VLOOKUP($D472,$C$5:$AU$520,3,))*$E472)</f>
        <v>9.499974247362772</v>
      </c>
      <c r="K472" s="66">
        <f>IF(VLOOKUP($D472,$C$5:$AU$520,3,)=0,0,(VLOOKUP($D472,$C$5:$AU$520,9,)/VLOOKUP($D472,$C$5:$AU$520,3,))*$E472)</f>
        <v>74.03604629892034</v>
      </c>
      <c r="L472" s="66">
        <f>IF(VLOOKUP($D472,$C$5:$AU$520,3,)=0,0,(VLOOKUP($D472,$C$5:$AU$520,10,)/VLOOKUP($D472,$C$5:$AU$520,3,))*$E472)</f>
        <v>1113.8036132739267</v>
      </c>
      <c r="M472" s="66">
        <f>IF(VLOOKUP($D472,$C$5:$AU$520,3,)=0,0,(VLOOKUP($D472,$C$5:$AU$520,11,)/VLOOKUP($D472,$C$5:$AU$520,3,))*$E472)</f>
        <v>64.646489847042204</v>
      </c>
      <c r="N472" s="66">
        <f>IF(VLOOKUP($D472,$C$5:$AU$520,3,)=0,0,(VLOOKUP($D472,$C$5:$AU$520,12,)/VLOOKUP($D472,$C$5:$AU$520,3,))*$E472)</f>
        <v>0</v>
      </c>
      <c r="O472" s="66">
        <f>IF(VLOOKUP($D472,$C$5:$AU$520,3,)=0,0,(VLOOKUP($D472,$C$5:$AU$520,13,)/VLOOKUP($D472,$C$5:$AU$520,3,))*$E472)</f>
        <v>0</v>
      </c>
      <c r="P472" s="66">
        <f>IF(VLOOKUP($D472,$C$5:$AU$520,3,)=0,0,(VLOOKUP($D472,$C$5:$AU$520,14,)/VLOOKUP($D472,$C$5:$AU$520,3,))*$E472)</f>
        <v>0</v>
      </c>
      <c r="Q472" s="66">
        <f>IF(VLOOKUP($D472,$C$5:$AU$520,3,)=0,0,(VLOOKUP($D472,$C$5:$AU$520,15,)/VLOOKUP($D472,$C$5:$AU$520,3,))*$E472)</f>
        <v>0</v>
      </c>
      <c r="R472" s="66">
        <f>IF(VLOOKUP($D472,$C$5:$AU$520,3,)=0,0,(VLOOKUP($D472,$C$5:$AU$520,16,)/VLOOKUP($D472,$C$5:$AU$520,3,))*$E472)</f>
        <v>0</v>
      </c>
      <c r="S472" s="66">
        <f>IF(VLOOKUP($D472,$C$5:$AU$520,3,)=0,0,(VLOOKUP($D472,$C$5:$AU$520,17,)/VLOOKUP($D472,$C$5:$AU$520,3,))*$E472)</f>
        <v>0</v>
      </c>
      <c r="T472" s="66">
        <f>IF(VLOOKUP($D472,$C$5:$AU$520,3,)=0,0,(VLOOKUP($D472,$C$5:$AU$520,18,)/VLOOKUP($D472,$C$5:$AU$520,3,))*$E472)</f>
        <v>0</v>
      </c>
      <c r="U472" s="66">
        <f>IF(VLOOKUP($D472,$C$5:$AU$520,3,)=0,0,(VLOOKUP($D472,$C$5:$AU$520,19,)/VLOOKUP($D472,$C$5:$AU$520,3,))*$E472)</f>
        <v>0</v>
      </c>
      <c r="V472" s="66">
        <f>IF(VLOOKUP($D472,$C$5:$AU$520,3,)=0,0,(VLOOKUP($D472,$C$5:$AU$520,20,)/VLOOKUP($D472,$C$5:$AU$520,3,))*$E472)</f>
        <v>0</v>
      </c>
      <c r="W472" s="66">
        <f>IF(VLOOKUP($D472,$C$5:$AU$520,3,)=0,0,(VLOOKUP($D472,$C$5:$AU$520,21,)/VLOOKUP($D472,$C$5:$AU$520,3,))*$E472)</f>
        <v>0</v>
      </c>
      <c r="X472" s="66">
        <f>IF(VLOOKUP($D472,$C$5:$AU$520,3,)=0,0,(VLOOKUP($D472,$C$5:$AU$520,22,)/VLOOKUP($D472,$C$5:$AU$520,3,))*$E472)</f>
        <v>0</v>
      </c>
      <c r="Y472" s="66">
        <f>IF(VLOOKUP($D472,$C$5:$AU$520,3,)=0,0,(VLOOKUP($D472,$C$5:$AU$520,23,)/VLOOKUP($D472,$C$5:$AU$520,3,))*$E472)</f>
        <v>0</v>
      </c>
      <c r="Z472" s="66">
        <f>IF(VLOOKUP($D472,$C$5:$AU$520,3,)=0,0,(VLOOKUP($D472,$C$5:$AU$520,24,)/VLOOKUP($D472,$C$5:$AU$520,3,))*$E472)</f>
        <v>0</v>
      </c>
      <c r="AA472" s="66">
        <f>IF(VLOOKUP($D472,$C$5:$AU$520,3,)=0,0,(VLOOKUP($D472,$C$5:$AU$520,25,)/VLOOKUP($D472,$C$5:$AU$520,3,))*$E472)</f>
        <v>0</v>
      </c>
      <c r="AB472" s="66">
        <f>IF(VLOOKUP($D472,$C$5:$AU$520,3,)=0,0,(VLOOKUP($D472,$C$5:$AU$520,26,)/VLOOKUP($D472,$C$5:$AU$520,3,))*$E472)</f>
        <v>0</v>
      </c>
      <c r="AC472" s="66">
        <f>IF(VLOOKUP($D472,$C$5:$AU$520,3,)=0,0,(VLOOKUP($D472,$C$5:$AU$520,27,)/VLOOKUP($D472,$C$5:$AU$520,3,))*$E472)</f>
        <v>0</v>
      </c>
      <c r="AD472" s="66">
        <f>IF(VLOOKUP($D472,$C$5:$AU$520,3,)=0,0,(VLOOKUP($D472,$C$5:$AU$520,28,)/VLOOKUP($D472,$C$5:$AU$520,3,))*$E472)</f>
        <v>0</v>
      </c>
      <c r="AE472" s="66">
        <f>IF(VLOOKUP($D472,$C$5:$AU$520,3,)=0,0,(VLOOKUP($D472,$C$5:$AU$520,29,)/VLOOKUP($D472,$C$5:$AU$520,3,))*$E472)</f>
        <v>0</v>
      </c>
      <c r="AF472" s="66">
        <f>IF(VLOOKUP($D472,$C$5:$AU$520,3,)=0,0,(VLOOKUP($D472,$C$5:$AU$520,30,)/VLOOKUP($D472,$C$5:$AU$520,3,))*$E472)</f>
        <v>0</v>
      </c>
      <c r="AG472" s="93">
        <f>SUM(F472:AF472)</f>
        <v>5485.3799983814824</v>
      </c>
      <c r="AH472" s="30" t="str">
        <f t="shared" si="184"/>
        <v>ok</v>
      </c>
    </row>
    <row r="473" spans="1:34" x14ac:dyDescent="0.2">
      <c r="A473" s="14" t="s">
        <v>612</v>
      </c>
      <c r="C473" s="14" t="s">
        <v>614</v>
      </c>
      <c r="E473" s="93">
        <f t="shared" ref="E473:AF473" si="185">E471+E472</f>
        <v>5485.38</v>
      </c>
      <c r="F473" s="93">
        <f t="shared" si="185"/>
        <v>3758.7852839459201</v>
      </c>
      <c r="G473" s="93">
        <f t="shared" si="185"/>
        <v>0.74044904782469678</v>
      </c>
      <c r="H473" s="93">
        <f t="shared" si="185"/>
        <v>280.23418674884891</v>
      </c>
      <c r="I473" s="93">
        <f t="shared" si="185"/>
        <v>183.63395497163626</v>
      </c>
      <c r="J473" s="93">
        <f t="shared" si="185"/>
        <v>9.499974247362772</v>
      </c>
      <c r="K473" s="93">
        <f t="shared" si="185"/>
        <v>74.03604629892034</v>
      </c>
      <c r="L473" s="93">
        <f t="shared" si="185"/>
        <v>1113.8036132739267</v>
      </c>
      <c r="M473" s="93">
        <f t="shared" si="185"/>
        <v>64.646489847042204</v>
      </c>
      <c r="N473" s="93">
        <f t="shared" si="185"/>
        <v>0</v>
      </c>
      <c r="O473" s="93">
        <f t="shared" si="185"/>
        <v>0</v>
      </c>
      <c r="P473" s="93">
        <f t="shared" si="185"/>
        <v>0</v>
      </c>
      <c r="Q473" s="93">
        <f t="shared" si="185"/>
        <v>0</v>
      </c>
      <c r="R473" s="93">
        <f t="shared" si="185"/>
        <v>0</v>
      </c>
      <c r="S473" s="93">
        <f t="shared" si="185"/>
        <v>0</v>
      </c>
      <c r="T473" s="93">
        <f t="shared" si="185"/>
        <v>0</v>
      </c>
      <c r="U473" s="93">
        <f t="shared" si="185"/>
        <v>0</v>
      </c>
      <c r="V473" s="93">
        <f t="shared" si="185"/>
        <v>0</v>
      </c>
      <c r="W473" s="93">
        <f t="shared" si="185"/>
        <v>0</v>
      </c>
      <c r="X473" s="93">
        <f t="shared" si="185"/>
        <v>0</v>
      </c>
      <c r="Y473" s="93">
        <f t="shared" si="185"/>
        <v>0</v>
      </c>
      <c r="Z473" s="93">
        <f t="shared" si="185"/>
        <v>0</v>
      </c>
      <c r="AA473" s="93">
        <f t="shared" si="185"/>
        <v>0</v>
      </c>
      <c r="AB473" s="93">
        <f t="shared" si="185"/>
        <v>0</v>
      </c>
      <c r="AC473" s="93">
        <f t="shared" si="185"/>
        <v>0</v>
      </c>
      <c r="AD473" s="93">
        <f t="shared" si="185"/>
        <v>0</v>
      </c>
      <c r="AE473" s="93">
        <f t="shared" si="185"/>
        <v>0</v>
      </c>
      <c r="AF473" s="93">
        <f t="shared" si="185"/>
        <v>0</v>
      </c>
      <c r="AG473" s="93">
        <f>SUM(F473:AF473)</f>
        <v>5485.3799983814824</v>
      </c>
      <c r="AH473" s="30" t="str">
        <f t="shared" si="184"/>
        <v>ok</v>
      </c>
    </row>
    <row r="474" spans="1:34" x14ac:dyDescent="0.2">
      <c r="A474" s="14" t="s">
        <v>636</v>
      </c>
      <c r="C474" s="14" t="s">
        <v>615</v>
      </c>
      <c r="D474" s="14" t="s">
        <v>614</v>
      </c>
      <c r="E474" s="49">
        <v>1</v>
      </c>
      <c r="F474" s="101">
        <f>IF(VLOOKUP($D474,$C$5:$AU$520,3,)=0,0,(VLOOKUP($D474,$C$5:$AU$520,4,)/VLOOKUP($D474,$C$5:$AU$520,3,))*$E474)</f>
        <v>0.68523699068176136</v>
      </c>
      <c r="G474" s="101">
        <f>IF(VLOOKUP($D474,$C$5:$AU$520,3,)=0,0,(VLOOKUP($D474,$C$5:$AU$520,5,)/VLOOKUP($D474,$C$5:$AU$520,3,))*$E474)</f>
        <v>1.349859167140101E-4</v>
      </c>
      <c r="H474" s="101">
        <f>IF(VLOOKUP($D474,$C$5:$AU$520,3,)=0,0,(VLOOKUP($D474,$C$5:$AU$520,6,)/VLOOKUP($D474,$C$5:$AU$520,3,))*$E474)</f>
        <v>5.1087470102134928E-2</v>
      </c>
      <c r="I474" s="101">
        <f>IF(VLOOKUP($D474,$C$5:$AU$520,3,)=0,0,(VLOOKUP($D474,$C$5:$AU$520,7,)/VLOOKUP($D474,$C$5:$AU$520,3,))*$E474)</f>
        <v>3.3476979711822383E-2</v>
      </c>
      <c r="J474" s="101">
        <f>IF(VLOOKUP($D474,$C$5:$AU$520,3,)=0,0,(VLOOKUP($D474,$C$5:$AU$520,8,)/VLOOKUP($D474,$C$5:$AU$520,3,))*$E474)</f>
        <v>1.7318716747723533E-3</v>
      </c>
      <c r="K474" s="101">
        <f>IF(VLOOKUP($D474,$C$5:$AU$520,3,)=0,0,(VLOOKUP($D474,$C$5:$AU$520,9,)/VLOOKUP($D474,$C$5:$AU$520,3,))*$E474)</f>
        <v>1.34969767452611E-2</v>
      </c>
      <c r="L474" s="101">
        <f>IF(VLOOKUP($D474,$C$5:$AU$520,3,)=0,0,(VLOOKUP($D474,$C$5:$AU$520,10,)/VLOOKUP($D474,$C$5:$AU$520,3,))*$E474)</f>
        <v>0.20304949033137662</v>
      </c>
      <c r="M474" s="101">
        <f>IF(VLOOKUP($D474,$C$5:$AU$520,3,)=0,0,(VLOOKUP($D474,$C$5:$AU$520,11,)/VLOOKUP($D474,$C$5:$AU$520,3,))*$E474)</f>
        <v>1.1785234541096916E-2</v>
      </c>
      <c r="N474" s="101">
        <f>IF(VLOOKUP($D474,$C$5:$AU$520,3,)=0,0,(VLOOKUP($D474,$C$5:$AU$520,12,)/VLOOKUP($D474,$C$5:$AU$520,3,))*$E474)</f>
        <v>0</v>
      </c>
      <c r="O474" s="101">
        <f>IF(VLOOKUP($D474,$C$5:$AU$520,3,)=0,0,(VLOOKUP($D474,$C$5:$AU$520,13,)/VLOOKUP($D474,$C$5:$AU$520,3,))*$E474)</f>
        <v>0</v>
      </c>
      <c r="P474" s="101">
        <f>IF(VLOOKUP($D474,$C$5:$AU$520,3,)=0,0,(VLOOKUP($D474,$C$5:$AU$520,14,)/VLOOKUP($D474,$C$5:$AU$520,3,))*$E474)</f>
        <v>0</v>
      </c>
      <c r="Q474" s="101">
        <f>IF(VLOOKUP($D474,$C$5:$AU$520,3,)=0,0,(VLOOKUP($D474,$C$5:$AU$520,15,)/VLOOKUP($D474,$C$5:$AU$520,3,))*$E474)</f>
        <v>0</v>
      </c>
      <c r="R474" s="101">
        <f>IF(VLOOKUP($D474,$C$5:$AU$520,3,)=0,0,(VLOOKUP($D474,$C$5:$AU$520,16,)/VLOOKUP($D474,$C$5:$AU$520,3,))*$E474)</f>
        <v>0</v>
      </c>
      <c r="S474" s="101">
        <f>IF(VLOOKUP($D474,$C$5:$AU$520,3,)=0,0,(VLOOKUP($D474,$C$5:$AU$520,17,)/VLOOKUP($D474,$C$5:$AU$520,3,))*$E474)</f>
        <v>0</v>
      </c>
      <c r="T474" s="101">
        <f>IF(VLOOKUP($D474,$C$5:$AU$520,3,)=0,0,(VLOOKUP($D474,$C$5:$AU$520,18,)/VLOOKUP($D474,$C$5:$AU$520,3,))*$E474)</f>
        <v>0</v>
      </c>
      <c r="U474" s="101">
        <f>IF(VLOOKUP($D474,$C$5:$AU$520,3,)=0,0,(VLOOKUP($D474,$C$5:$AU$520,19,)/VLOOKUP($D474,$C$5:$AU$520,3,))*$E474)</f>
        <v>0</v>
      </c>
      <c r="V474" s="101">
        <f>IF(VLOOKUP($D474,$C$5:$AU$520,3,)=0,0,(VLOOKUP($D474,$C$5:$AU$520,20,)/VLOOKUP($D474,$C$5:$AU$520,3,))*$E474)</f>
        <v>0</v>
      </c>
      <c r="W474" s="101">
        <f>IF(VLOOKUP($D474,$C$5:$AU$520,3,)=0,0,(VLOOKUP($D474,$C$5:$AU$520,21,)/VLOOKUP($D474,$C$5:$AU$520,3,))*$E474)</f>
        <v>0</v>
      </c>
      <c r="X474" s="101">
        <f>IF(VLOOKUP($D474,$C$5:$AU$520,3,)=0,0,(VLOOKUP($D474,$C$5:$AU$520,22,)/VLOOKUP($D474,$C$5:$AU$520,3,))*$E474)</f>
        <v>0</v>
      </c>
      <c r="Y474" s="101">
        <f>IF(VLOOKUP($D474,$C$5:$AU$520,3,)=0,0,(VLOOKUP($D474,$C$5:$AU$520,23,)/VLOOKUP($D474,$C$5:$AU$520,3,))*$E474)</f>
        <v>0</v>
      </c>
      <c r="Z474" s="101">
        <f>IF(VLOOKUP($D474,$C$5:$AU$520,3,)=0,0,(VLOOKUP($D474,$C$5:$AU$520,24,)/VLOOKUP($D474,$C$5:$AU$520,3,))*$E474)</f>
        <v>0</v>
      </c>
      <c r="AA474" s="101">
        <f>IF(VLOOKUP($D474,$C$5:$AU$520,3,)=0,0,(VLOOKUP($D474,$C$5:$AU$520,25,)/VLOOKUP($D474,$C$5:$AU$520,3,))*$E474)</f>
        <v>0</v>
      </c>
      <c r="AB474" s="101">
        <f>IF(VLOOKUP($D474,$C$5:$AU$520,3,)=0,0,(VLOOKUP($D474,$C$5:$AU$520,26,)/VLOOKUP($D474,$C$5:$AU$520,3,))*$E474)</f>
        <v>0</v>
      </c>
      <c r="AC474" s="101">
        <f>IF(VLOOKUP($D474,$C$5:$AU$520,3,)=0,0,(VLOOKUP($D474,$C$5:$AU$520,27,)/VLOOKUP($D474,$C$5:$AU$520,3,))*$E474)</f>
        <v>0</v>
      </c>
      <c r="AD474" s="101">
        <f>IF(VLOOKUP($D474,$C$5:$AU$520,3,)=0,0,(VLOOKUP($D474,$C$5:$AU$520,28,)/VLOOKUP($D474,$C$5:$AU$520,3,))*$E474)</f>
        <v>0</v>
      </c>
      <c r="AE474" s="101">
        <f>IF(VLOOKUP($D474,$C$5:$AU$520,3,)=0,0,(VLOOKUP($D474,$C$5:$AU$520,29,)/VLOOKUP($D474,$C$5:$AU$520,3,))*$E474)</f>
        <v>0</v>
      </c>
      <c r="AF474" s="101">
        <f>IF(VLOOKUP($D474,$C$5:$AU$520,3,)=0,0,(VLOOKUP($D474,$C$5:$AU$520,30,)/VLOOKUP($D474,$C$5:$AU$520,3,))*$E474)</f>
        <v>0</v>
      </c>
      <c r="AG474" s="101">
        <f>SUM(F474:AF474)</f>
        <v>0.99999999970493969</v>
      </c>
      <c r="AH474" s="30" t="str">
        <f t="shared" si="184"/>
        <v>ok</v>
      </c>
    </row>
    <row r="476" spans="1:34" x14ac:dyDescent="0.2">
      <c r="A476" s="14" t="s">
        <v>609</v>
      </c>
      <c r="C476" s="14" t="s">
        <v>630</v>
      </c>
      <c r="E476" s="66">
        <f>E469</f>
        <v>984082.00073890691</v>
      </c>
      <c r="F476" s="50">
        <f>F469</f>
        <v>674329.38877041545</v>
      </c>
      <c r="G476" s="50">
        <f t="shared" ref="G476:AF476" si="186">G469</f>
        <v>132.83721099149852</v>
      </c>
      <c r="H476" s="50">
        <f t="shared" si="186"/>
        <v>50274.259790798038</v>
      </c>
      <c r="I476" s="50">
        <f t="shared" si="186"/>
        <v>32944.093173505964</v>
      </c>
      <c r="J476" s="50">
        <f t="shared" si="186"/>
        <v>1704.3037427330191</v>
      </c>
      <c r="K476" s="50">
        <f t="shared" si="186"/>
        <v>13282.131879403043</v>
      </c>
      <c r="L476" s="50">
        <f t="shared" si="186"/>
        <v>199817.3486943164</v>
      </c>
      <c r="M476" s="50">
        <f t="shared" si="186"/>
        <v>11597.637186379929</v>
      </c>
      <c r="N476" s="50">
        <f t="shared" si="186"/>
        <v>0</v>
      </c>
      <c r="O476" s="50">
        <f t="shared" si="186"/>
        <v>0</v>
      </c>
      <c r="P476" s="50">
        <f t="shared" si="186"/>
        <v>0</v>
      </c>
      <c r="Q476" s="50">
        <f t="shared" si="186"/>
        <v>0</v>
      </c>
      <c r="R476" s="50">
        <f t="shared" si="186"/>
        <v>0</v>
      </c>
      <c r="S476" s="50">
        <f t="shared" si="186"/>
        <v>0</v>
      </c>
      <c r="T476" s="50">
        <f t="shared" si="186"/>
        <v>0</v>
      </c>
      <c r="U476" s="50">
        <f t="shared" si="186"/>
        <v>0</v>
      </c>
      <c r="V476" s="50">
        <f t="shared" si="186"/>
        <v>0</v>
      </c>
      <c r="W476" s="50">
        <f t="shared" si="186"/>
        <v>0</v>
      </c>
      <c r="X476" s="50">
        <f t="shared" si="186"/>
        <v>0</v>
      </c>
      <c r="Y476" s="50">
        <f t="shared" si="186"/>
        <v>0</v>
      </c>
      <c r="Z476" s="50">
        <f t="shared" si="186"/>
        <v>0</v>
      </c>
      <c r="AA476" s="50">
        <f t="shared" si="186"/>
        <v>0</v>
      </c>
      <c r="AB476" s="50">
        <f t="shared" si="186"/>
        <v>0</v>
      </c>
      <c r="AC476" s="50">
        <f t="shared" si="186"/>
        <v>0</v>
      </c>
      <c r="AD476" s="50">
        <f t="shared" si="186"/>
        <v>0</v>
      </c>
      <c r="AE476" s="50">
        <f t="shared" si="186"/>
        <v>0</v>
      </c>
      <c r="AF476" s="50">
        <f t="shared" si="186"/>
        <v>0</v>
      </c>
      <c r="AG476" s="93">
        <f>SUM(F476:AF476)</f>
        <v>984082.00044854335</v>
      </c>
      <c r="AH476" s="30" t="str">
        <f t="shared" ref="AH476:AH481" si="187">IF(ABS(E476-AG476)&lt;0.01,"ok","err")</f>
        <v>ok</v>
      </c>
    </row>
    <row r="477" spans="1:34" x14ac:dyDescent="0.2">
      <c r="A477" s="14" t="s">
        <v>610</v>
      </c>
      <c r="E477" s="93">
        <f>E470</f>
        <v>5485.38</v>
      </c>
      <c r="AG477" s="93">
        <f>E477</f>
        <v>5485.38</v>
      </c>
      <c r="AH477" s="30" t="str">
        <f t="shared" si="187"/>
        <v>ok</v>
      </c>
    </row>
    <row r="478" spans="1:34" x14ac:dyDescent="0.2">
      <c r="A478" s="14" t="s">
        <v>594</v>
      </c>
      <c r="E478" s="50"/>
      <c r="M478" s="50">
        <v>0</v>
      </c>
      <c r="N478" s="50">
        <v>0</v>
      </c>
      <c r="O478" s="50"/>
      <c r="P478" s="50"/>
      <c r="Q478" s="14">
        <v>0</v>
      </c>
      <c r="R478" s="14">
        <v>0</v>
      </c>
      <c r="S478" s="14">
        <v>0</v>
      </c>
      <c r="AD478" s="66">
        <v>0</v>
      </c>
      <c r="AE478" s="66"/>
      <c r="AG478" s="93">
        <f>SUM(F478:AF478)</f>
        <v>0</v>
      </c>
      <c r="AH478" s="30" t="str">
        <f t="shared" si="187"/>
        <v>ok</v>
      </c>
    </row>
    <row r="479" spans="1:34" x14ac:dyDescent="0.2">
      <c r="A479" s="14" t="s">
        <v>611</v>
      </c>
      <c r="D479" s="14" t="s">
        <v>630</v>
      </c>
      <c r="E479" s="93">
        <f>E477-E478</f>
        <v>5485.38</v>
      </c>
      <c r="F479" s="66">
        <f>IF(VLOOKUP($D479,$C$5:$AU$520,3,)=0,0,(VLOOKUP($D479,$C$5:$AU$520,4,)/VLOOKUP($D479,$C$5:$AU$520,3,))*$E479)</f>
        <v>3758.7852839459201</v>
      </c>
      <c r="G479" s="66">
        <f>IF(VLOOKUP($D479,$C$5:$AU$520,3,)=0,0,(VLOOKUP($D479,$C$5:$AU$520,5,)/VLOOKUP($D479,$C$5:$AU$520,3,))*$E479)</f>
        <v>0.74044904782469678</v>
      </c>
      <c r="H479" s="66">
        <f>IF(VLOOKUP($D479,$C$5:$AU$520,3,)=0,0,(VLOOKUP($D479,$C$5:$AU$520,6,)/VLOOKUP($D479,$C$5:$AU$520,3,))*$E479)</f>
        <v>280.23418674884891</v>
      </c>
      <c r="I479" s="66">
        <f>IF(VLOOKUP($D479,$C$5:$AU$520,3,)=0,0,(VLOOKUP($D479,$C$5:$AU$520,7,)/VLOOKUP($D479,$C$5:$AU$520,3,))*$E479)</f>
        <v>183.63395497163626</v>
      </c>
      <c r="J479" s="66">
        <f>IF(VLOOKUP($D479,$C$5:$AU$520,3,)=0,0,(VLOOKUP($D479,$C$5:$AU$520,8,)/VLOOKUP($D479,$C$5:$AU$520,3,))*$E479)</f>
        <v>9.499974247362772</v>
      </c>
      <c r="K479" s="66">
        <f>IF(VLOOKUP($D479,$C$5:$AU$520,3,)=0,0,(VLOOKUP($D479,$C$5:$AU$520,9,)/VLOOKUP($D479,$C$5:$AU$520,3,))*$E479)</f>
        <v>74.03604629892034</v>
      </c>
      <c r="L479" s="66">
        <f>IF(VLOOKUP($D479,$C$5:$AU$520,3,)=0,0,(VLOOKUP($D479,$C$5:$AU$520,10,)/VLOOKUP($D479,$C$5:$AU$520,3,))*$E479)</f>
        <v>1113.8036132739267</v>
      </c>
      <c r="M479" s="66">
        <f>IF(VLOOKUP($D479,$C$5:$AU$520,3,)=0,0,(VLOOKUP($D479,$C$5:$AU$520,11,)/VLOOKUP($D479,$C$5:$AU$520,3,))*$E479)</f>
        <v>64.646489847042204</v>
      </c>
      <c r="N479" s="66">
        <f>IF(VLOOKUP($D479,$C$5:$AU$520,3,)=0,0,(VLOOKUP($D479,$C$5:$AU$520,12,)/VLOOKUP($D479,$C$5:$AU$520,3,))*$E479)</f>
        <v>0</v>
      </c>
      <c r="O479" s="66">
        <f>IF(VLOOKUP($D479,$C$5:$AU$520,3,)=0,0,(VLOOKUP($D479,$C$5:$AU$520,13,)/VLOOKUP($D479,$C$5:$AU$520,3,))*$E479)</f>
        <v>0</v>
      </c>
      <c r="P479" s="66">
        <f>IF(VLOOKUP($D479,$C$5:$AU$520,3,)=0,0,(VLOOKUP($D479,$C$5:$AU$520,14,)/VLOOKUP($D479,$C$5:$AU$520,3,))*$E479)</f>
        <v>0</v>
      </c>
      <c r="Q479" s="66">
        <f>IF(VLOOKUP($D479,$C$5:$AU$520,3,)=0,0,(VLOOKUP($D479,$C$5:$AU$520,15,)/VLOOKUP($D479,$C$5:$AU$520,3,))*$E479)</f>
        <v>0</v>
      </c>
      <c r="R479" s="66">
        <f>IF(VLOOKUP($D479,$C$5:$AU$520,3,)=0,0,(VLOOKUP($D479,$C$5:$AU$520,16,)/VLOOKUP($D479,$C$5:$AU$520,3,))*$E479)</f>
        <v>0</v>
      </c>
      <c r="S479" s="66">
        <f>IF(VLOOKUP($D479,$C$5:$AU$520,3,)=0,0,(VLOOKUP($D479,$C$5:$AU$520,17,)/VLOOKUP($D479,$C$5:$AU$520,3,))*$E479)</f>
        <v>0</v>
      </c>
      <c r="T479" s="66">
        <f>IF(VLOOKUP($D479,$C$5:$AU$520,3,)=0,0,(VLOOKUP($D479,$C$5:$AU$520,18,)/VLOOKUP($D479,$C$5:$AU$520,3,))*$E479)</f>
        <v>0</v>
      </c>
      <c r="U479" s="66">
        <f>IF(VLOOKUP($D479,$C$5:$AU$520,3,)=0,0,(VLOOKUP($D479,$C$5:$AU$520,19,)/VLOOKUP($D479,$C$5:$AU$520,3,))*$E479)</f>
        <v>0</v>
      </c>
      <c r="V479" s="66">
        <f>IF(VLOOKUP($D479,$C$5:$AU$520,3,)=0,0,(VLOOKUP($D479,$C$5:$AU$520,20,)/VLOOKUP($D479,$C$5:$AU$520,3,))*$E479)</f>
        <v>0</v>
      </c>
      <c r="W479" s="66">
        <f>IF(VLOOKUP($D479,$C$5:$AU$520,3,)=0,0,(VLOOKUP($D479,$C$5:$AU$520,21,)/VLOOKUP($D479,$C$5:$AU$520,3,))*$E479)</f>
        <v>0</v>
      </c>
      <c r="X479" s="66">
        <f>IF(VLOOKUP($D479,$C$5:$AU$520,3,)=0,0,(VLOOKUP($D479,$C$5:$AU$520,22,)/VLOOKUP($D479,$C$5:$AU$520,3,))*$E479)</f>
        <v>0</v>
      </c>
      <c r="Y479" s="66">
        <f>IF(VLOOKUP($D479,$C$5:$AU$520,3,)=0,0,(VLOOKUP($D479,$C$5:$AU$520,23,)/VLOOKUP($D479,$C$5:$AU$520,3,))*$E479)</f>
        <v>0</v>
      </c>
      <c r="Z479" s="66">
        <f>IF(VLOOKUP($D479,$C$5:$AU$520,3,)=0,0,(VLOOKUP($D479,$C$5:$AU$520,24,)/VLOOKUP($D479,$C$5:$AU$520,3,))*$E479)</f>
        <v>0</v>
      </c>
      <c r="AA479" s="66">
        <f>IF(VLOOKUP($D479,$C$5:$AU$520,3,)=0,0,(VLOOKUP($D479,$C$5:$AU$520,25,)/VLOOKUP($D479,$C$5:$AU$520,3,))*$E479)</f>
        <v>0</v>
      </c>
      <c r="AB479" s="66">
        <f>IF(VLOOKUP($D479,$C$5:$AU$520,3,)=0,0,(VLOOKUP($D479,$C$5:$AU$520,26,)/VLOOKUP($D479,$C$5:$AU$520,3,))*$E479)</f>
        <v>0</v>
      </c>
      <c r="AC479" s="66">
        <f>IF(VLOOKUP($D479,$C$5:$AU$520,3,)=0,0,(VLOOKUP($D479,$C$5:$AU$520,27,)/VLOOKUP($D479,$C$5:$AU$520,3,))*$E479)</f>
        <v>0</v>
      </c>
      <c r="AD479" s="66">
        <f>IF(VLOOKUP($D479,$C$5:$AU$520,3,)=0,0,(VLOOKUP($D479,$C$5:$AU$520,28,)/VLOOKUP($D479,$C$5:$AU$520,3,))*$E479)</f>
        <v>0</v>
      </c>
      <c r="AE479" s="66">
        <f>IF(VLOOKUP($D479,$C$5:$AU$520,3,)=0,0,(VLOOKUP($D479,$C$5:$AU$520,29,)/VLOOKUP($D479,$C$5:$AU$520,3,))*$E479)</f>
        <v>0</v>
      </c>
      <c r="AF479" s="66">
        <f>IF(VLOOKUP($D479,$C$5:$AU$520,3,)=0,0,(VLOOKUP($D479,$C$5:$AU$520,30,)/VLOOKUP($D479,$C$5:$AU$520,3,))*$E479)</f>
        <v>0</v>
      </c>
      <c r="AG479" s="93">
        <f>SUM(F479:AF479)</f>
        <v>5485.3799983814824</v>
      </c>
      <c r="AH479" s="30" t="str">
        <f t="shared" si="187"/>
        <v>ok</v>
      </c>
    </row>
    <row r="480" spans="1:34" x14ac:dyDescent="0.2">
      <c r="A480" s="14" t="s">
        <v>612</v>
      </c>
      <c r="C480" s="14" t="s">
        <v>631</v>
      </c>
      <c r="E480" s="93">
        <f t="shared" ref="E480:AF480" si="188">E478+E479</f>
        <v>5485.38</v>
      </c>
      <c r="F480" s="93">
        <f t="shared" si="188"/>
        <v>3758.7852839459201</v>
      </c>
      <c r="G480" s="93">
        <f t="shared" si="188"/>
        <v>0.74044904782469678</v>
      </c>
      <c r="H480" s="93">
        <f t="shared" si="188"/>
        <v>280.23418674884891</v>
      </c>
      <c r="I480" s="93">
        <f t="shared" si="188"/>
        <v>183.63395497163626</v>
      </c>
      <c r="J480" s="93">
        <f t="shared" si="188"/>
        <v>9.499974247362772</v>
      </c>
      <c r="K480" s="93">
        <f t="shared" si="188"/>
        <v>74.03604629892034</v>
      </c>
      <c r="L480" s="93">
        <f t="shared" si="188"/>
        <v>1113.8036132739267</v>
      </c>
      <c r="M480" s="93">
        <f t="shared" si="188"/>
        <v>64.646489847042204</v>
      </c>
      <c r="N480" s="93">
        <f t="shared" si="188"/>
        <v>0</v>
      </c>
      <c r="O480" s="93">
        <f t="shared" si="188"/>
        <v>0</v>
      </c>
      <c r="P480" s="93">
        <f t="shared" si="188"/>
        <v>0</v>
      </c>
      <c r="Q480" s="93">
        <f t="shared" si="188"/>
        <v>0</v>
      </c>
      <c r="R480" s="93">
        <f t="shared" si="188"/>
        <v>0</v>
      </c>
      <c r="S480" s="93">
        <f t="shared" si="188"/>
        <v>0</v>
      </c>
      <c r="T480" s="93">
        <f t="shared" si="188"/>
        <v>0</v>
      </c>
      <c r="U480" s="93">
        <f t="shared" si="188"/>
        <v>0</v>
      </c>
      <c r="V480" s="93">
        <f t="shared" si="188"/>
        <v>0</v>
      </c>
      <c r="W480" s="93">
        <f t="shared" si="188"/>
        <v>0</v>
      </c>
      <c r="X480" s="93">
        <f t="shared" si="188"/>
        <v>0</v>
      </c>
      <c r="Y480" s="93">
        <f t="shared" si="188"/>
        <v>0</v>
      </c>
      <c r="Z480" s="93">
        <f t="shared" si="188"/>
        <v>0</v>
      </c>
      <c r="AA480" s="93">
        <f t="shared" si="188"/>
        <v>0</v>
      </c>
      <c r="AB480" s="93">
        <f t="shared" si="188"/>
        <v>0</v>
      </c>
      <c r="AC480" s="93">
        <f t="shared" si="188"/>
        <v>0</v>
      </c>
      <c r="AD480" s="93">
        <f t="shared" si="188"/>
        <v>0</v>
      </c>
      <c r="AE480" s="93">
        <f t="shared" si="188"/>
        <v>0</v>
      </c>
      <c r="AF480" s="93">
        <f t="shared" si="188"/>
        <v>0</v>
      </c>
      <c r="AG480" s="93">
        <f>SUM(F480:AF480)</f>
        <v>5485.3799983814824</v>
      </c>
      <c r="AH480" s="30" t="str">
        <f t="shared" si="187"/>
        <v>ok</v>
      </c>
    </row>
    <row r="481" spans="1:34" x14ac:dyDescent="0.2">
      <c r="A481" s="14" t="s">
        <v>637</v>
      </c>
      <c r="C481" s="14" t="s">
        <v>632</v>
      </c>
      <c r="D481" s="14" t="s">
        <v>631</v>
      </c>
      <c r="E481" s="49">
        <v>1</v>
      </c>
      <c r="F481" s="101">
        <f>IF(VLOOKUP($D481,$C$5:$AU$520,3,)=0,0,(VLOOKUP($D481,$C$5:$AU$520,4,)/VLOOKUP($D481,$C$5:$AU$520,3,))*$E481)</f>
        <v>0.68523699068176136</v>
      </c>
      <c r="G481" s="101">
        <f>IF(VLOOKUP($D481,$C$5:$AU$520,3,)=0,0,(VLOOKUP($D481,$C$5:$AU$520,5,)/VLOOKUP($D481,$C$5:$AU$520,3,))*$E481)</f>
        <v>1.349859167140101E-4</v>
      </c>
      <c r="H481" s="101">
        <f>IF(VLOOKUP($D481,$C$5:$AU$520,3,)=0,0,(VLOOKUP($D481,$C$5:$AU$520,6,)/VLOOKUP($D481,$C$5:$AU$520,3,))*$E481)</f>
        <v>5.1087470102134928E-2</v>
      </c>
      <c r="I481" s="101">
        <f>IF(VLOOKUP($D481,$C$5:$AU$520,3,)=0,0,(VLOOKUP($D481,$C$5:$AU$520,7,)/VLOOKUP($D481,$C$5:$AU$520,3,))*$E481)</f>
        <v>3.3476979711822383E-2</v>
      </c>
      <c r="J481" s="101">
        <f>IF(VLOOKUP($D481,$C$5:$AU$520,3,)=0,0,(VLOOKUP($D481,$C$5:$AU$520,8,)/VLOOKUP($D481,$C$5:$AU$520,3,))*$E481)</f>
        <v>1.7318716747723533E-3</v>
      </c>
      <c r="K481" s="101">
        <f>IF(VLOOKUP($D481,$C$5:$AU$520,3,)=0,0,(VLOOKUP($D481,$C$5:$AU$520,9,)/VLOOKUP($D481,$C$5:$AU$520,3,))*$E481)</f>
        <v>1.34969767452611E-2</v>
      </c>
      <c r="L481" s="101">
        <f>IF(VLOOKUP($D481,$C$5:$AU$520,3,)=0,0,(VLOOKUP($D481,$C$5:$AU$520,10,)/VLOOKUP($D481,$C$5:$AU$520,3,))*$E481)</f>
        <v>0.20304949033137662</v>
      </c>
      <c r="M481" s="101">
        <f>IF(VLOOKUP($D481,$C$5:$AU$520,3,)=0,0,(VLOOKUP($D481,$C$5:$AU$520,11,)/VLOOKUP($D481,$C$5:$AU$520,3,))*$E481)</f>
        <v>1.1785234541096916E-2</v>
      </c>
      <c r="N481" s="101">
        <f>IF(VLOOKUP($D481,$C$5:$AU$520,3,)=0,0,(VLOOKUP($D481,$C$5:$AU$520,12,)/VLOOKUP($D481,$C$5:$AU$520,3,))*$E481)</f>
        <v>0</v>
      </c>
      <c r="O481" s="101">
        <f>IF(VLOOKUP($D481,$C$5:$AU$520,3,)=0,0,(VLOOKUP($D481,$C$5:$AU$520,13,)/VLOOKUP($D481,$C$5:$AU$520,3,))*$E481)</f>
        <v>0</v>
      </c>
      <c r="P481" s="101">
        <f>IF(VLOOKUP($D481,$C$5:$AU$520,3,)=0,0,(VLOOKUP($D481,$C$5:$AU$520,14,)/VLOOKUP($D481,$C$5:$AU$520,3,))*$E481)</f>
        <v>0</v>
      </c>
      <c r="Q481" s="101">
        <f>IF(VLOOKUP($D481,$C$5:$AU$520,3,)=0,0,(VLOOKUP($D481,$C$5:$AU$520,15,)/VLOOKUP($D481,$C$5:$AU$520,3,))*$E481)</f>
        <v>0</v>
      </c>
      <c r="R481" s="101">
        <f>IF(VLOOKUP($D481,$C$5:$AU$520,3,)=0,0,(VLOOKUP($D481,$C$5:$AU$520,16,)/VLOOKUP($D481,$C$5:$AU$520,3,))*$E481)</f>
        <v>0</v>
      </c>
      <c r="S481" s="101">
        <f>IF(VLOOKUP($D481,$C$5:$AU$520,3,)=0,0,(VLOOKUP($D481,$C$5:$AU$520,17,)/VLOOKUP($D481,$C$5:$AU$520,3,))*$E481)</f>
        <v>0</v>
      </c>
      <c r="T481" s="101">
        <f>IF(VLOOKUP($D481,$C$5:$AU$520,3,)=0,0,(VLOOKUP($D481,$C$5:$AU$520,18,)/VLOOKUP($D481,$C$5:$AU$520,3,))*$E481)</f>
        <v>0</v>
      </c>
      <c r="U481" s="101">
        <f>IF(VLOOKUP($D481,$C$5:$AU$520,3,)=0,0,(VLOOKUP($D481,$C$5:$AU$520,19,)/VLOOKUP($D481,$C$5:$AU$520,3,))*$E481)</f>
        <v>0</v>
      </c>
      <c r="V481" s="101">
        <f>IF(VLOOKUP($D481,$C$5:$AU$520,3,)=0,0,(VLOOKUP($D481,$C$5:$AU$520,20,)/VLOOKUP($D481,$C$5:$AU$520,3,))*$E481)</f>
        <v>0</v>
      </c>
      <c r="W481" s="101">
        <f>IF(VLOOKUP($D481,$C$5:$AU$520,3,)=0,0,(VLOOKUP($D481,$C$5:$AU$520,21,)/VLOOKUP($D481,$C$5:$AU$520,3,))*$E481)</f>
        <v>0</v>
      </c>
      <c r="X481" s="101">
        <f>IF(VLOOKUP($D481,$C$5:$AU$520,3,)=0,0,(VLOOKUP($D481,$C$5:$AU$520,22,)/VLOOKUP($D481,$C$5:$AU$520,3,))*$E481)</f>
        <v>0</v>
      </c>
      <c r="Y481" s="101">
        <f>IF(VLOOKUP($D481,$C$5:$AU$520,3,)=0,0,(VLOOKUP($D481,$C$5:$AU$520,23,)/VLOOKUP($D481,$C$5:$AU$520,3,))*$E481)</f>
        <v>0</v>
      </c>
      <c r="Z481" s="101">
        <f>IF(VLOOKUP($D481,$C$5:$AU$520,3,)=0,0,(VLOOKUP($D481,$C$5:$AU$520,24,)/VLOOKUP($D481,$C$5:$AU$520,3,))*$E481)</f>
        <v>0</v>
      </c>
      <c r="AA481" s="101">
        <f>IF(VLOOKUP($D481,$C$5:$AU$520,3,)=0,0,(VLOOKUP($D481,$C$5:$AU$520,25,)/VLOOKUP($D481,$C$5:$AU$520,3,))*$E481)</f>
        <v>0</v>
      </c>
      <c r="AB481" s="101">
        <f>IF(VLOOKUP($D481,$C$5:$AU$520,3,)=0,0,(VLOOKUP($D481,$C$5:$AU$520,26,)/VLOOKUP($D481,$C$5:$AU$520,3,))*$E481)</f>
        <v>0</v>
      </c>
      <c r="AC481" s="101">
        <f>IF(VLOOKUP($D481,$C$5:$AU$520,3,)=0,0,(VLOOKUP($D481,$C$5:$AU$520,27,)/VLOOKUP($D481,$C$5:$AU$520,3,))*$E481)</f>
        <v>0</v>
      </c>
      <c r="AD481" s="101">
        <f>IF(VLOOKUP($D481,$C$5:$AU$520,3,)=0,0,(VLOOKUP($D481,$C$5:$AU$520,28,)/VLOOKUP($D481,$C$5:$AU$520,3,))*$E481)</f>
        <v>0</v>
      </c>
      <c r="AE481" s="101">
        <f>IF(VLOOKUP($D481,$C$5:$AU$520,3,)=0,0,(VLOOKUP($D481,$C$5:$AU$520,29,)/VLOOKUP($D481,$C$5:$AU$520,3,))*$E481)</f>
        <v>0</v>
      </c>
      <c r="AF481" s="101">
        <f>IF(VLOOKUP($D481,$C$5:$AU$520,3,)=0,0,(VLOOKUP($D481,$C$5:$AU$520,30,)/VLOOKUP($D481,$C$5:$AU$520,3,))*$E481)</f>
        <v>0</v>
      </c>
      <c r="AG481" s="101">
        <f>SUM(F481:AF481)</f>
        <v>0.99999999970493969</v>
      </c>
      <c r="AH481" s="30" t="str">
        <f t="shared" si="187"/>
        <v>ok</v>
      </c>
    </row>
    <row r="483" spans="1:34" x14ac:dyDescent="0.2">
      <c r="A483" s="28" t="s">
        <v>904</v>
      </c>
    </row>
    <row r="485" spans="1:34" x14ac:dyDescent="0.2">
      <c r="A485" s="14" t="s">
        <v>621</v>
      </c>
      <c r="C485" s="14" t="s">
        <v>622</v>
      </c>
      <c r="E485" s="50">
        <f>E455</f>
        <v>2534232.9152061706</v>
      </c>
      <c r="F485" s="50">
        <f t="shared" ref="F485:AF485" si="189">F455</f>
        <v>2043653.4905167264</v>
      </c>
      <c r="G485" s="50">
        <f t="shared" si="189"/>
        <v>376.0886207828413</v>
      </c>
      <c r="H485" s="50">
        <f t="shared" si="189"/>
        <v>90005.068679178061</v>
      </c>
      <c r="I485" s="50">
        <f t="shared" si="189"/>
        <v>37784.720823798634</v>
      </c>
      <c r="J485" s="50">
        <f t="shared" si="189"/>
        <v>5230.2410287591747</v>
      </c>
      <c r="K485" s="50">
        <f t="shared" si="189"/>
        <v>73993.832189607958</v>
      </c>
      <c r="L485" s="50">
        <f t="shared" si="189"/>
        <v>259768.94279176201</v>
      </c>
      <c r="M485" s="50">
        <f t="shared" si="189"/>
        <v>23420.530555555553</v>
      </c>
      <c r="N485" s="50">
        <f t="shared" si="189"/>
        <v>0</v>
      </c>
      <c r="O485" s="50">
        <f t="shared" si="189"/>
        <v>0</v>
      </c>
      <c r="P485" s="50">
        <f t="shared" si="189"/>
        <v>0</v>
      </c>
      <c r="Q485" s="50">
        <f t="shared" si="189"/>
        <v>0</v>
      </c>
      <c r="R485" s="50">
        <f t="shared" si="189"/>
        <v>0</v>
      </c>
      <c r="S485" s="50">
        <f t="shared" si="189"/>
        <v>0</v>
      </c>
      <c r="T485" s="50">
        <f t="shared" si="189"/>
        <v>0</v>
      </c>
      <c r="U485" s="50">
        <f t="shared" si="189"/>
        <v>0</v>
      </c>
      <c r="V485" s="50">
        <f t="shared" si="189"/>
        <v>0</v>
      </c>
      <c r="W485" s="50">
        <f t="shared" si="189"/>
        <v>0</v>
      </c>
      <c r="X485" s="50">
        <f t="shared" si="189"/>
        <v>0</v>
      </c>
      <c r="Y485" s="50">
        <f t="shared" si="189"/>
        <v>0</v>
      </c>
      <c r="Z485" s="50">
        <f t="shared" si="189"/>
        <v>0</v>
      </c>
      <c r="AA485" s="50">
        <f t="shared" si="189"/>
        <v>0</v>
      </c>
      <c r="AB485" s="50">
        <f t="shared" si="189"/>
        <v>0</v>
      </c>
      <c r="AC485" s="50">
        <f t="shared" si="189"/>
        <v>0</v>
      </c>
      <c r="AD485" s="50">
        <f t="shared" si="189"/>
        <v>0</v>
      </c>
      <c r="AE485" s="50">
        <f t="shared" si="189"/>
        <v>0</v>
      </c>
      <c r="AF485" s="50">
        <f t="shared" si="189"/>
        <v>0</v>
      </c>
      <c r="AG485" s="93">
        <f>SUM(F485:AF485)</f>
        <v>2534232.9152061706</v>
      </c>
      <c r="AH485" s="30" t="str">
        <f>IF(ABS(E485-AG485)&lt;0.01,"ok","err")</f>
        <v>ok</v>
      </c>
    </row>
    <row r="486" spans="1:34" x14ac:dyDescent="0.2">
      <c r="A486" s="14" t="s">
        <v>620</v>
      </c>
      <c r="C486" s="14" t="s">
        <v>619</v>
      </c>
      <c r="D486" s="14" t="s">
        <v>622</v>
      </c>
      <c r="E486" s="49">
        <v>1</v>
      </c>
      <c r="F486" s="101">
        <f>IF(VLOOKUP($D486,$C$5:$AU$520,3,)=0,0,(VLOOKUP($D486,$C$5:$AU$520,4,)/VLOOKUP($D486,$C$5:$AU$520,3,))*$E486)</f>
        <v>0.8064189673546508</v>
      </c>
      <c r="G486" s="101">
        <f>IF(VLOOKUP($D486,$C$5:$AU$520,3,)=0,0,(VLOOKUP($D486,$C$5:$AU$520,5,)/VLOOKUP($D486,$C$5:$AU$520,3,))*$E486)</f>
        <v>1.4840333677547743E-4</v>
      </c>
      <c r="H486" s="101">
        <f>IF(VLOOKUP($D486,$C$5:$AU$520,3,)=0,0,(VLOOKUP($D486,$C$5:$AU$520,6,)/VLOOKUP($D486,$C$5:$AU$520,3,))*$E486)</f>
        <v>3.5515705024238377E-2</v>
      </c>
      <c r="I486" s="101">
        <f>IF(VLOOKUP($D486,$C$5:$AU$520,3,)=0,0,(VLOOKUP($D486,$C$5:$AU$520,7,)/VLOOKUP($D486,$C$5:$AU$520,3,))*$E486)</f>
        <v>1.4909726961984742E-2</v>
      </c>
      <c r="J486" s="101">
        <f>IF(VLOOKUP($D486,$C$5:$AU$520,3,)=0,0,(VLOOKUP($D486,$C$5:$AU$520,8,)/VLOOKUP($D486,$C$5:$AU$520,3,))*$E486)</f>
        <v>2.0638359628967536E-3</v>
      </c>
      <c r="K486" s="101">
        <f>IF(VLOOKUP($D486,$C$5:$AU$520,3,)=0,0,(VLOOKUP($D486,$C$5:$AU$520,9,)/VLOOKUP($D486,$C$5:$AU$520,3,))*$E486)</f>
        <v>2.9197723597394063E-2</v>
      </c>
      <c r="L486" s="101">
        <f>IF(VLOOKUP($D486,$C$5:$AU$520,3,)=0,0,(VLOOKUP($D486,$C$5:$AU$520,10,)/VLOOKUP($D486,$C$5:$AU$520,3,))*$E486)</f>
        <v>0.10250397318773231</v>
      </c>
      <c r="M486" s="101">
        <f>IF(VLOOKUP($D486,$C$5:$AU$520,3,)=0,0,(VLOOKUP($D486,$C$5:$AU$520,11,)/VLOOKUP($D486,$C$5:$AU$520,3,))*$E486)</f>
        <v>9.2416645743274919E-3</v>
      </c>
      <c r="N486" s="101">
        <f>IF(VLOOKUP($D486,$C$5:$AU$520,3,)=0,0,(VLOOKUP($D486,$C$5:$AU$520,12,)/VLOOKUP($D486,$C$5:$AU$520,3,))*$E486)</f>
        <v>0</v>
      </c>
      <c r="O486" s="101">
        <f>IF(VLOOKUP($D486,$C$5:$AU$520,3,)=0,0,(VLOOKUP($D486,$C$5:$AU$520,13,)/VLOOKUP($D486,$C$5:$AU$520,3,))*$E486)</f>
        <v>0</v>
      </c>
      <c r="P486" s="101">
        <f>IF(VLOOKUP($D486,$C$5:$AU$520,3,)=0,0,(VLOOKUP($D486,$C$5:$AU$520,14,)/VLOOKUP($D486,$C$5:$AU$520,3,))*$E486)</f>
        <v>0</v>
      </c>
      <c r="Q486" s="101">
        <f>IF(VLOOKUP($D486,$C$5:$AU$520,3,)=0,0,(VLOOKUP($D486,$C$5:$AU$520,15,)/VLOOKUP($D486,$C$5:$AU$520,3,))*$E486)</f>
        <v>0</v>
      </c>
      <c r="R486" s="101">
        <f>IF(VLOOKUP($D486,$C$5:$AU$520,3,)=0,0,(VLOOKUP($D486,$C$5:$AU$520,16,)/VLOOKUP($D486,$C$5:$AU$520,3,))*$E486)</f>
        <v>0</v>
      </c>
      <c r="S486" s="101">
        <f>IF(VLOOKUP($D486,$C$5:$AU$520,3,)=0,0,(VLOOKUP($D486,$C$5:$AU$520,17,)/VLOOKUP($D486,$C$5:$AU$520,3,))*$E486)</f>
        <v>0</v>
      </c>
      <c r="T486" s="101">
        <f>IF(VLOOKUP($D486,$C$5:$AU$520,3,)=0,0,(VLOOKUP($D486,$C$5:$AU$520,18,)/VLOOKUP($D486,$C$5:$AU$520,3,))*$E486)</f>
        <v>0</v>
      </c>
      <c r="U486" s="101">
        <f>IF(VLOOKUP($D486,$C$5:$AU$520,3,)=0,0,(VLOOKUP($D486,$C$5:$AU$520,19,)/VLOOKUP($D486,$C$5:$AU$520,3,))*$E486)</f>
        <v>0</v>
      </c>
      <c r="V486" s="101">
        <f>IF(VLOOKUP($D486,$C$5:$AU$520,3,)=0,0,(VLOOKUP($D486,$C$5:$AU$520,20,)/VLOOKUP($D486,$C$5:$AU$520,3,))*$E486)</f>
        <v>0</v>
      </c>
      <c r="W486" s="101">
        <f>IF(VLOOKUP($D486,$C$5:$AU$520,3,)=0,0,(VLOOKUP($D486,$C$5:$AU$520,21,)/VLOOKUP($D486,$C$5:$AU$520,3,))*$E486)</f>
        <v>0</v>
      </c>
      <c r="X486" s="101">
        <f>IF(VLOOKUP($D486,$C$5:$AU$520,3,)=0,0,(VLOOKUP($D486,$C$5:$AU$520,22,)/VLOOKUP($D486,$C$5:$AU$520,3,))*$E486)</f>
        <v>0</v>
      </c>
      <c r="Y486" s="101">
        <f>IF(VLOOKUP($D486,$C$5:$AU$520,3,)=0,0,(VLOOKUP($D486,$C$5:$AU$520,23,)/VLOOKUP($D486,$C$5:$AU$520,3,))*$E486)</f>
        <v>0</v>
      </c>
      <c r="Z486" s="101">
        <f>IF(VLOOKUP($D486,$C$5:$AU$520,3,)=0,0,(VLOOKUP($D486,$C$5:$AU$520,24,)/VLOOKUP($D486,$C$5:$AU$520,3,))*$E486)</f>
        <v>0</v>
      </c>
      <c r="AA486" s="101">
        <f>IF(VLOOKUP($D486,$C$5:$AU$520,3,)=0,0,(VLOOKUP($D486,$C$5:$AU$520,25,)/VLOOKUP($D486,$C$5:$AU$520,3,))*$E486)</f>
        <v>0</v>
      </c>
      <c r="AB486" s="101">
        <f>IF(VLOOKUP($D486,$C$5:$AU$520,3,)=0,0,(VLOOKUP($D486,$C$5:$AU$520,26,)/VLOOKUP($D486,$C$5:$AU$520,3,))*$E486)</f>
        <v>0</v>
      </c>
      <c r="AC486" s="101">
        <f>IF(VLOOKUP($D486,$C$5:$AU$520,3,)=0,0,(VLOOKUP($D486,$C$5:$AU$520,27,)/VLOOKUP($D486,$C$5:$AU$520,3,))*$E486)</f>
        <v>0</v>
      </c>
      <c r="AD486" s="101">
        <f>IF(VLOOKUP($D486,$C$5:$AU$520,3,)=0,0,(VLOOKUP($D486,$C$5:$AU$520,28,)/VLOOKUP($D486,$C$5:$AU$520,3,))*$E486)</f>
        <v>0</v>
      </c>
      <c r="AE486" s="101">
        <f>IF(VLOOKUP($D486,$C$5:$AU$520,3,)=0,0,(VLOOKUP($D486,$C$5:$AU$520,29,)/VLOOKUP($D486,$C$5:$AU$520,3,))*$E486)</f>
        <v>0</v>
      </c>
      <c r="AF486" s="101">
        <f>IF(VLOOKUP($D486,$C$5:$AU$520,3,)=0,0,(VLOOKUP($D486,$C$5:$AU$520,30,)/VLOOKUP($D486,$C$5:$AU$520,3,))*$E486)</f>
        <v>0</v>
      </c>
      <c r="AG486" s="101">
        <f>SUM(F486:AF486)</f>
        <v>1</v>
      </c>
      <c r="AH486" s="30" t="str">
        <f>IF(ABS(E486-AG486)&lt;0.01,"ok","err")</f>
        <v>ok</v>
      </c>
    </row>
    <row r="488" spans="1:34" x14ac:dyDescent="0.2">
      <c r="A488" s="14" t="s">
        <v>651</v>
      </c>
      <c r="C488" s="14" t="s">
        <v>658</v>
      </c>
      <c r="E488" s="50">
        <v>984081.99999987637</v>
      </c>
      <c r="F488" s="50">
        <f>F435</f>
        <v>674329.38877041545</v>
      </c>
      <c r="G488" s="50">
        <f t="shared" ref="G488:M488" si="190">G435</f>
        <v>132.83721099149852</v>
      </c>
      <c r="H488" s="50">
        <f t="shared" si="190"/>
        <v>50274.259790798038</v>
      </c>
      <c r="I488" s="50">
        <f t="shared" si="190"/>
        <v>32944.093173505964</v>
      </c>
      <c r="J488" s="50">
        <f t="shared" si="190"/>
        <v>1704.3037427330191</v>
      </c>
      <c r="K488" s="50">
        <f t="shared" si="190"/>
        <v>13282.131879403043</v>
      </c>
      <c r="L488" s="50">
        <f t="shared" si="190"/>
        <v>199817.3486943164</v>
      </c>
      <c r="M488" s="50">
        <f t="shared" si="190"/>
        <v>11597.637186379929</v>
      </c>
      <c r="N488" s="225"/>
      <c r="O488" s="225"/>
      <c r="P488" s="50">
        <f t="shared" ref="P488:AF488" si="191">P435</f>
        <v>0</v>
      </c>
      <c r="Q488" s="50">
        <f t="shared" si="191"/>
        <v>0</v>
      </c>
      <c r="R488" s="50">
        <f t="shared" si="191"/>
        <v>0</v>
      </c>
      <c r="S488" s="50">
        <f t="shared" si="191"/>
        <v>0</v>
      </c>
      <c r="T488" s="50">
        <f t="shared" si="191"/>
        <v>0</v>
      </c>
      <c r="U488" s="50">
        <f t="shared" si="191"/>
        <v>0</v>
      </c>
      <c r="V488" s="50">
        <f t="shared" si="191"/>
        <v>0</v>
      </c>
      <c r="W488" s="50">
        <f t="shared" si="191"/>
        <v>0</v>
      </c>
      <c r="X488" s="50">
        <f t="shared" si="191"/>
        <v>0</v>
      </c>
      <c r="Y488" s="50">
        <f t="shared" si="191"/>
        <v>0</v>
      </c>
      <c r="Z488" s="50">
        <f t="shared" si="191"/>
        <v>0</v>
      </c>
      <c r="AA488" s="50">
        <f t="shared" si="191"/>
        <v>0</v>
      </c>
      <c r="AB488" s="50">
        <f t="shared" si="191"/>
        <v>0</v>
      </c>
      <c r="AC488" s="50">
        <f t="shared" si="191"/>
        <v>0</v>
      </c>
      <c r="AD488" s="50">
        <f t="shared" si="191"/>
        <v>0</v>
      </c>
      <c r="AE488" s="50">
        <f t="shared" si="191"/>
        <v>0</v>
      </c>
      <c r="AF488" s="50">
        <f t="shared" si="191"/>
        <v>0</v>
      </c>
      <c r="AG488" s="93">
        <f>SUM(F488:AF488)</f>
        <v>984082.00044854335</v>
      </c>
      <c r="AH488" s="30" t="str">
        <f t="shared" ref="AH488:AH493" si="192">IF(ABS(E488-AG488)&lt;0.01,"ok","err")</f>
        <v>ok</v>
      </c>
    </row>
    <row r="489" spans="1:34" x14ac:dyDescent="0.2">
      <c r="A489" s="14" t="s">
        <v>652</v>
      </c>
      <c r="E489" s="93">
        <f>E123</f>
        <v>9335078.1504406501</v>
      </c>
      <c r="AG489" s="93">
        <f>E489</f>
        <v>9335078.1504406501</v>
      </c>
      <c r="AH489" s="30" t="str">
        <f t="shared" si="192"/>
        <v>ok</v>
      </c>
    </row>
    <row r="490" spans="1:34" x14ac:dyDescent="0.2">
      <c r="A490" s="14" t="s">
        <v>594</v>
      </c>
      <c r="E490" s="132">
        <v>0</v>
      </c>
      <c r="F490" s="66">
        <v>0</v>
      </c>
      <c r="G490" s="66">
        <v>0</v>
      </c>
      <c r="H490" s="66">
        <v>0</v>
      </c>
      <c r="I490" s="66">
        <v>0</v>
      </c>
      <c r="J490" s="66">
        <v>0</v>
      </c>
      <c r="K490" s="66">
        <v>0</v>
      </c>
      <c r="L490" s="66">
        <v>0</v>
      </c>
      <c r="M490" s="66">
        <v>0</v>
      </c>
      <c r="N490" s="224">
        <v>0</v>
      </c>
      <c r="O490" s="224">
        <v>0</v>
      </c>
      <c r="P490" s="66">
        <v>0</v>
      </c>
      <c r="Q490" s="66">
        <v>0</v>
      </c>
      <c r="R490" s="66">
        <v>0</v>
      </c>
      <c r="S490" s="66">
        <v>0</v>
      </c>
      <c r="T490" s="66">
        <v>0</v>
      </c>
      <c r="U490" s="66">
        <v>0</v>
      </c>
      <c r="V490" s="66">
        <v>0</v>
      </c>
      <c r="W490" s="66">
        <v>0</v>
      </c>
      <c r="X490" s="66">
        <v>0</v>
      </c>
      <c r="Y490" s="66">
        <v>0</v>
      </c>
      <c r="Z490" s="66">
        <v>0</v>
      </c>
      <c r="AA490" s="66">
        <v>0</v>
      </c>
      <c r="AB490" s="66">
        <v>0</v>
      </c>
      <c r="AC490" s="66">
        <v>0</v>
      </c>
      <c r="AD490" s="66">
        <v>0</v>
      </c>
      <c r="AE490" s="66">
        <v>0</v>
      </c>
      <c r="AF490" s="66">
        <v>0</v>
      </c>
      <c r="AG490" s="93">
        <f>SUM(F490:AF490)</f>
        <v>0</v>
      </c>
      <c r="AH490" s="30" t="str">
        <f t="shared" si="192"/>
        <v>ok</v>
      </c>
    </row>
    <row r="491" spans="1:34" x14ac:dyDescent="0.2">
      <c r="A491" s="14" t="s">
        <v>653</v>
      </c>
      <c r="D491" s="14" t="s">
        <v>658</v>
      </c>
      <c r="E491" s="204">
        <f>E489-E490</f>
        <v>9335078.1504406501</v>
      </c>
      <c r="F491" s="66">
        <f>IF(VLOOKUP($D491,$C$5:$AU$520,3,)=0,0,(VLOOKUP($D491,$C$5:$AU$520,4,)/VLOOKUP($D491,$C$5:$AU$520,3,))*$E491)</f>
        <v>6396740.8643908678</v>
      </c>
      <c r="G491" s="66">
        <f>IF(VLOOKUP($D491,$C$5:$AU$520,3,)=0,0,(VLOOKUP($D491,$C$5:$AU$520,5,)/VLOOKUP($D491,$C$5:$AU$520,3,))*$E491)</f>
        <v>1260.104082680476</v>
      </c>
      <c r="H491" s="66">
        <f>IF(VLOOKUP($D491,$C$5:$AU$520,3,)=0,0,(VLOOKUP($D491,$C$5:$AU$520,6,)/VLOOKUP($D491,$C$5:$AU$520,3,))*$E491)</f>
        <v>476905.52626987861</v>
      </c>
      <c r="I491" s="66">
        <f>IF(VLOOKUP($D491,$C$5:$AU$520,3,)=0,0,(VLOOKUP($D491,$C$5:$AU$520,7,)/VLOOKUP($D491,$C$5:$AU$520,3,))*$E491)</f>
        <v>312510.22208526841</v>
      </c>
      <c r="J491" s="66">
        <f>IF(VLOOKUP($D491,$C$5:$AU$520,3,)=0,0,(VLOOKUP($D491,$C$5:$AU$520,8,)/VLOOKUP($D491,$C$5:$AU$520,3,))*$E491)</f>
        <v>16167.157442675742</v>
      </c>
      <c r="K491" s="66">
        <f>IF(VLOOKUP($D491,$C$5:$AU$520,3,)=0,0,(VLOOKUP($D491,$C$5:$AU$520,9,)/VLOOKUP($D491,$C$5:$AU$520,3,))*$E491)</f>
        <v>125995.33280631302</v>
      </c>
      <c r="L491" s="66">
        <f>IF(VLOOKUP($D491,$C$5:$AU$520,3,)=0,0,(VLOOKUP($D491,$C$5:$AU$520,10,)/VLOOKUP($D491,$C$5:$AU$520,3,))*$E491)</f>
        <v>1895482.8620740222</v>
      </c>
      <c r="M491" s="66">
        <f>IF(VLOOKUP($D491,$C$5:$AU$520,3,)=0,0,(VLOOKUP($D491,$C$5:$AU$520,11,)/VLOOKUP($D491,$C$5:$AU$520,3,))*$E491)</f>
        <v>110016.08554503268</v>
      </c>
      <c r="N491" s="66">
        <f>IF(VLOOKUP($D491,$C$5:$AU$520,3,)=0,0,(VLOOKUP($D491,$C$5:$AU$520,12,)/VLOOKUP($D491,$C$5:$AU$520,3,))*$E491)</f>
        <v>0</v>
      </c>
      <c r="O491" s="66">
        <f>IF(VLOOKUP($D491,$C$5:$AU$520,3,)=0,0,(VLOOKUP($D491,$C$5:$AU$520,13,)/VLOOKUP($D491,$C$5:$AU$520,3,))*$E491)</f>
        <v>0</v>
      </c>
      <c r="P491" s="66">
        <f>IF(VLOOKUP($D491,$C$5:$AU$520,3,)=0,0,(VLOOKUP($D491,$C$5:$AU$520,14,)/VLOOKUP($D491,$C$5:$AU$520,3,))*$E491)</f>
        <v>0</v>
      </c>
      <c r="Q491" s="66">
        <f>IF(VLOOKUP($D491,$C$5:$AU$520,3,)=0,0,(VLOOKUP($D491,$C$5:$AU$520,15,)/VLOOKUP($D491,$C$5:$AU$520,3,))*$E491)</f>
        <v>0</v>
      </c>
      <c r="R491" s="66">
        <f>IF(VLOOKUP($D491,$C$5:$AU$520,3,)=0,0,(VLOOKUP($D491,$C$5:$AU$520,16,)/VLOOKUP($D491,$C$5:$AU$520,3,))*$E491)</f>
        <v>0</v>
      </c>
      <c r="S491" s="66">
        <f>IF(VLOOKUP($D491,$C$5:$AU$520,3,)=0,0,(VLOOKUP($D491,$C$5:$AU$520,17,)/VLOOKUP($D491,$C$5:$AU$520,3,))*$E491)</f>
        <v>0</v>
      </c>
      <c r="T491" s="66">
        <f>IF(VLOOKUP($D491,$C$5:$AU$520,3,)=0,0,(VLOOKUP($D491,$C$5:$AU$520,18,)/VLOOKUP($D491,$C$5:$AU$520,3,))*$E491)</f>
        <v>0</v>
      </c>
      <c r="U491" s="66">
        <f>IF(VLOOKUP($D491,$C$5:$AU$520,3,)=0,0,(VLOOKUP($D491,$C$5:$AU$520,19,)/VLOOKUP($D491,$C$5:$AU$520,3,))*$E491)</f>
        <v>0</v>
      </c>
      <c r="V491" s="66">
        <f>IF(VLOOKUP($D491,$C$5:$AU$520,3,)=0,0,(VLOOKUP($D491,$C$5:$AU$520,20,)/VLOOKUP($D491,$C$5:$AU$520,3,))*$E491)</f>
        <v>0</v>
      </c>
      <c r="W491" s="66">
        <f>IF(VLOOKUP($D491,$C$5:$AU$520,3,)=0,0,(VLOOKUP($D491,$C$5:$AU$520,21,)/VLOOKUP($D491,$C$5:$AU$520,3,))*$E491)</f>
        <v>0</v>
      </c>
      <c r="X491" s="66">
        <f>IF(VLOOKUP($D491,$C$5:$AU$520,3,)=0,0,(VLOOKUP($D491,$C$5:$AU$520,22,)/VLOOKUP($D491,$C$5:$AU$520,3,))*$E491)</f>
        <v>0</v>
      </c>
      <c r="Y491" s="66">
        <f>IF(VLOOKUP($D491,$C$5:$AU$520,3,)=0,0,(VLOOKUP($D491,$C$5:$AU$520,23,)/VLOOKUP($D491,$C$5:$AU$520,3,))*$E491)</f>
        <v>0</v>
      </c>
      <c r="Z491" s="66">
        <f>IF(VLOOKUP($D491,$C$5:$AU$520,3,)=0,0,(VLOOKUP($D491,$C$5:$AU$520,24,)/VLOOKUP($D491,$C$5:$AU$520,3,))*$E491)</f>
        <v>0</v>
      </c>
      <c r="AA491" s="66">
        <f>IF(VLOOKUP($D491,$C$5:$AU$520,3,)=0,0,(VLOOKUP($D491,$C$5:$AU$520,25,)/VLOOKUP($D491,$C$5:$AU$520,3,))*$E491)</f>
        <v>0</v>
      </c>
      <c r="AB491" s="66">
        <f>IF(VLOOKUP($D491,$C$5:$AU$520,3,)=0,0,(VLOOKUP($D491,$C$5:$AU$520,26,)/VLOOKUP($D491,$C$5:$AU$520,3,))*$E491)</f>
        <v>0</v>
      </c>
      <c r="AC491" s="66">
        <f>IF(VLOOKUP($D491,$C$5:$AU$520,3,)=0,0,(VLOOKUP($D491,$C$5:$AU$520,27,)/VLOOKUP($D491,$C$5:$AU$520,3,))*$E491)</f>
        <v>0</v>
      </c>
      <c r="AD491" s="66">
        <f>IF(VLOOKUP($D491,$C$5:$AU$520,3,)=0,0,(VLOOKUP($D491,$C$5:$AU$520,28,)/VLOOKUP($D491,$C$5:$AU$520,3,))*$E491)</f>
        <v>0</v>
      </c>
      <c r="AE491" s="66">
        <f>IF(VLOOKUP($D491,$C$5:$AU$520,3,)=0,0,(VLOOKUP($D491,$C$5:$AU$520,29,)/VLOOKUP($D491,$C$5:$AU$520,3,))*$E491)</f>
        <v>0</v>
      </c>
      <c r="AF491" s="66">
        <f>IF(VLOOKUP($D491,$C$5:$AU$520,3,)=0,0,(VLOOKUP($D491,$C$5:$AU$520,30,)/VLOOKUP($D491,$C$5:$AU$520,3,))*$E491)</f>
        <v>0</v>
      </c>
      <c r="AG491" s="93">
        <f>SUM(F491:AF491)</f>
        <v>9335078.1546967402</v>
      </c>
      <c r="AH491" s="30" t="str">
        <f>IF(ABS(E491-AG491)&lt;0.01,"ok","err")</f>
        <v>ok</v>
      </c>
    </row>
    <row r="492" spans="1:34" x14ac:dyDescent="0.2">
      <c r="A492" s="14" t="s">
        <v>654</v>
      </c>
      <c r="C492" s="14" t="s">
        <v>656</v>
      </c>
      <c r="E492" s="93">
        <f t="shared" ref="E492:AF492" si="193">E490+E491</f>
        <v>9335078.1504406501</v>
      </c>
      <c r="F492" s="93">
        <f t="shared" si="193"/>
        <v>6396740.8643908678</v>
      </c>
      <c r="G492" s="93">
        <f t="shared" si="193"/>
        <v>1260.104082680476</v>
      </c>
      <c r="H492" s="93">
        <f t="shared" si="193"/>
        <v>476905.52626987861</v>
      </c>
      <c r="I492" s="93">
        <f t="shared" si="193"/>
        <v>312510.22208526841</v>
      </c>
      <c r="J492" s="93">
        <f t="shared" si="193"/>
        <v>16167.157442675742</v>
      </c>
      <c r="K492" s="93">
        <f t="shared" si="193"/>
        <v>125995.33280631302</v>
      </c>
      <c r="L492" s="93">
        <f t="shared" si="193"/>
        <v>1895482.8620740222</v>
      </c>
      <c r="M492" s="93">
        <f t="shared" si="193"/>
        <v>110016.08554503268</v>
      </c>
      <c r="N492" s="93">
        <f t="shared" si="193"/>
        <v>0</v>
      </c>
      <c r="O492" s="93">
        <f t="shared" si="193"/>
        <v>0</v>
      </c>
      <c r="P492" s="93">
        <f t="shared" si="193"/>
        <v>0</v>
      </c>
      <c r="Q492" s="93">
        <f t="shared" si="193"/>
        <v>0</v>
      </c>
      <c r="R492" s="93">
        <f t="shared" si="193"/>
        <v>0</v>
      </c>
      <c r="S492" s="93">
        <f t="shared" si="193"/>
        <v>0</v>
      </c>
      <c r="T492" s="93">
        <f t="shared" si="193"/>
        <v>0</v>
      </c>
      <c r="U492" s="93">
        <f t="shared" si="193"/>
        <v>0</v>
      </c>
      <c r="V492" s="93">
        <f t="shared" si="193"/>
        <v>0</v>
      </c>
      <c r="W492" s="93">
        <f t="shared" si="193"/>
        <v>0</v>
      </c>
      <c r="X492" s="93">
        <f t="shared" si="193"/>
        <v>0</v>
      </c>
      <c r="Y492" s="93">
        <f t="shared" si="193"/>
        <v>0</v>
      </c>
      <c r="Z492" s="93">
        <f t="shared" si="193"/>
        <v>0</v>
      </c>
      <c r="AA492" s="93">
        <f t="shared" si="193"/>
        <v>0</v>
      </c>
      <c r="AB492" s="93">
        <f t="shared" si="193"/>
        <v>0</v>
      </c>
      <c r="AC492" s="93">
        <f t="shared" si="193"/>
        <v>0</v>
      </c>
      <c r="AD492" s="93">
        <f t="shared" si="193"/>
        <v>0</v>
      </c>
      <c r="AE492" s="93">
        <f t="shared" si="193"/>
        <v>0</v>
      </c>
      <c r="AF492" s="93">
        <f t="shared" si="193"/>
        <v>0</v>
      </c>
      <c r="AG492" s="93">
        <f>SUM(F492:AF492)</f>
        <v>9335078.1546967402</v>
      </c>
      <c r="AH492" s="30" t="str">
        <f>IF(ABS(E492-AG492)&lt;0.01,"ok","err")</f>
        <v>ok</v>
      </c>
    </row>
    <row r="493" spans="1:34" x14ac:dyDescent="0.2">
      <c r="A493" s="14" t="s">
        <v>655</v>
      </c>
      <c r="C493" s="14" t="s">
        <v>657</v>
      </c>
      <c r="D493" s="14" t="s">
        <v>656</v>
      </c>
      <c r="E493" s="49">
        <v>1</v>
      </c>
      <c r="F493" s="101">
        <f>IF(VLOOKUP($D493,$C$5:$AU$520,3,)=0,0,(VLOOKUP($D493,$C$5:$AU$520,4,)/VLOOKUP($D493,$C$5:$AU$520,3,))*$E493)</f>
        <v>0.68523699119636383</v>
      </c>
      <c r="G493" s="101">
        <f>IF(VLOOKUP($D493,$C$5:$AU$520,3,)=0,0,(VLOOKUP($D493,$C$5:$AU$520,5,)/VLOOKUP($D493,$C$5:$AU$520,3,))*$E493)</f>
        <v>1.3498591681538247E-4</v>
      </c>
      <c r="H493" s="101">
        <f>IF(VLOOKUP($D493,$C$5:$AU$520,3,)=0,0,(VLOOKUP($D493,$C$5:$AU$520,6,)/VLOOKUP($D493,$C$5:$AU$520,3,))*$E493)</f>
        <v>5.108747014050085E-2</v>
      </c>
      <c r="I493" s="101">
        <f>IF(VLOOKUP($D493,$C$5:$AU$520,3,)=0,0,(VLOOKUP($D493,$C$5:$AU$520,7,)/VLOOKUP($D493,$C$5:$AU$520,3,))*$E493)</f>
        <v>3.3476979736963078E-2</v>
      </c>
      <c r="J493" s="101">
        <f>IF(VLOOKUP($D493,$C$5:$AU$520,3,)=0,0,(VLOOKUP($D493,$C$5:$AU$520,8,)/VLOOKUP($D493,$C$5:$AU$520,3,))*$E493)</f>
        <v>1.7318716760729626E-3</v>
      </c>
      <c r="K493" s="101">
        <f>IF(VLOOKUP($D493,$C$5:$AU$520,3,)=0,0,(VLOOKUP($D493,$C$5:$AU$520,9,)/VLOOKUP($D493,$C$5:$AU$520,3,))*$E493)</f>
        <v>1.3496976755397122E-2</v>
      </c>
      <c r="L493" s="101">
        <f>IF(VLOOKUP($D493,$C$5:$AU$520,3,)=0,0,(VLOOKUP($D493,$C$5:$AU$520,10,)/VLOOKUP($D493,$C$5:$AU$520,3,))*$E493)</f>
        <v>0.20304949048386364</v>
      </c>
      <c r="M493" s="101">
        <f>IF(VLOOKUP($D493,$C$5:$AU$520,3,)=0,0,(VLOOKUP($D493,$C$5:$AU$520,11,)/VLOOKUP($D493,$C$5:$AU$520,3,))*$E493)</f>
        <v>1.1785234549947449E-2</v>
      </c>
      <c r="N493" s="101">
        <f>IF(VLOOKUP($D493,$C$5:$AU$520,3,)=0,0,(VLOOKUP($D493,$C$5:$AU$520,12,)/VLOOKUP($D493,$C$5:$AU$520,3,))*$E493)</f>
        <v>0</v>
      </c>
      <c r="O493" s="101">
        <f>IF(VLOOKUP($D493,$C$5:$AU$520,3,)=0,0,(VLOOKUP($D493,$C$5:$AU$520,13,)/VLOOKUP($D493,$C$5:$AU$520,3,))*$E493)</f>
        <v>0</v>
      </c>
      <c r="P493" s="101">
        <f>IF(VLOOKUP($D493,$C$5:$AU$520,3,)=0,0,(VLOOKUP($D493,$C$5:$AU$520,14,)/VLOOKUP($D493,$C$5:$AU$520,3,))*$E493)</f>
        <v>0</v>
      </c>
      <c r="Q493" s="101">
        <f>IF(VLOOKUP($D493,$C$5:$AU$520,3,)=0,0,(VLOOKUP($D493,$C$5:$AU$520,15,)/VLOOKUP($D493,$C$5:$AU$520,3,))*$E493)</f>
        <v>0</v>
      </c>
      <c r="R493" s="101">
        <f>IF(VLOOKUP($D493,$C$5:$AU$520,3,)=0,0,(VLOOKUP($D493,$C$5:$AU$520,16,)/VLOOKUP($D493,$C$5:$AU$520,3,))*$E493)</f>
        <v>0</v>
      </c>
      <c r="S493" s="101">
        <f>IF(VLOOKUP($D493,$C$5:$AU$520,3,)=0,0,(VLOOKUP($D493,$C$5:$AU$520,17,)/VLOOKUP($D493,$C$5:$AU$520,3,))*$E493)</f>
        <v>0</v>
      </c>
      <c r="T493" s="101">
        <f>IF(VLOOKUP($D493,$C$5:$AU$520,3,)=0,0,(VLOOKUP($D493,$C$5:$AU$520,18,)/VLOOKUP($D493,$C$5:$AU$520,3,))*$E493)</f>
        <v>0</v>
      </c>
      <c r="U493" s="101">
        <f>IF(VLOOKUP($D493,$C$5:$AU$520,3,)=0,0,(VLOOKUP($D493,$C$5:$AU$520,19,)/VLOOKUP($D493,$C$5:$AU$520,3,))*$E493)</f>
        <v>0</v>
      </c>
      <c r="V493" s="101">
        <f>IF(VLOOKUP($D493,$C$5:$AU$520,3,)=0,0,(VLOOKUP($D493,$C$5:$AU$520,20,)/VLOOKUP($D493,$C$5:$AU$520,3,))*$E493)</f>
        <v>0</v>
      </c>
      <c r="W493" s="101">
        <f>IF(VLOOKUP($D493,$C$5:$AU$520,3,)=0,0,(VLOOKUP($D493,$C$5:$AU$520,21,)/VLOOKUP($D493,$C$5:$AU$520,3,))*$E493)</f>
        <v>0</v>
      </c>
      <c r="X493" s="101">
        <f>IF(VLOOKUP($D493,$C$5:$AU$520,3,)=0,0,(VLOOKUP($D493,$C$5:$AU$520,22,)/VLOOKUP($D493,$C$5:$AU$520,3,))*$E493)</f>
        <v>0</v>
      </c>
      <c r="Y493" s="101">
        <f>IF(VLOOKUP($D493,$C$5:$AU$520,3,)=0,0,(VLOOKUP($D493,$C$5:$AU$520,23,)/VLOOKUP($D493,$C$5:$AU$520,3,))*$E493)</f>
        <v>0</v>
      </c>
      <c r="Z493" s="101">
        <f>IF(VLOOKUP($D493,$C$5:$AU$520,3,)=0,0,(VLOOKUP($D493,$C$5:$AU$520,24,)/VLOOKUP($D493,$C$5:$AU$520,3,))*$E493)</f>
        <v>0</v>
      </c>
      <c r="AA493" s="101">
        <f>IF(VLOOKUP($D493,$C$5:$AU$520,3,)=0,0,(VLOOKUP($D493,$C$5:$AU$520,25,)/VLOOKUP($D493,$C$5:$AU$520,3,))*$E493)</f>
        <v>0</v>
      </c>
      <c r="AB493" s="101">
        <f>IF(VLOOKUP($D493,$C$5:$AU$520,3,)=0,0,(VLOOKUP($D493,$C$5:$AU$520,26,)/VLOOKUP($D493,$C$5:$AU$520,3,))*$E493)</f>
        <v>0</v>
      </c>
      <c r="AC493" s="101">
        <f>IF(VLOOKUP($D493,$C$5:$AU$520,3,)=0,0,(VLOOKUP($D493,$C$5:$AU$520,27,)/VLOOKUP($D493,$C$5:$AU$520,3,))*$E493)</f>
        <v>0</v>
      </c>
      <c r="AD493" s="101">
        <f>IF(VLOOKUP($D493,$C$5:$AU$520,3,)=0,0,(VLOOKUP($D493,$C$5:$AU$520,28,)/VLOOKUP($D493,$C$5:$AU$520,3,))*$E493)</f>
        <v>0</v>
      </c>
      <c r="AE493" s="101">
        <f>IF(VLOOKUP($D493,$C$5:$AU$520,3,)=0,0,(VLOOKUP($D493,$C$5:$AU$520,29,)/VLOOKUP($D493,$C$5:$AU$520,3,))*$E493)</f>
        <v>0</v>
      </c>
      <c r="AF493" s="101">
        <f>IF(VLOOKUP($D493,$C$5:$AU$520,3,)=0,0,(VLOOKUP($D493,$C$5:$AU$520,30,)/VLOOKUP($D493,$C$5:$AU$520,3,))*$E493)</f>
        <v>0</v>
      </c>
      <c r="AG493" s="101">
        <f>SUM(F493:AF493)</f>
        <v>1.0000000004559242</v>
      </c>
      <c r="AH493" s="30" t="str">
        <f t="shared" si="192"/>
        <v>ok</v>
      </c>
    </row>
    <row r="494" spans="1:34" x14ac:dyDescent="0.2">
      <c r="E494" s="49"/>
      <c r="F494" s="101"/>
      <c r="G494" s="101"/>
      <c r="H494" s="101"/>
      <c r="I494" s="101"/>
      <c r="J494" s="101"/>
      <c r="K494" s="101"/>
      <c r="L494" s="101"/>
      <c r="M494" s="101"/>
      <c r="N494" s="101"/>
      <c r="O494" s="101"/>
      <c r="P494" s="101"/>
      <c r="Q494" s="101"/>
      <c r="R494" s="101"/>
      <c r="S494" s="101"/>
      <c r="T494" s="101"/>
      <c r="U494" s="101"/>
      <c r="V494" s="101"/>
      <c r="W494" s="101"/>
      <c r="X494" s="101"/>
      <c r="Y494" s="101"/>
      <c r="Z494" s="101"/>
      <c r="AA494" s="101"/>
      <c r="AB494" s="101"/>
      <c r="AC494" s="101"/>
      <c r="AD494" s="101"/>
      <c r="AE494" s="101"/>
      <c r="AF494" s="101"/>
      <c r="AG494" s="101"/>
      <c r="AH494" s="30"/>
    </row>
    <row r="495" spans="1:34" x14ac:dyDescent="0.2">
      <c r="A495" s="14" t="s">
        <v>659</v>
      </c>
      <c r="C495" s="14" t="s">
        <v>664</v>
      </c>
      <c r="E495" s="50">
        <v>392718965</v>
      </c>
      <c r="F495" s="50">
        <f>F422</f>
        <v>268297725</v>
      </c>
      <c r="G495" s="50">
        <f t="shared" ref="G495:M495" si="194">G422</f>
        <v>49591</v>
      </c>
      <c r="H495" s="50">
        <f t="shared" si="194"/>
        <v>15091330</v>
      </c>
      <c r="I495" s="50">
        <f t="shared" si="194"/>
        <v>9902607</v>
      </c>
      <c r="J495" s="50">
        <f t="shared" si="194"/>
        <v>686837</v>
      </c>
      <c r="K495" s="50">
        <f t="shared" si="194"/>
        <v>12423232</v>
      </c>
      <c r="L495" s="50">
        <f t="shared" si="194"/>
        <v>77726344</v>
      </c>
      <c r="M495" s="50">
        <f t="shared" si="194"/>
        <v>8541299</v>
      </c>
      <c r="N495" s="225">
        <v>0</v>
      </c>
      <c r="O495" s="225">
        <v>0</v>
      </c>
      <c r="P495" s="50">
        <f t="shared" ref="P495:Z495" si="195">P422</f>
        <v>0</v>
      </c>
      <c r="Q495" s="50">
        <f t="shared" si="195"/>
        <v>0</v>
      </c>
      <c r="R495" s="50">
        <f t="shared" si="195"/>
        <v>0</v>
      </c>
      <c r="S495" s="50">
        <f t="shared" si="195"/>
        <v>0</v>
      </c>
      <c r="T495" s="50">
        <f t="shared" si="195"/>
        <v>0</v>
      </c>
      <c r="U495" s="50">
        <f t="shared" si="195"/>
        <v>0</v>
      </c>
      <c r="V495" s="50">
        <f t="shared" si="195"/>
        <v>0</v>
      </c>
      <c r="W495" s="50">
        <f t="shared" si="195"/>
        <v>0</v>
      </c>
      <c r="X495" s="50">
        <f t="shared" si="195"/>
        <v>0</v>
      </c>
      <c r="Y495" s="50">
        <f t="shared" si="195"/>
        <v>0</v>
      </c>
      <c r="Z495" s="50">
        <f t="shared" si="195"/>
        <v>0</v>
      </c>
      <c r="AA495" s="50">
        <v>0</v>
      </c>
      <c r="AB495" s="50">
        <v>0</v>
      </c>
      <c r="AC495" s="50">
        <v>0</v>
      </c>
      <c r="AD495" s="50">
        <v>0</v>
      </c>
      <c r="AE495" s="50">
        <v>0</v>
      </c>
      <c r="AF495" s="50">
        <f>AF422</f>
        <v>0</v>
      </c>
      <c r="AG495" s="93">
        <f>SUM(F495:AF495)</f>
        <v>392718965</v>
      </c>
      <c r="AH495" s="30" t="str">
        <f t="shared" ref="AH495:AH500" si="196">IF(ABS(E495-AG495)&lt;0.01,"ok","err")</f>
        <v>ok</v>
      </c>
    </row>
    <row r="496" spans="1:34" x14ac:dyDescent="0.2">
      <c r="A496" s="14" t="s">
        <v>660</v>
      </c>
      <c r="E496" s="93">
        <f>E124</f>
        <v>26478261.849559348</v>
      </c>
      <c r="AG496" s="93">
        <f>E496</f>
        <v>26478261.849559348</v>
      </c>
      <c r="AH496" s="30" t="str">
        <f t="shared" si="196"/>
        <v>ok</v>
      </c>
    </row>
    <row r="497" spans="1:41" x14ac:dyDescent="0.2">
      <c r="A497" s="14" t="s">
        <v>594</v>
      </c>
      <c r="E497" s="66">
        <v>0</v>
      </c>
      <c r="F497" s="50">
        <v>0</v>
      </c>
      <c r="G497" s="50">
        <v>0</v>
      </c>
      <c r="H497" s="50">
        <v>0</v>
      </c>
      <c r="I497" s="50">
        <v>0</v>
      </c>
      <c r="J497" s="50">
        <v>0</v>
      </c>
      <c r="K497" s="50">
        <v>0</v>
      </c>
      <c r="L497" s="50">
        <v>0</v>
      </c>
      <c r="M497" s="50">
        <v>0</v>
      </c>
      <c r="N497" s="225">
        <v>0</v>
      </c>
      <c r="O497" s="225">
        <v>0</v>
      </c>
      <c r="P497" s="50">
        <v>0</v>
      </c>
      <c r="Q497" s="50">
        <v>0</v>
      </c>
      <c r="R497" s="50">
        <v>0</v>
      </c>
      <c r="S497" s="50">
        <v>0</v>
      </c>
      <c r="T497" s="50">
        <v>0</v>
      </c>
      <c r="U497" s="50">
        <v>0</v>
      </c>
      <c r="V497" s="50">
        <v>0</v>
      </c>
      <c r="W497" s="50">
        <v>0</v>
      </c>
      <c r="X497" s="50">
        <v>0</v>
      </c>
      <c r="Y497" s="50">
        <v>0</v>
      </c>
      <c r="Z497" s="50">
        <v>0</v>
      </c>
      <c r="AA497" s="50">
        <v>0</v>
      </c>
      <c r="AB497" s="50">
        <v>0</v>
      </c>
      <c r="AC497" s="50">
        <v>0</v>
      </c>
      <c r="AD497" s="50">
        <v>0</v>
      </c>
      <c r="AE497" s="50">
        <v>0</v>
      </c>
      <c r="AF497" s="50">
        <v>0</v>
      </c>
      <c r="AG497" s="93">
        <f>SUM(F497:AF497)</f>
        <v>0</v>
      </c>
      <c r="AH497" s="30" t="str">
        <f t="shared" si="196"/>
        <v>ok</v>
      </c>
    </row>
    <row r="498" spans="1:41" x14ac:dyDescent="0.2">
      <c r="A498" s="14" t="s">
        <v>661</v>
      </c>
      <c r="D498" s="14" t="s">
        <v>664</v>
      </c>
      <c r="E498" s="93">
        <f>E496-E497</f>
        <v>26478261.849559348</v>
      </c>
      <c r="F498" s="66">
        <f>IF(VLOOKUP($D498,$C$5:$AU$520,3,)=0,0,(VLOOKUP($D498,$C$5:$AU$520,4,)/VLOOKUP($D498,$C$5:$AU$520,3,))*$E498)</f>
        <v>18089417.749894165</v>
      </c>
      <c r="G498" s="66">
        <f>IF(VLOOKUP($D498,$C$5:$AU$520,3,)=0,0,(VLOOKUP($D498,$C$5:$AU$520,5,)/VLOOKUP($D498,$C$5:$AU$520,3,))*$E498)</f>
        <v>3343.570340132409</v>
      </c>
      <c r="H498" s="66">
        <f>IF(VLOOKUP($D498,$C$5:$AU$520,3,)=0,0,(VLOOKUP($D498,$C$5:$AU$520,6,)/VLOOKUP($D498,$C$5:$AU$520,3,))*$E498)</f>
        <v>1017501.6309642964</v>
      </c>
      <c r="I498" s="66">
        <f>IF(VLOOKUP($D498,$C$5:$AU$520,3,)=0,0,(VLOOKUP($D498,$C$5:$AU$520,7,)/VLOOKUP($D498,$C$5:$AU$520,3,))*$E498)</f>
        <v>667662.7423360605</v>
      </c>
      <c r="J498" s="66">
        <f>IF(VLOOKUP($D498,$C$5:$AU$520,3,)=0,0,(VLOOKUP($D498,$C$5:$AU$520,8,)/VLOOKUP($D498,$C$5:$AU$520,3,))*$E498)</f>
        <v>46308.560458662323</v>
      </c>
      <c r="K498" s="66">
        <f>IF(VLOOKUP($D498,$C$5:$AU$520,3,)=0,0,(VLOOKUP($D498,$C$5:$AU$520,9,)/VLOOKUP($D498,$C$5:$AU$520,3,))*$E498)</f>
        <v>837610.65604210098</v>
      </c>
      <c r="L498" s="66">
        <f>IF(VLOOKUP($D498,$C$5:$AU$520,3,)=0,0,(VLOOKUP($D498,$C$5:$AU$520,10,)/VLOOKUP($D498,$C$5:$AU$520,3,))*$E498)</f>
        <v>5240537.5661980724</v>
      </c>
      <c r="M498" s="66">
        <f>IF(VLOOKUP($D498,$C$5:$AU$520,3,)=0,0,(VLOOKUP($D498,$C$5:$AU$520,11,)/VLOOKUP($D498,$C$5:$AU$520,3,))*$E498)</f>
        <v>575879.37332585757</v>
      </c>
      <c r="N498" s="66">
        <f>IF(VLOOKUP($D498,$C$5:$AU$520,3,)=0,0,(VLOOKUP($D498,$C$5:$AU$520,12,)/VLOOKUP($D498,$C$5:$AU$520,3,))*$E498)</f>
        <v>0</v>
      </c>
      <c r="O498" s="66">
        <f>IF(VLOOKUP($D498,$C$5:$AU$520,3,)=0,0,(VLOOKUP($D498,$C$5:$AU$520,13,)/VLOOKUP($D498,$C$5:$AU$520,3,))*$E498)</f>
        <v>0</v>
      </c>
      <c r="P498" s="66">
        <f>IF(VLOOKUP($D498,$C$5:$AU$520,3,)=0,0,(VLOOKUP($D498,$C$5:$AU$520,14,)/VLOOKUP($D498,$C$5:$AU$520,3,))*$E498)</f>
        <v>0</v>
      </c>
      <c r="Q498" s="66">
        <f>IF(VLOOKUP($D498,$C$5:$AU$520,3,)=0,0,(VLOOKUP($D498,$C$5:$AU$520,15,)/VLOOKUP($D498,$C$5:$AU$520,3,))*$E498)</f>
        <v>0</v>
      </c>
      <c r="R498" s="66">
        <f>IF(VLOOKUP($D498,$C$5:$AU$520,3,)=0,0,(VLOOKUP($D498,$C$5:$AU$520,16,)/VLOOKUP($D498,$C$5:$AU$520,3,))*$E498)</f>
        <v>0</v>
      </c>
      <c r="S498" s="66">
        <f>IF(VLOOKUP($D498,$C$5:$AU$520,3,)=0,0,(VLOOKUP($D498,$C$5:$AU$520,17,)/VLOOKUP($D498,$C$5:$AU$520,3,))*$E498)</f>
        <v>0</v>
      </c>
      <c r="T498" s="66">
        <f>IF(VLOOKUP($D498,$C$5:$AU$520,3,)=0,0,(VLOOKUP($D498,$C$5:$AU$520,18,)/VLOOKUP($D498,$C$5:$AU$520,3,))*$E498)</f>
        <v>0</v>
      </c>
      <c r="U498" s="66">
        <f>IF(VLOOKUP($D498,$C$5:$AU$520,3,)=0,0,(VLOOKUP($D498,$C$5:$AU$520,19,)/VLOOKUP($D498,$C$5:$AU$520,3,))*$E498)</f>
        <v>0</v>
      </c>
      <c r="V498" s="66">
        <f>IF(VLOOKUP($D498,$C$5:$AU$520,3,)=0,0,(VLOOKUP($D498,$C$5:$AU$520,20,)/VLOOKUP($D498,$C$5:$AU$520,3,))*$E498)</f>
        <v>0</v>
      </c>
      <c r="W498" s="66">
        <f>IF(VLOOKUP($D498,$C$5:$AU$520,3,)=0,0,(VLOOKUP($D498,$C$5:$AU$520,21,)/VLOOKUP($D498,$C$5:$AU$520,3,))*$E498)</f>
        <v>0</v>
      </c>
      <c r="X498" s="66">
        <f>IF(VLOOKUP($D498,$C$5:$AU$520,3,)=0,0,(VLOOKUP($D498,$C$5:$AU$520,22,)/VLOOKUP($D498,$C$5:$AU$520,3,))*$E498)</f>
        <v>0</v>
      </c>
      <c r="Y498" s="66">
        <f>IF(VLOOKUP($D498,$C$5:$AU$520,3,)=0,0,(VLOOKUP($D498,$C$5:$AU$520,23,)/VLOOKUP($D498,$C$5:$AU$520,3,))*$E498)</f>
        <v>0</v>
      </c>
      <c r="Z498" s="66">
        <f>IF(VLOOKUP($D498,$C$5:$AU$520,3,)=0,0,(VLOOKUP($D498,$C$5:$AU$520,24,)/VLOOKUP($D498,$C$5:$AU$520,3,))*$E498)</f>
        <v>0</v>
      </c>
      <c r="AA498" s="66">
        <f>IF(VLOOKUP($D498,$C$5:$AU$520,3,)=0,0,(VLOOKUP($D498,$C$5:$AU$520,25,)/VLOOKUP($D498,$C$5:$AU$520,3,))*$E498)</f>
        <v>0</v>
      </c>
      <c r="AB498" s="66">
        <f>IF(VLOOKUP($D498,$C$5:$AU$520,3,)=0,0,(VLOOKUP($D498,$C$5:$AU$520,26,)/VLOOKUP($D498,$C$5:$AU$520,3,))*$E498)</f>
        <v>0</v>
      </c>
      <c r="AC498" s="66">
        <f>IF(VLOOKUP($D498,$C$5:$AU$520,3,)=0,0,(VLOOKUP($D498,$C$5:$AU$520,27,)/VLOOKUP($D498,$C$5:$AU$520,3,))*$E498)</f>
        <v>0</v>
      </c>
      <c r="AD498" s="66">
        <f>IF(VLOOKUP($D498,$C$5:$AU$520,3,)=0,0,(VLOOKUP($D498,$C$5:$AU$520,28,)/VLOOKUP($D498,$C$5:$AU$520,3,))*$E498)</f>
        <v>0</v>
      </c>
      <c r="AE498" s="66">
        <f>IF(VLOOKUP($D498,$C$5:$AU$520,3,)=0,0,(VLOOKUP($D498,$C$5:$AU$520,29,)/VLOOKUP($D498,$C$5:$AU$520,3,))*$E498)</f>
        <v>0</v>
      </c>
      <c r="AF498" s="66">
        <f>IF(VLOOKUP($D498,$C$5:$AU$520,3,)=0,0,(VLOOKUP($D498,$C$5:$AU$520,30,)/VLOOKUP($D498,$C$5:$AU$520,3,))*$E498)</f>
        <v>0</v>
      </c>
      <c r="AG498" s="93">
        <f>SUM(F498:AF498)</f>
        <v>26478261.849559356</v>
      </c>
      <c r="AH498" s="30" t="str">
        <f t="shared" si="196"/>
        <v>ok</v>
      </c>
    </row>
    <row r="499" spans="1:41" x14ac:dyDescent="0.2">
      <c r="A499" s="14" t="s">
        <v>662</v>
      </c>
      <c r="C499" s="14" t="s">
        <v>665</v>
      </c>
      <c r="E499" s="93">
        <f t="shared" ref="E499:AF499" si="197">E497+E498</f>
        <v>26478261.849559348</v>
      </c>
      <c r="F499" s="93">
        <f t="shared" si="197"/>
        <v>18089417.749894165</v>
      </c>
      <c r="G499" s="93">
        <f t="shared" si="197"/>
        <v>3343.570340132409</v>
      </c>
      <c r="H499" s="93">
        <f t="shared" si="197"/>
        <v>1017501.6309642964</v>
      </c>
      <c r="I499" s="93">
        <f t="shared" si="197"/>
        <v>667662.7423360605</v>
      </c>
      <c r="J499" s="93">
        <f t="shared" si="197"/>
        <v>46308.560458662323</v>
      </c>
      <c r="K499" s="93">
        <f t="shared" si="197"/>
        <v>837610.65604210098</v>
      </c>
      <c r="L499" s="93">
        <f t="shared" si="197"/>
        <v>5240537.5661980724</v>
      </c>
      <c r="M499" s="93">
        <f t="shared" si="197"/>
        <v>575879.37332585757</v>
      </c>
      <c r="N499" s="93">
        <f t="shared" si="197"/>
        <v>0</v>
      </c>
      <c r="O499" s="93">
        <f t="shared" si="197"/>
        <v>0</v>
      </c>
      <c r="P499" s="93">
        <f t="shared" si="197"/>
        <v>0</v>
      </c>
      <c r="Q499" s="93">
        <f t="shared" si="197"/>
        <v>0</v>
      </c>
      <c r="R499" s="93">
        <f t="shared" si="197"/>
        <v>0</v>
      </c>
      <c r="S499" s="93">
        <f t="shared" si="197"/>
        <v>0</v>
      </c>
      <c r="T499" s="93">
        <f t="shared" si="197"/>
        <v>0</v>
      </c>
      <c r="U499" s="93">
        <f t="shared" si="197"/>
        <v>0</v>
      </c>
      <c r="V499" s="93">
        <f t="shared" si="197"/>
        <v>0</v>
      </c>
      <c r="W499" s="93">
        <f t="shared" si="197"/>
        <v>0</v>
      </c>
      <c r="X499" s="93">
        <f t="shared" si="197"/>
        <v>0</v>
      </c>
      <c r="Y499" s="93">
        <f t="shared" si="197"/>
        <v>0</v>
      </c>
      <c r="Z499" s="93">
        <f t="shared" si="197"/>
        <v>0</v>
      </c>
      <c r="AA499" s="93">
        <f t="shared" si="197"/>
        <v>0</v>
      </c>
      <c r="AB499" s="93">
        <f t="shared" si="197"/>
        <v>0</v>
      </c>
      <c r="AC499" s="93">
        <f t="shared" si="197"/>
        <v>0</v>
      </c>
      <c r="AD499" s="93">
        <f t="shared" si="197"/>
        <v>0</v>
      </c>
      <c r="AE499" s="93">
        <f t="shared" si="197"/>
        <v>0</v>
      </c>
      <c r="AF499" s="93">
        <f t="shared" si="197"/>
        <v>0</v>
      </c>
      <c r="AG499" s="93">
        <f>SUM(F499:AF499)</f>
        <v>26478261.849559356</v>
      </c>
      <c r="AH499" s="30" t="str">
        <f t="shared" si="196"/>
        <v>ok</v>
      </c>
    </row>
    <row r="500" spans="1:41" x14ac:dyDescent="0.2">
      <c r="A500" s="14" t="s">
        <v>663</v>
      </c>
      <c r="C500" s="14" t="s">
        <v>666</v>
      </c>
      <c r="D500" s="14" t="s">
        <v>665</v>
      </c>
      <c r="E500" s="49">
        <v>1</v>
      </c>
      <c r="F500" s="101">
        <f>IF(VLOOKUP($D500,$C$5:$AU$520,3,)=0,0,(VLOOKUP($D500,$C$5:$AU$520,4,)/VLOOKUP($D500,$C$5:$AU$520,3,))*$E500)</f>
        <v>0.68317995541671894</v>
      </c>
      <c r="G500" s="101">
        <f>IF(VLOOKUP($D500,$C$5:$AU$520,3,)=0,0,(VLOOKUP($D500,$C$5:$AU$520,5,)/VLOOKUP($D500,$C$5:$AU$520,3,))*$E500)</f>
        <v>1.2627605086502506E-4</v>
      </c>
      <c r="H500" s="101">
        <f>IF(VLOOKUP($D500,$C$5:$AU$520,3,)=0,0,(VLOOKUP($D500,$C$5:$AU$520,6,)/VLOOKUP($D500,$C$5:$AU$520,3,))*$E500)</f>
        <v>3.8427810584599598E-2</v>
      </c>
      <c r="I500" s="101">
        <f>IF(VLOOKUP($D500,$C$5:$AU$520,3,)=0,0,(VLOOKUP($D500,$C$5:$AU$520,7,)/VLOOKUP($D500,$C$5:$AU$520,3,))*$E500)</f>
        <v>2.5215504934934834E-2</v>
      </c>
      <c r="J500" s="101">
        <f>IF(VLOOKUP($D500,$C$5:$AU$520,3,)=0,0,(VLOOKUP($D500,$C$5:$AU$520,8,)/VLOOKUP($D500,$C$5:$AU$520,3,))*$E500)</f>
        <v>1.7489275059583637E-3</v>
      </c>
      <c r="K500" s="101">
        <f>IF(VLOOKUP($D500,$C$5:$AU$520,3,)=0,0,(VLOOKUP($D500,$C$5:$AU$520,9,)/VLOOKUP($D500,$C$5:$AU$520,3,))*$E500)</f>
        <v>3.1633898811074736E-2</v>
      </c>
      <c r="L500" s="101">
        <f>IF(VLOOKUP($D500,$C$5:$AU$520,3,)=0,0,(VLOOKUP($D500,$C$5:$AU$520,10,)/VLOOKUP($D500,$C$5:$AU$520,3,))*$E500)</f>
        <v>0.19791848860673178</v>
      </c>
      <c r="M500" s="101">
        <f>IF(VLOOKUP($D500,$C$5:$AU$520,3,)=0,0,(VLOOKUP($D500,$C$5:$AU$520,11,)/VLOOKUP($D500,$C$5:$AU$520,3,))*$E500)</f>
        <v>2.1749138089116729E-2</v>
      </c>
      <c r="N500" s="101">
        <f>IF(VLOOKUP($D500,$C$5:$AU$520,3,)=0,0,(VLOOKUP($D500,$C$5:$AU$520,12,)/VLOOKUP($D500,$C$5:$AU$520,3,))*$E500)</f>
        <v>0</v>
      </c>
      <c r="O500" s="101">
        <f>IF(VLOOKUP($D500,$C$5:$AU$520,3,)=0,0,(VLOOKUP($D500,$C$5:$AU$520,13,)/VLOOKUP($D500,$C$5:$AU$520,3,))*$E500)</f>
        <v>0</v>
      </c>
      <c r="P500" s="101">
        <f>IF(VLOOKUP($D500,$C$5:$AU$520,3,)=0,0,(VLOOKUP($D500,$C$5:$AU$520,14,)/VLOOKUP($D500,$C$5:$AU$520,3,))*$E500)</f>
        <v>0</v>
      </c>
      <c r="Q500" s="101">
        <f>IF(VLOOKUP($D500,$C$5:$AU$520,3,)=0,0,(VLOOKUP($D500,$C$5:$AU$520,15,)/VLOOKUP($D500,$C$5:$AU$520,3,))*$E500)</f>
        <v>0</v>
      </c>
      <c r="R500" s="101">
        <f>IF(VLOOKUP($D500,$C$5:$AU$520,3,)=0,0,(VLOOKUP($D500,$C$5:$AU$520,16,)/VLOOKUP($D500,$C$5:$AU$520,3,))*$E500)</f>
        <v>0</v>
      </c>
      <c r="S500" s="101">
        <f>IF(VLOOKUP($D500,$C$5:$AU$520,3,)=0,0,(VLOOKUP($D500,$C$5:$AU$520,17,)/VLOOKUP($D500,$C$5:$AU$520,3,))*$E500)</f>
        <v>0</v>
      </c>
      <c r="T500" s="101">
        <f>IF(VLOOKUP($D500,$C$5:$AU$520,3,)=0,0,(VLOOKUP($D500,$C$5:$AU$520,18,)/VLOOKUP($D500,$C$5:$AU$520,3,))*$E500)</f>
        <v>0</v>
      </c>
      <c r="U500" s="101">
        <f>IF(VLOOKUP($D500,$C$5:$AU$520,3,)=0,0,(VLOOKUP($D500,$C$5:$AU$520,19,)/VLOOKUP($D500,$C$5:$AU$520,3,))*$E500)</f>
        <v>0</v>
      </c>
      <c r="V500" s="101">
        <f>IF(VLOOKUP($D500,$C$5:$AU$520,3,)=0,0,(VLOOKUP($D500,$C$5:$AU$520,20,)/VLOOKUP($D500,$C$5:$AU$520,3,))*$E500)</f>
        <v>0</v>
      </c>
      <c r="W500" s="101">
        <f>IF(VLOOKUP($D500,$C$5:$AU$520,3,)=0,0,(VLOOKUP($D500,$C$5:$AU$520,21,)/VLOOKUP($D500,$C$5:$AU$520,3,))*$E500)</f>
        <v>0</v>
      </c>
      <c r="X500" s="101">
        <f>IF(VLOOKUP($D500,$C$5:$AU$520,3,)=0,0,(VLOOKUP($D500,$C$5:$AU$520,22,)/VLOOKUP($D500,$C$5:$AU$520,3,))*$E500)</f>
        <v>0</v>
      </c>
      <c r="Y500" s="101">
        <f>IF(VLOOKUP($D500,$C$5:$AU$520,3,)=0,0,(VLOOKUP($D500,$C$5:$AU$520,23,)/VLOOKUP($D500,$C$5:$AU$520,3,))*$E500)</f>
        <v>0</v>
      </c>
      <c r="Z500" s="101">
        <f>IF(VLOOKUP($D500,$C$5:$AU$520,3,)=0,0,(VLOOKUP($D500,$C$5:$AU$520,24,)/VLOOKUP($D500,$C$5:$AU$520,3,))*$E500)</f>
        <v>0</v>
      </c>
      <c r="AA500" s="101">
        <f>IF(VLOOKUP($D500,$C$5:$AU$520,3,)=0,0,(VLOOKUP($D500,$C$5:$AU$520,25,)/VLOOKUP($D500,$C$5:$AU$520,3,))*$E500)</f>
        <v>0</v>
      </c>
      <c r="AB500" s="101">
        <f>IF(VLOOKUP($D500,$C$5:$AU$520,3,)=0,0,(VLOOKUP($D500,$C$5:$AU$520,26,)/VLOOKUP($D500,$C$5:$AU$520,3,))*$E500)</f>
        <v>0</v>
      </c>
      <c r="AC500" s="101">
        <f>IF(VLOOKUP($D500,$C$5:$AU$520,3,)=0,0,(VLOOKUP($D500,$C$5:$AU$520,27,)/VLOOKUP($D500,$C$5:$AU$520,3,))*$E500)</f>
        <v>0</v>
      </c>
      <c r="AD500" s="101">
        <f>IF(VLOOKUP($D500,$C$5:$AU$520,3,)=0,0,(VLOOKUP($D500,$C$5:$AU$520,28,)/VLOOKUP($D500,$C$5:$AU$520,3,))*$E500)</f>
        <v>0</v>
      </c>
      <c r="AE500" s="101">
        <f>IF(VLOOKUP($D500,$C$5:$AU$520,3,)=0,0,(VLOOKUP($D500,$C$5:$AU$520,29,)/VLOOKUP($D500,$C$5:$AU$520,3,))*$E500)</f>
        <v>0</v>
      </c>
      <c r="AF500" s="101">
        <f>IF(VLOOKUP($D500,$C$5:$AU$520,3,)=0,0,(VLOOKUP($D500,$C$5:$AU$520,30,)/VLOOKUP($D500,$C$5:$AU$520,3,))*$E500)</f>
        <v>0</v>
      </c>
      <c r="AG500" s="101">
        <f>SUM(F500:AF500)</f>
        <v>1</v>
      </c>
      <c r="AH500" s="30" t="str">
        <f t="shared" si="196"/>
        <v>ok</v>
      </c>
    </row>
    <row r="501" spans="1:41" x14ac:dyDescent="0.2">
      <c r="E501" s="49"/>
      <c r="F501" s="101"/>
      <c r="G501" s="101"/>
      <c r="H501" s="101"/>
      <c r="I501" s="101"/>
      <c r="J501" s="101"/>
      <c r="K501" s="101"/>
      <c r="L501" s="101"/>
      <c r="M501" s="101"/>
      <c r="N501" s="101"/>
      <c r="O501" s="101"/>
      <c r="P501" s="101"/>
      <c r="Q501" s="101"/>
      <c r="R501" s="101"/>
      <c r="S501" s="101"/>
      <c r="T501" s="101"/>
      <c r="U501" s="101"/>
      <c r="V501" s="101"/>
      <c r="W501" s="101"/>
      <c r="X501" s="101"/>
      <c r="Y501" s="101"/>
      <c r="Z501" s="101"/>
      <c r="AA501" s="101"/>
      <c r="AB501" s="101"/>
      <c r="AC501" s="101"/>
      <c r="AD501" s="101"/>
      <c r="AE501" s="101"/>
      <c r="AF501" s="101"/>
      <c r="AG501" s="101"/>
      <c r="AH501" s="30"/>
    </row>
    <row r="502" spans="1:41" x14ac:dyDescent="0.2">
      <c r="A502" s="13" t="s">
        <v>327</v>
      </c>
    </row>
    <row r="503" spans="1:41" x14ac:dyDescent="0.2">
      <c r="AJ503" s="90"/>
      <c r="AK503" s="187"/>
      <c r="AL503" s="90"/>
      <c r="AM503" s="90"/>
      <c r="AN503" s="90"/>
      <c r="AO503" s="90"/>
    </row>
    <row r="504" spans="1:41" x14ac:dyDescent="0.2">
      <c r="A504" s="14" t="s">
        <v>645</v>
      </c>
      <c r="C504" s="126"/>
      <c r="E504" s="93">
        <f t="shared" ref="E504:R505" si="198">E123+E199+E237+E275</f>
        <v>9335078.1504406501</v>
      </c>
      <c r="F504" s="93">
        <f t="shared" ref="F504:R504" si="199">F123+F199+F237+F275</f>
        <v>6396740.8643908678</v>
      </c>
      <c r="G504" s="93">
        <f t="shared" si="199"/>
        <v>1260.104082680476</v>
      </c>
      <c r="H504" s="93">
        <f t="shared" si="199"/>
        <v>476905.52626987861</v>
      </c>
      <c r="I504" s="93">
        <f t="shared" si="199"/>
        <v>312510.22208526841</v>
      </c>
      <c r="J504" s="93">
        <f t="shared" si="199"/>
        <v>16167.157442675742</v>
      </c>
      <c r="K504" s="93">
        <f t="shared" si="199"/>
        <v>125995.33280631302</v>
      </c>
      <c r="L504" s="93">
        <f t="shared" si="199"/>
        <v>1895482.8620740222</v>
      </c>
      <c r="M504" s="93">
        <f t="shared" si="199"/>
        <v>110016.08554503268</v>
      </c>
      <c r="N504" s="93">
        <f t="shared" si="199"/>
        <v>0</v>
      </c>
      <c r="O504" s="93">
        <f t="shared" si="199"/>
        <v>0</v>
      </c>
      <c r="P504" s="93">
        <f t="shared" si="199"/>
        <v>0</v>
      </c>
      <c r="Q504" s="93">
        <f t="shared" si="199"/>
        <v>0</v>
      </c>
      <c r="R504" s="93">
        <f t="shared" si="199"/>
        <v>0</v>
      </c>
      <c r="S504" s="93">
        <f t="shared" ref="S504:AF504" si="200">S123</f>
        <v>0</v>
      </c>
      <c r="T504" s="93">
        <f t="shared" si="200"/>
        <v>0</v>
      </c>
      <c r="U504" s="93">
        <f t="shared" si="200"/>
        <v>0</v>
      </c>
      <c r="V504" s="93">
        <f t="shared" si="200"/>
        <v>0</v>
      </c>
      <c r="W504" s="93">
        <f t="shared" si="200"/>
        <v>0</v>
      </c>
      <c r="X504" s="93">
        <f t="shared" si="200"/>
        <v>0</v>
      </c>
      <c r="Y504" s="93">
        <f t="shared" si="200"/>
        <v>0</v>
      </c>
      <c r="Z504" s="93">
        <f t="shared" si="200"/>
        <v>0</v>
      </c>
      <c r="AA504" s="93">
        <f t="shared" si="200"/>
        <v>0</v>
      </c>
      <c r="AB504" s="93">
        <f t="shared" si="200"/>
        <v>0</v>
      </c>
      <c r="AC504" s="93">
        <f t="shared" si="200"/>
        <v>0</v>
      </c>
      <c r="AD504" s="93">
        <f t="shared" si="200"/>
        <v>0</v>
      </c>
      <c r="AE504" s="93">
        <f t="shared" si="200"/>
        <v>0</v>
      </c>
      <c r="AF504" s="93">
        <f t="shared" si="200"/>
        <v>0</v>
      </c>
      <c r="AG504" s="93">
        <f>SUM(F504:AF504)</f>
        <v>9335078.1546967402</v>
      </c>
      <c r="AH504" s="30" t="str">
        <f t="shared" ref="AH504:AH509" si="201">IF(ABS(E504-AG504)&lt;0.01,"ok","err")</f>
        <v>ok</v>
      </c>
      <c r="AJ504" s="79"/>
      <c r="AK504" s="79"/>
      <c r="AL504" s="79"/>
      <c r="AM504" s="79"/>
      <c r="AN504" s="79"/>
      <c r="AO504" s="79"/>
    </row>
    <row r="505" spans="1:41" x14ac:dyDescent="0.2">
      <c r="A505" s="14" t="s">
        <v>646</v>
      </c>
      <c r="C505" s="126"/>
      <c r="E505" s="93">
        <f>E124+E200+E238+E276</f>
        <v>26478261.849559348</v>
      </c>
      <c r="F505" s="93">
        <f t="shared" si="198"/>
        <v>18089417.749894165</v>
      </c>
      <c r="G505" s="93">
        <f t="shared" si="198"/>
        <v>3343.570340132409</v>
      </c>
      <c r="H505" s="93">
        <f t="shared" si="198"/>
        <v>1017501.6309642964</v>
      </c>
      <c r="I505" s="93">
        <f t="shared" si="198"/>
        <v>667662.7423360605</v>
      </c>
      <c r="J505" s="93">
        <f t="shared" si="198"/>
        <v>46308.560458662323</v>
      </c>
      <c r="K505" s="93">
        <f t="shared" si="198"/>
        <v>837610.65604210098</v>
      </c>
      <c r="L505" s="93">
        <f t="shared" si="198"/>
        <v>5240537.5661980724</v>
      </c>
      <c r="M505" s="93">
        <f t="shared" si="198"/>
        <v>575879.37332585757</v>
      </c>
      <c r="N505" s="93">
        <f t="shared" si="198"/>
        <v>0</v>
      </c>
      <c r="O505" s="93">
        <f t="shared" si="198"/>
        <v>0</v>
      </c>
      <c r="P505" s="93">
        <f t="shared" si="198"/>
        <v>0</v>
      </c>
      <c r="Q505" s="93">
        <f t="shared" si="198"/>
        <v>0</v>
      </c>
      <c r="R505" s="93">
        <f t="shared" si="198"/>
        <v>0</v>
      </c>
      <c r="S505" s="93">
        <f t="shared" ref="S505:AF505" si="202">S124</f>
        <v>0</v>
      </c>
      <c r="T505" s="93">
        <f t="shared" si="202"/>
        <v>0</v>
      </c>
      <c r="U505" s="93">
        <f t="shared" si="202"/>
        <v>0</v>
      </c>
      <c r="V505" s="93">
        <f t="shared" si="202"/>
        <v>0</v>
      </c>
      <c r="W505" s="93">
        <f t="shared" si="202"/>
        <v>0</v>
      </c>
      <c r="X505" s="93">
        <f t="shared" si="202"/>
        <v>0</v>
      </c>
      <c r="Y505" s="93">
        <f t="shared" si="202"/>
        <v>0</v>
      </c>
      <c r="Z505" s="93">
        <f t="shared" si="202"/>
        <v>0</v>
      </c>
      <c r="AA505" s="93">
        <f t="shared" si="202"/>
        <v>0</v>
      </c>
      <c r="AB505" s="93">
        <f t="shared" si="202"/>
        <v>0</v>
      </c>
      <c r="AC505" s="93">
        <f t="shared" si="202"/>
        <v>0</v>
      </c>
      <c r="AD505" s="93">
        <f t="shared" si="202"/>
        <v>0</v>
      </c>
      <c r="AE505" s="93">
        <f t="shared" si="202"/>
        <v>0</v>
      </c>
      <c r="AF505" s="93">
        <f t="shared" si="202"/>
        <v>0</v>
      </c>
      <c r="AG505" s="93">
        <f>SUM(F505:AF505)</f>
        <v>26478261.849559356</v>
      </c>
      <c r="AH505" s="30" t="str">
        <f t="shared" si="201"/>
        <v>ok</v>
      </c>
      <c r="AJ505" s="79"/>
      <c r="AK505" s="79"/>
      <c r="AL505" s="79"/>
      <c r="AM505" s="79"/>
      <c r="AN505" s="79"/>
      <c r="AO505" s="79"/>
    </row>
    <row r="506" spans="1:41" x14ac:dyDescent="0.2">
      <c r="A506" s="14" t="s">
        <v>894</v>
      </c>
      <c r="C506" s="126"/>
      <c r="E506" s="93">
        <f t="shared" ref="E506:R506" si="203">E128+E204+E242+E280</f>
        <v>0</v>
      </c>
      <c r="F506" s="93">
        <f t="shared" si="203"/>
        <v>0</v>
      </c>
      <c r="G506" s="93">
        <f t="shared" si="203"/>
        <v>0</v>
      </c>
      <c r="H506" s="93">
        <f t="shared" si="203"/>
        <v>0</v>
      </c>
      <c r="I506" s="93">
        <f t="shared" si="203"/>
        <v>0</v>
      </c>
      <c r="J506" s="93">
        <f t="shared" si="203"/>
        <v>0</v>
      </c>
      <c r="K506" s="93">
        <f t="shared" si="203"/>
        <v>0</v>
      </c>
      <c r="L506" s="93">
        <f t="shared" si="203"/>
        <v>0</v>
      </c>
      <c r="M506" s="93">
        <f t="shared" si="203"/>
        <v>0</v>
      </c>
      <c r="N506" s="93">
        <f t="shared" si="203"/>
        <v>0</v>
      </c>
      <c r="O506" s="93">
        <f t="shared" si="203"/>
        <v>0</v>
      </c>
      <c r="P506" s="93">
        <f t="shared" si="203"/>
        <v>0</v>
      </c>
      <c r="Q506" s="93">
        <f t="shared" si="203"/>
        <v>0</v>
      </c>
      <c r="R506" s="93">
        <f t="shared" si="203"/>
        <v>0</v>
      </c>
      <c r="S506" s="93"/>
      <c r="T506" s="93"/>
      <c r="U506" s="93"/>
      <c r="V506" s="93"/>
      <c r="W506" s="93"/>
      <c r="X506" s="93"/>
      <c r="Y506" s="93"/>
      <c r="Z506" s="93"/>
      <c r="AA506" s="93"/>
      <c r="AB506" s="93"/>
      <c r="AC506" s="93"/>
      <c r="AD506" s="93"/>
      <c r="AE506" s="93"/>
      <c r="AF506" s="93"/>
      <c r="AG506" s="93">
        <f>SUM(F506:AF506)</f>
        <v>0</v>
      </c>
      <c r="AH506" s="30" t="str">
        <f t="shared" si="201"/>
        <v>ok</v>
      </c>
      <c r="AJ506" s="79"/>
      <c r="AK506" s="79"/>
      <c r="AL506" s="79"/>
      <c r="AM506" s="79"/>
      <c r="AN506" s="79"/>
      <c r="AO506" s="79"/>
    </row>
    <row r="507" spans="1:41" x14ac:dyDescent="0.2">
      <c r="A507" s="14" t="s">
        <v>647</v>
      </c>
      <c r="C507" s="126"/>
      <c r="E507" s="93">
        <f t="shared" ref="E507:AG507" si="204">E131+E134+E139+E207+E210+E215+E245+E248+E253+E283+E286+E291</f>
        <v>6820836.1215078505</v>
      </c>
      <c r="F507" s="93">
        <f t="shared" si="204"/>
        <v>5500421.8151292382</v>
      </c>
      <c r="G507" s="93">
        <f t="shared" si="204"/>
        <v>1012.2315398205545</v>
      </c>
      <c r="H507" s="93">
        <f t="shared" si="204"/>
        <v>242250.63381259827</v>
      </c>
      <c r="I507" s="93">
        <f t="shared" si="204"/>
        <v>101701.37111040861</v>
      </c>
      <c r="J507" s="93">
        <f t="shared" si="204"/>
        <v>14077.005233140715</v>
      </c>
      <c r="K507" s="93">
        <f t="shared" si="204"/>
        <v>199149.02595150599</v>
      </c>
      <c r="L507" s="93">
        <f t="shared" si="204"/>
        <v>699187.53355154803</v>
      </c>
      <c r="M507" s="93">
        <f t="shared" si="204"/>
        <v>63036.505179518026</v>
      </c>
      <c r="N507" s="93">
        <f t="shared" si="204"/>
        <v>0</v>
      </c>
      <c r="O507" s="93">
        <f t="shared" si="204"/>
        <v>0</v>
      </c>
      <c r="P507" s="93">
        <f t="shared" si="204"/>
        <v>0</v>
      </c>
      <c r="Q507" s="93">
        <f t="shared" si="204"/>
        <v>0</v>
      </c>
      <c r="R507" s="93">
        <f t="shared" si="204"/>
        <v>0</v>
      </c>
      <c r="S507" s="93">
        <f t="shared" si="204"/>
        <v>0</v>
      </c>
      <c r="T507" s="93">
        <f t="shared" si="204"/>
        <v>0</v>
      </c>
      <c r="U507" s="93">
        <f t="shared" si="204"/>
        <v>0</v>
      </c>
      <c r="V507" s="93">
        <f t="shared" si="204"/>
        <v>0</v>
      </c>
      <c r="W507" s="93">
        <f t="shared" si="204"/>
        <v>0</v>
      </c>
      <c r="X507" s="93">
        <f t="shared" si="204"/>
        <v>0</v>
      </c>
      <c r="Y507" s="93">
        <f t="shared" si="204"/>
        <v>0</v>
      </c>
      <c r="Z507" s="93">
        <f t="shared" si="204"/>
        <v>0</v>
      </c>
      <c r="AA507" s="93">
        <f t="shared" si="204"/>
        <v>0</v>
      </c>
      <c r="AB507" s="93">
        <f t="shared" si="204"/>
        <v>0</v>
      </c>
      <c r="AC507" s="93">
        <f t="shared" si="204"/>
        <v>0</v>
      </c>
      <c r="AD507" s="93">
        <f t="shared" si="204"/>
        <v>0</v>
      </c>
      <c r="AE507" s="93">
        <f t="shared" si="204"/>
        <v>0</v>
      </c>
      <c r="AF507" s="93">
        <f t="shared" si="204"/>
        <v>0</v>
      </c>
      <c r="AG507" s="93">
        <f t="shared" si="204"/>
        <v>6820836.1215077778</v>
      </c>
      <c r="AH507" s="30" t="str">
        <f t="shared" si="201"/>
        <v>ok</v>
      </c>
      <c r="AJ507" s="79"/>
      <c r="AK507" s="79"/>
      <c r="AL507" s="79"/>
      <c r="AM507" s="79"/>
      <c r="AN507" s="79"/>
      <c r="AO507" s="79"/>
    </row>
    <row r="508" spans="1:41" x14ac:dyDescent="0.2">
      <c r="A508" s="14" t="s">
        <v>648</v>
      </c>
      <c r="C508" s="126"/>
      <c r="E508" s="66">
        <f t="shared" ref="E508:AD508" si="205">E135+E140+E144+E147+E150+E153+E211+E216+E220+E223+E226+E229+E249+E254+E258+E261+E264+E267+E287+E292+E296+E299+E302+E305</f>
        <v>6967562.4184921486</v>
      </c>
      <c r="F508" s="66">
        <f t="shared" si="205"/>
        <v>6086532.0450700978</v>
      </c>
      <c r="G508" s="66">
        <f t="shared" si="205"/>
        <v>2436.9956582271939</v>
      </c>
      <c r="H508" s="66">
        <f t="shared" si="205"/>
        <v>365094.25742144353</v>
      </c>
      <c r="I508" s="66">
        <f t="shared" si="205"/>
        <v>54257.84000491249</v>
      </c>
      <c r="J508" s="66">
        <f t="shared" si="205"/>
        <v>51989.240708846795</v>
      </c>
      <c r="K508" s="66">
        <f t="shared" si="205"/>
        <v>19277.017273767484</v>
      </c>
      <c r="L508" s="66">
        <f t="shared" si="205"/>
        <v>37348.517032711265</v>
      </c>
      <c r="M508" s="66">
        <f t="shared" si="205"/>
        <v>350626.50532214338</v>
      </c>
      <c r="N508" s="66">
        <f t="shared" si="205"/>
        <v>0</v>
      </c>
      <c r="O508" s="66">
        <f t="shared" si="205"/>
        <v>0</v>
      </c>
      <c r="P508" s="66">
        <f t="shared" si="205"/>
        <v>0</v>
      </c>
      <c r="Q508" s="66">
        <f t="shared" si="205"/>
        <v>0</v>
      </c>
      <c r="R508" s="66">
        <f t="shared" si="205"/>
        <v>0</v>
      </c>
      <c r="S508" s="66">
        <f t="shared" si="205"/>
        <v>0</v>
      </c>
      <c r="T508" s="66">
        <f t="shared" si="205"/>
        <v>0</v>
      </c>
      <c r="U508" s="66">
        <f t="shared" si="205"/>
        <v>0</v>
      </c>
      <c r="V508" s="66">
        <f t="shared" si="205"/>
        <v>0</v>
      </c>
      <c r="W508" s="66">
        <f t="shared" si="205"/>
        <v>0</v>
      </c>
      <c r="X508" s="66">
        <f t="shared" si="205"/>
        <v>0</v>
      </c>
      <c r="Y508" s="66">
        <f t="shared" si="205"/>
        <v>0</v>
      </c>
      <c r="Z508" s="66">
        <f t="shared" si="205"/>
        <v>0</v>
      </c>
      <c r="AA508" s="66">
        <f t="shared" si="205"/>
        <v>0</v>
      </c>
      <c r="AB508" s="66">
        <f t="shared" si="205"/>
        <v>0</v>
      </c>
      <c r="AC508" s="66">
        <f t="shared" si="205"/>
        <v>0</v>
      </c>
      <c r="AD508" s="66">
        <f t="shared" si="205"/>
        <v>0</v>
      </c>
      <c r="AE508" s="66"/>
      <c r="AF508" s="66">
        <f>AF135+AF140+AF144+AF147+AF150+AF153+AF211+AF216+AF220+AF223+AF226+AF229+AF249+AF254+AF258+AF261+AF264+AF267+AF287+AF292+AF296+AF299+AF302+AF305</f>
        <v>0</v>
      </c>
      <c r="AG508" s="93">
        <f>SUM(F508:AF508)</f>
        <v>6967562.4184921496</v>
      </c>
      <c r="AH508" s="30" t="str">
        <f t="shared" si="201"/>
        <v>ok</v>
      </c>
      <c r="AJ508" s="79"/>
      <c r="AK508" s="79"/>
      <c r="AL508" s="79"/>
      <c r="AM508" s="79"/>
      <c r="AN508" s="79"/>
      <c r="AO508" s="79"/>
    </row>
    <row r="509" spans="1:41" x14ac:dyDescent="0.2">
      <c r="A509" s="14" t="s">
        <v>0</v>
      </c>
      <c r="E509" s="104">
        <f>SUM(E504:E508)</f>
        <v>49601738.539999999</v>
      </c>
      <c r="F509" s="104">
        <f t="shared" ref="F509:R509" si="206">SUM(F504:F508)</f>
        <v>36073112.474484369</v>
      </c>
      <c r="G509" s="104">
        <f t="shared" si="206"/>
        <v>8052.9016208606336</v>
      </c>
      <c r="H509" s="104">
        <f t="shared" si="206"/>
        <v>2101752.0484682168</v>
      </c>
      <c r="I509" s="104">
        <f t="shared" si="206"/>
        <v>1136132.17553665</v>
      </c>
      <c r="J509" s="104">
        <f t="shared" si="206"/>
        <v>128541.96384332559</v>
      </c>
      <c r="K509" s="104">
        <f t="shared" si="206"/>
        <v>1182032.0320736873</v>
      </c>
      <c r="L509" s="104">
        <f t="shared" si="206"/>
        <v>7872556.4788563531</v>
      </c>
      <c r="M509" s="104">
        <f t="shared" si="206"/>
        <v>1099558.4693725517</v>
      </c>
      <c r="N509" s="104">
        <f t="shared" si="206"/>
        <v>0</v>
      </c>
      <c r="O509" s="104">
        <f t="shared" si="206"/>
        <v>0</v>
      </c>
      <c r="P509" s="104">
        <f t="shared" si="206"/>
        <v>0</v>
      </c>
      <c r="Q509" s="104">
        <f t="shared" si="206"/>
        <v>0</v>
      </c>
      <c r="R509" s="104">
        <f t="shared" si="206"/>
        <v>0</v>
      </c>
      <c r="S509" s="104">
        <f t="shared" ref="S509:AG509" si="207">SUM(S504:S508)</f>
        <v>0</v>
      </c>
      <c r="T509" s="104">
        <f t="shared" si="207"/>
        <v>0</v>
      </c>
      <c r="U509" s="104">
        <f t="shared" si="207"/>
        <v>0</v>
      </c>
      <c r="V509" s="104">
        <f t="shared" si="207"/>
        <v>0</v>
      </c>
      <c r="W509" s="104">
        <f t="shared" si="207"/>
        <v>0</v>
      </c>
      <c r="X509" s="104">
        <f t="shared" si="207"/>
        <v>0</v>
      </c>
      <c r="Y509" s="104">
        <f t="shared" si="207"/>
        <v>0</v>
      </c>
      <c r="Z509" s="104">
        <f t="shared" si="207"/>
        <v>0</v>
      </c>
      <c r="AA509" s="104">
        <f t="shared" si="207"/>
        <v>0</v>
      </c>
      <c r="AB509" s="104">
        <f t="shared" si="207"/>
        <v>0</v>
      </c>
      <c r="AC509" s="104">
        <f t="shared" si="207"/>
        <v>0</v>
      </c>
      <c r="AD509" s="104">
        <f t="shared" si="207"/>
        <v>0</v>
      </c>
      <c r="AE509" s="104">
        <f t="shared" si="207"/>
        <v>0</v>
      </c>
      <c r="AF509" s="104">
        <f t="shared" si="207"/>
        <v>0</v>
      </c>
      <c r="AG509" s="104">
        <f t="shared" si="207"/>
        <v>49601738.544256032</v>
      </c>
      <c r="AH509" s="30" t="str">
        <f t="shared" si="201"/>
        <v>ok</v>
      </c>
      <c r="AJ509" s="79"/>
      <c r="AK509" s="79"/>
      <c r="AL509" s="79"/>
      <c r="AM509" s="79"/>
      <c r="AN509" s="79"/>
      <c r="AO509" s="79"/>
    </row>
    <row r="511" spans="1:41" x14ac:dyDescent="0.2">
      <c r="A511" s="13" t="s">
        <v>697</v>
      </c>
      <c r="E511" s="93"/>
      <c r="F511" s="93"/>
      <c r="G511" s="93"/>
      <c r="H511" s="93"/>
      <c r="I511" s="93"/>
      <c r="J511" s="93"/>
      <c r="K511" s="93"/>
      <c r="L511" s="93"/>
      <c r="M511" s="93"/>
      <c r="N511" s="93"/>
      <c r="O511" s="93"/>
    </row>
    <row r="512" spans="1:41" x14ac:dyDescent="0.2">
      <c r="E512" s="93"/>
      <c r="F512" s="93"/>
      <c r="G512" s="93"/>
      <c r="H512" s="93"/>
      <c r="I512" s="93"/>
      <c r="J512" s="93"/>
      <c r="K512" s="93"/>
      <c r="L512" s="93"/>
      <c r="M512" s="93"/>
      <c r="N512" s="93"/>
      <c r="O512" s="93"/>
      <c r="AJ512" s="90"/>
      <c r="AK512" s="187"/>
      <c r="AL512" s="90"/>
      <c r="AM512" s="90"/>
      <c r="AN512" s="90"/>
      <c r="AO512" s="90"/>
    </row>
    <row r="513" spans="1:41" x14ac:dyDescent="0.2">
      <c r="A513" s="14" t="s">
        <v>645</v>
      </c>
      <c r="C513" s="126"/>
      <c r="D513" s="93"/>
      <c r="E513" s="93">
        <f>E504+E359*'Purchased Power'!$O$34</f>
        <v>6407973.9504406508</v>
      </c>
      <c r="F513" s="93">
        <f>F504+F359*'Purchased Power'!$O$34</f>
        <v>4217532.7030281369</v>
      </c>
      <c r="G513" s="93">
        <f>G504+G359*'Purchased Power'!$O$34</f>
        <v>841.79470733369544</v>
      </c>
      <c r="H513" s="93">
        <f>H504+H359*'Purchased Power'!$O$34</f>
        <v>355489.26737022138</v>
      </c>
      <c r="I513" s="93">
        <f>I504+I359*'Purchased Power'!$O$34</f>
        <v>229355.15980450914</v>
      </c>
      <c r="J513" s="93">
        <f>J504+J359*'Purchased Power'!$O$34</f>
        <v>10043.308568189917</v>
      </c>
      <c r="K513" s="93">
        <f>K504+K359*'Purchased Power'!$O$34</f>
        <v>47849.630429618977</v>
      </c>
      <c r="L513" s="93">
        <f>L504+L359*'Purchased Power'!$O$34</f>
        <v>1438807.1796472981</v>
      </c>
      <c r="M513" s="93">
        <f>M504+M359*'Purchased Power'!$O$34</f>
        <v>108054.91114143144</v>
      </c>
      <c r="N513" s="93">
        <f t="shared" ref="N513:O513" si="208">N504+N359</f>
        <v>0</v>
      </c>
      <c r="O513" s="93">
        <f t="shared" si="208"/>
        <v>0</v>
      </c>
      <c r="P513" s="93">
        <f t="shared" ref="P513:R513" si="209">P504+(P$362+P$363)</f>
        <v>0</v>
      </c>
      <c r="Q513" s="93">
        <f t="shared" si="209"/>
        <v>0</v>
      </c>
      <c r="R513" s="93">
        <f t="shared" si="209"/>
        <v>0</v>
      </c>
      <c r="S513" s="93">
        <f t="shared" ref="S513:AF513" si="210">S504</f>
        <v>0</v>
      </c>
      <c r="T513" s="93">
        <f t="shared" si="210"/>
        <v>0</v>
      </c>
      <c r="U513" s="93">
        <f t="shared" si="210"/>
        <v>0</v>
      </c>
      <c r="V513" s="93">
        <f t="shared" si="210"/>
        <v>0</v>
      </c>
      <c r="W513" s="93">
        <f t="shared" si="210"/>
        <v>0</v>
      </c>
      <c r="X513" s="93">
        <f t="shared" si="210"/>
        <v>0</v>
      </c>
      <c r="Y513" s="93">
        <f t="shared" si="210"/>
        <v>0</v>
      </c>
      <c r="Z513" s="93">
        <f t="shared" si="210"/>
        <v>0</v>
      </c>
      <c r="AA513" s="93">
        <f t="shared" si="210"/>
        <v>0</v>
      </c>
      <c r="AB513" s="93">
        <f t="shared" si="210"/>
        <v>0</v>
      </c>
      <c r="AC513" s="93">
        <f t="shared" si="210"/>
        <v>0</v>
      </c>
      <c r="AD513" s="93">
        <f t="shared" si="210"/>
        <v>0</v>
      </c>
      <c r="AE513" s="93">
        <f t="shared" si="210"/>
        <v>0</v>
      </c>
      <c r="AF513" s="93">
        <f t="shared" si="210"/>
        <v>0</v>
      </c>
      <c r="AG513" s="93">
        <f t="shared" ref="AG513:AG518" si="211">SUM(F513:AF513)</f>
        <v>6407973.95469674</v>
      </c>
      <c r="AH513" s="30" t="str">
        <f t="shared" ref="AH513:AH518" si="212">IF(ABS(E513-AG513)&lt;0.01,"ok","err")</f>
        <v>ok</v>
      </c>
      <c r="AI513" s="93">
        <f>AG513-E513</f>
        <v>4.2560892179608345E-3</v>
      </c>
      <c r="AJ513" s="79"/>
      <c r="AK513" s="79"/>
      <c r="AL513" s="79"/>
      <c r="AM513" s="79"/>
      <c r="AN513" s="79"/>
      <c r="AO513" s="79"/>
    </row>
    <row r="514" spans="1:41" x14ac:dyDescent="0.2">
      <c r="A514" s="14" t="s">
        <v>646</v>
      </c>
      <c r="C514" s="126"/>
      <c r="D514" s="93"/>
      <c r="E514" s="93">
        <f>E505+E358+E360+E362+E359*'Purchased Power'!$O$35</f>
        <v>20442668.139559347</v>
      </c>
      <c r="F514" s="93">
        <f>F505+F358+F360+F362+F359*'Purchased Power'!$O$35</f>
        <v>13760489.226152953</v>
      </c>
      <c r="G514" s="93">
        <f>G505+G358+G360+G362+G359*'Purchased Power'!$O$35</f>
        <v>2445.7285233925586</v>
      </c>
      <c r="H514" s="93">
        <f>H505+H358+H360+H362+H359*'Purchased Power'!$O$35</f>
        <v>781910.83158935956</v>
      </c>
      <c r="I514" s="93">
        <f>I505+I358+I360+I362+I359*'Purchased Power'!$O$35</f>
        <v>510830.77655945736</v>
      </c>
      <c r="J514" s="93">
        <f>J505+J358+J360+J362+J359*'Purchased Power'!$O$35</f>
        <v>35519.502835734012</v>
      </c>
      <c r="K514" s="93">
        <f>K505+K358+K360+K362+K359*'Purchased Power'!$O$35</f>
        <v>654013.94789689628</v>
      </c>
      <c r="L514" s="93">
        <f>L505+L358+L360+L362+L359*'Purchased Power'!$O$35</f>
        <v>4112659.1816821322</v>
      </c>
      <c r="M514" s="93">
        <f>M505+M358+M360+M362+M359*'Purchased Power'!$O$35</f>
        <v>584798.94431942143</v>
      </c>
      <c r="N514" s="93">
        <f t="shared" ref="N514:O514" si="213">N505+N358+N360</f>
        <v>0</v>
      </c>
      <c r="O514" s="93">
        <f t="shared" si="213"/>
        <v>0</v>
      </c>
      <c r="P514" s="93">
        <f t="shared" ref="P514:R514" si="214">P505+(P$369+P$370)</f>
        <v>0</v>
      </c>
      <c r="Q514" s="93">
        <f t="shared" si="214"/>
        <v>0</v>
      </c>
      <c r="R514" s="93">
        <f t="shared" si="214"/>
        <v>0</v>
      </c>
      <c r="S514" s="93">
        <f t="shared" ref="S514:AF514" si="215">S505</f>
        <v>0</v>
      </c>
      <c r="T514" s="93">
        <f t="shared" si="215"/>
        <v>0</v>
      </c>
      <c r="U514" s="93">
        <f t="shared" si="215"/>
        <v>0</v>
      </c>
      <c r="V514" s="93">
        <f t="shared" si="215"/>
        <v>0</v>
      </c>
      <c r="W514" s="93">
        <f t="shared" si="215"/>
        <v>0</v>
      </c>
      <c r="X514" s="93">
        <f t="shared" si="215"/>
        <v>0</v>
      </c>
      <c r="Y514" s="93">
        <f t="shared" si="215"/>
        <v>0</v>
      </c>
      <c r="Z514" s="93">
        <f t="shared" si="215"/>
        <v>0</v>
      </c>
      <c r="AA514" s="93">
        <f t="shared" si="215"/>
        <v>0</v>
      </c>
      <c r="AB514" s="93">
        <f t="shared" si="215"/>
        <v>0</v>
      </c>
      <c r="AC514" s="93">
        <f t="shared" si="215"/>
        <v>0</v>
      </c>
      <c r="AD514" s="93">
        <f t="shared" si="215"/>
        <v>0</v>
      </c>
      <c r="AE514" s="93">
        <f t="shared" si="215"/>
        <v>0</v>
      </c>
      <c r="AF514" s="93">
        <f t="shared" si="215"/>
        <v>0</v>
      </c>
      <c r="AG514" s="93">
        <f t="shared" ref="AG514:AG517" si="216">SUM(F514:AF514)</f>
        <v>20442668.139559343</v>
      </c>
      <c r="AH514" s="30" t="str">
        <f t="shared" ref="AH514:AH517" si="217">IF(ABS(E514-AG514)&lt;0.01,"ok","err")</f>
        <v>ok</v>
      </c>
      <c r="AI514" s="93">
        <f t="shared" ref="AI514:AI518" si="218">AG514-E514</f>
        <v>0</v>
      </c>
      <c r="AJ514" s="79"/>
      <c r="AK514" s="79"/>
      <c r="AL514" s="79"/>
      <c r="AM514" s="79"/>
      <c r="AN514" s="79"/>
      <c r="AO514" s="79"/>
    </row>
    <row r="515" spans="1:41" x14ac:dyDescent="0.2">
      <c r="A515" s="14" t="s">
        <v>894</v>
      </c>
      <c r="C515" s="126"/>
      <c r="D515" s="93"/>
      <c r="E515" s="93">
        <f t="shared" ref="E515:M515" si="219">E506</f>
        <v>0</v>
      </c>
      <c r="F515" s="93">
        <f t="shared" si="219"/>
        <v>0</v>
      </c>
      <c r="G515" s="93">
        <f t="shared" si="219"/>
        <v>0</v>
      </c>
      <c r="H515" s="93">
        <f t="shared" si="219"/>
        <v>0</v>
      </c>
      <c r="I515" s="93">
        <f t="shared" si="219"/>
        <v>0</v>
      </c>
      <c r="J515" s="93">
        <f t="shared" si="219"/>
        <v>0</v>
      </c>
      <c r="K515" s="93">
        <f t="shared" si="219"/>
        <v>0</v>
      </c>
      <c r="L515" s="93">
        <f t="shared" si="219"/>
        <v>0</v>
      </c>
      <c r="M515" s="93">
        <f t="shared" si="219"/>
        <v>0</v>
      </c>
      <c r="N515" s="93">
        <f t="shared" ref="N515:O515" si="220">N506</f>
        <v>0</v>
      </c>
      <c r="O515" s="93">
        <f t="shared" si="220"/>
        <v>0</v>
      </c>
      <c r="P515" s="93">
        <f t="shared" ref="P515:R515" si="221">P506+(P$361)</f>
        <v>0</v>
      </c>
      <c r="Q515" s="93">
        <f t="shared" si="221"/>
        <v>0</v>
      </c>
      <c r="R515" s="93">
        <f t="shared" si="221"/>
        <v>0</v>
      </c>
      <c r="S515" s="93"/>
      <c r="T515" s="93"/>
      <c r="U515" s="93"/>
      <c r="V515" s="93"/>
      <c r="W515" s="93"/>
      <c r="X515" s="93"/>
      <c r="Y515" s="93"/>
      <c r="Z515" s="93"/>
      <c r="AA515" s="93"/>
      <c r="AB515" s="93"/>
      <c r="AC515" s="93"/>
      <c r="AD515" s="93"/>
      <c r="AE515" s="93"/>
      <c r="AF515" s="93"/>
      <c r="AG515" s="93">
        <f t="shared" si="216"/>
        <v>0</v>
      </c>
      <c r="AH515" s="30" t="str">
        <f t="shared" si="217"/>
        <v>ok</v>
      </c>
      <c r="AI515" s="93">
        <f t="shared" si="218"/>
        <v>0</v>
      </c>
      <c r="AJ515" s="79"/>
      <c r="AK515" s="79"/>
      <c r="AL515" s="79"/>
      <c r="AM515" s="79"/>
      <c r="AN515" s="79"/>
      <c r="AO515" s="79"/>
    </row>
    <row r="516" spans="1:41" x14ac:dyDescent="0.2">
      <c r="A516" s="14" t="s">
        <v>647</v>
      </c>
      <c r="C516" s="126"/>
      <c r="D516" s="93"/>
      <c r="E516" s="93">
        <f>E507+(E361+E363+E364+E365+E366+E367+E368+E369+E370+E371+E372)*($E$507/($E$507+$E$508))</f>
        <v>6815612.9161250377</v>
      </c>
      <c r="F516" s="93">
        <f t="shared" ref="F516:I516" si="222">F507+(F361+F363+F364+F365+F366+F367+F368+F369+F370+F371+F372)*($E$507/($E$507+$E$508))</f>
        <v>5441239.2415868267</v>
      </c>
      <c r="G516" s="93">
        <f t="shared" si="222"/>
        <v>989.3836520392889</v>
      </c>
      <c r="H516" s="93">
        <f t="shared" si="222"/>
        <v>235169.59687998326</v>
      </c>
      <c r="I516" s="93">
        <f t="shared" si="222"/>
        <v>105554.82944544348</v>
      </c>
      <c r="J516" s="93">
        <f t="shared" ref="J516:M516" si="223">J507+(J361+J363+J364+J365+J366+J367+J368+J369+J370+J371+J372)*($E$507/($E$507+$E$508))</f>
        <v>13858.445268028358</v>
      </c>
      <c r="K516" s="93">
        <f t="shared" si="223"/>
        <v>197389.87738234631</v>
      </c>
      <c r="L516" s="93">
        <f t="shared" si="223"/>
        <v>766854.8809814722</v>
      </c>
      <c r="M516" s="93">
        <f t="shared" si="223"/>
        <v>54556.660928827449</v>
      </c>
      <c r="N516" s="93">
        <v>0</v>
      </c>
      <c r="O516" s="93">
        <v>0</v>
      </c>
      <c r="P516" s="93">
        <f>P507+(($E358+$E359+$E364+$E365+$E371+$E372+$E373+$E382)*(P507/($E507+$E508)))</f>
        <v>0</v>
      </c>
      <c r="Q516" s="93">
        <f>Q507+(($E358+$E359+$E364+$E365+$E371+$E372+$E373+$E382)*(Q507/($E507+$E508)))</f>
        <v>0</v>
      </c>
      <c r="R516" s="93">
        <f>R507+(($E358+$E359+$E364+$E365+$E371+$E372+$E373+$E382)*(R507/($E507+$E508)))</f>
        <v>0</v>
      </c>
      <c r="S516" s="93">
        <f t="shared" ref="S516:AF516" si="224">S507+(($E$371+$E$372+$E$373+$E$382)*(S507/($E$507+$E$508)))</f>
        <v>0</v>
      </c>
      <c r="T516" s="93">
        <f t="shared" si="224"/>
        <v>0</v>
      </c>
      <c r="U516" s="93">
        <f t="shared" si="224"/>
        <v>0</v>
      </c>
      <c r="V516" s="93">
        <f t="shared" si="224"/>
        <v>0</v>
      </c>
      <c r="W516" s="93">
        <f t="shared" si="224"/>
        <v>0</v>
      </c>
      <c r="X516" s="93">
        <f t="shared" si="224"/>
        <v>0</v>
      </c>
      <c r="Y516" s="93">
        <f t="shared" si="224"/>
        <v>0</v>
      </c>
      <c r="Z516" s="93">
        <f t="shared" si="224"/>
        <v>0</v>
      </c>
      <c r="AA516" s="93">
        <f t="shared" si="224"/>
        <v>0</v>
      </c>
      <c r="AB516" s="93">
        <f t="shared" si="224"/>
        <v>0</v>
      </c>
      <c r="AC516" s="93">
        <f t="shared" si="224"/>
        <v>0</v>
      </c>
      <c r="AD516" s="93">
        <f t="shared" si="224"/>
        <v>0</v>
      </c>
      <c r="AE516" s="93">
        <f t="shared" si="224"/>
        <v>0</v>
      </c>
      <c r="AF516" s="93">
        <f t="shared" si="224"/>
        <v>0</v>
      </c>
      <c r="AG516" s="93">
        <f t="shared" si="216"/>
        <v>6815612.9161249669</v>
      </c>
      <c r="AH516" s="30" t="str">
        <f t="shared" si="217"/>
        <v>ok</v>
      </c>
      <c r="AI516" s="93">
        <f t="shared" si="218"/>
        <v>-7.0780515670776367E-8</v>
      </c>
      <c r="AJ516" s="79"/>
      <c r="AK516" s="79"/>
      <c r="AL516" s="79"/>
      <c r="AM516" s="79"/>
      <c r="AN516" s="79"/>
      <c r="AO516" s="79"/>
    </row>
    <row r="517" spans="1:41" x14ac:dyDescent="0.2">
      <c r="A517" s="14" t="s">
        <v>648</v>
      </c>
      <c r="C517" s="126"/>
      <c r="D517" s="93"/>
      <c r="E517" s="93">
        <f>E508+(E361+E363+E364+E365+E366+E367+E368+E369+E370+E371+E372)*($E$508/($E$507+$E$508))</f>
        <v>6962226.8542180564</v>
      </c>
      <c r="F517" s="93">
        <f t="shared" ref="F517:I517" si="225">F508+(F361+F363+F364+F365+F366+F367+F368+F369+F370+F371+F372)*($E$508/($E$507+$E$508))</f>
        <v>6026076.3666315731</v>
      </c>
      <c r="G517" s="93">
        <f t="shared" si="225"/>
        <v>2413.6562785073538</v>
      </c>
      <c r="H517" s="93">
        <f t="shared" si="225"/>
        <v>357860.896886645</v>
      </c>
      <c r="I517" s="93">
        <f t="shared" si="225"/>
        <v>58194.191941554367</v>
      </c>
      <c r="J517" s="93">
        <f t="shared" ref="J517:M517" si="226">J508+(J361+J363+J364+J365+J366+J367+J368+J369+J370+J371+J372)*($E$508/($E$507+$E$508))</f>
        <v>51765.979194865839</v>
      </c>
      <c r="K517" s="93">
        <f t="shared" si="226"/>
        <v>17480.026810916206</v>
      </c>
      <c r="L517" s="93">
        <f t="shared" si="226"/>
        <v>106471.48942389726</v>
      </c>
      <c r="M517" s="93">
        <f t="shared" si="226"/>
        <v>341964.24705010076</v>
      </c>
      <c r="N517" s="93">
        <v>0</v>
      </c>
      <c r="O517" s="93">
        <v>0</v>
      </c>
      <c r="P517" s="93">
        <f>P508+(($E358+$E359+$E364+$E365+$E371+$E372+$E373+$E382)*(P508/($E507+$E508)))</f>
        <v>0</v>
      </c>
      <c r="Q517" s="93">
        <f>Q508+(($E358+$E359+$E364+$E365+$E371+$E372+$E373+$E382)*(Q508/($E507+$E508)))</f>
        <v>0</v>
      </c>
      <c r="R517" s="93">
        <f>R508+(($E358+$E359+$E364+$E365+$E371+$E372+$E373+$E382)*(R508/($E507+$E508)))</f>
        <v>0</v>
      </c>
      <c r="S517" s="93">
        <f t="shared" ref="S517:AF517" si="227">S508+(($E$371+$E$372+$E$373+$E$382)*(S508/($E$507+$E$508)))</f>
        <v>0</v>
      </c>
      <c r="T517" s="93">
        <f t="shared" si="227"/>
        <v>0</v>
      </c>
      <c r="U517" s="93">
        <f t="shared" si="227"/>
        <v>0</v>
      </c>
      <c r="V517" s="93">
        <f t="shared" si="227"/>
        <v>0</v>
      </c>
      <c r="W517" s="93">
        <f t="shared" si="227"/>
        <v>0</v>
      </c>
      <c r="X517" s="93">
        <f t="shared" si="227"/>
        <v>0</v>
      </c>
      <c r="Y517" s="93">
        <f t="shared" si="227"/>
        <v>0</v>
      </c>
      <c r="Z517" s="93">
        <f t="shared" si="227"/>
        <v>0</v>
      </c>
      <c r="AA517" s="93">
        <f t="shared" si="227"/>
        <v>0</v>
      </c>
      <c r="AB517" s="93">
        <f t="shared" si="227"/>
        <v>0</v>
      </c>
      <c r="AC517" s="93">
        <f t="shared" si="227"/>
        <v>0</v>
      </c>
      <c r="AD517" s="93">
        <f t="shared" si="227"/>
        <v>0</v>
      </c>
      <c r="AE517" s="93">
        <f t="shared" si="227"/>
        <v>0</v>
      </c>
      <c r="AF517" s="93">
        <f t="shared" si="227"/>
        <v>0</v>
      </c>
      <c r="AG517" s="93">
        <f t="shared" si="216"/>
        <v>6962226.8542180602</v>
      </c>
      <c r="AH517" s="30" t="str">
        <f t="shared" si="217"/>
        <v>ok</v>
      </c>
      <c r="AI517" s="93">
        <f t="shared" si="218"/>
        <v>0</v>
      </c>
      <c r="AJ517" s="79"/>
      <c r="AK517" s="79"/>
      <c r="AL517" s="79"/>
      <c r="AM517" s="79"/>
      <c r="AN517" s="79"/>
      <c r="AO517" s="79"/>
    </row>
    <row r="518" spans="1:41" x14ac:dyDescent="0.2">
      <c r="A518" s="14" t="s">
        <v>0</v>
      </c>
      <c r="E518" s="104">
        <f>SUM(E513:E517)</f>
        <v>40628481.860343091</v>
      </c>
      <c r="F518" s="104">
        <f t="shared" ref="F518:AF518" si="228">SUM(F513:F517)</f>
        <v>29445337.537399493</v>
      </c>
      <c r="G518" s="104">
        <f t="shared" si="228"/>
        <v>6690.5631612728967</v>
      </c>
      <c r="H518" s="104">
        <f t="shared" si="228"/>
        <v>1730430.5927262092</v>
      </c>
      <c r="I518" s="104">
        <f t="shared" si="228"/>
        <v>903934.95775096421</v>
      </c>
      <c r="J518" s="104">
        <f t="shared" si="228"/>
        <v>111187.23586681813</v>
      </c>
      <c r="K518" s="104">
        <f t="shared" si="228"/>
        <v>916733.48251977784</v>
      </c>
      <c r="L518" s="104">
        <f t="shared" si="228"/>
        <v>6424792.7317348002</v>
      </c>
      <c r="M518" s="104">
        <f t="shared" si="228"/>
        <v>1089374.763439781</v>
      </c>
      <c r="N518" s="104">
        <f t="shared" si="228"/>
        <v>0</v>
      </c>
      <c r="O518" s="104">
        <f t="shared" si="228"/>
        <v>0</v>
      </c>
      <c r="P518" s="104">
        <f t="shared" si="228"/>
        <v>0</v>
      </c>
      <c r="Q518" s="104">
        <f t="shared" si="228"/>
        <v>0</v>
      </c>
      <c r="R518" s="104">
        <f t="shared" si="228"/>
        <v>0</v>
      </c>
      <c r="S518" s="93">
        <f t="shared" si="228"/>
        <v>0</v>
      </c>
      <c r="T518" s="93">
        <f t="shared" si="228"/>
        <v>0</v>
      </c>
      <c r="U518" s="93">
        <f t="shared" si="228"/>
        <v>0</v>
      </c>
      <c r="V518" s="93">
        <f t="shared" si="228"/>
        <v>0</v>
      </c>
      <c r="W518" s="93">
        <f t="shared" si="228"/>
        <v>0</v>
      </c>
      <c r="X518" s="93">
        <f t="shared" si="228"/>
        <v>0</v>
      </c>
      <c r="Y518" s="93">
        <f t="shared" si="228"/>
        <v>0</v>
      </c>
      <c r="Z518" s="93">
        <f t="shared" si="228"/>
        <v>0</v>
      </c>
      <c r="AA518" s="93">
        <f t="shared" si="228"/>
        <v>0</v>
      </c>
      <c r="AB518" s="93">
        <f t="shared" si="228"/>
        <v>0</v>
      </c>
      <c r="AC518" s="93">
        <f t="shared" si="228"/>
        <v>0</v>
      </c>
      <c r="AD518" s="93">
        <f t="shared" si="228"/>
        <v>0</v>
      </c>
      <c r="AE518" s="93">
        <f t="shared" si="228"/>
        <v>0</v>
      </c>
      <c r="AF518" s="93">
        <f t="shared" si="228"/>
        <v>0</v>
      </c>
      <c r="AG518" s="93">
        <f t="shared" si="211"/>
        <v>40628481.864599116</v>
      </c>
      <c r="AH518" s="30" t="str">
        <f t="shared" si="212"/>
        <v>ok</v>
      </c>
      <c r="AI518" s="93">
        <f t="shared" si="218"/>
        <v>4.256024956703186E-3</v>
      </c>
      <c r="AJ518" s="79"/>
      <c r="AK518" s="79"/>
      <c r="AL518" s="79"/>
      <c r="AM518" s="79"/>
      <c r="AN518" s="79"/>
      <c r="AO518" s="79"/>
    </row>
    <row r="519" spans="1:41" x14ac:dyDescent="0.2">
      <c r="D519" s="29" t="s">
        <v>1130</v>
      </c>
      <c r="E519" s="93">
        <f>-E383</f>
        <v>8973256.6796569042</v>
      </c>
    </row>
    <row r="520" spans="1:41" x14ac:dyDescent="0.2">
      <c r="A520" s="13" t="s">
        <v>76</v>
      </c>
      <c r="D520" s="29" t="s">
        <v>1070</v>
      </c>
      <c r="E520" s="93">
        <v>0</v>
      </c>
      <c r="F520" s="93"/>
      <c r="G520" s="93"/>
      <c r="H520" s="93"/>
      <c r="I520" s="93"/>
      <c r="J520" s="93"/>
      <c r="K520" s="93"/>
    </row>
    <row r="522" spans="1:41" x14ac:dyDescent="0.2">
      <c r="A522" s="14" t="s">
        <v>896</v>
      </c>
      <c r="C522" s="126"/>
      <c r="E522" s="93">
        <f t="shared" ref="E522:R522" si="229">E85</f>
        <v>0</v>
      </c>
      <c r="F522" s="93">
        <f t="shared" si="229"/>
        <v>0</v>
      </c>
      <c r="G522" s="93">
        <f t="shared" si="229"/>
        <v>0</v>
      </c>
      <c r="H522" s="93">
        <f t="shared" si="229"/>
        <v>0</v>
      </c>
      <c r="I522" s="93">
        <f t="shared" si="229"/>
        <v>0</v>
      </c>
      <c r="J522" s="93">
        <f t="shared" si="229"/>
        <v>0</v>
      </c>
      <c r="K522" s="93">
        <f t="shared" si="229"/>
        <v>0</v>
      </c>
      <c r="L522" s="93">
        <f t="shared" si="229"/>
        <v>0</v>
      </c>
      <c r="M522" s="93">
        <f t="shared" si="229"/>
        <v>0</v>
      </c>
      <c r="N522" s="93">
        <f t="shared" si="229"/>
        <v>0</v>
      </c>
      <c r="O522" s="93">
        <f t="shared" si="229"/>
        <v>0</v>
      </c>
      <c r="P522" s="93">
        <f t="shared" si="229"/>
        <v>0</v>
      </c>
      <c r="Q522" s="93">
        <f t="shared" si="229"/>
        <v>0</v>
      </c>
      <c r="R522" s="93">
        <f t="shared" si="229"/>
        <v>0</v>
      </c>
      <c r="AG522" s="93">
        <f t="shared" ref="AG522:AG527" si="230">SUM(F522:AF522)</f>
        <v>0</v>
      </c>
      <c r="AH522" s="30" t="str">
        <f t="shared" ref="AH522:AH527" si="231">IF(ABS(E522-AG522)&lt;0.01,"ok","err")</f>
        <v>ok</v>
      </c>
    </row>
    <row r="523" spans="1:41" x14ac:dyDescent="0.2">
      <c r="A523" s="14" t="s">
        <v>897</v>
      </c>
      <c r="C523" s="126"/>
      <c r="E523" s="93">
        <f t="shared" ref="E523:R523" si="232">E86</f>
        <v>0</v>
      </c>
      <c r="F523" s="93">
        <f t="shared" si="232"/>
        <v>0</v>
      </c>
      <c r="G523" s="93">
        <f t="shared" si="232"/>
        <v>0</v>
      </c>
      <c r="H523" s="93">
        <f t="shared" si="232"/>
        <v>0</v>
      </c>
      <c r="I523" s="93">
        <f t="shared" si="232"/>
        <v>0</v>
      </c>
      <c r="J523" s="93">
        <f t="shared" si="232"/>
        <v>0</v>
      </c>
      <c r="K523" s="93">
        <f t="shared" si="232"/>
        <v>0</v>
      </c>
      <c r="L523" s="93">
        <f t="shared" si="232"/>
        <v>0</v>
      </c>
      <c r="M523" s="93">
        <f t="shared" si="232"/>
        <v>0</v>
      </c>
      <c r="N523" s="93">
        <f t="shared" si="232"/>
        <v>0</v>
      </c>
      <c r="O523" s="93">
        <f t="shared" si="232"/>
        <v>0</v>
      </c>
      <c r="P523" s="93">
        <f t="shared" si="232"/>
        <v>0</v>
      </c>
      <c r="Q523" s="93">
        <f t="shared" si="232"/>
        <v>0</v>
      </c>
      <c r="R523" s="93">
        <f t="shared" si="232"/>
        <v>0</v>
      </c>
      <c r="AG523" s="93">
        <f t="shared" si="230"/>
        <v>0</v>
      </c>
      <c r="AH523" s="30" t="str">
        <f t="shared" si="231"/>
        <v>ok</v>
      </c>
    </row>
    <row r="524" spans="1:41" x14ac:dyDescent="0.2">
      <c r="A524" s="14" t="s">
        <v>894</v>
      </c>
      <c r="C524" s="126"/>
      <c r="E524" s="93">
        <f t="shared" ref="E524:R524" si="233">E90</f>
        <v>0</v>
      </c>
      <c r="F524" s="93">
        <f t="shared" si="233"/>
        <v>0</v>
      </c>
      <c r="G524" s="93">
        <f t="shared" si="233"/>
        <v>0</v>
      </c>
      <c r="H524" s="93">
        <f t="shared" si="233"/>
        <v>0</v>
      </c>
      <c r="I524" s="93">
        <f t="shared" si="233"/>
        <v>0</v>
      </c>
      <c r="J524" s="93">
        <f t="shared" si="233"/>
        <v>0</v>
      </c>
      <c r="K524" s="93">
        <f t="shared" si="233"/>
        <v>0</v>
      </c>
      <c r="L524" s="93">
        <f t="shared" si="233"/>
        <v>0</v>
      </c>
      <c r="M524" s="93">
        <f t="shared" si="233"/>
        <v>0</v>
      </c>
      <c r="N524" s="93">
        <f t="shared" si="233"/>
        <v>0</v>
      </c>
      <c r="O524" s="93">
        <f t="shared" si="233"/>
        <v>0</v>
      </c>
      <c r="P524" s="93">
        <f t="shared" si="233"/>
        <v>0</v>
      </c>
      <c r="Q524" s="93">
        <f t="shared" si="233"/>
        <v>0</v>
      </c>
      <c r="R524" s="93">
        <f t="shared" si="233"/>
        <v>0</v>
      </c>
      <c r="AG524" s="93">
        <f t="shared" si="230"/>
        <v>0</v>
      </c>
      <c r="AH524" s="30" t="str">
        <f t="shared" si="231"/>
        <v>ok</v>
      </c>
    </row>
    <row r="525" spans="1:41" x14ac:dyDescent="0.2">
      <c r="A525" s="14" t="s">
        <v>647</v>
      </c>
      <c r="C525" s="126"/>
      <c r="E525" s="93">
        <f t="shared" ref="E525:AF525" si="234">E93+E96+E101</f>
        <v>40142427.589775793</v>
      </c>
      <c r="F525" s="93">
        <f t="shared" si="234"/>
        <v>32371174.050183535</v>
      </c>
      <c r="G525" s="93">
        <f t="shared" si="234"/>
        <v>5957.2213776263188</v>
      </c>
      <c r="H525" s="93">
        <f t="shared" si="234"/>
        <v>1425743.2793751773</v>
      </c>
      <c r="I525" s="93">
        <f t="shared" si="234"/>
        <v>598580.19699845521</v>
      </c>
      <c r="J525" s="93">
        <f t="shared" si="234"/>
        <v>82846.177754610704</v>
      </c>
      <c r="K525" s="93">
        <f t="shared" si="234"/>
        <v>1172010.3738192515</v>
      </c>
      <c r="L525" s="93">
        <f t="shared" si="234"/>
        <v>4115124.1838048962</v>
      </c>
      <c r="M525" s="93">
        <f t="shared" si="234"/>
        <v>370992.10646117199</v>
      </c>
      <c r="N525" s="93">
        <f t="shared" si="234"/>
        <v>0</v>
      </c>
      <c r="O525" s="93">
        <f t="shared" si="234"/>
        <v>0</v>
      </c>
      <c r="P525" s="93">
        <f t="shared" si="234"/>
        <v>0</v>
      </c>
      <c r="Q525" s="93">
        <f t="shared" si="234"/>
        <v>0</v>
      </c>
      <c r="R525" s="93">
        <f t="shared" si="234"/>
        <v>0</v>
      </c>
      <c r="S525" s="93">
        <f t="shared" si="234"/>
        <v>0</v>
      </c>
      <c r="T525" s="93">
        <f t="shared" si="234"/>
        <v>0</v>
      </c>
      <c r="U525" s="93">
        <f t="shared" si="234"/>
        <v>0</v>
      </c>
      <c r="V525" s="93">
        <f t="shared" si="234"/>
        <v>0</v>
      </c>
      <c r="W525" s="93">
        <f t="shared" si="234"/>
        <v>0</v>
      </c>
      <c r="X525" s="93">
        <f t="shared" si="234"/>
        <v>0</v>
      </c>
      <c r="Y525" s="93">
        <f t="shared" si="234"/>
        <v>0</v>
      </c>
      <c r="Z525" s="93">
        <f t="shared" si="234"/>
        <v>0</v>
      </c>
      <c r="AA525" s="93">
        <f t="shared" si="234"/>
        <v>0</v>
      </c>
      <c r="AB525" s="93">
        <f t="shared" si="234"/>
        <v>0</v>
      </c>
      <c r="AC525" s="93">
        <f t="shared" si="234"/>
        <v>0</v>
      </c>
      <c r="AD525" s="93">
        <f t="shared" si="234"/>
        <v>0</v>
      </c>
      <c r="AE525" s="93">
        <f t="shared" si="234"/>
        <v>0</v>
      </c>
      <c r="AF525" s="93">
        <f t="shared" si="234"/>
        <v>0</v>
      </c>
      <c r="AG525" s="93">
        <f t="shared" si="230"/>
        <v>40142427.589774735</v>
      </c>
      <c r="AH525" s="30" t="str">
        <f t="shared" si="231"/>
        <v>ok</v>
      </c>
    </row>
    <row r="526" spans="1:41" x14ac:dyDescent="0.2">
      <c r="A526" s="14" t="s">
        <v>648</v>
      </c>
      <c r="C526" s="126"/>
      <c r="E526" s="66">
        <f t="shared" ref="E526:AD526" si="235">E97+E102+E106+E109+E112+E115</f>
        <v>36002664.712724201</v>
      </c>
      <c r="F526" s="66">
        <f t="shared" si="235"/>
        <v>28384043.841664322</v>
      </c>
      <c r="G526" s="66">
        <f t="shared" si="235"/>
        <v>11364.729716833299</v>
      </c>
      <c r="H526" s="66">
        <f t="shared" si="235"/>
        <v>1803213.0311084243</v>
      </c>
      <c r="I526" s="66">
        <f t="shared" si="235"/>
        <v>256787.07220406685</v>
      </c>
      <c r="J526" s="66">
        <f t="shared" si="235"/>
        <v>242447.56729244368</v>
      </c>
      <c r="K526" s="66">
        <f t="shared" si="235"/>
        <v>90645.082931871526</v>
      </c>
      <c r="L526" s="66">
        <f t="shared" si="235"/>
        <v>172894.57107665643</v>
      </c>
      <c r="M526" s="66">
        <f t="shared" si="235"/>
        <v>5041268.8167295875</v>
      </c>
      <c r="N526" s="66">
        <f t="shared" si="235"/>
        <v>0</v>
      </c>
      <c r="O526" s="66">
        <f t="shared" si="235"/>
        <v>0</v>
      </c>
      <c r="P526" s="66">
        <f t="shared" si="235"/>
        <v>0</v>
      </c>
      <c r="Q526" s="66">
        <f t="shared" si="235"/>
        <v>0</v>
      </c>
      <c r="R526" s="66">
        <f t="shared" si="235"/>
        <v>0</v>
      </c>
      <c r="S526" s="66">
        <f t="shared" si="235"/>
        <v>0</v>
      </c>
      <c r="T526" s="66">
        <f t="shared" si="235"/>
        <v>0</v>
      </c>
      <c r="U526" s="66">
        <f t="shared" si="235"/>
        <v>0</v>
      </c>
      <c r="V526" s="66">
        <f t="shared" si="235"/>
        <v>0</v>
      </c>
      <c r="W526" s="66">
        <f t="shared" si="235"/>
        <v>0</v>
      </c>
      <c r="X526" s="66">
        <f t="shared" si="235"/>
        <v>0</v>
      </c>
      <c r="Y526" s="66">
        <f t="shared" si="235"/>
        <v>0</v>
      </c>
      <c r="Z526" s="66">
        <f t="shared" si="235"/>
        <v>0</v>
      </c>
      <c r="AA526" s="66">
        <f t="shared" si="235"/>
        <v>0</v>
      </c>
      <c r="AB526" s="66">
        <f t="shared" si="235"/>
        <v>0</v>
      </c>
      <c r="AC526" s="66">
        <f t="shared" si="235"/>
        <v>0</v>
      </c>
      <c r="AD526" s="66">
        <f t="shared" si="235"/>
        <v>0</v>
      </c>
      <c r="AE526" s="66"/>
      <c r="AF526" s="66">
        <f>AF97+AF102+AF106+AF109+AF112+AF115</f>
        <v>0</v>
      </c>
      <c r="AG526" s="93">
        <f t="shared" si="230"/>
        <v>36002664.712724209</v>
      </c>
      <c r="AH526" s="30" t="str">
        <f t="shared" si="231"/>
        <v>ok</v>
      </c>
    </row>
    <row r="527" spans="1:41" x14ac:dyDescent="0.2">
      <c r="A527" s="14" t="s">
        <v>0</v>
      </c>
      <c r="E527" s="104">
        <f>SUM(E522:E526)</f>
        <v>76145092.302499995</v>
      </c>
      <c r="F527" s="104">
        <f t="shared" ref="F527:R527" si="236">SUM(F522:F526)</f>
        <v>60755217.891847856</v>
      </c>
      <c r="G527" s="104">
        <f t="shared" si="236"/>
        <v>17321.951094459619</v>
      </c>
      <c r="H527" s="104">
        <f t="shared" si="236"/>
        <v>3228956.3104836019</v>
      </c>
      <c r="I527" s="104">
        <f t="shared" si="236"/>
        <v>855367.269202522</v>
      </c>
      <c r="J527" s="104">
        <f t="shared" si="236"/>
        <v>325293.74504705437</v>
      </c>
      <c r="K527" s="104">
        <f t="shared" si="236"/>
        <v>1262655.4567511231</v>
      </c>
      <c r="L527" s="104">
        <f t="shared" si="236"/>
        <v>4288018.7548815524</v>
      </c>
      <c r="M527" s="104">
        <f t="shared" si="236"/>
        <v>5412260.9231907595</v>
      </c>
      <c r="N527" s="104">
        <f t="shared" si="236"/>
        <v>0</v>
      </c>
      <c r="O527" s="104">
        <f t="shared" si="236"/>
        <v>0</v>
      </c>
      <c r="P527" s="104">
        <f t="shared" si="236"/>
        <v>0</v>
      </c>
      <c r="Q527" s="104">
        <f t="shared" si="236"/>
        <v>0</v>
      </c>
      <c r="R527" s="104">
        <f t="shared" si="236"/>
        <v>0</v>
      </c>
      <c r="S527" s="193"/>
      <c r="T527" s="193"/>
      <c r="U527" s="193"/>
      <c r="V527" s="193"/>
      <c r="W527" s="193"/>
      <c r="X527" s="193"/>
      <c r="Y527" s="193"/>
      <c r="Z527" s="193"/>
      <c r="AA527" s="193"/>
      <c r="AB527" s="193"/>
      <c r="AC527" s="193"/>
      <c r="AD527" s="193"/>
      <c r="AE527" s="193"/>
      <c r="AF527" s="193"/>
      <c r="AG527" s="104">
        <f t="shared" si="230"/>
        <v>76145092.302498922</v>
      </c>
      <c r="AH527" s="30" t="str">
        <f t="shared" si="231"/>
        <v>ok</v>
      </c>
    </row>
    <row r="530" spans="1:32" x14ac:dyDescent="0.2">
      <c r="A530" s="13" t="s">
        <v>762</v>
      </c>
      <c r="C530" s="213">
        <v>3.890576143473775E-2</v>
      </c>
      <c r="R530" s="80"/>
    </row>
    <row r="531" spans="1:32" x14ac:dyDescent="0.2">
      <c r="A531" s="14" t="s">
        <v>896</v>
      </c>
      <c r="E531" s="93">
        <f t="shared" ref="E531:R531" si="237">E513+(E522*$C$530)</f>
        <v>6407973.9504406508</v>
      </c>
      <c r="F531" s="93">
        <f t="shared" si="237"/>
        <v>4217532.7030281369</v>
      </c>
      <c r="G531" s="93">
        <f t="shared" si="237"/>
        <v>841.79470733369544</v>
      </c>
      <c r="H531" s="93">
        <f t="shared" si="237"/>
        <v>355489.26737022138</v>
      </c>
      <c r="I531" s="93">
        <f t="shared" si="237"/>
        <v>229355.15980450914</v>
      </c>
      <c r="J531" s="93">
        <f t="shared" si="237"/>
        <v>10043.308568189917</v>
      </c>
      <c r="K531" s="93">
        <f t="shared" si="237"/>
        <v>47849.630429618977</v>
      </c>
      <c r="L531" s="93">
        <f t="shared" si="237"/>
        <v>1438807.1796472981</v>
      </c>
      <c r="M531" s="93">
        <f t="shared" si="237"/>
        <v>108054.91114143144</v>
      </c>
      <c r="N531" s="93">
        <f t="shared" si="237"/>
        <v>0</v>
      </c>
      <c r="O531" s="93">
        <f t="shared" si="237"/>
        <v>0</v>
      </c>
      <c r="P531" s="93">
        <f t="shared" si="237"/>
        <v>0</v>
      </c>
      <c r="Q531" s="93">
        <f t="shared" si="237"/>
        <v>0</v>
      </c>
      <c r="R531" s="93">
        <f t="shared" si="237"/>
        <v>0</v>
      </c>
      <c r="S531" s="14">
        <f>S513</f>
        <v>0</v>
      </c>
    </row>
    <row r="532" spans="1:32" x14ac:dyDescent="0.2">
      <c r="A532" s="14" t="s">
        <v>897</v>
      </c>
      <c r="E532" s="93">
        <f t="shared" ref="E532:R532" si="238">E514+(E523*$C$530)</f>
        <v>20442668.139559347</v>
      </c>
      <c r="F532" s="93">
        <f t="shared" si="238"/>
        <v>13760489.226152953</v>
      </c>
      <c r="G532" s="93">
        <f t="shared" si="238"/>
        <v>2445.7285233925586</v>
      </c>
      <c r="H532" s="93">
        <f t="shared" si="238"/>
        <v>781910.83158935956</v>
      </c>
      <c r="I532" s="93">
        <f t="shared" si="238"/>
        <v>510830.77655945736</v>
      </c>
      <c r="J532" s="93">
        <f t="shared" si="238"/>
        <v>35519.502835734012</v>
      </c>
      <c r="K532" s="93">
        <f t="shared" si="238"/>
        <v>654013.94789689628</v>
      </c>
      <c r="L532" s="93">
        <f t="shared" si="238"/>
        <v>4112659.1816821322</v>
      </c>
      <c r="M532" s="93">
        <f t="shared" si="238"/>
        <v>584798.94431942143</v>
      </c>
      <c r="N532" s="93">
        <f t="shared" si="238"/>
        <v>0</v>
      </c>
      <c r="O532" s="93">
        <f t="shared" si="238"/>
        <v>0</v>
      </c>
      <c r="P532" s="93">
        <f t="shared" si="238"/>
        <v>0</v>
      </c>
      <c r="Q532" s="93">
        <f t="shared" si="238"/>
        <v>0</v>
      </c>
      <c r="R532" s="93">
        <f t="shared" si="238"/>
        <v>0</v>
      </c>
      <c r="S532" s="14">
        <f>S514</f>
        <v>0</v>
      </c>
    </row>
    <row r="533" spans="1:32" x14ac:dyDescent="0.2">
      <c r="A533" s="14" t="s">
        <v>894</v>
      </c>
      <c r="E533" s="93">
        <f t="shared" ref="E533:R533" si="239">E515+(E524*$C$530)</f>
        <v>0</v>
      </c>
      <c r="F533" s="93">
        <f t="shared" si="239"/>
        <v>0</v>
      </c>
      <c r="G533" s="93">
        <f t="shared" si="239"/>
        <v>0</v>
      </c>
      <c r="H533" s="93">
        <f t="shared" si="239"/>
        <v>0</v>
      </c>
      <c r="I533" s="93">
        <f t="shared" si="239"/>
        <v>0</v>
      </c>
      <c r="J533" s="93">
        <f t="shared" si="239"/>
        <v>0</v>
      </c>
      <c r="K533" s="93">
        <f t="shared" si="239"/>
        <v>0</v>
      </c>
      <c r="L533" s="93">
        <f t="shared" si="239"/>
        <v>0</v>
      </c>
      <c r="M533" s="93">
        <f t="shared" si="239"/>
        <v>0</v>
      </c>
      <c r="N533" s="93">
        <f t="shared" si="239"/>
        <v>0</v>
      </c>
      <c r="O533" s="93">
        <f t="shared" si="239"/>
        <v>0</v>
      </c>
      <c r="P533" s="93">
        <f t="shared" si="239"/>
        <v>0</v>
      </c>
      <c r="Q533" s="93">
        <f t="shared" si="239"/>
        <v>0</v>
      </c>
      <c r="R533" s="93">
        <f t="shared" si="239"/>
        <v>0</v>
      </c>
    </row>
    <row r="534" spans="1:32" x14ac:dyDescent="0.2">
      <c r="A534" s="14" t="s">
        <v>647</v>
      </c>
      <c r="E534" s="93">
        <f t="shared" ref="E534:R534" si="240">E516+(E525*$C$530)</f>
        <v>8377384.6273440896</v>
      </c>
      <c r="F534" s="93">
        <f t="shared" si="240"/>
        <v>6700664.4165456407</v>
      </c>
      <c r="G534" s="93">
        <f t="shared" si="240"/>
        <v>1221.1538857711382</v>
      </c>
      <c r="H534" s="93">
        <f t="shared" si="240"/>
        <v>290639.22477453458</v>
      </c>
      <c r="I534" s="93">
        <f t="shared" si="240"/>
        <v>128843.0477894237</v>
      </c>
      <c r="J534" s="93">
        <f t="shared" si="240"/>
        <v>17081.638895529119</v>
      </c>
      <c r="K534" s="93">
        <f t="shared" si="240"/>
        <v>242987.83338519593</v>
      </c>
      <c r="L534" s="93">
        <f t="shared" si="240"/>
        <v>926956.92075090541</v>
      </c>
      <c r="M534" s="93">
        <f t="shared" si="240"/>
        <v>68990.391316976631</v>
      </c>
      <c r="N534" s="93">
        <f t="shared" si="240"/>
        <v>0</v>
      </c>
      <c r="O534" s="93">
        <f t="shared" si="240"/>
        <v>0</v>
      </c>
      <c r="P534" s="93">
        <f t="shared" si="240"/>
        <v>0</v>
      </c>
      <c r="Q534" s="93">
        <f t="shared" si="240"/>
        <v>0</v>
      </c>
      <c r="R534" s="93">
        <f t="shared" si="240"/>
        <v>0</v>
      </c>
      <c r="S534" s="14">
        <f>S516+(S526*$C$530)</f>
        <v>0</v>
      </c>
    </row>
    <row r="535" spans="1:32" x14ac:dyDescent="0.2">
      <c r="A535" s="14" t="s">
        <v>648</v>
      </c>
      <c r="E535" s="93">
        <f t="shared" ref="E535:R535" si="241">E517+(E526*$C$530)</f>
        <v>8362937.9385461556</v>
      </c>
      <c r="F535" s="93">
        <f t="shared" si="241"/>
        <v>7130379.2048885021</v>
      </c>
      <c r="G535" s="93">
        <f t="shared" si="241"/>
        <v>2855.809741640745</v>
      </c>
      <c r="H535" s="93">
        <f t="shared" si="241"/>
        <v>428016.27289095969</v>
      </c>
      <c r="I535" s="93">
        <f t="shared" si="241"/>
        <v>68184.688512250563</v>
      </c>
      <c r="J535" s="93">
        <f t="shared" si="241"/>
        <v>61198.586408378178</v>
      </c>
      <c r="K535" s="93">
        <f t="shared" si="241"/>
        <v>21006.642782695617</v>
      </c>
      <c r="L535" s="93">
        <f t="shared" si="241"/>
        <v>113198.08435956697</v>
      </c>
      <c r="M535" s="93">
        <f t="shared" si="241"/>
        <v>538098.64896216476</v>
      </c>
      <c r="N535" s="93">
        <f t="shared" si="241"/>
        <v>0</v>
      </c>
      <c r="O535" s="93">
        <f t="shared" si="241"/>
        <v>0</v>
      </c>
      <c r="P535" s="93">
        <f t="shared" si="241"/>
        <v>0</v>
      </c>
      <c r="Q535" s="93">
        <f t="shared" si="241"/>
        <v>0</v>
      </c>
      <c r="R535" s="93">
        <f t="shared" si="241"/>
        <v>0</v>
      </c>
      <c r="S535" s="14">
        <f>S517+(S527*$C$530)</f>
        <v>0</v>
      </c>
    </row>
    <row r="536" spans="1:32" x14ac:dyDescent="0.2">
      <c r="A536" s="14" t="s">
        <v>0</v>
      </c>
      <c r="C536" s="50"/>
      <c r="E536" s="104">
        <f>SUM(E531:E535)</f>
        <v>43590964.655890241</v>
      </c>
      <c r="F536" s="104">
        <f t="shared" ref="F536:R536" si="242">SUM(F531:F535)</f>
        <v>31809065.550615236</v>
      </c>
      <c r="G536" s="104">
        <f t="shared" si="242"/>
        <v>7364.4868581381379</v>
      </c>
      <c r="H536" s="104">
        <f t="shared" si="242"/>
        <v>1856055.5966250752</v>
      </c>
      <c r="I536" s="104">
        <f t="shared" si="242"/>
        <v>937213.67266564071</v>
      </c>
      <c r="J536" s="104">
        <f t="shared" si="242"/>
        <v>123843.03670783123</v>
      </c>
      <c r="K536" s="104">
        <f t="shared" si="242"/>
        <v>965858.0544944068</v>
      </c>
      <c r="L536" s="104">
        <f t="shared" si="242"/>
        <v>6591621.3664399032</v>
      </c>
      <c r="M536" s="104">
        <f t="shared" si="242"/>
        <v>1299942.8957399942</v>
      </c>
      <c r="N536" s="104">
        <f t="shared" si="242"/>
        <v>0</v>
      </c>
      <c r="O536" s="104">
        <f t="shared" si="242"/>
        <v>0</v>
      </c>
      <c r="P536" s="104">
        <f t="shared" si="242"/>
        <v>0</v>
      </c>
      <c r="Q536" s="104">
        <f t="shared" si="242"/>
        <v>0</v>
      </c>
      <c r="R536" s="104">
        <f t="shared" si="242"/>
        <v>0</v>
      </c>
      <c r="S536" s="14">
        <f>SUM(S531:S535)</f>
        <v>0</v>
      </c>
    </row>
    <row r="537" spans="1:32" x14ac:dyDescent="0.2">
      <c r="D537" s="29" t="s">
        <v>1130</v>
      </c>
      <c r="E537" s="171">
        <v>43590964.655890241</v>
      </c>
    </row>
    <row r="538" spans="1:32" x14ac:dyDescent="0.2">
      <c r="D538" s="29" t="s">
        <v>1070</v>
      </c>
      <c r="E538" s="93">
        <f>E536-E537</f>
        <v>0</v>
      </c>
    </row>
    <row r="539" spans="1:32" x14ac:dyDescent="0.2">
      <c r="E539" s="93"/>
    </row>
    <row r="540" spans="1:32" x14ac:dyDescent="0.2">
      <c r="A540" s="13" t="s">
        <v>649</v>
      </c>
    </row>
    <row r="542" spans="1:32" x14ac:dyDescent="0.2">
      <c r="A542" s="14" t="s">
        <v>1015</v>
      </c>
      <c r="F542" s="101">
        <f t="shared" ref="F542:H545" si="243">F513/F$422</f>
        <v>1.5719599199091744E-2</v>
      </c>
      <c r="G542" s="101">
        <f t="shared" si="243"/>
        <v>1.6974747581893799E-2</v>
      </c>
      <c r="H542" s="101">
        <f t="shared" si="243"/>
        <v>2.3555860707453975E-2</v>
      </c>
      <c r="I542" s="48">
        <f>I513/I$437</f>
        <v>6.0700504014323755</v>
      </c>
      <c r="J542" s="101">
        <f t="shared" ref="J542:K545" si="244">J513/J$422</f>
        <v>1.4622550282221135E-2</v>
      </c>
      <c r="K542" s="101">
        <f t="shared" si="244"/>
        <v>3.8516249579512783E-3</v>
      </c>
      <c r="L542" s="48">
        <f>L513/L$437</f>
        <v>5.5387959937947082</v>
      </c>
      <c r="N542" s="48" t="e">
        <f>N513/N$437</f>
        <v>#DIV/0!</v>
      </c>
      <c r="O542" s="48" t="e">
        <f>O513/O$437</f>
        <v>#DIV/0!</v>
      </c>
      <c r="P542" s="101" t="e">
        <f>P513/P$422</f>
        <v>#DIV/0!</v>
      </c>
      <c r="Q542" s="101" t="e">
        <f>Q513/Q$422</f>
        <v>#DIV/0!</v>
      </c>
      <c r="R542" s="48" t="e">
        <f>R513/R$437</f>
        <v>#DIV/0!</v>
      </c>
      <c r="S542" s="48" t="e">
        <f>S513/S$422</f>
        <v>#DIV/0!</v>
      </c>
      <c r="T542" s="48">
        <f>T504/1251.6</f>
        <v>0</v>
      </c>
      <c r="U542" s="48" t="e">
        <f>U504/U425</f>
        <v>#DIV/0!</v>
      </c>
      <c r="V542" s="48" t="e">
        <f>V504/V425</f>
        <v>#DIV/0!</v>
      </c>
      <c r="W542" s="48" t="e">
        <f>W504/W425</f>
        <v>#DIV/0!</v>
      </c>
      <c r="X542" s="101" t="e">
        <f>X504/X422</f>
        <v>#DIV/0!</v>
      </c>
      <c r="Y542" s="48" t="e">
        <f>Y504/Y425</f>
        <v>#DIV/0!</v>
      </c>
      <c r="Z542" s="194">
        <f>Z504/3624.9</f>
        <v>0</v>
      </c>
      <c r="AA542" s="92">
        <f>AA504/9725.8</f>
        <v>0</v>
      </c>
      <c r="AB542" s="92">
        <f>AB504/12443</f>
        <v>0</v>
      </c>
      <c r="AC542" s="92">
        <f>AC504/9726</f>
        <v>0</v>
      </c>
      <c r="AD542" s="92">
        <f>AD504/10680</f>
        <v>0</v>
      </c>
      <c r="AE542" s="92"/>
      <c r="AF542" s="92"/>
    </row>
    <row r="543" spans="1:32" x14ac:dyDescent="0.2">
      <c r="A543" s="14" t="s">
        <v>898</v>
      </c>
      <c r="F543" s="101">
        <f t="shared" si="243"/>
        <v>5.1288132339373925E-2</v>
      </c>
      <c r="G543" s="101">
        <f t="shared" si="243"/>
        <v>4.9317991639461968E-2</v>
      </c>
      <c r="H543" s="101">
        <f t="shared" si="243"/>
        <v>5.1811923242640612E-2</v>
      </c>
      <c r="I543" s="101">
        <f t="shared" ref="I543" si="245">I514/I$422</f>
        <v>5.1585484161843172E-2</v>
      </c>
      <c r="J543" s="101">
        <f t="shared" si="244"/>
        <v>5.1714603080110728E-2</v>
      </c>
      <c r="K543" s="101">
        <f t="shared" si="244"/>
        <v>5.264442843029063E-2</v>
      </c>
      <c r="L543" s="101">
        <f t="shared" ref="L543:N543" si="246">L514/L$422</f>
        <v>5.2912036898096378E-2</v>
      </c>
      <c r="N543" s="101" t="e">
        <f t="shared" si="246"/>
        <v>#DIV/0!</v>
      </c>
      <c r="O543" s="101" t="e">
        <f t="shared" ref="O543" si="247">O514/O$422</f>
        <v>#DIV/0!</v>
      </c>
      <c r="P543" s="101" t="e">
        <f t="shared" ref="P543:S543" si="248">P514/P$422</f>
        <v>#DIV/0!</v>
      </c>
      <c r="Q543" s="101" t="e">
        <f t="shared" si="248"/>
        <v>#DIV/0!</v>
      </c>
      <c r="R543" s="101" t="e">
        <f t="shared" si="248"/>
        <v>#DIV/0!</v>
      </c>
      <c r="S543" s="48" t="e">
        <f t="shared" si="248"/>
        <v>#DIV/0!</v>
      </c>
      <c r="T543" s="48" t="e">
        <f>T505/T$422</f>
        <v>#DIV/0!</v>
      </c>
      <c r="U543" s="48" t="e">
        <f>U505/U$425</f>
        <v>#DIV/0!</v>
      </c>
      <c r="V543" s="48" t="e">
        <f>V505/V$425</f>
        <v>#DIV/0!</v>
      </c>
      <c r="W543" s="48" t="e">
        <f>W505/W$425</f>
        <v>#DIV/0!</v>
      </c>
      <c r="X543" s="101" t="e">
        <f>X505/X$422</f>
        <v>#DIV/0!</v>
      </c>
      <c r="Y543" s="48" t="e">
        <f>Y505/Y$425</f>
        <v>#DIV/0!</v>
      </c>
      <c r="Z543" s="14" t="e">
        <f>Z505/Z$422</f>
        <v>#DIV/0!</v>
      </c>
      <c r="AA543" s="14" t="e">
        <f>AA505/AA$422</f>
        <v>#DIV/0!</v>
      </c>
      <c r="AB543" s="14" t="e">
        <f>AB505/AB$422</f>
        <v>#DIV/0!</v>
      </c>
      <c r="AC543" s="14" t="e">
        <f>AC505/AC$422</f>
        <v>#DIV/0!</v>
      </c>
      <c r="AD543" s="14" t="e">
        <f>AD505/AD$422</f>
        <v>#DIV/0!</v>
      </c>
    </row>
    <row r="544" spans="1:32" x14ac:dyDescent="0.2">
      <c r="A544" s="14" t="s">
        <v>1016</v>
      </c>
      <c r="F544" s="101">
        <f t="shared" si="243"/>
        <v>0</v>
      </c>
      <c r="G544" s="101">
        <f t="shared" si="243"/>
        <v>0</v>
      </c>
      <c r="H544" s="101">
        <f t="shared" si="243"/>
        <v>0</v>
      </c>
      <c r="I544" s="48">
        <f t="shared" ref="I544" si="249">I515/I$437</f>
        <v>0</v>
      </c>
      <c r="J544" s="101">
        <f t="shared" si="244"/>
        <v>0</v>
      </c>
      <c r="K544" s="101">
        <f t="shared" si="244"/>
        <v>0</v>
      </c>
      <c r="L544" s="48">
        <f t="shared" ref="L544:N544" si="250">L515/L$437</f>
        <v>0</v>
      </c>
      <c r="N544" s="48" t="e">
        <f t="shared" si="250"/>
        <v>#DIV/0!</v>
      </c>
      <c r="O544" s="48" t="e">
        <f t="shared" ref="O544" si="251">O515/O$437</f>
        <v>#DIV/0!</v>
      </c>
      <c r="P544" s="101" t="e">
        <f t="shared" ref="P544:Q544" si="252">P515/P$422</f>
        <v>#DIV/0!</v>
      </c>
      <c r="Q544" s="101" t="e">
        <f t="shared" si="252"/>
        <v>#DIV/0!</v>
      </c>
      <c r="R544" s="48" t="e">
        <f>R515/R$437</f>
        <v>#DIV/0!</v>
      </c>
      <c r="S544" s="48"/>
      <c r="T544" s="48"/>
      <c r="U544" s="48"/>
      <c r="V544" s="48"/>
      <c r="W544" s="48"/>
      <c r="X544" s="101"/>
      <c r="Y544" s="48"/>
    </row>
    <row r="545" spans="1:32" x14ac:dyDescent="0.2">
      <c r="A545" s="14" t="s">
        <v>1017</v>
      </c>
      <c r="F545" s="101">
        <f t="shared" si="243"/>
        <v>2.028060149070152E-2</v>
      </c>
      <c r="G545" s="101">
        <f t="shared" si="243"/>
        <v>1.9950871166931276E-2</v>
      </c>
      <c r="H545" s="101">
        <f t="shared" si="243"/>
        <v>1.5583092867227956E-2</v>
      </c>
      <c r="I545" s="48">
        <f>I516/I$437</f>
        <v>2.7935850032524252</v>
      </c>
      <c r="J545" s="101">
        <f t="shared" si="244"/>
        <v>2.0177196726484388E-2</v>
      </c>
      <c r="K545" s="101">
        <f t="shared" si="244"/>
        <v>1.5888770118947012E-2</v>
      </c>
      <c r="L545" s="48">
        <f>L516/L$437</f>
        <v>2.9520652959511189</v>
      </c>
      <c r="N545" s="48" t="e">
        <f>N516/N$437</f>
        <v>#DIV/0!</v>
      </c>
      <c r="O545" s="48" t="e">
        <f>O516/O$437</f>
        <v>#DIV/0!</v>
      </c>
      <c r="P545" s="101" t="e">
        <f>P516/P$422</f>
        <v>#DIV/0!</v>
      </c>
      <c r="Q545" s="101" t="e">
        <f>Q516/Q$422</f>
        <v>#DIV/0!</v>
      </c>
      <c r="R545" s="48" t="e">
        <f>R516/R$437</f>
        <v>#DIV/0!</v>
      </c>
      <c r="S545" s="48" t="e">
        <f>S516/S$422</f>
        <v>#DIV/0!</v>
      </c>
      <c r="T545" s="48">
        <f>T507/1251.6</f>
        <v>0</v>
      </c>
      <c r="U545" s="48" t="e">
        <f>U507/U425</f>
        <v>#DIV/0!</v>
      </c>
      <c r="V545" s="48" t="e">
        <f>V507/V425</f>
        <v>#DIV/0!</v>
      </c>
      <c r="W545" s="48" t="e">
        <f>W507/W425</f>
        <v>#DIV/0!</v>
      </c>
      <c r="X545" s="101" t="e">
        <f>X507/X422</f>
        <v>#DIV/0!</v>
      </c>
      <c r="Y545" s="48" t="e">
        <f>Y507/Y425</f>
        <v>#DIV/0!</v>
      </c>
      <c r="Z545" s="194">
        <f>Z507/12877</f>
        <v>0</v>
      </c>
      <c r="AA545" s="92">
        <f>AA507/11922</f>
        <v>0</v>
      </c>
      <c r="AB545" s="92">
        <f>AB507/14745</f>
        <v>0</v>
      </c>
      <c r="AC545" s="92">
        <f>AC507/10526</f>
        <v>0</v>
      </c>
      <c r="AD545" s="92">
        <f>AD507/11459</f>
        <v>0</v>
      </c>
      <c r="AE545" s="92"/>
      <c r="AF545" s="92"/>
    </row>
    <row r="546" spans="1:32" s="48" customFormat="1" x14ac:dyDescent="0.2">
      <c r="A546" s="48" t="s">
        <v>899</v>
      </c>
      <c r="F546" s="48">
        <f t="shared" ref="F546:S546" si="253">F517/F425</f>
        <v>22.340645544649483</v>
      </c>
      <c r="G546" s="48">
        <f t="shared" ref="G546:I546" si="254">G517/G425</f>
        <v>22.348669245438462</v>
      </c>
      <c r="H546" s="48">
        <f t="shared" si="254"/>
        <v>23.316451452087893</v>
      </c>
      <c r="I546" s="48">
        <f t="shared" si="254"/>
        <v>28.359742661576202</v>
      </c>
      <c r="J546" s="48">
        <f t="shared" ref="J546:L546" si="255">J517/J425</f>
        <v>22.467872914438299</v>
      </c>
      <c r="K546" s="48">
        <f t="shared" si="255"/>
        <v>30.992955338503911</v>
      </c>
      <c r="L546" s="48">
        <f t="shared" si="255"/>
        <v>145.45285440423123</v>
      </c>
      <c r="M546" s="14"/>
      <c r="N546" s="48" t="e">
        <f t="shared" si="253"/>
        <v>#DIV/0!</v>
      </c>
      <c r="O546" s="48" t="e">
        <f t="shared" si="253"/>
        <v>#DIV/0!</v>
      </c>
      <c r="P546" s="48" t="e">
        <f t="shared" si="253"/>
        <v>#DIV/0!</v>
      </c>
      <c r="Q546" s="48" t="e">
        <f t="shared" si="253"/>
        <v>#DIV/0!</v>
      </c>
      <c r="R546" s="48" t="e">
        <f t="shared" si="253"/>
        <v>#DIV/0!</v>
      </c>
      <c r="S546" s="48" t="e">
        <f t="shared" si="253"/>
        <v>#DIV/0!</v>
      </c>
      <c r="T546" s="48" t="e">
        <f t="shared" ref="T546:AD546" si="256">T508/T425</f>
        <v>#DIV/0!</v>
      </c>
      <c r="U546" s="48" t="e">
        <f t="shared" si="256"/>
        <v>#DIV/0!</v>
      </c>
      <c r="V546" s="48" t="e">
        <f t="shared" si="256"/>
        <v>#DIV/0!</v>
      </c>
      <c r="W546" s="48" t="e">
        <f t="shared" si="256"/>
        <v>#DIV/0!</v>
      </c>
      <c r="X546" s="48" t="e">
        <f t="shared" si="256"/>
        <v>#DIV/0!</v>
      </c>
      <c r="Y546" s="48" t="e">
        <f t="shared" si="256"/>
        <v>#DIV/0!</v>
      </c>
      <c r="Z546" s="48" t="e">
        <f t="shared" si="256"/>
        <v>#DIV/0!</v>
      </c>
      <c r="AA546" s="48" t="e">
        <f t="shared" si="256"/>
        <v>#DIV/0!</v>
      </c>
      <c r="AB546" s="48" t="e">
        <f t="shared" si="256"/>
        <v>#DIV/0!</v>
      </c>
      <c r="AC546" s="48" t="e">
        <f t="shared" si="256"/>
        <v>#DIV/0!</v>
      </c>
      <c r="AD546" s="48" t="e">
        <f t="shared" si="256"/>
        <v>#DIV/0!</v>
      </c>
    </row>
    <row r="549" spans="1:32" x14ac:dyDescent="0.2">
      <c r="A549" s="13" t="s">
        <v>650</v>
      </c>
    </row>
    <row r="550" spans="1:32" x14ac:dyDescent="0.2">
      <c r="A550" s="13"/>
    </row>
    <row r="551" spans="1:32" x14ac:dyDescent="0.2">
      <c r="A551" s="14" t="s">
        <v>1015</v>
      </c>
      <c r="F551" s="101">
        <f t="shared" ref="F551:F554" si="257">F522/F$422</f>
        <v>0</v>
      </c>
      <c r="G551" s="101">
        <f t="shared" ref="G551:H551" si="258">G522/G$422</f>
        <v>0</v>
      </c>
      <c r="H551" s="101">
        <f t="shared" si="258"/>
        <v>0</v>
      </c>
      <c r="I551" s="48">
        <f>I522/I$437</f>
        <v>0</v>
      </c>
      <c r="J551" s="101">
        <f t="shared" ref="J551:K551" si="259">J522/J$422</f>
        <v>0</v>
      </c>
      <c r="K551" s="101">
        <f t="shared" si="259"/>
        <v>0</v>
      </c>
      <c r="L551" s="48">
        <f>L522/L$437</f>
        <v>0</v>
      </c>
      <c r="N551" s="48" t="e">
        <f>N522/N$437</f>
        <v>#DIV/0!</v>
      </c>
      <c r="O551" s="48" t="e">
        <f>O522/O$437</f>
        <v>#DIV/0!</v>
      </c>
      <c r="P551" s="101" t="e">
        <f t="shared" ref="P551:Q551" si="260">P522/P$422</f>
        <v>#DIV/0!</v>
      </c>
      <c r="Q551" s="101" t="e">
        <f t="shared" si="260"/>
        <v>#DIV/0!</v>
      </c>
      <c r="R551" s="48" t="e">
        <f>R522/R$437</f>
        <v>#DIV/0!</v>
      </c>
    </row>
    <row r="552" spans="1:32" x14ac:dyDescent="0.2">
      <c r="A552" s="14" t="s">
        <v>898</v>
      </c>
      <c r="F552" s="101">
        <f t="shared" si="257"/>
        <v>0</v>
      </c>
      <c r="G552" s="101">
        <f t="shared" ref="G552:H552" si="261">G523/G$422</f>
        <v>0</v>
      </c>
      <c r="H552" s="101">
        <f t="shared" si="261"/>
        <v>0</v>
      </c>
      <c r="I552" s="101">
        <f>I523/I$422</f>
        <v>0</v>
      </c>
      <c r="J552" s="101">
        <f t="shared" ref="J552:K552" si="262">J523/J$422</f>
        <v>0</v>
      </c>
      <c r="K552" s="101">
        <f t="shared" si="262"/>
        <v>0</v>
      </c>
      <c r="L552" s="101">
        <f>L523/L$422</f>
        <v>0</v>
      </c>
      <c r="N552" s="101" t="e">
        <f>N523/N$422</f>
        <v>#DIV/0!</v>
      </c>
      <c r="O552" s="101" t="e">
        <f>O523/O$422</f>
        <v>#DIV/0!</v>
      </c>
      <c r="P552" s="101" t="e">
        <f t="shared" ref="P552:Q552" si="263">P523/P$422</f>
        <v>#DIV/0!</v>
      </c>
      <c r="Q552" s="101" t="e">
        <f t="shared" si="263"/>
        <v>#DIV/0!</v>
      </c>
      <c r="R552" s="101" t="e">
        <f>R523/R$422</f>
        <v>#DIV/0!</v>
      </c>
    </row>
    <row r="553" spans="1:32" x14ac:dyDescent="0.2">
      <c r="A553" s="14" t="s">
        <v>1016</v>
      </c>
      <c r="F553" s="101">
        <f t="shared" si="257"/>
        <v>0</v>
      </c>
      <c r="G553" s="101">
        <f t="shared" ref="G553:H553" si="264">G524/G$422</f>
        <v>0</v>
      </c>
      <c r="H553" s="101">
        <f t="shared" si="264"/>
        <v>0</v>
      </c>
      <c r="I553" s="48">
        <f t="shared" ref="I553:I554" si="265">I524/I$437</f>
        <v>0</v>
      </c>
      <c r="J553" s="101">
        <f t="shared" ref="J553:K553" si="266">J524/J$422</f>
        <v>0</v>
      </c>
      <c r="K553" s="101">
        <f t="shared" si="266"/>
        <v>0</v>
      </c>
      <c r="L553" s="48">
        <f t="shared" ref="L553:N553" si="267">L524/L$437</f>
        <v>0</v>
      </c>
      <c r="N553" s="48" t="e">
        <f t="shared" si="267"/>
        <v>#DIV/0!</v>
      </c>
      <c r="O553" s="48" t="e">
        <f t="shared" ref="O553" si="268">O524/O$437</f>
        <v>#DIV/0!</v>
      </c>
      <c r="P553" s="101" t="e">
        <f t="shared" ref="P553:Q553" si="269">P524/P$422</f>
        <v>#DIV/0!</v>
      </c>
      <c r="Q553" s="101" t="e">
        <f t="shared" si="269"/>
        <v>#DIV/0!</v>
      </c>
      <c r="R553" s="48" t="e">
        <f>R524/R$437</f>
        <v>#DIV/0!</v>
      </c>
    </row>
    <row r="554" spans="1:32" x14ac:dyDescent="0.2">
      <c r="A554" s="14" t="s">
        <v>1017</v>
      </c>
      <c r="F554" s="101">
        <f t="shared" si="257"/>
        <v>0.12065392671586588</v>
      </c>
      <c r="G554" s="101">
        <f t="shared" ref="G554:H554" si="270">G525/G$422</f>
        <v>0.12012706696026132</v>
      </c>
      <c r="H554" s="101">
        <f t="shared" si="270"/>
        <v>9.4474329258930609E-2</v>
      </c>
      <c r="I554" s="48">
        <f t="shared" si="265"/>
        <v>15.841858400643273</v>
      </c>
      <c r="J554" s="101">
        <f t="shared" ref="J554:K554" si="271">J525/J$422</f>
        <v>0.12061985267918109</v>
      </c>
      <c r="K554" s="101">
        <f t="shared" si="271"/>
        <v>9.4340214673544823E-2</v>
      </c>
      <c r="L554" s="48">
        <f t="shared" ref="L554:N554" si="272">L525/L$437</f>
        <v>15.841478737139466</v>
      </c>
      <c r="N554" s="48" t="e">
        <f t="shared" si="272"/>
        <v>#DIV/0!</v>
      </c>
      <c r="O554" s="48" t="e">
        <f t="shared" ref="O554" si="273">O525/O$437</f>
        <v>#DIV/0!</v>
      </c>
      <c r="P554" s="101" t="e">
        <f t="shared" ref="P554:Q554" si="274">P525/P$422</f>
        <v>#DIV/0!</v>
      </c>
      <c r="Q554" s="101" t="e">
        <f t="shared" si="274"/>
        <v>#DIV/0!</v>
      </c>
      <c r="R554" s="48" t="e">
        <f>R525/R$437</f>
        <v>#DIV/0!</v>
      </c>
      <c r="S554" s="48">
        <f>S525/5037.7</f>
        <v>0</v>
      </c>
      <c r="T554" s="48">
        <f>T525/1251.6</f>
        <v>0</v>
      </c>
      <c r="U554" s="48" t="e">
        <f>U525/U425</f>
        <v>#DIV/0!</v>
      </c>
      <c r="V554" s="48" t="e">
        <f>V525/V425</f>
        <v>#DIV/0!</v>
      </c>
      <c r="W554" s="48" t="e">
        <f>W525/W425</f>
        <v>#DIV/0!</v>
      </c>
      <c r="X554" s="48" t="e">
        <f>X525/X425</f>
        <v>#DIV/0!</v>
      </c>
      <c r="Y554" s="48" t="e">
        <f>Y525/Y425</f>
        <v>#DIV/0!</v>
      </c>
      <c r="Z554" s="195">
        <f>Z525/12877</f>
        <v>0</v>
      </c>
      <c r="AA554" s="92">
        <f>AA525/11922</f>
        <v>0</v>
      </c>
      <c r="AB554" s="92">
        <f>AB525/14745</f>
        <v>0</v>
      </c>
      <c r="AC554" s="92">
        <f>AC525/10526</f>
        <v>0</v>
      </c>
      <c r="AD554" s="92">
        <f>AD525/11459</f>
        <v>0</v>
      </c>
      <c r="AE554" s="92"/>
      <c r="AF554" s="92"/>
    </row>
    <row r="555" spans="1:32" x14ac:dyDescent="0.2">
      <c r="A555" s="14" t="s">
        <v>899</v>
      </c>
      <c r="F555" s="48">
        <f t="shared" ref="F555:L555" si="275">F526/F$425</f>
        <v>105.22897885956759</v>
      </c>
      <c r="G555" s="48">
        <f t="shared" ref="G555:I555" si="276">G526/G$425</f>
        <v>105.22897885956758</v>
      </c>
      <c r="H555" s="48">
        <f t="shared" si="276"/>
        <v>117.48846957964714</v>
      </c>
      <c r="I555" s="48">
        <f t="shared" si="276"/>
        <v>125.13989873492537</v>
      </c>
      <c r="J555" s="48">
        <f t="shared" ref="J555:K555" si="277">J526/J$425</f>
        <v>105.22897885956758</v>
      </c>
      <c r="K555" s="48">
        <f t="shared" si="277"/>
        <v>160.71823214870838</v>
      </c>
      <c r="L555" s="48">
        <f t="shared" si="275"/>
        <v>236.19476923040497</v>
      </c>
      <c r="N555" s="48" t="e">
        <f t="shared" ref="N555:O555" si="278">N526/N$425</f>
        <v>#DIV/0!</v>
      </c>
      <c r="O555" s="48" t="e">
        <f t="shared" si="278"/>
        <v>#DIV/0!</v>
      </c>
      <c r="P555" s="48" t="e">
        <f t="shared" ref="P555:Q555" si="279">P526/P$425</f>
        <v>#DIV/0!</v>
      </c>
      <c r="Q555" s="48" t="e">
        <f t="shared" si="279"/>
        <v>#DIV/0!</v>
      </c>
      <c r="R555" s="48" t="e">
        <f>R526/R$425</f>
        <v>#DIV/0!</v>
      </c>
      <c r="S555" s="48" t="e">
        <f t="shared" ref="S555:AD555" si="280">S526/S$425</f>
        <v>#DIV/0!</v>
      </c>
      <c r="T555" s="48" t="e">
        <f t="shared" si="280"/>
        <v>#DIV/0!</v>
      </c>
      <c r="U555" s="48" t="e">
        <f t="shared" si="280"/>
        <v>#DIV/0!</v>
      </c>
      <c r="V555" s="48" t="e">
        <f t="shared" si="280"/>
        <v>#DIV/0!</v>
      </c>
      <c r="W555" s="48" t="e">
        <f t="shared" si="280"/>
        <v>#DIV/0!</v>
      </c>
      <c r="X555" s="48" t="e">
        <f t="shared" si="280"/>
        <v>#DIV/0!</v>
      </c>
      <c r="Y555" s="48" t="e">
        <f t="shared" si="280"/>
        <v>#DIV/0!</v>
      </c>
      <c r="Z555" s="196" t="e">
        <f t="shared" si="280"/>
        <v>#DIV/0!</v>
      </c>
      <c r="AA555" s="196" t="e">
        <f t="shared" si="280"/>
        <v>#DIV/0!</v>
      </c>
      <c r="AB555" s="196" t="e">
        <f t="shared" si="280"/>
        <v>#DIV/0!</v>
      </c>
      <c r="AC555" s="196" t="e">
        <f t="shared" si="280"/>
        <v>#DIV/0!</v>
      </c>
      <c r="AD555" s="196" t="e">
        <f t="shared" si="280"/>
        <v>#DIV/0!</v>
      </c>
      <c r="AE555" s="196"/>
      <c r="AF555" s="196"/>
    </row>
    <row r="558" spans="1:32" x14ac:dyDescent="0.2">
      <c r="A558" s="28" t="s">
        <v>667</v>
      </c>
      <c r="B558" s="197"/>
      <c r="C558" s="14" t="s">
        <v>905</v>
      </c>
      <c r="F558" s="47">
        <f t="shared" ref="F558:R558" si="281">F395</f>
        <v>2.581547889253502E-3</v>
      </c>
      <c r="G558" s="47">
        <f t="shared" si="281"/>
        <v>1.1550557852939269E-2</v>
      </c>
      <c r="H558" s="47">
        <f t="shared" si="281"/>
        <v>-1.1773809913138483E-2</v>
      </c>
      <c r="I558" s="47">
        <f t="shared" ref="I558" si="282">I395</f>
        <v>0.27825518631226787</v>
      </c>
      <c r="J558" s="47">
        <f t="shared" si="281"/>
        <v>-2.5760114050628186E-2</v>
      </c>
      <c r="K558" s="47">
        <f t="shared" si="281"/>
        <v>6.5445159470446032E-2</v>
      </c>
      <c r="L558" s="47">
        <f t="shared" si="281"/>
        <v>-0.11478928506263303</v>
      </c>
      <c r="N558" s="47" t="e">
        <f t="shared" ref="N558:O558" si="283">N395</f>
        <v>#DIV/0!</v>
      </c>
      <c r="O558" s="47" t="e">
        <f t="shared" si="283"/>
        <v>#DIV/0!</v>
      </c>
      <c r="P558" s="47" t="e">
        <f t="shared" si="281"/>
        <v>#DIV/0!</v>
      </c>
      <c r="Q558" s="47" t="e">
        <f t="shared" si="281"/>
        <v>#DIV/0!</v>
      </c>
      <c r="R558" s="47" t="e">
        <f t="shared" si="281"/>
        <v>#DIV/0!</v>
      </c>
    </row>
    <row r="559" spans="1:32" x14ac:dyDescent="0.2">
      <c r="A559" s="13"/>
    </row>
    <row r="560" spans="1:32" x14ac:dyDescent="0.2">
      <c r="A560" s="13" t="s">
        <v>764</v>
      </c>
    </row>
    <row r="561" spans="1:37" x14ac:dyDescent="0.2">
      <c r="A561" s="14" t="s">
        <v>1018</v>
      </c>
      <c r="F561" s="105">
        <f t="shared" ref="F561:L561" si="284">F542</f>
        <v>1.5719599199091744E-2</v>
      </c>
      <c r="G561" s="105">
        <f t="shared" ref="G561:H561" si="285">G542</f>
        <v>1.6974747581893799E-2</v>
      </c>
      <c r="H561" s="105">
        <f t="shared" si="285"/>
        <v>2.3555860707453975E-2</v>
      </c>
      <c r="I561" s="48">
        <f t="shared" ref="I561" si="286">I542</f>
        <v>6.0700504014323755</v>
      </c>
      <c r="J561" s="105">
        <f t="shared" ref="J561:K561" si="287">J542</f>
        <v>1.4622550282221135E-2</v>
      </c>
      <c r="K561" s="105">
        <f t="shared" si="287"/>
        <v>3.8516249579512783E-3</v>
      </c>
      <c r="L561" s="48">
        <f t="shared" si="284"/>
        <v>5.5387959937947082</v>
      </c>
      <c r="N561" s="48" t="e">
        <f t="shared" ref="N561:O561" si="288">N542</f>
        <v>#DIV/0!</v>
      </c>
      <c r="O561" s="48" t="e">
        <f t="shared" si="288"/>
        <v>#DIV/0!</v>
      </c>
      <c r="P561" s="105" t="e">
        <f t="shared" ref="P561:S561" si="289">P542</f>
        <v>#DIV/0!</v>
      </c>
      <c r="Q561" s="105" t="e">
        <f t="shared" si="289"/>
        <v>#DIV/0!</v>
      </c>
      <c r="R561" s="48" t="e">
        <f>R542</f>
        <v>#DIV/0!</v>
      </c>
      <c r="S561" s="105" t="e">
        <f t="shared" si="289"/>
        <v>#DIV/0!</v>
      </c>
      <c r="T561" s="105" t="e">
        <f>#REF!</f>
        <v>#REF!</v>
      </c>
      <c r="U561" s="105" t="e">
        <f>#REF!</f>
        <v>#REF!</v>
      </c>
      <c r="V561" s="105" t="e">
        <f>#REF!</f>
        <v>#REF!</v>
      </c>
      <c r="W561" s="105" t="e">
        <f>#REF!</f>
        <v>#REF!</v>
      </c>
      <c r="X561" s="105" t="e">
        <f>#REF!</f>
        <v>#REF!</v>
      </c>
      <c r="Y561" s="105" t="e">
        <f>#REF!</f>
        <v>#REF!</v>
      </c>
      <c r="Z561" s="105" t="e">
        <f>#REF!</f>
        <v>#REF!</v>
      </c>
      <c r="AA561" s="105" t="e">
        <f>#REF!</f>
        <v>#REF!</v>
      </c>
      <c r="AB561" s="105" t="e">
        <f>#REF!</f>
        <v>#REF!</v>
      </c>
      <c r="AC561" s="105" t="e">
        <f>#REF!</f>
        <v>#REF!</v>
      </c>
      <c r="AD561" s="105" t="e">
        <f>#REF!</f>
        <v>#REF!</v>
      </c>
      <c r="AE561" s="105" t="e">
        <f>#REF!</f>
        <v>#REF!</v>
      </c>
      <c r="AF561" s="105" t="e">
        <f>#REF!</f>
        <v>#REF!</v>
      </c>
    </row>
    <row r="562" spans="1:37" x14ac:dyDescent="0.2">
      <c r="A562" s="14" t="s">
        <v>1019</v>
      </c>
      <c r="F562" s="105">
        <f t="shared" ref="F562:K562" si="290">(F522*F395)/F$422</f>
        <v>0</v>
      </c>
      <c r="G562" s="105">
        <f t="shared" si="290"/>
        <v>0</v>
      </c>
      <c r="H562" s="105">
        <f t="shared" si="290"/>
        <v>0</v>
      </c>
      <c r="I562" s="105">
        <f t="shared" si="290"/>
        <v>0</v>
      </c>
      <c r="J562" s="105">
        <f t="shared" si="290"/>
        <v>0</v>
      </c>
      <c r="K562" s="105">
        <f t="shared" si="290"/>
        <v>0</v>
      </c>
      <c r="L562" s="48">
        <f>(L522*L395)/L$437</f>
        <v>0</v>
      </c>
      <c r="N562" s="48" t="e">
        <f>(N522*N395)/N$437</f>
        <v>#DIV/0!</v>
      </c>
      <c r="O562" s="48" t="e">
        <f>(O522*O395)/O$437</f>
        <v>#DIV/0!</v>
      </c>
      <c r="P562" s="105" t="e">
        <f>(P522*P395)/P$422</f>
        <v>#DIV/0!</v>
      </c>
      <c r="Q562" s="105" t="e">
        <f>(Q522*Q395)/Q$422</f>
        <v>#DIV/0!</v>
      </c>
      <c r="R562" s="48" t="e">
        <f>(R522*R395)/R$437</f>
        <v>#DIV/0!</v>
      </c>
      <c r="S562" s="105"/>
      <c r="T562" s="105"/>
      <c r="U562" s="105"/>
      <c r="V562" s="105"/>
      <c r="W562" s="105"/>
      <c r="X562" s="105"/>
      <c r="Y562" s="105"/>
      <c r="Z562" s="105"/>
      <c r="AA562" s="105"/>
      <c r="AB562" s="105"/>
      <c r="AC562" s="105"/>
      <c r="AD562" s="105"/>
      <c r="AE562" s="105"/>
      <c r="AF562" s="105"/>
    </row>
    <row r="563" spans="1:37" x14ac:dyDescent="0.2">
      <c r="A563" s="14" t="s">
        <v>900</v>
      </c>
      <c r="F563" s="105">
        <f t="shared" ref="F563:S563" si="291">F543</f>
        <v>5.1288132339373925E-2</v>
      </c>
      <c r="G563" s="105">
        <f t="shared" ref="G563:H563" si="292">G543</f>
        <v>4.9317991639461968E-2</v>
      </c>
      <c r="H563" s="105">
        <f t="shared" si="292"/>
        <v>5.1811923242640612E-2</v>
      </c>
      <c r="I563" s="105">
        <f t="shared" ref="I563" si="293">I543</f>
        <v>5.1585484161843172E-2</v>
      </c>
      <c r="J563" s="105">
        <f t="shared" ref="J563:K563" si="294">J543</f>
        <v>5.1714603080110728E-2</v>
      </c>
      <c r="K563" s="105">
        <f t="shared" si="294"/>
        <v>5.264442843029063E-2</v>
      </c>
      <c r="L563" s="105">
        <f t="shared" ref="L563:N563" si="295">L543</f>
        <v>5.2912036898096378E-2</v>
      </c>
      <c r="N563" s="105" t="e">
        <f t="shared" si="295"/>
        <v>#DIV/0!</v>
      </c>
      <c r="O563" s="105" t="e">
        <f t="shared" ref="O563" si="296">O543</f>
        <v>#DIV/0!</v>
      </c>
      <c r="P563" s="105" t="e">
        <f t="shared" si="291"/>
        <v>#DIV/0!</v>
      </c>
      <c r="Q563" s="105" t="e">
        <f t="shared" si="291"/>
        <v>#DIV/0!</v>
      </c>
      <c r="R563" s="105" t="e">
        <f t="shared" si="291"/>
        <v>#DIV/0!</v>
      </c>
      <c r="S563" s="105" t="e">
        <f t="shared" si="291"/>
        <v>#DIV/0!</v>
      </c>
      <c r="T563" s="105" t="e">
        <f>#REF!</f>
        <v>#REF!</v>
      </c>
      <c r="U563" s="105" t="e">
        <f>#REF!</f>
        <v>#REF!</v>
      </c>
      <c r="V563" s="105" t="e">
        <f>#REF!</f>
        <v>#REF!</v>
      </c>
      <c r="W563" s="105" t="e">
        <f>#REF!</f>
        <v>#REF!</v>
      </c>
      <c r="X563" s="105" t="e">
        <f>#REF!</f>
        <v>#REF!</v>
      </c>
      <c r="Y563" s="105" t="e">
        <f>#REF!</f>
        <v>#REF!</v>
      </c>
      <c r="Z563" s="105" t="e">
        <f>#REF!</f>
        <v>#REF!</v>
      </c>
      <c r="AA563" s="105" t="e">
        <f>#REF!</f>
        <v>#REF!</v>
      </c>
      <c r="AB563" s="105" t="e">
        <f>#REF!</f>
        <v>#REF!</v>
      </c>
      <c r="AC563" s="105" t="e">
        <f>#REF!</f>
        <v>#REF!</v>
      </c>
      <c r="AD563" s="105" t="e">
        <f>#REF!</f>
        <v>#REF!</v>
      </c>
      <c r="AE563" s="105" t="e">
        <f>#REF!</f>
        <v>#REF!</v>
      </c>
      <c r="AF563" s="105" t="e">
        <f>#REF!</f>
        <v>#REF!</v>
      </c>
    </row>
    <row r="564" spans="1:37" x14ac:dyDescent="0.2">
      <c r="A564" s="14" t="s">
        <v>901</v>
      </c>
      <c r="F564" s="105">
        <f t="shared" ref="F564:R564" si="297">(F523*F395)/F$422</f>
        <v>0</v>
      </c>
      <c r="G564" s="105">
        <f t="shared" ref="G564:H564" si="298">(G523*G395)/G$422</f>
        <v>0</v>
      </c>
      <c r="H564" s="105">
        <f t="shared" si="298"/>
        <v>0</v>
      </c>
      <c r="I564" s="105">
        <f t="shared" ref="I564" si="299">(I523*I395)/I$422</f>
        <v>0</v>
      </c>
      <c r="J564" s="105">
        <f t="shared" ref="J564:K564" si="300">(J523*J395)/J$422</f>
        <v>0</v>
      </c>
      <c r="K564" s="105">
        <f t="shared" si="300"/>
        <v>0</v>
      </c>
      <c r="L564" s="105">
        <f t="shared" si="297"/>
        <v>0</v>
      </c>
      <c r="N564" s="105" t="e">
        <f t="shared" ref="N564:O564" si="301">(N523*N395)/N$422</f>
        <v>#DIV/0!</v>
      </c>
      <c r="O564" s="105" t="e">
        <f t="shared" si="301"/>
        <v>#DIV/0!</v>
      </c>
      <c r="P564" s="105" t="e">
        <f t="shared" si="297"/>
        <v>#DIV/0!</v>
      </c>
      <c r="Q564" s="105" t="e">
        <f t="shared" si="297"/>
        <v>#DIV/0!</v>
      </c>
      <c r="R564" s="105" t="e">
        <f t="shared" si="297"/>
        <v>#DIV/0!</v>
      </c>
      <c r="S564" s="105"/>
      <c r="T564" s="105"/>
      <c r="U564" s="105"/>
      <c r="V564" s="105"/>
      <c r="W564" s="105"/>
      <c r="X564" s="105"/>
      <c r="Y564" s="105"/>
      <c r="Z564" s="105"/>
      <c r="AA564" s="105"/>
      <c r="AB564" s="105"/>
      <c r="AC564" s="105"/>
      <c r="AD564" s="105"/>
      <c r="AE564" s="105"/>
      <c r="AF564" s="105"/>
    </row>
    <row r="565" spans="1:37" x14ac:dyDescent="0.2">
      <c r="F565" s="105"/>
      <c r="G565" s="105"/>
      <c r="H565" s="105"/>
      <c r="I565" s="105"/>
      <c r="J565" s="105"/>
      <c r="K565" s="105"/>
      <c r="L565" s="105"/>
      <c r="N565" s="105"/>
      <c r="O565" s="105"/>
      <c r="P565" s="105"/>
      <c r="Q565" s="105"/>
      <c r="R565" s="105"/>
      <c r="S565" s="105"/>
      <c r="T565" s="105"/>
      <c r="U565" s="105"/>
      <c r="V565" s="105"/>
      <c r="W565" s="105"/>
      <c r="X565" s="105"/>
      <c r="Y565" s="105"/>
      <c r="Z565" s="105"/>
      <c r="AA565" s="105"/>
      <c r="AB565" s="105"/>
      <c r="AC565" s="105"/>
      <c r="AD565" s="105"/>
      <c r="AE565" s="105"/>
      <c r="AF565" s="105"/>
    </row>
    <row r="566" spans="1:37" x14ac:dyDescent="0.2">
      <c r="A566" s="13" t="s">
        <v>894</v>
      </c>
      <c r="F566" s="105"/>
      <c r="G566" s="105"/>
      <c r="H566" s="105"/>
      <c r="I566" s="105"/>
      <c r="J566" s="105"/>
      <c r="K566" s="105"/>
      <c r="L566" s="105"/>
      <c r="N566" s="105"/>
      <c r="O566" s="105"/>
      <c r="P566" s="105"/>
      <c r="Q566" s="105"/>
      <c r="R566" s="105"/>
      <c r="S566" s="105"/>
      <c r="T566" s="105"/>
      <c r="U566" s="105"/>
      <c r="V566" s="105"/>
      <c r="W566" s="105"/>
      <c r="X566" s="105"/>
      <c r="Y566" s="105"/>
      <c r="Z566" s="105"/>
      <c r="AA566" s="105"/>
      <c r="AB566" s="105"/>
      <c r="AC566" s="105"/>
      <c r="AD566" s="105"/>
      <c r="AE566" s="105"/>
      <c r="AF566" s="105"/>
    </row>
    <row r="567" spans="1:37" x14ac:dyDescent="0.2">
      <c r="A567" s="14" t="s">
        <v>1020</v>
      </c>
      <c r="F567" s="105">
        <f t="shared" ref="F567:R567" si="302">F544</f>
        <v>0</v>
      </c>
      <c r="G567" s="105">
        <f t="shared" ref="G567:H567" si="303">G544</f>
        <v>0</v>
      </c>
      <c r="H567" s="105">
        <f t="shared" si="303"/>
        <v>0</v>
      </c>
      <c r="I567" s="105">
        <f t="shared" ref="I567" si="304">I544</f>
        <v>0</v>
      </c>
      <c r="J567" s="105">
        <f t="shared" ref="J567:K567" si="305">J544</f>
        <v>0</v>
      </c>
      <c r="K567" s="105">
        <f t="shared" si="305"/>
        <v>0</v>
      </c>
      <c r="L567" s="105">
        <f t="shared" si="302"/>
        <v>0</v>
      </c>
      <c r="N567" s="105" t="e">
        <f t="shared" ref="N567:O567" si="306">N544</f>
        <v>#DIV/0!</v>
      </c>
      <c r="O567" s="105" t="e">
        <f t="shared" si="306"/>
        <v>#DIV/0!</v>
      </c>
      <c r="P567" s="105" t="e">
        <f t="shared" si="302"/>
        <v>#DIV/0!</v>
      </c>
      <c r="Q567" s="105" t="e">
        <f t="shared" si="302"/>
        <v>#DIV/0!</v>
      </c>
      <c r="R567" s="48" t="e">
        <f t="shared" si="302"/>
        <v>#DIV/0!</v>
      </c>
      <c r="S567" s="105"/>
      <c r="T567" s="105"/>
      <c r="U567" s="105"/>
      <c r="V567" s="105"/>
      <c r="W567" s="105"/>
      <c r="X567" s="105"/>
      <c r="Y567" s="105"/>
      <c r="Z567" s="105"/>
      <c r="AA567" s="105"/>
      <c r="AB567" s="105"/>
      <c r="AC567" s="105"/>
      <c r="AD567" s="105"/>
      <c r="AE567" s="105"/>
      <c r="AF567" s="105"/>
    </row>
    <row r="568" spans="1:37" s="75" customFormat="1" ht="15" x14ac:dyDescent="0.2">
      <c r="A568" s="75" t="s">
        <v>1021</v>
      </c>
      <c r="E568" s="113"/>
      <c r="F568" s="109">
        <f t="shared" ref="F568:L568" si="307">(F524*F395)/F$422</f>
        <v>0</v>
      </c>
      <c r="G568" s="109">
        <f t="shared" si="307"/>
        <v>0</v>
      </c>
      <c r="H568" s="109">
        <f t="shared" si="307"/>
        <v>0</v>
      </c>
      <c r="I568" s="109">
        <f t="shared" si="307"/>
        <v>0</v>
      </c>
      <c r="J568" s="109">
        <f t="shared" si="307"/>
        <v>0</v>
      </c>
      <c r="K568" s="109">
        <f t="shared" si="307"/>
        <v>0</v>
      </c>
      <c r="L568" s="109">
        <f t="shared" si="307"/>
        <v>0</v>
      </c>
      <c r="M568" s="14"/>
      <c r="N568" s="109" t="e">
        <f t="shared" ref="N568:O568" si="308">(N524*N395)/N$422</f>
        <v>#DIV/0!</v>
      </c>
      <c r="O568" s="109" t="e">
        <f t="shared" si="308"/>
        <v>#DIV/0!</v>
      </c>
      <c r="P568" s="109" t="e">
        <f>(P524*P395)/P$422</f>
        <v>#DIV/0!</v>
      </c>
      <c r="Q568" s="109" t="e">
        <f>(Q524*Q395)/Q$422</f>
        <v>#DIV/0!</v>
      </c>
      <c r="R568" s="172" t="e">
        <f>(R524*R395)/R$437</f>
        <v>#DIV/0!</v>
      </c>
      <c r="AK568" s="81"/>
    </row>
    <row r="569" spans="1:37" x14ac:dyDescent="0.2">
      <c r="B569" s="14" t="s">
        <v>1022</v>
      </c>
      <c r="F569" s="110">
        <f t="shared" ref="F569:K569" si="309">F568+F567</f>
        <v>0</v>
      </c>
      <c r="G569" s="110">
        <f t="shared" si="309"/>
        <v>0</v>
      </c>
      <c r="H569" s="110">
        <f t="shared" si="309"/>
        <v>0</v>
      </c>
      <c r="I569" s="110">
        <f t="shared" si="309"/>
        <v>0</v>
      </c>
      <c r="J569" s="110">
        <f t="shared" si="309"/>
        <v>0</v>
      </c>
      <c r="K569" s="110">
        <f t="shared" si="309"/>
        <v>0</v>
      </c>
      <c r="L569" s="110">
        <f t="shared" ref="L569:R569" si="310">L568+L567</f>
        <v>0</v>
      </c>
      <c r="N569" s="110" t="e">
        <f t="shared" ref="N569:O569" si="311">N568+N567</f>
        <v>#DIV/0!</v>
      </c>
      <c r="O569" s="110" t="e">
        <f t="shared" si="311"/>
        <v>#DIV/0!</v>
      </c>
      <c r="P569" s="110" t="e">
        <f t="shared" si="310"/>
        <v>#DIV/0!</v>
      </c>
      <c r="Q569" s="110" t="e">
        <f t="shared" si="310"/>
        <v>#DIV/0!</v>
      </c>
      <c r="R569" s="48" t="e">
        <f t="shared" si="310"/>
        <v>#DIV/0!</v>
      </c>
    </row>
    <row r="570" spans="1:37" x14ac:dyDescent="0.2">
      <c r="P570" s="48"/>
    </row>
    <row r="571" spans="1:37" x14ac:dyDescent="0.2">
      <c r="A571" s="13" t="s">
        <v>668</v>
      </c>
      <c r="P571" s="48"/>
    </row>
    <row r="572" spans="1:37" x14ac:dyDescent="0.2">
      <c r="A572" s="14" t="s">
        <v>1023</v>
      </c>
      <c r="F572" s="105">
        <f t="shared" ref="F572:S572" si="312">F545</f>
        <v>2.028060149070152E-2</v>
      </c>
      <c r="G572" s="105">
        <f t="shared" ref="G572:H572" si="313">G545</f>
        <v>1.9950871166931276E-2</v>
      </c>
      <c r="H572" s="105">
        <f t="shared" si="313"/>
        <v>1.5583092867227956E-2</v>
      </c>
      <c r="I572" s="48">
        <f t="shared" ref="I572" si="314">I545</f>
        <v>2.7935850032524252</v>
      </c>
      <c r="J572" s="105">
        <f t="shared" ref="J572:K572" si="315">J545</f>
        <v>2.0177196726484388E-2</v>
      </c>
      <c r="K572" s="105">
        <f t="shared" si="315"/>
        <v>1.5888770118947012E-2</v>
      </c>
      <c r="L572" s="48">
        <f t="shared" ref="L572:N572" si="316">L545</f>
        <v>2.9520652959511189</v>
      </c>
      <c r="N572" s="48" t="e">
        <f t="shared" si="316"/>
        <v>#DIV/0!</v>
      </c>
      <c r="O572" s="48" t="e">
        <f t="shared" ref="O572" si="317">O545</f>
        <v>#DIV/0!</v>
      </c>
      <c r="P572" s="105" t="e">
        <f t="shared" si="312"/>
        <v>#DIV/0!</v>
      </c>
      <c r="Q572" s="105" t="e">
        <f t="shared" si="312"/>
        <v>#DIV/0!</v>
      </c>
      <c r="R572" s="48" t="e">
        <f t="shared" si="312"/>
        <v>#DIV/0!</v>
      </c>
      <c r="S572" s="105" t="e">
        <f t="shared" si="312"/>
        <v>#DIV/0!</v>
      </c>
      <c r="T572" s="105" t="e">
        <f>#REF!</f>
        <v>#REF!</v>
      </c>
      <c r="U572" s="105" t="e">
        <f>#REF!</f>
        <v>#REF!</v>
      </c>
      <c r="V572" s="105" t="e">
        <f>#REF!</f>
        <v>#REF!</v>
      </c>
      <c r="W572" s="105" t="e">
        <f>#REF!</f>
        <v>#REF!</v>
      </c>
      <c r="X572" s="105" t="e">
        <f>#REF!</f>
        <v>#REF!</v>
      </c>
      <c r="Y572" s="105" t="e">
        <f>#REF!</f>
        <v>#REF!</v>
      </c>
      <c r="Z572" s="105" t="e">
        <f>#REF!</f>
        <v>#REF!</v>
      </c>
      <c r="AA572" s="105" t="e">
        <f>#REF!</f>
        <v>#REF!</v>
      </c>
      <c r="AB572" s="105" t="e">
        <f>#REF!</f>
        <v>#REF!</v>
      </c>
      <c r="AC572" s="105" t="e">
        <f>#REF!</f>
        <v>#REF!</v>
      </c>
      <c r="AD572" s="105" t="e">
        <f>#REF!</f>
        <v>#REF!</v>
      </c>
      <c r="AE572" s="105" t="e">
        <f>#REF!</f>
        <v>#REF!</v>
      </c>
      <c r="AF572" s="105" t="e">
        <f>#REF!</f>
        <v>#REF!</v>
      </c>
    </row>
    <row r="573" spans="1:37" ht="15" x14ac:dyDescent="0.35">
      <c r="A573" s="75" t="s">
        <v>1024</v>
      </c>
      <c r="E573" s="105"/>
      <c r="F573" s="111">
        <f t="shared" ref="F573:K573" si="318">(F525*F395)/F$422</f>
        <v>3.1147388984349022E-4</v>
      </c>
      <c r="G573" s="111">
        <f t="shared" si="318"/>
        <v>1.3875346366284077E-3</v>
      </c>
      <c r="H573" s="111">
        <f t="shared" si="318"/>
        <v>-1.1123227943659062E-3</v>
      </c>
      <c r="I573" s="112">
        <f t="shared" si="318"/>
        <v>1.6819615707120272E-2</v>
      </c>
      <c r="J573" s="111">
        <f t="shared" si="318"/>
        <v>-3.1071811617856748E-3</v>
      </c>
      <c r="K573" s="111">
        <f t="shared" si="318"/>
        <v>6.1741103937862528E-3</v>
      </c>
      <c r="L573" s="112">
        <f>(L525*L395)/L$437</f>
        <v>-1.8184320185711422</v>
      </c>
      <c r="N573" s="112" t="e">
        <f>(N525*N395)/N$437</f>
        <v>#DIV/0!</v>
      </c>
      <c r="O573" s="112" t="e">
        <f>(O525*O395)/O$437</f>
        <v>#DIV/0!</v>
      </c>
      <c r="P573" s="111" t="e">
        <f>(P525*P395)/P$422</f>
        <v>#DIV/0!</v>
      </c>
      <c r="Q573" s="111" t="e">
        <f>(Q525*Q395)/Q$422</f>
        <v>#DIV/0!</v>
      </c>
      <c r="R573" s="112" t="e">
        <f>(R525*R395)/R$437</f>
        <v>#DIV/0!</v>
      </c>
      <c r="S573" s="111" t="e">
        <f>(S525*S395)/S$422</f>
        <v>#DIV/0!</v>
      </c>
      <c r="T573" s="111" t="e">
        <f>(#REF!*T330)/1026.4</f>
        <v>#REF!</v>
      </c>
      <c r="U573" s="111" t="e">
        <f>(#REF!*U330)/11504</f>
        <v>#REF!</v>
      </c>
      <c r="V573" s="111" t="e">
        <f>(#REF!*V330)/7284</f>
        <v>#REF!</v>
      </c>
      <c r="W573" s="111" t="e">
        <f>(#REF!*W330)/320.47</f>
        <v>#REF!</v>
      </c>
      <c r="X573" s="111" t="e">
        <f>(#REF!*X330)/26669</f>
        <v>#REF!</v>
      </c>
      <c r="Y573" s="111" t="e">
        <f>(#REF!*Y330)/68503</f>
        <v>#REF!</v>
      </c>
      <c r="Z573" s="111" t="e">
        <f>(#REF!*Z330)/Z$422</f>
        <v>#REF!</v>
      </c>
      <c r="AA573" s="111" t="e">
        <f>(#REF!*AA330)/17492.7</f>
        <v>#REF!</v>
      </c>
      <c r="AB573" s="111" t="e">
        <f>(#REF!*AB330)/10846</f>
        <v>#REF!</v>
      </c>
      <c r="AC573" s="111" t="e">
        <f>(#REF!*AC330)/12274</f>
        <v>#REF!</v>
      </c>
      <c r="AD573" s="111" t="e">
        <f>(#REF!*AD330)/10405</f>
        <v>#REF!</v>
      </c>
      <c r="AE573" s="111" t="e">
        <f>(#REF!*AE330)/12044</f>
        <v>#REF!</v>
      </c>
      <c r="AF573" s="111" t="e">
        <f>(#REF!*#REF!)/AF$435/12</f>
        <v>#REF!</v>
      </c>
    </row>
    <row r="574" spans="1:37" x14ac:dyDescent="0.2">
      <c r="B574" s="14" t="s">
        <v>1025</v>
      </c>
      <c r="F574" s="105">
        <f t="shared" ref="F574:K574" si="319">F572+F573</f>
        <v>2.059207538054501E-2</v>
      </c>
      <c r="G574" s="105">
        <f t="shared" si="319"/>
        <v>2.1338405803559685E-2</v>
      </c>
      <c r="H574" s="105">
        <f t="shared" si="319"/>
        <v>1.4470770072862051E-2</v>
      </c>
      <c r="I574" s="48">
        <f t="shared" si="319"/>
        <v>2.8104046189595455</v>
      </c>
      <c r="J574" s="105">
        <f t="shared" si="319"/>
        <v>1.7070015564698712E-2</v>
      </c>
      <c r="K574" s="105">
        <f t="shared" si="319"/>
        <v>2.2062880512733266E-2</v>
      </c>
      <c r="L574" s="48">
        <f t="shared" ref="L574:N574" si="320">L572+L573</f>
        <v>1.1336332773799767</v>
      </c>
      <c r="N574" s="48" t="e">
        <f t="shared" si="320"/>
        <v>#DIV/0!</v>
      </c>
      <c r="O574" s="48" t="e">
        <f t="shared" ref="O574" si="321">O572+O573</f>
        <v>#DIV/0!</v>
      </c>
      <c r="P574" s="105" t="e">
        <f t="shared" ref="P574:AF574" si="322">P572+P573</f>
        <v>#DIV/0!</v>
      </c>
      <c r="Q574" s="105" t="e">
        <f t="shared" si="322"/>
        <v>#DIV/0!</v>
      </c>
      <c r="R574" s="48" t="e">
        <f t="shared" si="322"/>
        <v>#DIV/0!</v>
      </c>
      <c r="S574" s="105" t="e">
        <f t="shared" si="322"/>
        <v>#DIV/0!</v>
      </c>
      <c r="T574" s="105" t="e">
        <f t="shared" si="322"/>
        <v>#REF!</v>
      </c>
      <c r="U574" s="105" t="e">
        <f t="shared" si="322"/>
        <v>#REF!</v>
      </c>
      <c r="V574" s="105" t="e">
        <f t="shared" si="322"/>
        <v>#REF!</v>
      </c>
      <c r="W574" s="105" t="e">
        <f t="shared" si="322"/>
        <v>#REF!</v>
      </c>
      <c r="X574" s="105" t="e">
        <f t="shared" si="322"/>
        <v>#REF!</v>
      </c>
      <c r="Y574" s="105" t="e">
        <f t="shared" si="322"/>
        <v>#REF!</v>
      </c>
      <c r="Z574" s="105" t="e">
        <f t="shared" si="322"/>
        <v>#REF!</v>
      </c>
      <c r="AA574" s="105" t="e">
        <f t="shared" si="322"/>
        <v>#REF!</v>
      </c>
      <c r="AB574" s="105" t="e">
        <f t="shared" si="322"/>
        <v>#REF!</v>
      </c>
      <c r="AC574" s="105" t="e">
        <f t="shared" si="322"/>
        <v>#REF!</v>
      </c>
      <c r="AD574" s="105" t="e">
        <f t="shared" si="322"/>
        <v>#REF!</v>
      </c>
      <c r="AE574" s="105" t="e">
        <f t="shared" si="322"/>
        <v>#REF!</v>
      </c>
      <c r="AF574" s="105" t="e">
        <f t="shared" si="322"/>
        <v>#REF!</v>
      </c>
    </row>
    <row r="576" spans="1:37" x14ac:dyDescent="0.2">
      <c r="A576" s="13" t="s">
        <v>669</v>
      </c>
    </row>
    <row r="577" spans="1:32" x14ac:dyDescent="0.2">
      <c r="A577" s="14" t="s">
        <v>670</v>
      </c>
      <c r="F577" s="80">
        <f t="shared" ref="F577:S577" si="323">F546</f>
        <v>22.340645544649483</v>
      </c>
      <c r="G577" s="80">
        <f t="shared" ref="G577:H577" si="324">G546</f>
        <v>22.348669245438462</v>
      </c>
      <c r="H577" s="80">
        <f t="shared" si="324"/>
        <v>23.316451452087893</v>
      </c>
      <c r="I577" s="80">
        <f t="shared" ref="I577" si="325">I546</f>
        <v>28.359742661576202</v>
      </c>
      <c r="J577" s="80">
        <f t="shared" ref="J577:L577" si="326">J546</f>
        <v>22.467872914438299</v>
      </c>
      <c r="K577" s="80">
        <f t="shared" si="326"/>
        <v>30.992955338503911</v>
      </c>
      <c r="L577" s="80">
        <f t="shared" si="326"/>
        <v>145.45285440423123</v>
      </c>
      <c r="N577" s="80" t="e">
        <f t="shared" ref="N577:O577" si="327">N546</f>
        <v>#DIV/0!</v>
      </c>
      <c r="O577" s="80" t="e">
        <f t="shared" si="327"/>
        <v>#DIV/0!</v>
      </c>
      <c r="P577" s="80" t="e">
        <f t="shared" si="323"/>
        <v>#DIV/0!</v>
      </c>
      <c r="Q577" s="80" t="e">
        <f t="shared" si="323"/>
        <v>#DIV/0!</v>
      </c>
      <c r="R577" s="80" t="e">
        <f t="shared" si="323"/>
        <v>#DIV/0!</v>
      </c>
      <c r="S577" s="80" t="e">
        <f t="shared" si="323"/>
        <v>#DIV/0!</v>
      </c>
      <c r="T577" s="80" t="e">
        <f>#REF!</f>
        <v>#REF!</v>
      </c>
      <c r="U577" s="80" t="e">
        <f>#REF!</f>
        <v>#REF!</v>
      </c>
      <c r="V577" s="80" t="e">
        <f>#REF!</f>
        <v>#REF!</v>
      </c>
      <c r="W577" s="80" t="e">
        <f>#REF!</f>
        <v>#REF!</v>
      </c>
      <c r="X577" s="80" t="e">
        <f>#REF!</f>
        <v>#REF!</v>
      </c>
      <c r="Y577" s="80" t="e">
        <f>#REF!</f>
        <v>#REF!</v>
      </c>
      <c r="Z577" s="80" t="e">
        <f>#REF!</f>
        <v>#REF!</v>
      </c>
      <c r="AA577" s="80" t="e">
        <f>#REF!</f>
        <v>#REF!</v>
      </c>
      <c r="AB577" s="80" t="e">
        <f>#REF!</f>
        <v>#REF!</v>
      </c>
      <c r="AC577" s="80" t="e">
        <f>#REF!</f>
        <v>#REF!</v>
      </c>
      <c r="AD577" s="80" t="e">
        <f>#REF!</f>
        <v>#REF!</v>
      </c>
      <c r="AE577" s="80" t="e">
        <f>#REF!</f>
        <v>#REF!</v>
      </c>
      <c r="AF577" s="80" t="e">
        <f>#REF!</f>
        <v>#REF!</v>
      </c>
    </row>
    <row r="578" spans="1:32" ht="15" x14ac:dyDescent="0.35">
      <c r="A578" s="14" t="s">
        <v>671</v>
      </c>
      <c r="E578" s="80"/>
      <c r="F578" s="112">
        <f t="shared" ref="F578:S578" si="328">(F526*F395)/F425</f>
        <v>0.27165364826321808</v>
      </c>
      <c r="G578" s="112">
        <f t="shared" ref="G578:H578" si="329">(G526*G395)/G425</f>
        <v>1.2154534081231587</v>
      </c>
      <c r="H578" s="112">
        <f t="shared" si="329"/>
        <v>-1.3832869078163186</v>
      </c>
      <c r="I578" s="112">
        <f t="shared" ref="I578" si="330">(I526*I395)/I425</f>
        <v>34.820825837584991</v>
      </c>
      <c r="J578" s="112">
        <f t="shared" ref="J578:K578" si="331">(J526*J395)/J425</f>
        <v>-2.7107104968536029</v>
      </c>
      <c r="K578" s="112">
        <f t="shared" si="331"/>
        <v>10.518230332780385</v>
      </c>
      <c r="L578" s="112">
        <f t="shared" si="328"/>
        <v>-27.112628695491779</v>
      </c>
      <c r="N578" s="112" t="e">
        <f t="shared" ref="N578:O578" si="332">(N526*N395)/N425</f>
        <v>#DIV/0!</v>
      </c>
      <c r="O578" s="112" t="e">
        <f t="shared" si="332"/>
        <v>#DIV/0!</v>
      </c>
      <c r="P578" s="112" t="e">
        <f t="shared" si="328"/>
        <v>#DIV/0!</v>
      </c>
      <c r="Q578" s="112" t="e">
        <f t="shared" si="328"/>
        <v>#DIV/0!</v>
      </c>
      <c r="R578" s="112" t="e">
        <f t="shared" si="328"/>
        <v>#DIV/0!</v>
      </c>
      <c r="S578" s="112" t="e">
        <f t="shared" si="328"/>
        <v>#DIV/0!</v>
      </c>
      <c r="T578" s="112" t="e">
        <f>(#REF!*T330)/T425</f>
        <v>#REF!</v>
      </c>
      <c r="U578" s="112" t="e">
        <f>(#REF!*U330)/U425</f>
        <v>#REF!</v>
      </c>
      <c r="V578" s="112" t="e">
        <f>(#REF!*V330)/V425</f>
        <v>#REF!</v>
      </c>
      <c r="W578" s="112" t="e">
        <f>(#REF!*W330)/W425</f>
        <v>#REF!</v>
      </c>
      <c r="X578" s="112" t="e">
        <f>(#REF!*X330)/X425</f>
        <v>#REF!</v>
      </c>
      <c r="Y578" s="112" t="e">
        <f>(#REF!*Y330)/Y425</f>
        <v>#REF!</v>
      </c>
      <c r="Z578" s="112" t="e">
        <f>(#REF!*Z330)/Z425</f>
        <v>#REF!</v>
      </c>
      <c r="AA578" s="112" t="e">
        <f>(#REF!*AA330)/AA425</f>
        <v>#REF!</v>
      </c>
      <c r="AB578" s="112" t="e">
        <f>(#REF!*AB330)/AB425</f>
        <v>#REF!</v>
      </c>
      <c r="AC578" s="112" t="e">
        <f>(#REF!*AC330)/AC425</f>
        <v>#REF!</v>
      </c>
      <c r="AD578" s="112" t="e">
        <f>(#REF!*AD330)/AD425</f>
        <v>#REF!</v>
      </c>
      <c r="AE578" s="112" t="e">
        <f>(#REF!*AE330)/AE425</f>
        <v>#REF!</v>
      </c>
      <c r="AF578" s="112" t="e">
        <f>(#REF!*#REF!)/#REF!</f>
        <v>#REF!</v>
      </c>
    </row>
    <row r="579" spans="1:32" x14ac:dyDescent="0.2">
      <c r="B579" s="14" t="s">
        <v>672</v>
      </c>
      <c r="F579" s="80">
        <f t="shared" ref="F579:L579" si="333">F577+F578</f>
        <v>22.612299192912701</v>
      </c>
      <c r="G579" s="80">
        <f t="shared" ref="G579:H579" si="334">G577+G578</f>
        <v>23.564122653561622</v>
      </c>
      <c r="H579" s="80">
        <f t="shared" si="334"/>
        <v>21.933164544271573</v>
      </c>
      <c r="I579" s="80">
        <f t="shared" ref="I579" si="335">I577+I578</f>
        <v>63.180568499161197</v>
      </c>
      <c r="J579" s="80">
        <f t="shared" ref="J579:K579" si="336">J577+J578</f>
        <v>19.757162417584695</v>
      </c>
      <c r="K579" s="80">
        <f t="shared" si="336"/>
        <v>41.511185671284295</v>
      </c>
      <c r="L579" s="80">
        <f t="shared" si="333"/>
        <v>118.34022570873945</v>
      </c>
      <c r="N579" s="80" t="e">
        <f t="shared" ref="N579:O579" si="337">N577+N578</f>
        <v>#DIV/0!</v>
      </c>
      <c r="O579" s="80" t="e">
        <f t="shared" si="337"/>
        <v>#DIV/0!</v>
      </c>
      <c r="P579" s="80" t="e">
        <f t="shared" ref="P579:AF579" si="338">P577+P578</f>
        <v>#DIV/0!</v>
      </c>
      <c r="Q579" s="80" t="e">
        <f t="shared" si="338"/>
        <v>#DIV/0!</v>
      </c>
      <c r="R579" s="80" t="e">
        <f t="shared" si="338"/>
        <v>#DIV/0!</v>
      </c>
      <c r="S579" s="80" t="e">
        <f t="shared" si="338"/>
        <v>#DIV/0!</v>
      </c>
      <c r="T579" s="80" t="e">
        <f t="shared" si="338"/>
        <v>#REF!</v>
      </c>
      <c r="U579" s="80" t="e">
        <f t="shared" si="338"/>
        <v>#REF!</v>
      </c>
      <c r="V579" s="80" t="e">
        <f t="shared" si="338"/>
        <v>#REF!</v>
      </c>
      <c r="W579" s="80" t="e">
        <f t="shared" si="338"/>
        <v>#REF!</v>
      </c>
      <c r="X579" s="80" t="e">
        <f t="shared" si="338"/>
        <v>#REF!</v>
      </c>
      <c r="Y579" s="80" t="e">
        <f t="shared" si="338"/>
        <v>#REF!</v>
      </c>
      <c r="Z579" s="80" t="e">
        <f t="shared" si="338"/>
        <v>#REF!</v>
      </c>
      <c r="AA579" s="80" t="e">
        <f t="shared" si="338"/>
        <v>#REF!</v>
      </c>
      <c r="AB579" s="80" t="e">
        <f t="shared" si="338"/>
        <v>#REF!</v>
      </c>
      <c r="AC579" s="80" t="e">
        <f t="shared" si="338"/>
        <v>#REF!</v>
      </c>
      <c r="AD579" s="80" t="e">
        <f t="shared" si="338"/>
        <v>#REF!</v>
      </c>
      <c r="AE579" s="80" t="e">
        <f t="shared" si="338"/>
        <v>#REF!</v>
      </c>
      <c r="AF579" s="80" t="e">
        <f t="shared" si="338"/>
        <v>#REF!</v>
      </c>
    </row>
    <row r="583" spans="1:32" x14ac:dyDescent="0.2">
      <c r="A583" s="28" t="s">
        <v>673</v>
      </c>
      <c r="B583" s="197"/>
      <c r="C583" s="198">
        <f>E395</f>
        <v>6.788799041746521E-3</v>
      </c>
      <c r="F583" s="47">
        <f t="shared" ref="F583:L583" si="339">$C$583</f>
        <v>6.788799041746521E-3</v>
      </c>
      <c r="G583" s="47">
        <f t="shared" si="339"/>
        <v>6.788799041746521E-3</v>
      </c>
      <c r="H583" s="47">
        <f t="shared" si="339"/>
        <v>6.788799041746521E-3</v>
      </c>
      <c r="I583" s="47">
        <f t="shared" si="339"/>
        <v>6.788799041746521E-3</v>
      </c>
      <c r="J583" s="47">
        <f t="shared" si="339"/>
        <v>6.788799041746521E-3</v>
      </c>
      <c r="K583" s="47">
        <f t="shared" si="339"/>
        <v>6.788799041746521E-3</v>
      </c>
      <c r="L583" s="47">
        <f t="shared" si="339"/>
        <v>6.788799041746521E-3</v>
      </c>
      <c r="N583" s="47">
        <f>$C$583</f>
        <v>6.788799041746521E-3</v>
      </c>
      <c r="O583" s="47">
        <f>$C$583</f>
        <v>6.788799041746521E-3</v>
      </c>
      <c r="P583" s="47">
        <f>$C$583</f>
        <v>6.788799041746521E-3</v>
      </c>
      <c r="Q583" s="47">
        <f>$C$583</f>
        <v>6.788799041746521E-3</v>
      </c>
      <c r="R583" s="47">
        <f>$C$583</f>
        <v>6.788799041746521E-3</v>
      </c>
    </row>
    <row r="584" spans="1:32" x14ac:dyDescent="0.2">
      <c r="A584" s="13"/>
    </row>
    <row r="585" spans="1:32" x14ac:dyDescent="0.2">
      <c r="A585" s="13" t="s">
        <v>764</v>
      </c>
    </row>
    <row r="586" spans="1:32" x14ac:dyDescent="0.2">
      <c r="A586" s="14" t="s">
        <v>1018</v>
      </c>
      <c r="F586" s="105">
        <f t="shared" ref="F586" si="340">F561</f>
        <v>1.5719599199091744E-2</v>
      </c>
      <c r="G586" s="105">
        <f t="shared" ref="G586:I586" si="341">G561</f>
        <v>1.6974747581893799E-2</v>
      </c>
      <c r="H586" s="105">
        <f t="shared" si="341"/>
        <v>2.3555860707453975E-2</v>
      </c>
      <c r="I586" s="48">
        <f t="shared" si="341"/>
        <v>6.0700504014323755</v>
      </c>
      <c r="J586" s="105">
        <f t="shared" ref="J586:K586" si="342">J561</f>
        <v>1.4622550282221135E-2</v>
      </c>
      <c r="K586" s="105">
        <f t="shared" si="342"/>
        <v>3.8516249579512783E-3</v>
      </c>
      <c r="L586" s="48">
        <f t="shared" ref="L586" si="343">L561</f>
        <v>5.5387959937947082</v>
      </c>
      <c r="N586" s="48" t="e">
        <f t="shared" ref="N586:O586" si="344">N561</f>
        <v>#DIV/0!</v>
      </c>
      <c r="O586" s="48" t="e">
        <f t="shared" si="344"/>
        <v>#DIV/0!</v>
      </c>
      <c r="P586" s="105" t="e">
        <f t="shared" ref="P586:Q586" si="345">P561</f>
        <v>#DIV/0!</v>
      </c>
      <c r="Q586" s="105" t="e">
        <f t="shared" si="345"/>
        <v>#DIV/0!</v>
      </c>
      <c r="R586" s="48" t="e">
        <f>R561</f>
        <v>#DIV/0!</v>
      </c>
      <c r="S586" s="105" t="e">
        <f t="shared" ref="S586:AE586" si="346">S542</f>
        <v>#DIV/0!</v>
      </c>
      <c r="T586" s="105">
        <f t="shared" si="346"/>
        <v>0</v>
      </c>
      <c r="U586" s="105" t="e">
        <f t="shared" si="346"/>
        <v>#DIV/0!</v>
      </c>
      <c r="V586" s="105" t="e">
        <f t="shared" si="346"/>
        <v>#DIV/0!</v>
      </c>
      <c r="W586" s="105" t="e">
        <f t="shared" si="346"/>
        <v>#DIV/0!</v>
      </c>
      <c r="X586" s="105" t="e">
        <f t="shared" si="346"/>
        <v>#DIV/0!</v>
      </c>
      <c r="Y586" s="105" t="e">
        <f t="shared" si="346"/>
        <v>#DIV/0!</v>
      </c>
      <c r="Z586" s="105">
        <f t="shared" si="346"/>
        <v>0</v>
      </c>
      <c r="AA586" s="105">
        <f t="shared" si="346"/>
        <v>0</v>
      </c>
      <c r="AB586" s="105">
        <f t="shared" si="346"/>
        <v>0</v>
      </c>
      <c r="AC586" s="105">
        <f t="shared" si="346"/>
        <v>0</v>
      </c>
      <c r="AD586" s="105">
        <f t="shared" si="346"/>
        <v>0</v>
      </c>
      <c r="AE586" s="105">
        <f t="shared" si="346"/>
        <v>0</v>
      </c>
      <c r="AF586" s="105" t="e">
        <f>#REF!</f>
        <v>#REF!</v>
      </c>
    </row>
    <row r="587" spans="1:32" x14ac:dyDescent="0.2">
      <c r="A587" s="14" t="s">
        <v>1019</v>
      </c>
      <c r="E587" s="114"/>
      <c r="F587" s="105">
        <f>(F522*$E$395)/F$422</f>
        <v>0</v>
      </c>
      <c r="G587" s="105">
        <f>(G522*$E$395)/G$422</f>
        <v>0</v>
      </c>
      <c r="H587" s="105">
        <f>(H522*$E$395)/H$422</f>
        <v>0</v>
      </c>
      <c r="I587" s="48">
        <f>(I522*$E$395)/I$437</f>
        <v>0</v>
      </c>
      <c r="J587" s="105">
        <f>(J522*$E$395)/J$422</f>
        <v>0</v>
      </c>
      <c r="K587" s="105">
        <f>(K522*$E$395)/K$422</f>
        <v>0</v>
      </c>
      <c r="L587" s="48">
        <f>(L522*$E$395)/L$437</f>
        <v>0</v>
      </c>
      <c r="N587" s="48" t="e">
        <f>(N522*$E$395)/N$437</f>
        <v>#DIV/0!</v>
      </c>
      <c r="O587" s="48" t="e">
        <f>(O522*$E$395)/O$437</f>
        <v>#DIV/0!</v>
      </c>
      <c r="P587" s="105" t="e">
        <f>(P522*$E$395)/P$422</f>
        <v>#DIV/0!</v>
      </c>
      <c r="Q587" s="105" t="e">
        <f>(Q522*$E$395)/Q$422</f>
        <v>#DIV/0!</v>
      </c>
      <c r="R587" s="48" t="e">
        <f>(R522*$E$395)/R$437</f>
        <v>#DIV/0!</v>
      </c>
      <c r="S587" s="105" t="e">
        <f t="shared" ref="S587:AE587" si="347">S543</f>
        <v>#DIV/0!</v>
      </c>
      <c r="T587" s="105" t="e">
        <f t="shared" si="347"/>
        <v>#DIV/0!</v>
      </c>
      <c r="U587" s="105" t="e">
        <f t="shared" si="347"/>
        <v>#DIV/0!</v>
      </c>
      <c r="V587" s="105" t="e">
        <f t="shared" si="347"/>
        <v>#DIV/0!</v>
      </c>
      <c r="W587" s="105" t="e">
        <f t="shared" si="347"/>
        <v>#DIV/0!</v>
      </c>
      <c r="X587" s="105" t="e">
        <f t="shared" si="347"/>
        <v>#DIV/0!</v>
      </c>
      <c r="Y587" s="105" t="e">
        <f t="shared" si="347"/>
        <v>#DIV/0!</v>
      </c>
      <c r="Z587" s="105" t="e">
        <f t="shared" si="347"/>
        <v>#DIV/0!</v>
      </c>
      <c r="AA587" s="105" t="e">
        <f t="shared" si="347"/>
        <v>#DIV/0!</v>
      </c>
      <c r="AB587" s="105" t="e">
        <f t="shared" si="347"/>
        <v>#DIV/0!</v>
      </c>
      <c r="AC587" s="105" t="e">
        <f t="shared" si="347"/>
        <v>#DIV/0!</v>
      </c>
      <c r="AD587" s="105" t="e">
        <f t="shared" si="347"/>
        <v>#DIV/0!</v>
      </c>
      <c r="AE587" s="105">
        <f t="shared" si="347"/>
        <v>0</v>
      </c>
      <c r="AF587" s="105" t="e">
        <f>#REF!</f>
        <v>#REF!</v>
      </c>
    </row>
    <row r="588" spans="1:32" x14ac:dyDescent="0.2">
      <c r="A588" s="14" t="s">
        <v>900</v>
      </c>
      <c r="F588" s="105">
        <f t="shared" ref="F588" si="348">F563</f>
        <v>5.1288132339373925E-2</v>
      </c>
      <c r="G588" s="105">
        <f t="shared" ref="G588:I588" si="349">G563</f>
        <v>4.9317991639461968E-2</v>
      </c>
      <c r="H588" s="105">
        <f t="shared" si="349"/>
        <v>5.1811923242640612E-2</v>
      </c>
      <c r="I588" s="105">
        <f t="shared" si="349"/>
        <v>5.1585484161843172E-2</v>
      </c>
      <c r="J588" s="105">
        <f t="shared" ref="J588:K588" si="350">J563</f>
        <v>5.1714603080110728E-2</v>
      </c>
      <c r="K588" s="105">
        <f t="shared" si="350"/>
        <v>5.264442843029063E-2</v>
      </c>
      <c r="L588" s="105">
        <f t="shared" ref="L588" si="351">L563</f>
        <v>5.2912036898096378E-2</v>
      </c>
      <c r="N588" s="105" t="e">
        <f t="shared" ref="N588:O588" si="352">N563</f>
        <v>#DIV/0!</v>
      </c>
      <c r="O588" s="105" t="e">
        <f t="shared" si="352"/>
        <v>#DIV/0!</v>
      </c>
      <c r="P588" s="105" t="e">
        <f t="shared" ref="P588:Q588" si="353">P563</f>
        <v>#DIV/0!</v>
      </c>
      <c r="Q588" s="105" t="e">
        <f t="shared" si="353"/>
        <v>#DIV/0!</v>
      </c>
      <c r="R588" s="105" t="e">
        <f>R563</f>
        <v>#DIV/0!</v>
      </c>
      <c r="S588" s="105">
        <f>S568</f>
        <v>0</v>
      </c>
      <c r="T588" s="105" t="e">
        <f>#REF!</f>
        <v>#REF!</v>
      </c>
      <c r="U588" s="105" t="e">
        <f>#REF!</f>
        <v>#REF!</v>
      </c>
      <c r="V588" s="105" t="e">
        <f>#REF!</f>
        <v>#REF!</v>
      </c>
      <c r="W588" s="105" t="e">
        <f>#REF!</f>
        <v>#REF!</v>
      </c>
      <c r="X588" s="105" t="e">
        <f>#REF!</f>
        <v>#REF!</v>
      </c>
      <c r="Y588" s="105" t="e">
        <f>#REF!</f>
        <v>#REF!</v>
      </c>
      <c r="Z588" s="105" t="e">
        <f>#REF!</f>
        <v>#REF!</v>
      </c>
      <c r="AA588" s="105" t="e">
        <f>#REF!</f>
        <v>#REF!</v>
      </c>
      <c r="AB588" s="105" t="e">
        <f>#REF!</f>
        <v>#REF!</v>
      </c>
      <c r="AC588" s="105" t="e">
        <f>#REF!</f>
        <v>#REF!</v>
      </c>
      <c r="AD588" s="105" t="e">
        <f>#REF!</f>
        <v>#REF!</v>
      </c>
      <c r="AE588" s="105" t="e">
        <f>#REF!</f>
        <v>#REF!</v>
      </c>
      <c r="AF588" s="105" t="e">
        <f>#REF!</f>
        <v>#REF!</v>
      </c>
    </row>
    <row r="589" spans="1:32" x14ac:dyDescent="0.2">
      <c r="A589" s="14" t="s">
        <v>901</v>
      </c>
      <c r="D589" s="105"/>
      <c r="F589" s="105">
        <f t="shared" ref="F589:R589" si="354">(F523*$E$395)/F$422</f>
        <v>0</v>
      </c>
      <c r="G589" s="105">
        <f t="shared" ref="G589:I589" si="355">(G523*$E$395)/G$422</f>
        <v>0</v>
      </c>
      <c r="H589" s="105">
        <f t="shared" si="355"/>
        <v>0</v>
      </c>
      <c r="I589" s="49">
        <f t="shared" si="355"/>
        <v>0</v>
      </c>
      <c r="J589" s="105">
        <f t="shared" ref="J589:K589" si="356">(J523*$E$395)/J$422</f>
        <v>0</v>
      </c>
      <c r="K589" s="105">
        <f t="shared" si="356"/>
        <v>0</v>
      </c>
      <c r="L589" s="49">
        <f t="shared" ref="L589" si="357">(L523*$E$395)/L$422</f>
        <v>0</v>
      </c>
      <c r="N589" s="49" t="e">
        <f t="shared" ref="N589:O589" si="358">(N523*$E$395)/N$422</f>
        <v>#DIV/0!</v>
      </c>
      <c r="O589" s="49" t="e">
        <f t="shared" si="358"/>
        <v>#DIV/0!</v>
      </c>
      <c r="P589" s="105" t="e">
        <f t="shared" si="354"/>
        <v>#DIV/0!</v>
      </c>
      <c r="Q589" s="105" t="e">
        <f t="shared" si="354"/>
        <v>#DIV/0!</v>
      </c>
      <c r="R589" s="49" t="e">
        <f t="shared" si="354"/>
        <v>#DIV/0!</v>
      </c>
      <c r="S589" s="105"/>
      <c r="T589" s="105"/>
      <c r="U589" s="105"/>
      <c r="V589" s="105"/>
      <c r="W589" s="105"/>
      <c r="X589" s="105"/>
      <c r="Y589" s="105"/>
      <c r="Z589" s="105"/>
      <c r="AA589" s="105"/>
      <c r="AB589" s="105"/>
      <c r="AC589" s="105"/>
      <c r="AD589" s="105"/>
      <c r="AE589" s="105"/>
      <c r="AF589" s="105"/>
    </row>
    <row r="590" spans="1:32" x14ac:dyDescent="0.2">
      <c r="F590" s="105"/>
      <c r="G590" s="105"/>
      <c r="H590" s="105"/>
      <c r="I590" s="105"/>
      <c r="J590" s="105"/>
      <c r="K590" s="105"/>
      <c r="L590" s="105"/>
      <c r="N590" s="105"/>
      <c r="O590" s="105"/>
      <c r="P590" s="105"/>
      <c r="Q590" s="105"/>
      <c r="R590" s="105"/>
      <c r="S590" s="105"/>
      <c r="T590" s="105"/>
      <c r="U590" s="105"/>
      <c r="V590" s="105"/>
      <c r="W590" s="105"/>
      <c r="X590" s="105"/>
      <c r="Y590" s="105"/>
      <c r="Z590" s="105"/>
      <c r="AA590" s="105"/>
      <c r="AB590" s="105"/>
      <c r="AC590" s="105"/>
      <c r="AD590" s="105"/>
      <c r="AE590" s="105"/>
      <c r="AF590" s="105"/>
    </row>
    <row r="591" spans="1:32" x14ac:dyDescent="0.2">
      <c r="A591" s="13" t="s">
        <v>894</v>
      </c>
      <c r="F591" s="105"/>
      <c r="G591" s="105"/>
      <c r="H591" s="105"/>
      <c r="I591" s="105"/>
      <c r="J591" s="105"/>
      <c r="K591" s="105"/>
      <c r="L591" s="105"/>
      <c r="N591" s="105"/>
      <c r="O591" s="105"/>
      <c r="P591" s="105"/>
      <c r="Q591" s="105"/>
      <c r="R591" s="105"/>
      <c r="S591" s="105"/>
      <c r="T591" s="105"/>
      <c r="U591" s="105"/>
      <c r="V591" s="105"/>
      <c r="W591" s="105"/>
      <c r="X591" s="105"/>
      <c r="Y591" s="105"/>
      <c r="Z591" s="105"/>
      <c r="AA591" s="105"/>
      <c r="AB591" s="105"/>
      <c r="AC591" s="105"/>
      <c r="AD591" s="105"/>
      <c r="AE591" s="105"/>
      <c r="AF591" s="105"/>
    </row>
    <row r="592" spans="1:32" x14ac:dyDescent="0.2">
      <c r="A592" s="14" t="s">
        <v>1020</v>
      </c>
      <c r="F592" s="105">
        <f t="shared" ref="F592:L592" si="359">F567</f>
        <v>0</v>
      </c>
      <c r="G592" s="105">
        <f t="shared" ref="G592:I592" si="360">G567</f>
        <v>0</v>
      </c>
      <c r="H592" s="105">
        <f t="shared" si="360"/>
        <v>0</v>
      </c>
      <c r="I592" s="48">
        <f t="shared" si="360"/>
        <v>0</v>
      </c>
      <c r="J592" s="105">
        <f t="shared" ref="J592:K592" si="361">J567</f>
        <v>0</v>
      </c>
      <c r="K592" s="105">
        <f t="shared" si="361"/>
        <v>0</v>
      </c>
      <c r="L592" s="48">
        <f t="shared" si="359"/>
        <v>0</v>
      </c>
      <c r="N592" s="48" t="e">
        <f t="shared" ref="N592:O592" si="362">N567</f>
        <v>#DIV/0!</v>
      </c>
      <c r="O592" s="48" t="e">
        <f t="shared" si="362"/>
        <v>#DIV/0!</v>
      </c>
      <c r="P592" s="105" t="e">
        <f t="shared" ref="P592:Q592" si="363">P567</f>
        <v>#DIV/0!</v>
      </c>
      <c r="Q592" s="105" t="e">
        <f t="shared" si="363"/>
        <v>#DIV/0!</v>
      </c>
      <c r="R592" s="48" t="e">
        <f>R567</f>
        <v>#DIV/0!</v>
      </c>
      <c r="S592" s="105"/>
      <c r="T592" s="105"/>
      <c r="U592" s="105"/>
      <c r="V592" s="105"/>
      <c r="W592" s="105"/>
      <c r="X592" s="105"/>
      <c r="Y592" s="105"/>
      <c r="Z592" s="105"/>
      <c r="AA592" s="105"/>
      <c r="AB592" s="105"/>
      <c r="AC592" s="105"/>
      <c r="AD592" s="105"/>
      <c r="AE592" s="105"/>
      <c r="AF592" s="105"/>
    </row>
    <row r="593" spans="1:37" s="75" customFormat="1" ht="15" x14ac:dyDescent="0.35">
      <c r="A593" s="75" t="s">
        <v>1021</v>
      </c>
      <c r="D593" s="113"/>
      <c r="F593" s="111">
        <f>(F524*$E$395)/F$422</f>
        <v>0</v>
      </c>
      <c r="G593" s="111">
        <f>(G524*$E$395)/G$422</f>
        <v>0</v>
      </c>
      <c r="H593" s="111">
        <f>(H524*$E$395)/H$422</f>
        <v>0</v>
      </c>
      <c r="I593" s="112">
        <f>(I524*$E$395)/I$437</f>
        <v>0</v>
      </c>
      <c r="J593" s="111">
        <f>(J524*$E$395)/J$422</f>
        <v>0</v>
      </c>
      <c r="K593" s="111">
        <f>(K524*$E$395)/K$422</f>
        <v>0</v>
      </c>
      <c r="L593" s="112">
        <f>(L524*$E$395)/L$437</f>
        <v>0</v>
      </c>
      <c r="M593" s="14"/>
      <c r="N593" s="112" t="e">
        <f>(N524*$E$395)/N$437</f>
        <v>#DIV/0!</v>
      </c>
      <c r="O593" s="112" t="e">
        <f>(O524*$E$395)/O$437</f>
        <v>#DIV/0!</v>
      </c>
      <c r="P593" s="111" t="e">
        <f>(P524*$E$395)/P$422</f>
        <v>#DIV/0!</v>
      </c>
      <c r="Q593" s="111" t="e">
        <f>(Q524*$E$395)/Q$422</f>
        <v>#DIV/0!</v>
      </c>
      <c r="R593" s="112" t="e">
        <f>(R524*$E$395)/R$437</f>
        <v>#DIV/0!</v>
      </c>
      <c r="AK593" s="81"/>
    </row>
    <row r="594" spans="1:37" x14ac:dyDescent="0.2">
      <c r="B594" s="14" t="s">
        <v>1022</v>
      </c>
      <c r="F594" s="105">
        <f>F592+F593</f>
        <v>0</v>
      </c>
      <c r="G594" s="105">
        <f>G592+G593</f>
        <v>0</v>
      </c>
      <c r="H594" s="105">
        <f>H592+H593</f>
        <v>0</v>
      </c>
      <c r="I594" s="48">
        <f t="shared" ref="I594" si="364">I592+I593</f>
        <v>0</v>
      </c>
      <c r="J594" s="105">
        <f>J592+J593</f>
        <v>0</v>
      </c>
      <c r="K594" s="105">
        <f>K592+K593</f>
        <v>0</v>
      </c>
      <c r="L594" s="48">
        <f t="shared" ref="L594:N594" si="365">L592+L593</f>
        <v>0</v>
      </c>
      <c r="N594" s="48" t="e">
        <f t="shared" si="365"/>
        <v>#DIV/0!</v>
      </c>
      <c r="O594" s="48" t="e">
        <f t="shared" ref="O594" si="366">O592+O593</f>
        <v>#DIV/0!</v>
      </c>
      <c r="P594" s="105" t="e">
        <f t="shared" ref="P594:R594" si="367">P592+P593</f>
        <v>#DIV/0!</v>
      </c>
      <c r="Q594" s="105" t="e">
        <f t="shared" si="367"/>
        <v>#DIV/0!</v>
      </c>
      <c r="R594" s="48" t="e">
        <f t="shared" si="367"/>
        <v>#DIV/0!</v>
      </c>
    </row>
    <row r="595" spans="1:37" x14ac:dyDescent="0.2">
      <c r="P595" s="48"/>
    </row>
    <row r="596" spans="1:37" x14ac:dyDescent="0.2">
      <c r="A596" s="13" t="s">
        <v>668</v>
      </c>
      <c r="P596" s="48"/>
    </row>
    <row r="597" spans="1:37" x14ac:dyDescent="0.2">
      <c r="A597" s="14" t="s">
        <v>1023</v>
      </c>
      <c r="F597" s="105">
        <f t="shared" ref="F597:S597" si="368">F545</f>
        <v>2.028060149070152E-2</v>
      </c>
      <c r="G597" s="105">
        <f t="shared" ref="G597:I597" si="369">G545</f>
        <v>1.9950871166931276E-2</v>
      </c>
      <c r="H597" s="105">
        <f t="shared" si="369"/>
        <v>1.5583092867227956E-2</v>
      </c>
      <c r="I597" s="48">
        <f t="shared" si="369"/>
        <v>2.7935850032524252</v>
      </c>
      <c r="J597" s="105">
        <f t="shared" ref="J597:K597" si="370">J545</f>
        <v>2.0177196726484388E-2</v>
      </c>
      <c r="K597" s="105">
        <f t="shared" si="370"/>
        <v>1.5888770118947012E-2</v>
      </c>
      <c r="L597" s="48">
        <f t="shared" ref="L597:N597" si="371">L545</f>
        <v>2.9520652959511189</v>
      </c>
      <c r="N597" s="48" t="e">
        <f t="shared" si="371"/>
        <v>#DIV/0!</v>
      </c>
      <c r="O597" s="48" t="e">
        <f t="shared" ref="O597" si="372">O545</f>
        <v>#DIV/0!</v>
      </c>
      <c r="P597" s="105" t="e">
        <f t="shared" si="368"/>
        <v>#DIV/0!</v>
      </c>
      <c r="Q597" s="105" t="e">
        <f t="shared" si="368"/>
        <v>#DIV/0!</v>
      </c>
      <c r="R597" s="48" t="e">
        <f t="shared" si="368"/>
        <v>#DIV/0!</v>
      </c>
      <c r="S597" s="105" t="e">
        <f t="shared" si="368"/>
        <v>#DIV/0!</v>
      </c>
      <c r="T597" s="105" t="e">
        <f>#REF!</f>
        <v>#REF!</v>
      </c>
      <c r="U597" s="105" t="e">
        <f>#REF!</f>
        <v>#REF!</v>
      </c>
      <c r="V597" s="105" t="e">
        <f>#REF!</f>
        <v>#REF!</v>
      </c>
      <c r="W597" s="105" t="e">
        <f>#REF!</f>
        <v>#REF!</v>
      </c>
      <c r="X597" s="105" t="e">
        <f>#REF!</f>
        <v>#REF!</v>
      </c>
      <c r="Y597" s="105" t="e">
        <f>#REF!</f>
        <v>#REF!</v>
      </c>
      <c r="Z597" s="105" t="e">
        <f>#REF!</f>
        <v>#REF!</v>
      </c>
      <c r="AA597" s="105" t="e">
        <f>#REF!</f>
        <v>#REF!</v>
      </c>
      <c r="AB597" s="105" t="e">
        <f>#REF!</f>
        <v>#REF!</v>
      </c>
      <c r="AC597" s="105" t="e">
        <f>#REF!</f>
        <v>#REF!</v>
      </c>
      <c r="AD597" s="105" t="e">
        <f>#REF!</f>
        <v>#REF!</v>
      </c>
      <c r="AE597" s="105" t="e">
        <f>#REF!</f>
        <v>#REF!</v>
      </c>
      <c r="AF597" s="105" t="e">
        <f>#REF!</f>
        <v>#REF!</v>
      </c>
    </row>
    <row r="598" spans="1:37" ht="15" x14ac:dyDescent="0.35">
      <c r="A598" s="75" t="s">
        <v>1024</v>
      </c>
      <c r="D598" s="114"/>
      <c r="F598" s="111">
        <f>(F525*$E$395)/F422</f>
        <v>8.1909526207162519E-4</v>
      </c>
      <c r="G598" s="111">
        <f>(G525*$E$395)/G422</f>
        <v>8.1551851706764228E-4</v>
      </c>
      <c r="H598" s="111">
        <f>(H525*$E$395)/H422</f>
        <v>6.4136723594267349E-4</v>
      </c>
      <c r="I598" s="112">
        <f>(I525*$E$395)/I437</f>
        <v>0.10754719312977112</v>
      </c>
      <c r="J598" s="111">
        <f>(J525*$E$395)/J422</f>
        <v>8.1886394028403116E-4</v>
      </c>
      <c r="K598" s="111">
        <f>(K525*$E$395)/K422</f>
        <v>6.404567589739222E-4</v>
      </c>
      <c r="L598" s="112">
        <f>(L525*$E$395)/L437</f>
        <v>0.1075446156705403</v>
      </c>
      <c r="N598" s="112" t="e">
        <f>(N525*$E$395)/N437</f>
        <v>#DIV/0!</v>
      </c>
      <c r="O598" s="112" t="e">
        <f>(O525*$E$395)/O437</f>
        <v>#DIV/0!</v>
      </c>
      <c r="P598" s="111" t="e">
        <f>(P525*$E$395)/P422</f>
        <v>#DIV/0!</v>
      </c>
      <c r="Q598" s="111" t="e">
        <f>(Q525*$E$395)/Q422</f>
        <v>#DIV/0!</v>
      </c>
      <c r="R598" s="112" t="e">
        <f>(R525*$E$395)/R437</f>
        <v>#DIV/0!</v>
      </c>
      <c r="S598" s="111" t="e">
        <f>(S525*$E$395)/S422</f>
        <v>#DIV/0!</v>
      </c>
      <c r="T598" s="111" t="e">
        <f>(#REF!*$E$330)/1026.4</f>
        <v>#REF!</v>
      </c>
      <c r="U598" s="111" t="e">
        <f>(#REF!*$E$330)/11504</f>
        <v>#REF!</v>
      </c>
      <c r="V598" s="111" t="e">
        <f>(#REF!*$E$330)/7284</f>
        <v>#REF!</v>
      </c>
      <c r="W598" s="111" t="e">
        <f>(#REF!*$E$330)/320.47</f>
        <v>#REF!</v>
      </c>
      <c r="X598" s="111" t="e">
        <f>(#REF!*$E$330)/26669</f>
        <v>#REF!</v>
      </c>
      <c r="Y598" s="111" t="e">
        <f>(#REF!*$E$330)/68503</f>
        <v>#REF!</v>
      </c>
      <c r="Z598" s="111" t="e">
        <f>(#REF!*$E$330)/Z422</f>
        <v>#REF!</v>
      </c>
      <c r="AA598" s="111" t="e">
        <f>(#REF!*$E$330)/17492.7</f>
        <v>#REF!</v>
      </c>
      <c r="AB598" s="111" t="e">
        <f>(#REF!*$E$330)/10846</f>
        <v>#REF!</v>
      </c>
      <c r="AC598" s="111" t="e">
        <f>(#REF!*$E$330)/12274</f>
        <v>#REF!</v>
      </c>
      <c r="AD598" s="111" t="e">
        <f>(#REF!*$E$330)/10405</f>
        <v>#REF!</v>
      </c>
      <c r="AE598" s="111" t="e">
        <f>(#REF!*$E$330)/120444</f>
        <v>#REF!</v>
      </c>
      <c r="AF598" s="111" t="e">
        <f>(#REF!*$E$330)/AF502/12</f>
        <v>#REF!</v>
      </c>
    </row>
    <row r="599" spans="1:37" x14ac:dyDescent="0.2">
      <c r="B599" s="14" t="s">
        <v>1025</v>
      </c>
      <c r="F599" s="105">
        <f t="shared" ref="F599:AF599" si="373">F597+F598</f>
        <v>2.1099696752773144E-2</v>
      </c>
      <c r="G599" s="105">
        <f t="shared" ref="G599:I599" si="374">G597+G598</f>
        <v>2.076638968399892E-2</v>
      </c>
      <c r="H599" s="105">
        <f t="shared" si="374"/>
        <v>1.6224460103170628E-2</v>
      </c>
      <c r="I599" s="48">
        <f t="shared" si="374"/>
        <v>2.9011321963821963</v>
      </c>
      <c r="J599" s="105">
        <f t="shared" ref="J599:K599" si="375">J597+J598</f>
        <v>2.0996060666768419E-2</v>
      </c>
      <c r="K599" s="105">
        <f t="shared" si="375"/>
        <v>1.6529226877920935E-2</v>
      </c>
      <c r="L599" s="48">
        <f t="shared" ref="L599:N599" si="376">L597+L598</f>
        <v>3.0596099116216591</v>
      </c>
      <c r="N599" s="48" t="e">
        <f t="shared" si="376"/>
        <v>#DIV/0!</v>
      </c>
      <c r="O599" s="48" t="e">
        <f t="shared" ref="O599" si="377">O597+O598</f>
        <v>#DIV/0!</v>
      </c>
      <c r="P599" s="105" t="e">
        <f t="shared" si="373"/>
        <v>#DIV/0!</v>
      </c>
      <c r="Q599" s="105" t="e">
        <f t="shared" si="373"/>
        <v>#DIV/0!</v>
      </c>
      <c r="R599" s="48" t="e">
        <f t="shared" si="373"/>
        <v>#DIV/0!</v>
      </c>
      <c r="S599" s="105" t="e">
        <f t="shared" si="373"/>
        <v>#DIV/0!</v>
      </c>
      <c r="T599" s="105" t="e">
        <f t="shared" si="373"/>
        <v>#REF!</v>
      </c>
      <c r="U599" s="105" t="e">
        <f t="shared" si="373"/>
        <v>#REF!</v>
      </c>
      <c r="V599" s="105" t="e">
        <f t="shared" si="373"/>
        <v>#REF!</v>
      </c>
      <c r="W599" s="105" t="e">
        <f t="shared" si="373"/>
        <v>#REF!</v>
      </c>
      <c r="X599" s="105" t="e">
        <f t="shared" si="373"/>
        <v>#REF!</v>
      </c>
      <c r="Y599" s="105" t="e">
        <f t="shared" si="373"/>
        <v>#REF!</v>
      </c>
      <c r="Z599" s="105" t="e">
        <f t="shared" si="373"/>
        <v>#REF!</v>
      </c>
      <c r="AA599" s="105" t="e">
        <f t="shared" si="373"/>
        <v>#REF!</v>
      </c>
      <c r="AB599" s="105" t="e">
        <f t="shared" si="373"/>
        <v>#REF!</v>
      </c>
      <c r="AC599" s="105" t="e">
        <f t="shared" si="373"/>
        <v>#REF!</v>
      </c>
      <c r="AD599" s="105" t="e">
        <f t="shared" si="373"/>
        <v>#REF!</v>
      </c>
      <c r="AE599" s="105" t="e">
        <f t="shared" si="373"/>
        <v>#REF!</v>
      </c>
      <c r="AF599" s="105" t="e">
        <f t="shared" si="373"/>
        <v>#REF!</v>
      </c>
    </row>
    <row r="601" spans="1:37" x14ac:dyDescent="0.2">
      <c r="A601" s="13" t="s">
        <v>669</v>
      </c>
    </row>
    <row r="602" spans="1:37" x14ac:dyDescent="0.2">
      <c r="A602" s="14" t="s">
        <v>670</v>
      </c>
      <c r="F602" s="80">
        <f t="shared" ref="F602:S602" si="378">F546</f>
        <v>22.340645544649483</v>
      </c>
      <c r="G602" s="80">
        <f t="shared" ref="G602:I602" si="379">G546</f>
        <v>22.348669245438462</v>
      </c>
      <c r="H602" s="80">
        <f t="shared" si="379"/>
        <v>23.316451452087893</v>
      </c>
      <c r="I602" s="80">
        <f t="shared" si="379"/>
        <v>28.359742661576202</v>
      </c>
      <c r="J602" s="80">
        <f t="shared" ref="J602:K602" si="380">J546</f>
        <v>22.467872914438299</v>
      </c>
      <c r="K602" s="80">
        <f t="shared" si="380"/>
        <v>30.992955338503911</v>
      </c>
      <c r="L602" s="80">
        <f t="shared" ref="L602:N602" si="381">L546</f>
        <v>145.45285440423123</v>
      </c>
      <c r="N602" s="80" t="e">
        <f t="shared" si="381"/>
        <v>#DIV/0!</v>
      </c>
      <c r="O602" s="80" t="e">
        <f t="shared" ref="O602" si="382">O546</f>
        <v>#DIV/0!</v>
      </c>
      <c r="P602" s="80" t="e">
        <f t="shared" si="378"/>
        <v>#DIV/0!</v>
      </c>
      <c r="Q602" s="80" t="e">
        <f t="shared" si="378"/>
        <v>#DIV/0!</v>
      </c>
      <c r="R602" s="80" t="e">
        <f t="shared" si="378"/>
        <v>#DIV/0!</v>
      </c>
      <c r="S602" s="80" t="e">
        <f t="shared" si="378"/>
        <v>#DIV/0!</v>
      </c>
      <c r="T602" s="80" t="e">
        <f>#REF!</f>
        <v>#REF!</v>
      </c>
      <c r="U602" s="80" t="e">
        <f>#REF!</f>
        <v>#REF!</v>
      </c>
      <c r="V602" s="80" t="e">
        <f>#REF!</f>
        <v>#REF!</v>
      </c>
      <c r="W602" s="80" t="e">
        <f>#REF!</f>
        <v>#REF!</v>
      </c>
      <c r="X602" s="80" t="e">
        <f>#REF!</f>
        <v>#REF!</v>
      </c>
      <c r="Y602" s="80" t="e">
        <f>#REF!</f>
        <v>#REF!</v>
      </c>
      <c r="Z602" s="80" t="e">
        <f>#REF!</f>
        <v>#REF!</v>
      </c>
      <c r="AA602" s="80" t="e">
        <f>#REF!</f>
        <v>#REF!</v>
      </c>
      <c r="AB602" s="80" t="e">
        <f>#REF!</f>
        <v>#REF!</v>
      </c>
      <c r="AC602" s="80" t="e">
        <f>#REF!</f>
        <v>#REF!</v>
      </c>
      <c r="AD602" s="80" t="e">
        <f>#REF!</f>
        <v>#REF!</v>
      </c>
      <c r="AE602" s="80" t="e">
        <f>#REF!</f>
        <v>#REF!</v>
      </c>
      <c r="AF602" s="80" t="e">
        <f>#REF!</f>
        <v>#REF!</v>
      </c>
    </row>
    <row r="603" spans="1:37" ht="15" x14ac:dyDescent="0.35">
      <c r="A603" s="14" t="s">
        <v>671</v>
      </c>
      <c r="D603" s="80"/>
      <c r="F603" s="112">
        <f t="shared" ref="F603:AF603" si="383">(F526*$E$395)/F425</f>
        <v>0.71437839084579735</v>
      </c>
      <c r="G603" s="112">
        <f t="shared" ref="G603:I603" si="384">(G526*$E$395)/G425</f>
        <v>0.71437839084579735</v>
      </c>
      <c r="H603" s="112">
        <f t="shared" si="384"/>
        <v>0.79760560969857375</v>
      </c>
      <c r="I603" s="112">
        <f t="shared" si="384"/>
        <v>0.84954962461591799</v>
      </c>
      <c r="J603" s="112">
        <f t="shared" ref="J603:K603" si="385">(J526*$E$395)/J425</f>
        <v>0.71437839084579724</v>
      </c>
      <c r="K603" s="112">
        <f t="shared" si="385"/>
        <v>1.0910837804023463</v>
      </c>
      <c r="L603" s="112">
        <f t="shared" si="383"/>
        <v>1.6034788230169137</v>
      </c>
      <c r="N603" s="112" t="e">
        <f t="shared" ref="N603:O603" si="386">(N526*$E$395)/N425</f>
        <v>#DIV/0!</v>
      </c>
      <c r="O603" s="112" t="e">
        <f t="shared" si="386"/>
        <v>#DIV/0!</v>
      </c>
      <c r="P603" s="112" t="e">
        <f t="shared" si="383"/>
        <v>#DIV/0!</v>
      </c>
      <c r="Q603" s="112" t="e">
        <f t="shared" si="383"/>
        <v>#DIV/0!</v>
      </c>
      <c r="R603" s="112" t="e">
        <f t="shared" si="383"/>
        <v>#DIV/0!</v>
      </c>
      <c r="S603" s="112" t="e">
        <f t="shared" si="383"/>
        <v>#DIV/0!</v>
      </c>
      <c r="T603" s="112" t="e">
        <f t="shared" si="383"/>
        <v>#DIV/0!</v>
      </c>
      <c r="U603" s="112" t="e">
        <f t="shared" si="383"/>
        <v>#DIV/0!</v>
      </c>
      <c r="V603" s="112" t="e">
        <f t="shared" si="383"/>
        <v>#DIV/0!</v>
      </c>
      <c r="W603" s="112" t="e">
        <f t="shared" si="383"/>
        <v>#DIV/0!</v>
      </c>
      <c r="X603" s="112" t="e">
        <f t="shared" si="383"/>
        <v>#DIV/0!</v>
      </c>
      <c r="Y603" s="112" t="e">
        <f t="shared" si="383"/>
        <v>#DIV/0!</v>
      </c>
      <c r="Z603" s="112" t="e">
        <f t="shared" si="383"/>
        <v>#DIV/0!</v>
      </c>
      <c r="AA603" s="112" t="e">
        <f t="shared" si="383"/>
        <v>#DIV/0!</v>
      </c>
      <c r="AB603" s="112" t="e">
        <f t="shared" si="383"/>
        <v>#DIV/0!</v>
      </c>
      <c r="AC603" s="112" t="e">
        <f t="shared" si="383"/>
        <v>#DIV/0!</v>
      </c>
      <c r="AD603" s="112" t="e">
        <f t="shared" si="383"/>
        <v>#DIV/0!</v>
      </c>
      <c r="AE603" s="112" t="e">
        <f t="shared" si="383"/>
        <v>#DIV/0!</v>
      </c>
      <c r="AF603" s="112" t="e">
        <f t="shared" si="383"/>
        <v>#DIV/0!</v>
      </c>
    </row>
    <row r="604" spans="1:37" x14ac:dyDescent="0.2">
      <c r="B604" s="14" t="s">
        <v>672</v>
      </c>
      <c r="F604" s="80">
        <f t="shared" ref="F604:AF604" si="387">F602+F603</f>
        <v>23.055023935495282</v>
      </c>
      <c r="G604" s="80">
        <f t="shared" ref="G604:I604" si="388">G602+G603</f>
        <v>23.06304763628426</v>
      </c>
      <c r="H604" s="80">
        <f t="shared" si="388"/>
        <v>24.114057061786468</v>
      </c>
      <c r="I604" s="80">
        <f t="shared" si="388"/>
        <v>29.20929228619212</v>
      </c>
      <c r="J604" s="80">
        <f t="shared" ref="J604:K604" si="389">J602+J603</f>
        <v>23.182251305284097</v>
      </c>
      <c r="K604" s="80">
        <f t="shared" si="389"/>
        <v>32.084039118906254</v>
      </c>
      <c r="L604" s="80">
        <f t="shared" ref="L604:N604" si="390">L602+L603</f>
        <v>147.05633322724813</v>
      </c>
      <c r="N604" s="80" t="e">
        <f t="shared" si="390"/>
        <v>#DIV/0!</v>
      </c>
      <c r="O604" s="80" t="e">
        <f t="shared" ref="O604" si="391">O602+O603</f>
        <v>#DIV/0!</v>
      </c>
      <c r="P604" s="80" t="e">
        <f t="shared" si="387"/>
        <v>#DIV/0!</v>
      </c>
      <c r="Q604" s="80" t="e">
        <f t="shared" si="387"/>
        <v>#DIV/0!</v>
      </c>
      <c r="R604" s="80" t="e">
        <f t="shared" si="387"/>
        <v>#DIV/0!</v>
      </c>
      <c r="S604" s="80" t="e">
        <f t="shared" si="387"/>
        <v>#DIV/0!</v>
      </c>
      <c r="T604" s="80" t="e">
        <f t="shared" si="387"/>
        <v>#REF!</v>
      </c>
      <c r="U604" s="80" t="e">
        <f t="shared" si="387"/>
        <v>#REF!</v>
      </c>
      <c r="V604" s="80" t="e">
        <f t="shared" si="387"/>
        <v>#REF!</v>
      </c>
      <c r="W604" s="80" t="e">
        <f t="shared" si="387"/>
        <v>#REF!</v>
      </c>
      <c r="X604" s="80" t="e">
        <f t="shared" si="387"/>
        <v>#REF!</v>
      </c>
      <c r="Y604" s="80" t="e">
        <f t="shared" si="387"/>
        <v>#REF!</v>
      </c>
      <c r="Z604" s="80" t="e">
        <f t="shared" si="387"/>
        <v>#REF!</v>
      </c>
      <c r="AA604" s="80" t="e">
        <f t="shared" si="387"/>
        <v>#REF!</v>
      </c>
      <c r="AB604" s="80" t="e">
        <f t="shared" si="387"/>
        <v>#REF!</v>
      </c>
      <c r="AC604" s="80" t="e">
        <f t="shared" si="387"/>
        <v>#REF!</v>
      </c>
      <c r="AD604" s="80" t="e">
        <f t="shared" si="387"/>
        <v>#REF!</v>
      </c>
      <c r="AE604" s="80" t="e">
        <f t="shared" si="387"/>
        <v>#REF!</v>
      </c>
      <c r="AF604" s="80" t="e">
        <f t="shared" si="387"/>
        <v>#REF!</v>
      </c>
    </row>
    <row r="609" spans="1:37" x14ac:dyDescent="0.2">
      <c r="A609" s="28" t="s">
        <v>698</v>
      </c>
      <c r="C609" s="198">
        <f>C530</f>
        <v>3.890576143473775E-2</v>
      </c>
      <c r="F609" s="67">
        <f t="shared" ref="F609:L609" si="392">$C$530</f>
        <v>3.890576143473775E-2</v>
      </c>
      <c r="G609" s="67">
        <f t="shared" si="392"/>
        <v>3.890576143473775E-2</v>
      </c>
      <c r="H609" s="67">
        <f t="shared" si="392"/>
        <v>3.890576143473775E-2</v>
      </c>
      <c r="I609" s="67">
        <f t="shared" si="392"/>
        <v>3.890576143473775E-2</v>
      </c>
      <c r="J609" s="67">
        <f t="shared" si="392"/>
        <v>3.890576143473775E-2</v>
      </c>
      <c r="K609" s="67">
        <f t="shared" si="392"/>
        <v>3.890576143473775E-2</v>
      </c>
      <c r="L609" s="67">
        <f t="shared" si="392"/>
        <v>3.890576143473775E-2</v>
      </c>
      <c r="N609" s="67">
        <f t="shared" ref="N609:S609" si="393">$C$530</f>
        <v>3.890576143473775E-2</v>
      </c>
      <c r="O609" s="67">
        <f t="shared" si="393"/>
        <v>3.890576143473775E-2</v>
      </c>
      <c r="P609" s="67">
        <f t="shared" si="393"/>
        <v>3.890576143473775E-2</v>
      </c>
      <c r="Q609" s="67">
        <f t="shared" si="393"/>
        <v>3.890576143473775E-2</v>
      </c>
      <c r="R609" s="67">
        <f t="shared" si="393"/>
        <v>3.890576143473775E-2</v>
      </c>
      <c r="S609" s="67">
        <f t="shared" si="393"/>
        <v>3.890576143473775E-2</v>
      </c>
      <c r="T609" s="67">
        <v>0.2</v>
      </c>
      <c r="U609" s="67">
        <v>0.2</v>
      </c>
      <c r="V609" s="67">
        <v>0.08</v>
      </c>
      <c r="W609" s="67">
        <v>0.08</v>
      </c>
      <c r="X609" s="67">
        <v>0.2</v>
      </c>
      <c r="Y609" s="67">
        <v>0.08</v>
      </c>
      <c r="Z609" s="67">
        <v>0.08</v>
      </c>
      <c r="AA609" s="67">
        <v>0.08</v>
      </c>
      <c r="AB609" s="67">
        <v>0.08</v>
      </c>
      <c r="AC609" s="67">
        <v>0.08</v>
      </c>
      <c r="AD609" s="67">
        <v>0.08</v>
      </c>
      <c r="AE609" s="67">
        <v>0.08</v>
      </c>
      <c r="AF609" s="67">
        <v>0.08</v>
      </c>
    </row>
    <row r="610" spans="1:37" x14ac:dyDescent="0.2">
      <c r="A610" s="13"/>
    </row>
    <row r="611" spans="1:37" x14ac:dyDescent="0.2">
      <c r="A611" s="13" t="s">
        <v>764</v>
      </c>
    </row>
    <row r="612" spans="1:37" x14ac:dyDescent="0.2">
      <c r="A612" s="14" t="s">
        <v>1018</v>
      </c>
      <c r="F612" s="105">
        <f t="shared" ref="F612" si="394">F561</f>
        <v>1.5719599199091744E-2</v>
      </c>
      <c r="G612" s="105">
        <f t="shared" ref="G612:I612" si="395">G561</f>
        <v>1.6974747581893799E-2</v>
      </c>
      <c r="H612" s="105">
        <f t="shared" si="395"/>
        <v>2.3555860707453975E-2</v>
      </c>
      <c r="I612" s="48">
        <f t="shared" si="395"/>
        <v>6.0700504014323755</v>
      </c>
      <c r="J612" s="105">
        <f t="shared" ref="J612:K612" si="396">J561</f>
        <v>1.4622550282221135E-2</v>
      </c>
      <c r="K612" s="105">
        <f t="shared" si="396"/>
        <v>3.8516249579512783E-3</v>
      </c>
      <c r="L612" s="48">
        <f t="shared" ref="L612:N612" si="397">L561</f>
        <v>5.5387959937947082</v>
      </c>
      <c r="N612" s="48" t="e">
        <f t="shared" si="397"/>
        <v>#DIV/0!</v>
      </c>
      <c r="O612" s="48" t="e">
        <f t="shared" ref="O612" si="398">O561</f>
        <v>#DIV/0!</v>
      </c>
      <c r="P612" s="105" t="e">
        <f t="shared" ref="P612:Q612" si="399">P561</f>
        <v>#DIV/0!</v>
      </c>
      <c r="Q612" s="105" t="e">
        <f t="shared" si="399"/>
        <v>#DIV/0!</v>
      </c>
      <c r="R612" s="48" t="e">
        <f>R561</f>
        <v>#DIV/0!</v>
      </c>
      <c r="S612" s="105" t="e">
        <f t="shared" ref="S612:AF612" si="400">S586</f>
        <v>#DIV/0!</v>
      </c>
      <c r="T612" s="105">
        <f t="shared" si="400"/>
        <v>0</v>
      </c>
      <c r="U612" s="105" t="e">
        <f t="shared" si="400"/>
        <v>#DIV/0!</v>
      </c>
      <c r="V612" s="105" t="e">
        <f t="shared" si="400"/>
        <v>#DIV/0!</v>
      </c>
      <c r="W612" s="105" t="e">
        <f t="shared" si="400"/>
        <v>#DIV/0!</v>
      </c>
      <c r="X612" s="105" t="e">
        <f t="shared" si="400"/>
        <v>#DIV/0!</v>
      </c>
      <c r="Y612" s="105" t="e">
        <f t="shared" si="400"/>
        <v>#DIV/0!</v>
      </c>
      <c r="Z612" s="105">
        <f t="shared" si="400"/>
        <v>0</v>
      </c>
      <c r="AA612" s="105">
        <f t="shared" si="400"/>
        <v>0</v>
      </c>
      <c r="AB612" s="105">
        <f t="shared" si="400"/>
        <v>0</v>
      </c>
      <c r="AC612" s="105">
        <f t="shared" si="400"/>
        <v>0</v>
      </c>
      <c r="AD612" s="105">
        <f t="shared" si="400"/>
        <v>0</v>
      </c>
      <c r="AE612" s="105">
        <f t="shared" si="400"/>
        <v>0</v>
      </c>
      <c r="AF612" s="105" t="e">
        <f t="shared" si="400"/>
        <v>#REF!</v>
      </c>
    </row>
    <row r="613" spans="1:37" x14ac:dyDescent="0.2">
      <c r="A613" s="14" t="s">
        <v>1019</v>
      </c>
      <c r="D613" s="105"/>
      <c r="F613" s="105">
        <f>(F522*$C$530)/F$422</f>
        <v>0</v>
      </c>
      <c r="G613" s="105">
        <f>(G522*$C$530)/G$422</f>
        <v>0</v>
      </c>
      <c r="H613" s="105">
        <f>(H522*$C$530)/H$422</f>
        <v>0</v>
      </c>
      <c r="I613" s="48">
        <f>(I522*$C$530)/I$437</f>
        <v>0</v>
      </c>
      <c r="J613" s="105">
        <f>(J522*$C$530)/J$422</f>
        <v>0</v>
      </c>
      <c r="K613" s="105">
        <f>(K522*$C$530)/K$422</f>
        <v>0</v>
      </c>
      <c r="L613" s="48">
        <f>(L522*$C$530)/L$437</f>
        <v>0</v>
      </c>
      <c r="N613" s="48" t="e">
        <f>(N522*$C$530)/N$437</f>
        <v>#DIV/0!</v>
      </c>
      <c r="O613" s="48" t="e">
        <f>(O522*$C$530)/O$437</f>
        <v>#DIV/0!</v>
      </c>
      <c r="P613" s="105" t="e">
        <f>(P522*$C$530)/P$422</f>
        <v>#DIV/0!</v>
      </c>
      <c r="Q613" s="105" t="e">
        <f>(Q522*$C$530)/Q$422</f>
        <v>#DIV/0!</v>
      </c>
      <c r="R613" s="48" t="e">
        <f>(R522*$C$530)/R$437</f>
        <v>#DIV/0!</v>
      </c>
      <c r="S613" s="105" t="e">
        <f t="shared" ref="S613:AF613" si="401">S587</f>
        <v>#DIV/0!</v>
      </c>
      <c r="T613" s="105" t="e">
        <f t="shared" si="401"/>
        <v>#DIV/0!</v>
      </c>
      <c r="U613" s="105" t="e">
        <f t="shared" si="401"/>
        <v>#DIV/0!</v>
      </c>
      <c r="V613" s="105" t="e">
        <f t="shared" si="401"/>
        <v>#DIV/0!</v>
      </c>
      <c r="W613" s="105" t="e">
        <f t="shared" si="401"/>
        <v>#DIV/0!</v>
      </c>
      <c r="X613" s="105" t="e">
        <f t="shared" si="401"/>
        <v>#DIV/0!</v>
      </c>
      <c r="Y613" s="105" t="e">
        <f t="shared" si="401"/>
        <v>#DIV/0!</v>
      </c>
      <c r="Z613" s="105" t="e">
        <f t="shared" si="401"/>
        <v>#DIV/0!</v>
      </c>
      <c r="AA613" s="105" t="e">
        <f t="shared" si="401"/>
        <v>#DIV/0!</v>
      </c>
      <c r="AB613" s="105" t="e">
        <f t="shared" si="401"/>
        <v>#DIV/0!</v>
      </c>
      <c r="AC613" s="105" t="e">
        <f t="shared" si="401"/>
        <v>#DIV/0!</v>
      </c>
      <c r="AD613" s="105" t="e">
        <f t="shared" si="401"/>
        <v>#DIV/0!</v>
      </c>
      <c r="AE613" s="105">
        <f t="shared" si="401"/>
        <v>0</v>
      </c>
      <c r="AF613" s="105" t="e">
        <f t="shared" si="401"/>
        <v>#REF!</v>
      </c>
    </row>
    <row r="614" spans="1:37" x14ac:dyDescent="0.2">
      <c r="A614" s="14" t="s">
        <v>900</v>
      </c>
      <c r="F614" s="105">
        <f t="shared" ref="F614" si="402">F563</f>
        <v>5.1288132339373925E-2</v>
      </c>
      <c r="G614" s="105">
        <f t="shared" ref="G614:I614" si="403">G563</f>
        <v>4.9317991639461968E-2</v>
      </c>
      <c r="H614" s="105">
        <f t="shared" si="403"/>
        <v>5.1811923242640612E-2</v>
      </c>
      <c r="I614" s="105">
        <f t="shared" si="403"/>
        <v>5.1585484161843172E-2</v>
      </c>
      <c r="J614" s="105">
        <f t="shared" ref="J614:K614" si="404">J563</f>
        <v>5.1714603080110728E-2</v>
      </c>
      <c r="K614" s="105">
        <f t="shared" si="404"/>
        <v>5.264442843029063E-2</v>
      </c>
      <c r="L614" s="105">
        <f t="shared" ref="L614:N614" si="405">L563</f>
        <v>5.2912036898096378E-2</v>
      </c>
      <c r="N614" s="105" t="e">
        <f t="shared" si="405"/>
        <v>#DIV/0!</v>
      </c>
      <c r="O614" s="105" t="e">
        <f t="shared" ref="O614" si="406">O563</f>
        <v>#DIV/0!</v>
      </c>
      <c r="P614" s="105" t="e">
        <f t="shared" ref="P614:Q614" si="407">P563</f>
        <v>#DIV/0!</v>
      </c>
      <c r="Q614" s="105" t="e">
        <f t="shared" si="407"/>
        <v>#DIV/0!</v>
      </c>
      <c r="R614" s="105" t="e">
        <f>R563</f>
        <v>#DIV/0!</v>
      </c>
      <c r="S614" s="105">
        <f>S594</f>
        <v>0</v>
      </c>
      <c r="T614" s="105" t="e">
        <f>#REF!</f>
        <v>#REF!</v>
      </c>
      <c r="U614" s="105" t="e">
        <f>#REF!</f>
        <v>#REF!</v>
      </c>
      <c r="V614" s="105" t="e">
        <f>#REF!</f>
        <v>#REF!</v>
      </c>
      <c r="W614" s="105" t="e">
        <f>#REF!</f>
        <v>#REF!</v>
      </c>
      <c r="X614" s="105" t="e">
        <f>#REF!</f>
        <v>#REF!</v>
      </c>
      <c r="Y614" s="105" t="e">
        <f>#REF!</f>
        <v>#REF!</v>
      </c>
      <c r="Z614" s="105" t="e">
        <f>#REF!</f>
        <v>#REF!</v>
      </c>
      <c r="AA614" s="105" t="e">
        <f>#REF!</f>
        <v>#REF!</v>
      </c>
      <c r="AB614" s="105" t="e">
        <f>#REF!</f>
        <v>#REF!</v>
      </c>
      <c r="AC614" s="105" t="e">
        <f>#REF!</f>
        <v>#REF!</v>
      </c>
      <c r="AD614" s="105" t="e">
        <f>#REF!</f>
        <v>#REF!</v>
      </c>
      <c r="AE614" s="105" t="e">
        <f>#REF!</f>
        <v>#REF!</v>
      </c>
      <c r="AF614" s="105" t="e">
        <f>#REF!</f>
        <v>#REF!</v>
      </c>
    </row>
    <row r="615" spans="1:37" x14ac:dyDescent="0.2">
      <c r="A615" s="14" t="s">
        <v>901</v>
      </c>
      <c r="D615" s="105"/>
      <c r="F615" s="105">
        <f t="shared" ref="F615:L615" si="408">(F523*$C$530)/F$422</f>
        <v>0</v>
      </c>
      <c r="G615" s="105">
        <f t="shared" si="408"/>
        <v>0</v>
      </c>
      <c r="H615" s="105">
        <f t="shared" si="408"/>
        <v>0</v>
      </c>
      <c r="I615" s="105">
        <f t="shared" si="408"/>
        <v>0</v>
      </c>
      <c r="J615" s="105">
        <f t="shared" si="408"/>
        <v>0</v>
      </c>
      <c r="K615" s="105">
        <f t="shared" si="408"/>
        <v>0</v>
      </c>
      <c r="L615" s="105">
        <f t="shared" si="408"/>
        <v>0</v>
      </c>
      <c r="N615" s="105" t="e">
        <f>(N523*$C$530)/N$422</f>
        <v>#DIV/0!</v>
      </c>
      <c r="O615" s="105" t="e">
        <f>(O523*$C$530)/O$422</f>
        <v>#DIV/0!</v>
      </c>
      <c r="P615" s="105" t="e">
        <f>(P523*$C$530)/P$422</f>
        <v>#DIV/0!</v>
      </c>
      <c r="Q615" s="105" t="e">
        <f>(Q523*$C$530)/Q$422</f>
        <v>#DIV/0!</v>
      </c>
      <c r="R615" s="105" t="e">
        <f>(R523*$C$530)/R$422</f>
        <v>#DIV/0!</v>
      </c>
      <c r="S615" s="105"/>
      <c r="T615" s="105"/>
      <c r="U615" s="105"/>
      <c r="V615" s="105"/>
      <c r="W615" s="105"/>
      <c r="X615" s="105"/>
      <c r="Y615" s="105"/>
      <c r="Z615" s="105"/>
      <c r="AA615" s="105"/>
      <c r="AB615" s="105"/>
      <c r="AC615" s="105"/>
      <c r="AD615" s="105"/>
      <c r="AE615" s="105"/>
      <c r="AF615" s="105"/>
    </row>
    <row r="616" spans="1:37" x14ac:dyDescent="0.2">
      <c r="E616" s="105"/>
      <c r="F616" s="105"/>
      <c r="G616" s="105"/>
      <c r="H616" s="105"/>
      <c r="I616" s="105"/>
      <c r="J616" s="105"/>
      <c r="K616" s="105"/>
      <c r="L616" s="105"/>
      <c r="N616" s="105"/>
      <c r="O616" s="105"/>
      <c r="P616" s="105"/>
      <c r="Q616" s="105"/>
      <c r="R616" s="105"/>
      <c r="S616" s="105"/>
      <c r="T616" s="105"/>
      <c r="U616" s="105"/>
      <c r="V616" s="105"/>
      <c r="W616" s="105"/>
      <c r="X616" s="105"/>
      <c r="Y616" s="105"/>
      <c r="Z616" s="105"/>
      <c r="AA616" s="105"/>
      <c r="AB616" s="105"/>
      <c r="AC616" s="105"/>
      <c r="AD616" s="105"/>
      <c r="AE616" s="105"/>
      <c r="AF616" s="105"/>
    </row>
    <row r="617" spans="1:37" x14ac:dyDescent="0.2">
      <c r="A617" s="13" t="s">
        <v>894</v>
      </c>
      <c r="F617" s="105"/>
      <c r="G617" s="105"/>
      <c r="H617" s="105"/>
      <c r="I617" s="105"/>
      <c r="J617" s="105"/>
      <c r="K617" s="105"/>
      <c r="L617" s="105"/>
      <c r="N617" s="105"/>
      <c r="O617" s="105"/>
      <c r="P617" s="105"/>
      <c r="Q617" s="105"/>
      <c r="R617" s="105"/>
      <c r="S617" s="105"/>
      <c r="T617" s="105"/>
      <c r="U617" s="105"/>
      <c r="V617" s="105"/>
      <c r="W617" s="105"/>
      <c r="X617" s="105"/>
      <c r="Y617" s="105"/>
      <c r="Z617" s="105"/>
      <c r="AA617" s="105"/>
      <c r="AB617" s="105"/>
      <c r="AC617" s="105"/>
      <c r="AD617" s="105"/>
      <c r="AE617" s="105"/>
      <c r="AF617" s="105"/>
    </row>
    <row r="618" spans="1:37" x14ac:dyDescent="0.2">
      <c r="A618" s="14" t="s">
        <v>1020</v>
      </c>
      <c r="F618" s="105">
        <f t="shared" ref="F618:L618" si="409">F567</f>
        <v>0</v>
      </c>
      <c r="G618" s="105">
        <f t="shared" ref="G618:I618" si="410">G567</f>
        <v>0</v>
      </c>
      <c r="H618" s="105">
        <f t="shared" si="410"/>
        <v>0</v>
      </c>
      <c r="I618" s="48">
        <f t="shared" si="410"/>
        <v>0</v>
      </c>
      <c r="J618" s="105">
        <f t="shared" ref="J618:K618" si="411">J567</f>
        <v>0</v>
      </c>
      <c r="K618" s="105">
        <f t="shared" si="411"/>
        <v>0</v>
      </c>
      <c r="L618" s="48">
        <f t="shared" si="409"/>
        <v>0</v>
      </c>
      <c r="N618" s="48" t="e">
        <f t="shared" ref="N618:O618" si="412">N567</f>
        <v>#DIV/0!</v>
      </c>
      <c r="O618" s="48" t="e">
        <f t="shared" si="412"/>
        <v>#DIV/0!</v>
      </c>
      <c r="P618" s="105" t="e">
        <f t="shared" ref="P618:Q618" si="413">P567</f>
        <v>#DIV/0!</v>
      </c>
      <c r="Q618" s="105" t="e">
        <f t="shared" si="413"/>
        <v>#DIV/0!</v>
      </c>
      <c r="R618" s="48" t="e">
        <f>R567</f>
        <v>#DIV/0!</v>
      </c>
      <c r="S618" s="105"/>
      <c r="T618" s="105"/>
      <c r="U618" s="105"/>
      <c r="V618" s="105"/>
      <c r="W618" s="105"/>
      <c r="X618" s="105"/>
      <c r="Y618" s="105"/>
      <c r="Z618" s="105"/>
      <c r="AA618" s="105"/>
      <c r="AB618" s="105"/>
      <c r="AC618" s="105"/>
      <c r="AD618" s="105"/>
      <c r="AE618" s="105"/>
      <c r="AF618" s="105"/>
    </row>
    <row r="619" spans="1:37" s="75" customFormat="1" ht="15" x14ac:dyDescent="0.35">
      <c r="A619" s="75" t="s">
        <v>1021</v>
      </c>
      <c r="D619" s="105"/>
      <c r="F619" s="111">
        <f>(F524*$C$530)/F$422</f>
        <v>0</v>
      </c>
      <c r="G619" s="111">
        <f>(G524*$C$530)/G$422</f>
        <v>0</v>
      </c>
      <c r="H619" s="111">
        <f>(H524*$C$530)/H$422</f>
        <v>0</v>
      </c>
      <c r="I619" s="112">
        <f>(I524*$C$530)/I$437</f>
        <v>0</v>
      </c>
      <c r="J619" s="111">
        <f>(J524*$C$530)/J$422</f>
        <v>0</v>
      </c>
      <c r="K619" s="111">
        <f>(K524*$C$530)/K$422</f>
        <v>0</v>
      </c>
      <c r="L619" s="112">
        <f>(L524*$C$530)/L$437</f>
        <v>0</v>
      </c>
      <c r="M619" s="14"/>
      <c r="N619" s="112" t="e">
        <f>(N524*$C$530)/N$437</f>
        <v>#DIV/0!</v>
      </c>
      <c r="O619" s="112" t="e">
        <f>(O524*$C$530)/O$437</f>
        <v>#DIV/0!</v>
      </c>
      <c r="P619" s="111" t="e">
        <f>(P524*$C$530)/P$422</f>
        <v>#DIV/0!</v>
      </c>
      <c r="Q619" s="111" t="e">
        <f>(Q524*$C$530)/Q$422</f>
        <v>#DIV/0!</v>
      </c>
      <c r="R619" s="112" t="e">
        <f>(R524*$C$530)/R$437</f>
        <v>#DIV/0!</v>
      </c>
      <c r="AK619" s="81"/>
    </row>
    <row r="620" spans="1:37" x14ac:dyDescent="0.2">
      <c r="B620" s="14" t="s">
        <v>1022</v>
      </c>
      <c r="F620" s="105">
        <f>F618+F619</f>
        <v>0</v>
      </c>
      <c r="G620" s="105">
        <f>G618+G619</f>
        <v>0</v>
      </c>
      <c r="H620" s="105">
        <f>H618+H619</f>
        <v>0</v>
      </c>
      <c r="I620" s="48">
        <f t="shared" ref="I620" si="414">I618+I619</f>
        <v>0</v>
      </c>
      <c r="J620" s="105">
        <f>J618+J619</f>
        <v>0</v>
      </c>
      <c r="K620" s="105">
        <f>K618+K619</f>
        <v>0</v>
      </c>
      <c r="L620" s="48">
        <f t="shared" ref="L620:N620" si="415">L618+L619</f>
        <v>0</v>
      </c>
      <c r="N620" s="48" t="e">
        <f t="shared" si="415"/>
        <v>#DIV/0!</v>
      </c>
      <c r="O620" s="48" t="e">
        <f t="shared" ref="O620" si="416">O618+O619</f>
        <v>#DIV/0!</v>
      </c>
      <c r="P620" s="105" t="e">
        <f t="shared" ref="P620:R620" si="417">P618+P619</f>
        <v>#DIV/0!</v>
      </c>
      <c r="Q620" s="105" t="e">
        <f t="shared" si="417"/>
        <v>#DIV/0!</v>
      </c>
      <c r="R620" s="48" t="e">
        <f t="shared" si="417"/>
        <v>#DIV/0!</v>
      </c>
    </row>
    <row r="621" spans="1:37" x14ac:dyDescent="0.2">
      <c r="F621" s="105"/>
      <c r="G621" s="105"/>
      <c r="H621" s="105"/>
      <c r="I621" s="105"/>
      <c r="J621" s="105"/>
      <c r="K621" s="105"/>
      <c r="L621" s="105"/>
      <c r="N621" s="105"/>
      <c r="O621" s="105"/>
      <c r="P621" s="105"/>
      <c r="Q621" s="105"/>
      <c r="R621" s="105"/>
    </row>
    <row r="622" spans="1:37" x14ac:dyDescent="0.2">
      <c r="A622" s="13" t="s">
        <v>668</v>
      </c>
      <c r="P622" s="48"/>
    </row>
    <row r="623" spans="1:37" x14ac:dyDescent="0.2">
      <c r="A623" s="14" t="s">
        <v>1023</v>
      </c>
      <c r="F623" s="105">
        <f>F572</f>
        <v>2.028060149070152E-2</v>
      </c>
      <c r="G623" s="105">
        <f>G572</f>
        <v>1.9950871166931276E-2</v>
      </c>
      <c r="H623" s="105">
        <f>H572</f>
        <v>1.5583092867227956E-2</v>
      </c>
      <c r="I623" s="48">
        <f t="shared" ref="I623" si="418">I597</f>
        <v>2.7935850032524252</v>
      </c>
      <c r="J623" s="105">
        <f>J572</f>
        <v>2.0177196726484388E-2</v>
      </c>
      <c r="K623" s="105">
        <f>K572</f>
        <v>1.5888770118947012E-2</v>
      </c>
      <c r="L623" s="48">
        <f t="shared" ref="L623:N623" si="419">L597</f>
        <v>2.9520652959511189</v>
      </c>
      <c r="N623" s="48" t="e">
        <f t="shared" si="419"/>
        <v>#DIV/0!</v>
      </c>
      <c r="O623" s="48" t="e">
        <f t="shared" ref="O623" si="420">O597</f>
        <v>#DIV/0!</v>
      </c>
      <c r="P623" s="105" t="e">
        <f t="shared" ref="P623:AE623" si="421">P597</f>
        <v>#DIV/0!</v>
      </c>
      <c r="Q623" s="105" t="e">
        <f t="shared" si="421"/>
        <v>#DIV/0!</v>
      </c>
      <c r="R623" s="48" t="e">
        <f t="shared" si="421"/>
        <v>#DIV/0!</v>
      </c>
      <c r="S623" s="105" t="e">
        <f t="shared" si="421"/>
        <v>#DIV/0!</v>
      </c>
      <c r="T623" s="105" t="e">
        <f t="shared" si="421"/>
        <v>#REF!</v>
      </c>
      <c r="U623" s="105" t="e">
        <f t="shared" si="421"/>
        <v>#REF!</v>
      </c>
      <c r="V623" s="105" t="e">
        <f t="shared" si="421"/>
        <v>#REF!</v>
      </c>
      <c r="W623" s="105" t="e">
        <f t="shared" si="421"/>
        <v>#REF!</v>
      </c>
      <c r="X623" s="105" t="e">
        <f t="shared" si="421"/>
        <v>#REF!</v>
      </c>
      <c r="Y623" s="105" t="e">
        <f t="shared" si="421"/>
        <v>#REF!</v>
      </c>
      <c r="Z623" s="105" t="e">
        <f t="shared" si="421"/>
        <v>#REF!</v>
      </c>
      <c r="AA623" s="105" t="e">
        <f t="shared" si="421"/>
        <v>#REF!</v>
      </c>
      <c r="AB623" s="105" t="e">
        <f t="shared" si="421"/>
        <v>#REF!</v>
      </c>
      <c r="AC623" s="105" t="e">
        <f t="shared" si="421"/>
        <v>#REF!</v>
      </c>
      <c r="AD623" s="105" t="e">
        <f t="shared" si="421"/>
        <v>#REF!</v>
      </c>
      <c r="AE623" s="105" t="e">
        <f t="shared" si="421"/>
        <v>#REF!</v>
      </c>
      <c r="AF623" s="105">
        <f>AF545</f>
        <v>0</v>
      </c>
    </row>
    <row r="624" spans="1:37" ht="15" x14ac:dyDescent="0.35">
      <c r="A624" s="75" t="s">
        <v>1024</v>
      </c>
      <c r="D624" s="105"/>
      <c r="F624" s="111">
        <f>(F525*F609)/F422</f>
        <v>4.6941328889718087E-3</v>
      </c>
      <c r="G624" s="111">
        <f>(G525*G609)/G422</f>
        <v>4.6736350090106939E-3</v>
      </c>
      <c r="H624" s="111">
        <f>(H525*H609)/H422</f>
        <v>3.6755957158548188E-3</v>
      </c>
      <c r="I624" s="112">
        <f>(I525*I609)/I437</f>
        <v>0.61633956361832332</v>
      </c>
      <c r="J624" s="111">
        <f>(J525*J609)/J422</f>
        <v>4.6928072126294325E-3</v>
      </c>
      <c r="K624" s="111">
        <f>(K525*K609)/K422</f>
        <v>3.6703778857908806E-3</v>
      </c>
      <c r="L624" s="112">
        <f>(L525*L609)/L437</f>
        <v>0.61632479252061867</v>
      </c>
      <c r="N624" s="112" t="e">
        <f>(N525*N609)/N437</f>
        <v>#DIV/0!</v>
      </c>
      <c r="O624" s="112" t="e">
        <f>(O525*O609)/O437</f>
        <v>#DIV/0!</v>
      </c>
      <c r="P624" s="111" t="e">
        <f>(P525*P609)/P422</f>
        <v>#DIV/0!</v>
      </c>
      <c r="Q624" s="111" t="e">
        <f>(Q525*Q609)/Q422</f>
        <v>#DIV/0!</v>
      </c>
      <c r="R624" s="112" t="e">
        <f>(R525*R609)/R437</f>
        <v>#DIV/0!</v>
      </c>
      <c r="S624" s="111" t="e">
        <f t="shared" ref="S624:AF624" si="422">(S525*S609)/S422</f>
        <v>#DIV/0!</v>
      </c>
      <c r="T624" s="111" t="e">
        <f t="shared" si="422"/>
        <v>#DIV/0!</v>
      </c>
      <c r="U624" s="111" t="e">
        <f t="shared" si="422"/>
        <v>#DIV/0!</v>
      </c>
      <c r="V624" s="111" t="e">
        <f t="shared" si="422"/>
        <v>#DIV/0!</v>
      </c>
      <c r="W624" s="111" t="e">
        <f t="shared" si="422"/>
        <v>#DIV/0!</v>
      </c>
      <c r="X624" s="111" t="e">
        <f t="shared" si="422"/>
        <v>#DIV/0!</v>
      </c>
      <c r="Y624" s="111" t="e">
        <f t="shared" si="422"/>
        <v>#DIV/0!</v>
      </c>
      <c r="Z624" s="111" t="e">
        <f t="shared" si="422"/>
        <v>#DIV/0!</v>
      </c>
      <c r="AA624" s="111" t="e">
        <f t="shared" si="422"/>
        <v>#DIV/0!</v>
      </c>
      <c r="AB624" s="111" t="e">
        <f t="shared" si="422"/>
        <v>#DIV/0!</v>
      </c>
      <c r="AC624" s="111" t="e">
        <f t="shared" si="422"/>
        <v>#DIV/0!</v>
      </c>
      <c r="AD624" s="111" t="e">
        <f t="shared" si="422"/>
        <v>#DIV/0!</v>
      </c>
      <c r="AE624" s="111" t="e">
        <f t="shared" si="422"/>
        <v>#DIV/0!</v>
      </c>
      <c r="AF624" s="111" t="e">
        <f t="shared" si="422"/>
        <v>#DIV/0!</v>
      </c>
    </row>
    <row r="625" spans="1:32" x14ac:dyDescent="0.2">
      <c r="B625" s="14" t="s">
        <v>1025</v>
      </c>
      <c r="F625" s="105">
        <f t="shared" ref="F625:AF625" si="423">F623+F624</f>
        <v>2.4974734379673329E-2</v>
      </c>
      <c r="G625" s="105">
        <f t="shared" ref="G625:H625" si="424">G623+G624</f>
        <v>2.462450617594197E-2</v>
      </c>
      <c r="H625" s="105">
        <f t="shared" si="424"/>
        <v>1.9258688583082776E-2</v>
      </c>
      <c r="I625" s="48">
        <f>I623+I624</f>
        <v>3.4099245668707487</v>
      </c>
      <c r="J625" s="105">
        <f t="shared" ref="J625:K625" si="425">J623+J624</f>
        <v>2.487000393911382E-2</v>
      </c>
      <c r="K625" s="105">
        <f t="shared" si="425"/>
        <v>1.9559148004737893E-2</v>
      </c>
      <c r="L625" s="48">
        <f>L623+L624</f>
        <v>3.5683900884717374</v>
      </c>
      <c r="N625" s="48" t="e">
        <f>N623+N624</f>
        <v>#DIV/0!</v>
      </c>
      <c r="O625" s="48" t="e">
        <f>O623+O624</f>
        <v>#DIV/0!</v>
      </c>
      <c r="P625" s="48" t="e">
        <f t="shared" si="423"/>
        <v>#DIV/0!</v>
      </c>
      <c r="Q625" s="105" t="e">
        <f t="shared" si="423"/>
        <v>#DIV/0!</v>
      </c>
      <c r="R625" s="48" t="e">
        <f>R623+R624</f>
        <v>#DIV/0!</v>
      </c>
      <c r="S625" s="105" t="e">
        <f t="shared" si="423"/>
        <v>#DIV/0!</v>
      </c>
      <c r="T625" s="105" t="e">
        <f t="shared" si="423"/>
        <v>#REF!</v>
      </c>
      <c r="U625" s="105" t="e">
        <f t="shared" si="423"/>
        <v>#REF!</v>
      </c>
      <c r="V625" s="105" t="e">
        <f t="shared" si="423"/>
        <v>#REF!</v>
      </c>
      <c r="W625" s="105" t="e">
        <f t="shared" si="423"/>
        <v>#REF!</v>
      </c>
      <c r="X625" s="105" t="e">
        <f t="shared" si="423"/>
        <v>#REF!</v>
      </c>
      <c r="Y625" s="105" t="e">
        <f t="shared" si="423"/>
        <v>#REF!</v>
      </c>
      <c r="Z625" s="105" t="e">
        <f t="shared" si="423"/>
        <v>#REF!</v>
      </c>
      <c r="AA625" s="105" t="e">
        <f t="shared" si="423"/>
        <v>#REF!</v>
      </c>
      <c r="AB625" s="105" t="e">
        <f t="shared" si="423"/>
        <v>#REF!</v>
      </c>
      <c r="AC625" s="105" t="e">
        <f t="shared" si="423"/>
        <v>#REF!</v>
      </c>
      <c r="AD625" s="105" t="e">
        <f t="shared" si="423"/>
        <v>#REF!</v>
      </c>
      <c r="AE625" s="105" t="e">
        <f t="shared" si="423"/>
        <v>#REF!</v>
      </c>
      <c r="AF625" s="105" t="e">
        <f t="shared" si="423"/>
        <v>#DIV/0!</v>
      </c>
    </row>
    <row r="627" spans="1:32" x14ac:dyDescent="0.2">
      <c r="A627" s="13" t="s">
        <v>669</v>
      </c>
    </row>
    <row r="628" spans="1:32" x14ac:dyDescent="0.2">
      <c r="A628" s="14" t="s">
        <v>670</v>
      </c>
      <c r="F628" s="80">
        <f t="shared" ref="F628:AE628" si="426">F602</f>
        <v>22.340645544649483</v>
      </c>
      <c r="G628" s="80">
        <f t="shared" ref="G628:I628" si="427">G602</f>
        <v>22.348669245438462</v>
      </c>
      <c r="H628" s="80">
        <f t="shared" si="427"/>
        <v>23.316451452087893</v>
      </c>
      <c r="I628" s="80">
        <f t="shared" si="427"/>
        <v>28.359742661576202</v>
      </c>
      <c r="J628" s="80">
        <f t="shared" ref="J628:K628" si="428">J602</f>
        <v>22.467872914438299</v>
      </c>
      <c r="K628" s="80">
        <f t="shared" si="428"/>
        <v>30.992955338503911</v>
      </c>
      <c r="L628" s="80">
        <f t="shared" ref="L628:N628" si="429">L602</f>
        <v>145.45285440423123</v>
      </c>
      <c r="N628" s="80" t="e">
        <f t="shared" si="429"/>
        <v>#DIV/0!</v>
      </c>
      <c r="O628" s="80" t="e">
        <f t="shared" ref="O628" si="430">O602</f>
        <v>#DIV/0!</v>
      </c>
      <c r="P628" s="80" t="e">
        <f t="shared" si="426"/>
        <v>#DIV/0!</v>
      </c>
      <c r="Q628" s="80" t="e">
        <f t="shared" si="426"/>
        <v>#DIV/0!</v>
      </c>
      <c r="R628" s="80" t="e">
        <f t="shared" si="426"/>
        <v>#DIV/0!</v>
      </c>
      <c r="S628" s="80" t="e">
        <f t="shared" si="426"/>
        <v>#DIV/0!</v>
      </c>
      <c r="T628" s="80" t="e">
        <f t="shared" si="426"/>
        <v>#REF!</v>
      </c>
      <c r="U628" s="80" t="e">
        <f t="shared" si="426"/>
        <v>#REF!</v>
      </c>
      <c r="V628" s="80" t="e">
        <f t="shared" si="426"/>
        <v>#REF!</v>
      </c>
      <c r="W628" s="80" t="e">
        <f t="shared" si="426"/>
        <v>#REF!</v>
      </c>
      <c r="X628" s="80" t="e">
        <f t="shared" si="426"/>
        <v>#REF!</v>
      </c>
      <c r="Y628" s="80" t="e">
        <f t="shared" si="426"/>
        <v>#REF!</v>
      </c>
      <c r="Z628" s="80" t="e">
        <f t="shared" si="426"/>
        <v>#REF!</v>
      </c>
      <c r="AA628" s="80" t="e">
        <f t="shared" si="426"/>
        <v>#REF!</v>
      </c>
      <c r="AB628" s="80" t="e">
        <f t="shared" si="426"/>
        <v>#REF!</v>
      </c>
      <c r="AC628" s="80" t="e">
        <f t="shared" si="426"/>
        <v>#REF!</v>
      </c>
      <c r="AD628" s="80" t="e">
        <f t="shared" si="426"/>
        <v>#REF!</v>
      </c>
      <c r="AE628" s="80" t="e">
        <f t="shared" si="426"/>
        <v>#REF!</v>
      </c>
      <c r="AF628" s="80">
        <f>AF546</f>
        <v>0</v>
      </c>
    </row>
    <row r="629" spans="1:32" ht="15" x14ac:dyDescent="0.35">
      <c r="A629" s="14" t="s">
        <v>671</v>
      </c>
      <c r="D629" s="48"/>
      <c r="F629" s="112">
        <f t="shared" ref="F629:AF629" si="431">(F526*F$609)/F425</f>
        <v>4.0940135475313983</v>
      </c>
      <c r="G629" s="112">
        <f t="shared" ref="G629:I629" si="432">(G526*G$609)/G425</f>
        <v>4.0940135475313983</v>
      </c>
      <c r="H629" s="112">
        <f t="shared" si="432"/>
        <v>4.5709783687981949</v>
      </c>
      <c r="I629" s="112">
        <f t="shared" si="432"/>
        <v>4.8686630461482459</v>
      </c>
      <c r="J629" s="112">
        <f t="shared" ref="J629:K629" si="433">(J526*J$609)/J425</f>
        <v>4.0940135475313983</v>
      </c>
      <c r="K629" s="112">
        <f t="shared" si="433"/>
        <v>6.2528651981904471</v>
      </c>
      <c r="L629" s="112">
        <f t="shared" si="431"/>
        <v>9.1893373438110721</v>
      </c>
      <c r="N629" s="112" t="e">
        <f t="shared" ref="N629:O629" si="434">(N526*N$609)/N425</f>
        <v>#DIV/0!</v>
      </c>
      <c r="O629" s="112" t="e">
        <f t="shared" si="434"/>
        <v>#DIV/0!</v>
      </c>
      <c r="P629" s="112" t="e">
        <f t="shared" si="431"/>
        <v>#DIV/0!</v>
      </c>
      <c r="Q629" s="112" t="e">
        <f t="shared" si="431"/>
        <v>#DIV/0!</v>
      </c>
      <c r="R629" s="112" t="e">
        <f t="shared" si="431"/>
        <v>#DIV/0!</v>
      </c>
      <c r="S629" s="112" t="e">
        <f t="shared" si="431"/>
        <v>#DIV/0!</v>
      </c>
      <c r="T629" s="112" t="e">
        <f t="shared" si="431"/>
        <v>#DIV/0!</v>
      </c>
      <c r="U629" s="112" t="e">
        <f t="shared" si="431"/>
        <v>#DIV/0!</v>
      </c>
      <c r="V629" s="112" t="e">
        <f t="shared" si="431"/>
        <v>#DIV/0!</v>
      </c>
      <c r="W629" s="112" t="e">
        <f t="shared" si="431"/>
        <v>#DIV/0!</v>
      </c>
      <c r="X629" s="112" t="e">
        <f t="shared" si="431"/>
        <v>#DIV/0!</v>
      </c>
      <c r="Y629" s="112" t="e">
        <f t="shared" si="431"/>
        <v>#DIV/0!</v>
      </c>
      <c r="Z629" s="112" t="e">
        <f t="shared" si="431"/>
        <v>#DIV/0!</v>
      </c>
      <c r="AA629" s="112" t="e">
        <f t="shared" si="431"/>
        <v>#DIV/0!</v>
      </c>
      <c r="AB629" s="112" t="e">
        <f t="shared" si="431"/>
        <v>#DIV/0!</v>
      </c>
      <c r="AC629" s="112" t="e">
        <f t="shared" si="431"/>
        <v>#DIV/0!</v>
      </c>
      <c r="AD629" s="112" t="e">
        <f t="shared" si="431"/>
        <v>#DIV/0!</v>
      </c>
      <c r="AE629" s="112" t="e">
        <f t="shared" si="431"/>
        <v>#DIV/0!</v>
      </c>
      <c r="AF629" s="112" t="e">
        <f t="shared" si="431"/>
        <v>#DIV/0!</v>
      </c>
    </row>
    <row r="630" spans="1:32" x14ac:dyDescent="0.2">
      <c r="B630" s="14" t="s">
        <v>672</v>
      </c>
      <c r="F630" s="80">
        <f t="shared" ref="F630:AF630" si="435">F628+F629</f>
        <v>26.43465909218088</v>
      </c>
      <c r="G630" s="80">
        <f t="shared" ref="G630:I630" si="436">G628+G629</f>
        <v>26.442682792969862</v>
      </c>
      <c r="H630" s="80">
        <f t="shared" si="436"/>
        <v>27.887429820886087</v>
      </c>
      <c r="I630" s="80">
        <f t="shared" si="436"/>
        <v>33.228405707724448</v>
      </c>
      <c r="J630" s="80">
        <f t="shared" ref="J630:K630" si="437">J628+J629</f>
        <v>26.561886461969699</v>
      </c>
      <c r="K630" s="80">
        <f t="shared" si="437"/>
        <v>37.24582053669436</v>
      </c>
      <c r="L630" s="80">
        <f t="shared" ref="L630:N630" si="438">L628+L629</f>
        <v>154.64219174804231</v>
      </c>
      <c r="N630" s="80" t="e">
        <f t="shared" si="438"/>
        <v>#DIV/0!</v>
      </c>
      <c r="O630" s="80" t="e">
        <f t="shared" ref="O630" si="439">O628+O629</f>
        <v>#DIV/0!</v>
      </c>
      <c r="P630" s="80" t="e">
        <f t="shared" si="435"/>
        <v>#DIV/0!</v>
      </c>
      <c r="Q630" s="80" t="e">
        <f t="shared" si="435"/>
        <v>#DIV/0!</v>
      </c>
      <c r="R630" s="80" t="e">
        <f t="shared" si="435"/>
        <v>#DIV/0!</v>
      </c>
      <c r="S630" s="80" t="e">
        <f t="shared" si="435"/>
        <v>#DIV/0!</v>
      </c>
      <c r="T630" s="80" t="e">
        <f t="shared" si="435"/>
        <v>#REF!</v>
      </c>
      <c r="U630" s="80" t="e">
        <f t="shared" si="435"/>
        <v>#REF!</v>
      </c>
      <c r="V630" s="80" t="e">
        <f t="shared" si="435"/>
        <v>#REF!</v>
      </c>
      <c r="W630" s="80" t="e">
        <f t="shared" si="435"/>
        <v>#REF!</v>
      </c>
      <c r="X630" s="80" t="e">
        <f t="shared" si="435"/>
        <v>#REF!</v>
      </c>
      <c r="Y630" s="80" t="e">
        <f t="shared" si="435"/>
        <v>#REF!</v>
      </c>
      <c r="Z630" s="80" t="e">
        <f t="shared" si="435"/>
        <v>#REF!</v>
      </c>
      <c r="AA630" s="80" t="e">
        <f t="shared" si="435"/>
        <v>#REF!</v>
      </c>
      <c r="AB630" s="80" t="e">
        <f t="shared" si="435"/>
        <v>#REF!</v>
      </c>
      <c r="AC630" s="80" t="e">
        <f t="shared" si="435"/>
        <v>#REF!</v>
      </c>
      <c r="AD630" s="80" t="e">
        <f t="shared" si="435"/>
        <v>#REF!</v>
      </c>
      <c r="AE630" s="80" t="e">
        <f t="shared" si="435"/>
        <v>#REF!</v>
      </c>
      <c r="AF630" s="80" t="e">
        <f t="shared" si="435"/>
        <v>#DIV/0!</v>
      </c>
    </row>
    <row r="631" spans="1:32" x14ac:dyDescent="0.2">
      <c r="F631" s="80"/>
      <c r="G631" s="80"/>
      <c r="H631" s="80"/>
      <c r="I631" s="80"/>
      <c r="J631" s="80"/>
      <c r="K631" s="80"/>
      <c r="L631" s="80"/>
      <c r="N631" s="80"/>
      <c r="O631" s="80"/>
      <c r="P631" s="80"/>
      <c r="Q631" s="80"/>
      <c r="R631" s="80"/>
      <c r="S631" s="80"/>
      <c r="T631" s="80"/>
      <c r="U631" s="80"/>
      <c r="V631" s="80"/>
      <c r="W631" s="80"/>
      <c r="X631" s="80"/>
      <c r="Y631" s="80"/>
      <c r="Z631" s="80"/>
      <c r="AA631" s="80"/>
      <c r="AB631" s="80"/>
      <c r="AC631" s="80"/>
      <c r="AD631" s="80"/>
      <c r="AE631" s="80"/>
      <c r="AF631" s="80"/>
    </row>
    <row r="634" spans="1:32" x14ac:dyDescent="0.2">
      <c r="A634" s="28" t="s">
        <v>878</v>
      </c>
      <c r="F634" s="115"/>
      <c r="K634" s="115"/>
      <c r="Q634" s="80"/>
      <c r="R634" s="80"/>
      <c r="S634" s="93"/>
    </row>
    <row r="636" spans="1:32" x14ac:dyDescent="0.2">
      <c r="A636" s="13" t="s">
        <v>879</v>
      </c>
      <c r="E636" s="47">
        <f>E330</f>
        <v>1.0542434262354248E-2</v>
      </c>
      <c r="F636" s="47">
        <f t="shared" ref="F636:L636" si="440">F330</f>
        <v>6.2099820424181005E-3</v>
      </c>
      <c r="G636" s="47">
        <f t="shared" ref="G636:I636" si="441">G330</f>
        <v>1.450874311352764E-2</v>
      </c>
      <c r="H636" s="47">
        <f t="shared" si="441"/>
        <v>-6.2483972146656144E-3</v>
      </c>
      <c r="I636" s="47">
        <f t="shared" si="441"/>
        <v>0.27942135291886222</v>
      </c>
      <c r="J636" s="47">
        <f t="shared" si="440"/>
        <v>-2.5491661920728631E-2</v>
      </c>
      <c r="K636" s="47">
        <f t="shared" si="440"/>
        <v>7.5138667212916968E-2</v>
      </c>
      <c r="L636" s="47">
        <f t="shared" si="440"/>
        <v>-0.10562304191888053</v>
      </c>
      <c r="N636" s="47" t="e">
        <f t="shared" ref="N636:O636" si="442">N330</f>
        <v>#DIV/0!</v>
      </c>
      <c r="O636" s="47" t="e">
        <f t="shared" si="442"/>
        <v>#DIV/0!</v>
      </c>
      <c r="P636" s="116" t="e">
        <f>P395</f>
        <v>#DIV/0!</v>
      </c>
      <c r="Q636" s="116" t="e">
        <f>Q395</f>
        <v>#DIV/0!</v>
      </c>
      <c r="R636" s="116" t="e">
        <f>R395</f>
        <v>#DIV/0!</v>
      </c>
      <c r="S636" s="116">
        <f>S315</f>
        <v>0</v>
      </c>
    </row>
    <row r="637" spans="1:32" x14ac:dyDescent="0.2">
      <c r="F637" s="116"/>
      <c r="G637" s="116"/>
      <c r="H637" s="116"/>
      <c r="I637" s="116"/>
      <c r="J637" s="116"/>
      <c r="K637" s="116"/>
      <c r="L637" s="116"/>
      <c r="N637" s="116"/>
      <c r="O637" s="116"/>
      <c r="S637" s="76"/>
    </row>
    <row r="638" spans="1:32" x14ac:dyDescent="0.2">
      <c r="B638" s="14" t="s">
        <v>880</v>
      </c>
      <c r="F638" s="117">
        <f t="shared" ref="F638:R638" si="443">F579</f>
        <v>22.612299192912701</v>
      </c>
      <c r="G638" s="117">
        <f t="shared" ref="G638:I638" si="444">G579</f>
        <v>23.564122653561622</v>
      </c>
      <c r="H638" s="117">
        <f t="shared" si="444"/>
        <v>21.933164544271573</v>
      </c>
      <c r="I638" s="117">
        <f t="shared" si="444"/>
        <v>63.180568499161197</v>
      </c>
      <c r="J638" s="117">
        <f t="shared" ref="J638" si="445">J579</f>
        <v>19.757162417584695</v>
      </c>
      <c r="K638" s="117">
        <f t="shared" ref="K638:L638" si="446">K579</f>
        <v>41.511185671284295</v>
      </c>
      <c r="L638" s="117">
        <f t="shared" si="446"/>
        <v>118.34022570873945</v>
      </c>
      <c r="N638" s="117" t="e">
        <f t="shared" ref="N638:O638" si="447">N579</f>
        <v>#DIV/0!</v>
      </c>
      <c r="O638" s="117" t="e">
        <f t="shared" si="447"/>
        <v>#DIV/0!</v>
      </c>
      <c r="P638" s="117" t="e">
        <f t="shared" si="443"/>
        <v>#DIV/0!</v>
      </c>
      <c r="Q638" s="117" t="e">
        <f t="shared" si="443"/>
        <v>#DIV/0!</v>
      </c>
      <c r="R638" s="117" t="e">
        <f t="shared" si="443"/>
        <v>#DIV/0!</v>
      </c>
      <c r="S638" s="117">
        <f>S580</f>
        <v>0</v>
      </c>
    </row>
    <row r="639" spans="1:32" x14ac:dyDescent="0.2">
      <c r="B639" s="14" t="s">
        <v>763</v>
      </c>
      <c r="F639" s="118">
        <f>F561+F562+F563+F564+F569+F574</f>
        <v>8.7599806919010689E-2</v>
      </c>
      <c r="G639" s="118">
        <f>G561+G562+G563+G564+G569+G574</f>
        <v>8.7631145024915452E-2</v>
      </c>
      <c r="H639" s="118">
        <f>H561+H562+H563+H564+H569+H574</f>
        <v>8.9838554022956624E-2</v>
      </c>
      <c r="I639" s="118">
        <f>I563+I564</f>
        <v>5.1585484161843172E-2</v>
      </c>
      <c r="J639" s="118">
        <f>+J563+J564</f>
        <v>5.1714603080110728E-2</v>
      </c>
      <c r="K639" s="118">
        <f>+K563+K564</f>
        <v>5.264442843029063E-2</v>
      </c>
      <c r="L639" s="118">
        <f>+L563+L564</f>
        <v>5.2912036898096378E-2</v>
      </c>
      <c r="N639" s="118" t="e">
        <f>+N563+N564</f>
        <v>#DIV/0!</v>
      </c>
      <c r="O639" s="118" t="e">
        <f>+O563+O564</f>
        <v>#DIV/0!</v>
      </c>
      <c r="P639" s="118" t="e">
        <f>P561+P562+P563+P564+P569+P574</f>
        <v>#DIV/0!</v>
      </c>
      <c r="Q639" s="118" t="e">
        <f>Q561+Q562+Q563+Q564+Q569+Q574</f>
        <v>#DIV/0!</v>
      </c>
      <c r="R639" s="118" t="e">
        <f>R563+R564</f>
        <v>#DIV/0!</v>
      </c>
      <c r="S639" s="118" t="e">
        <f>S563+S568+S573+S574</f>
        <v>#DIV/0!</v>
      </c>
    </row>
    <row r="640" spans="1:32" x14ac:dyDescent="0.2">
      <c r="B640" s="14" t="s">
        <v>881</v>
      </c>
      <c r="F640" s="117">
        <v>0</v>
      </c>
      <c r="G640" s="117">
        <v>0</v>
      </c>
      <c r="H640" s="117">
        <v>0</v>
      </c>
      <c r="I640" s="117">
        <v>0</v>
      </c>
      <c r="J640" s="117">
        <f>J561+J562+J569+J574</f>
        <v>3.1692565846919846E-2</v>
      </c>
      <c r="K640" s="117">
        <f>K561+K562+K569+K574</f>
        <v>2.5914505470684544E-2</v>
      </c>
      <c r="L640" s="117">
        <f>L561+L562+L569+L574</f>
        <v>6.6724292711746847</v>
      </c>
      <c r="N640" s="117" t="e">
        <f>N561+N562+N569+N574</f>
        <v>#DIV/0!</v>
      </c>
      <c r="O640" s="117" t="e">
        <f>O561+O562+O569+O574</f>
        <v>#DIV/0!</v>
      </c>
      <c r="P640" s="117">
        <v>0</v>
      </c>
      <c r="Q640" s="117">
        <v>0</v>
      </c>
      <c r="R640" s="117" t="e">
        <f>R561+R562+R569+R574</f>
        <v>#DIV/0!</v>
      </c>
      <c r="S640" s="117">
        <v>0</v>
      </c>
    </row>
    <row r="641" spans="1:32" x14ac:dyDescent="0.2">
      <c r="F641" s="29"/>
      <c r="G641" s="29"/>
      <c r="H641" s="29"/>
      <c r="I641" s="29"/>
      <c r="J641" s="29"/>
      <c r="K641" s="29"/>
      <c r="L641" s="29"/>
      <c r="N641" s="29"/>
      <c r="O641" s="29"/>
    </row>
    <row r="642" spans="1:32" x14ac:dyDescent="0.2">
      <c r="A642" s="13" t="s">
        <v>882</v>
      </c>
      <c r="E642" s="47">
        <f>E395</f>
        <v>6.788799041746521E-3</v>
      </c>
      <c r="F642" s="116">
        <f>$E642</f>
        <v>6.788799041746521E-3</v>
      </c>
      <c r="G642" s="116">
        <f>$E642</f>
        <v>6.788799041746521E-3</v>
      </c>
      <c r="H642" s="116">
        <f>$E642</f>
        <v>6.788799041746521E-3</v>
      </c>
      <c r="I642" s="116">
        <f>$E642</f>
        <v>6.788799041746521E-3</v>
      </c>
      <c r="J642" s="116">
        <f t="shared" ref="J642:O642" si="448">$E642</f>
        <v>6.788799041746521E-3</v>
      </c>
      <c r="K642" s="116">
        <f t="shared" si="448"/>
        <v>6.788799041746521E-3</v>
      </c>
      <c r="L642" s="116">
        <f t="shared" si="448"/>
        <v>6.788799041746521E-3</v>
      </c>
      <c r="N642" s="116">
        <f t="shared" si="448"/>
        <v>6.788799041746521E-3</v>
      </c>
      <c r="O642" s="116">
        <f t="shared" si="448"/>
        <v>6.788799041746521E-3</v>
      </c>
      <c r="P642" s="116">
        <f t="shared" ref="P642:R642" si="449">O642</f>
        <v>6.788799041746521E-3</v>
      </c>
      <c r="Q642" s="116">
        <f t="shared" si="449"/>
        <v>6.788799041746521E-3</v>
      </c>
      <c r="R642" s="116">
        <f t="shared" si="449"/>
        <v>6.788799041746521E-3</v>
      </c>
      <c r="S642" s="116">
        <f>$E$393</f>
        <v>76145092.302499995</v>
      </c>
    </row>
    <row r="643" spans="1:32" x14ac:dyDescent="0.2">
      <c r="F643" s="116"/>
      <c r="G643" s="116"/>
      <c r="H643" s="116"/>
      <c r="I643" s="116"/>
      <c r="J643" s="116"/>
      <c r="K643" s="116"/>
      <c r="L643" s="116"/>
      <c r="N643" s="116"/>
      <c r="O643" s="116"/>
      <c r="P643" s="116"/>
      <c r="Q643" s="116"/>
      <c r="R643" s="116"/>
      <c r="S643" s="116"/>
    </row>
    <row r="644" spans="1:32" x14ac:dyDescent="0.2">
      <c r="B644" s="14" t="s">
        <v>880</v>
      </c>
      <c r="F644" s="117">
        <f>F604</f>
        <v>23.055023935495282</v>
      </c>
      <c r="G644" s="117">
        <f>G604</f>
        <v>23.06304763628426</v>
      </c>
      <c r="H644" s="117">
        <f>H604</f>
        <v>24.114057061786468</v>
      </c>
      <c r="I644" s="117">
        <f>I604</f>
        <v>29.20929228619212</v>
      </c>
      <c r="J644" s="117">
        <f t="shared" ref="J644" si="450">J604</f>
        <v>23.182251305284097</v>
      </c>
      <c r="K644" s="117">
        <f t="shared" ref="K644:L644" si="451">K604</f>
        <v>32.084039118906254</v>
      </c>
      <c r="L644" s="117">
        <f t="shared" si="451"/>
        <v>147.05633322724813</v>
      </c>
      <c r="N644" s="117" t="e">
        <f t="shared" ref="N644:O644" si="452">N604</f>
        <v>#DIV/0!</v>
      </c>
      <c r="O644" s="117" t="e">
        <f t="shared" si="452"/>
        <v>#DIV/0!</v>
      </c>
      <c r="P644" s="117" t="e">
        <f t="shared" ref="P644:S644" si="453">P604</f>
        <v>#DIV/0!</v>
      </c>
      <c r="Q644" s="117" t="e">
        <f t="shared" si="453"/>
        <v>#DIV/0!</v>
      </c>
      <c r="R644" s="117" t="e">
        <f t="shared" si="453"/>
        <v>#DIV/0!</v>
      </c>
      <c r="S644" s="117" t="e">
        <f t="shared" si="453"/>
        <v>#DIV/0!</v>
      </c>
    </row>
    <row r="645" spans="1:32" x14ac:dyDescent="0.2">
      <c r="B645" s="14" t="s">
        <v>763</v>
      </c>
      <c r="F645" s="118">
        <f>F586+F587+F588+F589+F594+F599</f>
        <v>8.8107428291238826E-2</v>
      </c>
      <c r="G645" s="118">
        <f>G586+G587+G588+G589+G594+G599</f>
        <v>8.7059128905354694E-2</v>
      </c>
      <c r="H645" s="118">
        <f>H586+H587+H588+H589+H594+H599</f>
        <v>9.1592244053265215E-2</v>
      </c>
      <c r="I645" s="118">
        <f>I588+I589</f>
        <v>5.1585484161843172E-2</v>
      </c>
      <c r="J645" s="118">
        <f>+J588+J589</f>
        <v>5.1714603080110728E-2</v>
      </c>
      <c r="K645" s="118">
        <f>+K588+K589</f>
        <v>5.264442843029063E-2</v>
      </c>
      <c r="L645" s="118">
        <f>+L588+L589</f>
        <v>5.2912036898096378E-2</v>
      </c>
      <c r="N645" s="118" t="e">
        <f>+N588+N589</f>
        <v>#DIV/0!</v>
      </c>
      <c r="O645" s="118" t="e">
        <f>+O588+O589</f>
        <v>#DIV/0!</v>
      </c>
      <c r="P645" s="118" t="e">
        <f>P586+P587+P588+P589+P594+P599</f>
        <v>#DIV/0!</v>
      </c>
      <c r="Q645" s="118" t="e">
        <f>Q586+Q587+Q588+Q589+Q594+Q599</f>
        <v>#DIV/0!</v>
      </c>
      <c r="R645" s="118" t="e">
        <f>R588+R589</f>
        <v>#DIV/0!</v>
      </c>
      <c r="S645" s="118" t="e">
        <f>S586+S587+S597+S598</f>
        <v>#DIV/0!</v>
      </c>
    </row>
    <row r="646" spans="1:32" x14ac:dyDescent="0.2">
      <c r="B646" s="14" t="s">
        <v>881</v>
      </c>
      <c r="F646" s="117">
        <v>0</v>
      </c>
      <c r="G646" s="117">
        <v>0</v>
      </c>
      <c r="H646" s="117">
        <v>0</v>
      </c>
      <c r="I646" s="117">
        <v>0</v>
      </c>
      <c r="J646" s="117">
        <f>J586+J587+J594+J599</f>
        <v>3.5618610948989556E-2</v>
      </c>
      <c r="K646" s="117">
        <f>K586+K587+K594+K599</f>
        <v>2.0380851835872214E-2</v>
      </c>
      <c r="L646" s="117">
        <f>L586+L587+L594+L599</f>
        <v>8.5984059054163673</v>
      </c>
      <c r="N646" s="117" t="e">
        <f>N586+N587+N594+N599</f>
        <v>#DIV/0!</v>
      </c>
      <c r="O646" s="117" t="e">
        <f>O586+O587+O594+O599</f>
        <v>#DIV/0!</v>
      </c>
      <c r="P646" s="117">
        <v>0</v>
      </c>
      <c r="Q646" s="117">
        <v>0</v>
      </c>
      <c r="R646" s="117" t="e">
        <f>R586+R587+R594+R599</f>
        <v>#DIV/0!</v>
      </c>
      <c r="S646" s="117">
        <v>0</v>
      </c>
      <c r="AF646" s="14" t="s">
        <v>959</v>
      </c>
    </row>
    <row r="647" spans="1:32" x14ac:dyDescent="0.2">
      <c r="F647" s="29"/>
      <c r="G647" s="29"/>
      <c r="H647" s="29"/>
      <c r="I647" s="29"/>
      <c r="J647" s="29"/>
      <c r="K647" s="29"/>
      <c r="L647" s="29"/>
      <c r="N647" s="29"/>
      <c r="O647" s="29"/>
      <c r="P647" s="29"/>
      <c r="Q647" s="29"/>
      <c r="R647" s="29"/>
      <c r="S647" s="29"/>
    </row>
    <row r="648" spans="1:32" x14ac:dyDescent="0.2">
      <c r="A648" s="13" t="s">
        <v>883</v>
      </c>
      <c r="E648" s="47">
        <f>C530</f>
        <v>3.890576143473775E-2</v>
      </c>
      <c r="F648" s="116">
        <f>E$648</f>
        <v>3.890576143473775E-2</v>
      </c>
      <c r="G648" s="116">
        <f>F$648</f>
        <v>3.890576143473775E-2</v>
      </c>
      <c r="H648" s="116">
        <f>G$648</f>
        <v>3.890576143473775E-2</v>
      </c>
      <c r="I648" s="116">
        <f>H$648</f>
        <v>3.890576143473775E-2</v>
      </c>
      <c r="J648" s="116">
        <f t="shared" ref="J648" si="454">I$648</f>
        <v>3.890576143473775E-2</v>
      </c>
      <c r="K648" s="116">
        <f t="shared" ref="K648:O648" si="455">J$648</f>
        <v>3.890576143473775E-2</v>
      </c>
      <c r="L648" s="116">
        <f t="shared" si="455"/>
        <v>3.890576143473775E-2</v>
      </c>
      <c r="N648" s="116">
        <f t="shared" si="455"/>
        <v>0</v>
      </c>
      <c r="O648" s="116">
        <f t="shared" si="455"/>
        <v>0</v>
      </c>
      <c r="P648" s="116">
        <f t="shared" ref="P648:R648" si="456">O648</f>
        <v>0</v>
      </c>
      <c r="Q648" s="116">
        <f t="shared" si="456"/>
        <v>0</v>
      </c>
      <c r="R648" s="116">
        <f t="shared" si="456"/>
        <v>0</v>
      </c>
      <c r="S648" s="116">
        <f>$C$579</f>
        <v>0</v>
      </c>
    </row>
    <row r="649" spans="1:32" x14ac:dyDescent="0.2">
      <c r="A649" s="13"/>
      <c r="F649" s="116"/>
      <c r="G649" s="116"/>
      <c r="H649" s="116"/>
      <c r="I649" s="116"/>
      <c r="J649" s="116"/>
      <c r="K649" s="116"/>
      <c r="L649" s="116"/>
      <c r="N649" s="116"/>
      <c r="O649" s="116"/>
      <c r="P649" s="116"/>
      <c r="Q649" s="116"/>
      <c r="R649" s="116"/>
      <c r="S649" s="116"/>
    </row>
    <row r="650" spans="1:32" x14ac:dyDescent="0.2">
      <c r="B650" s="14" t="s">
        <v>880</v>
      </c>
      <c r="F650" s="117">
        <f>F630</f>
        <v>26.43465909218088</v>
      </c>
      <c r="G650" s="117">
        <f>G630</f>
        <v>26.442682792969862</v>
      </c>
      <c r="H650" s="117">
        <f>H630</f>
        <v>27.887429820886087</v>
      </c>
      <c r="I650" s="117">
        <f t="shared" ref="I650" si="457">I630</f>
        <v>33.228405707724448</v>
      </c>
      <c r="J650" s="117">
        <f>J630</f>
        <v>26.561886461969699</v>
      </c>
      <c r="K650" s="117">
        <f>K630</f>
        <v>37.24582053669436</v>
      </c>
      <c r="L650" s="117">
        <f t="shared" ref="L650:N650" si="458">L630</f>
        <v>154.64219174804231</v>
      </c>
      <c r="N650" s="117" t="e">
        <f t="shared" si="458"/>
        <v>#DIV/0!</v>
      </c>
      <c r="O650" s="117" t="e">
        <f t="shared" ref="O650" si="459">O630</f>
        <v>#DIV/0!</v>
      </c>
      <c r="P650" s="117" t="e">
        <f t="shared" ref="P650:R650" si="460">P630</f>
        <v>#DIV/0!</v>
      </c>
      <c r="Q650" s="117" t="e">
        <f t="shared" si="460"/>
        <v>#DIV/0!</v>
      </c>
      <c r="R650" s="117" t="e">
        <f t="shared" si="460"/>
        <v>#DIV/0!</v>
      </c>
      <c r="S650" s="117" t="e">
        <f>S630</f>
        <v>#DIV/0!</v>
      </c>
    </row>
    <row r="651" spans="1:32" x14ac:dyDescent="0.2">
      <c r="B651" s="14" t="s">
        <v>763</v>
      </c>
      <c r="F651" s="118">
        <f>F612+F613+F614+F615+F620+F625</f>
        <v>9.1982465918139009E-2</v>
      </c>
      <c r="G651" s="118">
        <f>G612+G613+G614+G615+G620+G625</f>
        <v>9.0917245397297744E-2</v>
      </c>
      <c r="H651" s="118">
        <f>H612+H613+H614+H615+H620+H625</f>
        <v>9.4626472533177353E-2</v>
      </c>
      <c r="I651" s="118">
        <f>+I614+I615</f>
        <v>5.1585484161843172E-2</v>
      </c>
      <c r="J651" s="118">
        <f>J612+J613+J614+J615+J620+J625</f>
        <v>9.1207157301445685E-2</v>
      </c>
      <c r="K651" s="118">
        <f>K612+K613+K614+K615+K620+K625</f>
        <v>7.6055201392979804E-2</v>
      </c>
      <c r="L651" s="118">
        <f>+L614+L615</f>
        <v>5.2912036898096378E-2</v>
      </c>
      <c r="N651" s="118" t="e">
        <f>+N614+N615</f>
        <v>#DIV/0!</v>
      </c>
      <c r="O651" s="118" t="e">
        <f>+O614+O615</f>
        <v>#DIV/0!</v>
      </c>
      <c r="P651" s="118" t="e">
        <f t="shared" ref="P651:Q651" si="461">P612+P613+P614+P615+P620+P625</f>
        <v>#DIV/0!</v>
      </c>
      <c r="Q651" s="118" t="e">
        <f t="shared" si="461"/>
        <v>#DIV/0!</v>
      </c>
      <c r="R651" s="118" t="e">
        <f>R614+R615</f>
        <v>#DIV/0!</v>
      </c>
      <c r="S651" s="118" t="e">
        <f>S612+S613+S623+S624</f>
        <v>#DIV/0!</v>
      </c>
    </row>
    <row r="652" spans="1:32" x14ac:dyDescent="0.2">
      <c r="B652" s="14" t="s">
        <v>881</v>
      </c>
      <c r="F652" s="117">
        <v>0</v>
      </c>
      <c r="G652" s="117">
        <v>0</v>
      </c>
      <c r="H652" s="117">
        <v>0</v>
      </c>
      <c r="I652" s="117">
        <f>I612+I613+I620+I625</f>
        <v>9.4799749683031251</v>
      </c>
      <c r="J652" s="117">
        <v>0</v>
      </c>
      <c r="K652" s="117">
        <v>0</v>
      </c>
      <c r="L652" s="117">
        <f>L612+L613+L620+L625</f>
        <v>9.1071860822664448</v>
      </c>
      <c r="N652" s="117" t="e">
        <f>N612+N613+N620+N625</f>
        <v>#DIV/0!</v>
      </c>
      <c r="O652" s="117" t="e">
        <f>O612+O613+O620+O625</f>
        <v>#DIV/0!</v>
      </c>
      <c r="P652" s="117">
        <v>0</v>
      </c>
      <c r="Q652" s="117">
        <v>0</v>
      </c>
      <c r="R652" s="117" t="e">
        <f>R612+R613+R620+R625</f>
        <v>#DIV/0!</v>
      </c>
      <c r="S652" s="117">
        <v>0</v>
      </c>
    </row>
    <row r="653" spans="1:32" x14ac:dyDescent="0.2">
      <c r="B653" s="29"/>
      <c r="G653" s="29"/>
      <c r="H653" s="29"/>
      <c r="I653" s="118"/>
      <c r="J653" s="29"/>
      <c r="K653" s="29"/>
      <c r="L653" s="29"/>
    </row>
  </sheetData>
  <phoneticPr fontId="0" type="noConversion"/>
  <conditionalFormatting sqref="AH1">
    <cfRule type="cellIs" dxfId="2" priority="51" operator="equal">
      <formula>"err"</formula>
    </cfRule>
  </conditionalFormatting>
  <conditionalFormatting sqref="AH4:AH631">
    <cfRule type="containsText" dxfId="1" priority="1" operator="containsText" text="err">
      <formula>NOT(ISERROR(SEARCH("err",AH4)))</formula>
    </cfRule>
    <cfRule type="cellIs" dxfId="0" priority="2" operator="equal">
      <formula>"""err"""</formula>
    </cfRule>
  </conditionalFormatting>
  <printOptions horizontalCentered="1"/>
  <pageMargins left="0.25" right="0.25" top="1.25" bottom="0.5" header="0.5" footer="0.2"/>
  <pageSetup scale="65" pageOrder="overThenDown" orientation="landscape" r:id="rId1"/>
  <headerFooter alignWithMargins="0">
    <oddHeader>&amp;C&amp;"Times New Roman,Bold"CUMBERLAND VALLEY ELECTRIC
Cost of Service Study
Class Allocation
12 Months Ended December 31, 2023</oddHeader>
    <oddFooter>&amp;RExhibit JW-5
Page &amp;P of &amp;N</oddFooter>
  </headerFooter>
  <rowBreaks count="18" manualBreakCount="18">
    <brk id="42" max="12" man="1"/>
    <brk id="80" max="12" man="1"/>
    <brk id="118" max="12" man="1"/>
    <brk id="156" max="12" man="1"/>
    <brk id="194" max="12" man="1"/>
    <brk id="232" max="12" man="1"/>
    <brk id="270" max="12" man="1"/>
    <brk id="308" max="12" man="1"/>
    <brk id="332" max="12" man="1"/>
    <brk id="396" max="12" man="1"/>
    <brk id="437" max="12" man="1"/>
    <brk id="481" max="12" man="1"/>
    <brk id="500" max="12" man="1"/>
    <brk id="538" max="12" man="1"/>
    <brk id="556" max="12" man="1"/>
    <brk id="581" max="12" man="1"/>
    <brk id="607" max="12" man="1"/>
    <brk id="633" max="12" man="1"/>
  </rowBreaks>
  <colBreaks count="4" manualBreakCount="4">
    <brk id="9" max="651" man="1"/>
    <brk id="15" max="651" man="1"/>
    <brk id="19" max="568" man="1"/>
    <brk id="25" max="568" man="1"/>
  </colBreaks>
  <ignoredErrors>
    <ignoredError sqref="F445 G445:M445 F452 F459 I499:M499 E492:M492 F587:L587 F613:L613 I551:L551 I552:I554 L552:L554 L562 L573 I593:I598 L598 L651 L623:L624 L619 L542:L545 J480:L480 F480:I480 F473:M473 F466:M466 G459:M459 G452:M452 I542:I545 I619:I624 I651 G415:M415 AG456 AG489:AG490" formula="1"/>
    <ignoredError sqref="AG343:AG344 AG34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211"/>
  <sheetViews>
    <sheetView view="pageBreakPreview" zoomScale="85" zoomScaleNormal="75" zoomScaleSheetLayoutView="85" workbookViewId="0">
      <selection activeCell="L8" sqref="L8:L15"/>
    </sheetView>
  </sheetViews>
  <sheetFormatPr defaultColWidth="9.140625" defaultRowHeight="12.75" x14ac:dyDescent="0.2"/>
  <cols>
    <col min="1" max="1" width="39.5703125" style="14" customWidth="1"/>
    <col min="2" max="2" width="10.28515625" style="30" customWidth="1"/>
    <col min="3" max="3" width="12.5703125" style="14" bestFit="1" customWidth="1"/>
    <col min="4" max="4" width="14.5703125" style="14" customWidth="1"/>
    <col min="5" max="5" width="13.7109375" style="14" customWidth="1"/>
    <col min="6" max="6" width="12.5703125" style="14" bestFit="1" customWidth="1"/>
    <col min="7" max="7" width="13.140625" style="14" bestFit="1" customWidth="1"/>
    <col min="8" max="8" width="14.5703125" style="14" bestFit="1" customWidth="1"/>
    <col min="9" max="11" width="12.5703125" style="14" bestFit="1" customWidth="1"/>
    <col min="12" max="12" width="17.140625" style="14" customWidth="1"/>
    <col min="13" max="14" width="12.5703125" style="14" bestFit="1" customWidth="1"/>
    <col min="15" max="15" width="14.28515625" style="14" bestFit="1" customWidth="1"/>
    <col min="16" max="16" width="17.85546875" style="14" customWidth="1"/>
    <col min="17" max="17" width="17.28515625" style="14" customWidth="1"/>
    <col min="18" max="20" width="15" style="14" bestFit="1" customWidth="1"/>
    <col min="21" max="21" width="9.140625" style="14"/>
    <col min="22" max="22" width="11.85546875" style="14" bestFit="1" customWidth="1"/>
    <col min="23" max="25" width="9.140625" style="14"/>
    <col min="26" max="26" width="15.28515625" style="14" bestFit="1" customWidth="1"/>
    <col min="27" max="16384" width="9.140625" style="14"/>
  </cols>
  <sheetData>
    <row r="1" spans="1:27" x14ac:dyDescent="0.2">
      <c r="A1" s="13" t="s">
        <v>1053</v>
      </c>
    </row>
    <row r="2" spans="1:27" x14ac:dyDescent="0.2">
      <c r="A2" s="14" t="s">
        <v>677</v>
      </c>
    </row>
    <row r="3" spans="1:27" x14ac:dyDescent="0.2">
      <c r="C3" s="119"/>
      <c r="D3" s="29"/>
      <c r="E3" s="29"/>
      <c r="F3" s="24" t="s">
        <v>724</v>
      </c>
      <c r="G3" s="24" t="s">
        <v>685</v>
      </c>
      <c r="H3" s="29"/>
      <c r="I3" s="29"/>
      <c r="J3" s="29"/>
      <c r="K3" s="29"/>
      <c r="M3" s="119"/>
      <c r="N3" s="29"/>
      <c r="O3" s="29"/>
      <c r="Q3" s="24"/>
      <c r="R3" s="24"/>
    </row>
    <row r="4" spans="1:27" x14ac:dyDescent="0.2">
      <c r="A4" s="30"/>
      <c r="C4" s="29"/>
      <c r="D4" s="29"/>
      <c r="E4" s="29"/>
      <c r="F4" s="24" t="s">
        <v>684</v>
      </c>
      <c r="G4" s="24" t="s">
        <v>684</v>
      </c>
      <c r="H4" s="24" t="s">
        <v>694</v>
      </c>
      <c r="I4" s="24" t="s">
        <v>685</v>
      </c>
      <c r="J4" s="24" t="s">
        <v>687</v>
      </c>
      <c r="K4" s="24" t="s">
        <v>688</v>
      </c>
      <c r="M4" s="29"/>
      <c r="N4" s="29"/>
      <c r="O4" s="29"/>
      <c r="P4" s="30"/>
      <c r="Q4" s="24"/>
      <c r="R4" s="24"/>
      <c r="T4" s="30"/>
    </row>
    <row r="5" spans="1:27" s="24" customFormat="1" x14ac:dyDescent="0.2">
      <c r="B5" s="16"/>
      <c r="C5" s="24" t="s">
        <v>580</v>
      </c>
      <c r="F5" s="24" t="s">
        <v>725</v>
      </c>
      <c r="G5" s="24" t="s">
        <v>12</v>
      </c>
      <c r="H5" s="24" t="s">
        <v>695</v>
      </c>
      <c r="I5" s="24" t="s">
        <v>644</v>
      </c>
      <c r="J5" s="24" t="s">
        <v>644</v>
      </c>
      <c r="K5" s="24" t="s">
        <v>644</v>
      </c>
      <c r="L5" s="14"/>
      <c r="M5" s="24" t="str">
        <f>C5</f>
        <v>Average</v>
      </c>
      <c r="O5" s="29" t="s">
        <v>906</v>
      </c>
      <c r="Q5" s="24" t="s">
        <v>906</v>
      </c>
    </row>
    <row r="6" spans="1:27" s="24" customFormat="1" x14ac:dyDescent="0.2">
      <c r="A6" s="120" t="s">
        <v>862</v>
      </c>
      <c r="B6" s="21" t="s">
        <v>871</v>
      </c>
      <c r="C6" s="23" t="s">
        <v>582</v>
      </c>
      <c r="D6" s="23" t="s">
        <v>953</v>
      </c>
      <c r="E6" s="23" t="s">
        <v>348</v>
      </c>
      <c r="F6" s="23" t="s">
        <v>10</v>
      </c>
      <c r="G6" s="23" t="s">
        <v>683</v>
      </c>
      <c r="H6" s="23" t="s">
        <v>696</v>
      </c>
      <c r="I6" s="23" t="s">
        <v>686</v>
      </c>
      <c r="J6" s="23" t="s">
        <v>686</v>
      </c>
      <c r="K6" s="23" t="s">
        <v>686</v>
      </c>
      <c r="L6" s="120" t="s">
        <v>862</v>
      </c>
      <c r="M6" s="23" t="str">
        <f t="shared" ref="M6:M26" si="0">C6</f>
        <v>Customers</v>
      </c>
      <c r="N6" s="23" t="str">
        <f t="shared" ref="N6:O14" si="1">D6</f>
        <v>kWh</v>
      </c>
      <c r="O6" s="23" t="s">
        <v>865</v>
      </c>
      <c r="P6" s="23" t="str">
        <f>E6</f>
        <v>Revenue</v>
      </c>
      <c r="Q6" s="23" t="s">
        <v>907</v>
      </c>
    </row>
    <row r="7" spans="1:27" x14ac:dyDescent="0.2">
      <c r="A7" s="30"/>
      <c r="C7" s="50"/>
      <c r="D7" s="50"/>
      <c r="E7" s="50"/>
      <c r="G7" s="50"/>
      <c r="H7" s="50"/>
      <c r="I7" s="50"/>
      <c r="J7" s="50"/>
      <c r="K7" s="50"/>
      <c r="L7" s="30"/>
      <c r="M7" s="50"/>
      <c r="N7" s="50"/>
      <c r="O7" s="50"/>
      <c r="P7" s="50"/>
      <c r="Q7" s="50"/>
    </row>
    <row r="8" spans="1:27" x14ac:dyDescent="0.2">
      <c r="A8" s="121" t="str">
        <f>'Summary of Returns'!B10</f>
        <v>Sch I - Residential, Schools &amp; Churches</v>
      </c>
      <c r="B8" s="122" t="str">
        <f>'Summary of Returns'!C10</f>
        <v>R</v>
      </c>
      <c r="C8" s="123">
        <f>O38</f>
        <v>22478</v>
      </c>
      <c r="D8" s="123">
        <f>O39</f>
        <v>268297725</v>
      </c>
      <c r="E8" s="125">
        <v>34527804.599999994</v>
      </c>
      <c r="F8" s="36">
        <f>O46</f>
        <v>2043653.4905167264</v>
      </c>
      <c r="G8" s="36">
        <f>P46</f>
        <v>213997.35339506171</v>
      </c>
      <c r="H8" s="124">
        <f>Q42</f>
        <v>92189.106829425131</v>
      </c>
      <c r="I8" s="123">
        <f>R44</f>
        <v>674329.38877041545</v>
      </c>
      <c r="J8" s="123">
        <f>S44</f>
        <v>149324.74051259732</v>
      </c>
      <c r="K8" s="123">
        <f>T44</f>
        <v>525004.64825781807</v>
      </c>
      <c r="L8" s="121" t="str">
        <f>B8</f>
        <v>R</v>
      </c>
      <c r="M8" s="123">
        <f t="shared" si="0"/>
        <v>22478</v>
      </c>
      <c r="N8" s="123">
        <f t="shared" si="1"/>
        <v>268297725</v>
      </c>
      <c r="O8" s="67">
        <f>D8/$D$25</f>
        <v>0.68317995541671894</v>
      </c>
      <c r="P8" s="125">
        <f>E8</f>
        <v>34527804.599999994</v>
      </c>
      <c r="Q8" s="67">
        <f>E8/$E$25</f>
        <v>0.7153758841791038</v>
      </c>
      <c r="S8" s="25"/>
      <c r="T8" s="93"/>
      <c r="W8" s="24"/>
      <c r="X8" s="24"/>
      <c r="Y8" s="24"/>
      <c r="Z8" s="24"/>
      <c r="AA8" s="24"/>
    </row>
    <row r="9" spans="1:27" x14ac:dyDescent="0.2">
      <c r="A9" s="121" t="str">
        <f>'Summary of Returns'!B11</f>
        <v>Sch I - Res TOD</v>
      </c>
      <c r="B9" s="122" t="str">
        <f>'Summary of Returns'!C11</f>
        <v>TOD</v>
      </c>
      <c r="C9" s="123">
        <f>O48</f>
        <v>9</v>
      </c>
      <c r="D9" s="123">
        <f>O49</f>
        <v>49591</v>
      </c>
      <c r="E9" s="125">
        <v>7534.4299999999994</v>
      </c>
      <c r="F9" s="36">
        <f>O56</f>
        <v>376.0886207828413</v>
      </c>
      <c r="G9" s="36">
        <f>P56</f>
        <v>81.412037037037038</v>
      </c>
      <c r="H9" s="124">
        <f>Q52</f>
        <v>34.080046742356508</v>
      </c>
      <c r="I9" s="123">
        <f>R54</f>
        <v>132.83721099149852</v>
      </c>
      <c r="J9" s="123">
        <f>S54</f>
        <v>7.7780350259978217</v>
      </c>
      <c r="K9" s="123">
        <f>T54</f>
        <v>125.0591759655007</v>
      </c>
      <c r="L9" s="121" t="str">
        <f t="shared" ref="L9:L15" si="2">B9</f>
        <v>TOD</v>
      </c>
      <c r="M9" s="123">
        <f t="shared" si="0"/>
        <v>9</v>
      </c>
      <c r="N9" s="123">
        <f t="shared" si="1"/>
        <v>49591</v>
      </c>
      <c r="O9" s="67">
        <f>D9/$D$25</f>
        <v>1.2627605086502506E-4</v>
      </c>
      <c r="P9" s="125">
        <f>E9</f>
        <v>7534.4299999999994</v>
      </c>
      <c r="Q9" s="67">
        <f>E9/$E$25</f>
        <v>1.5610461150013474E-4</v>
      </c>
      <c r="S9" s="25"/>
      <c r="T9" s="93"/>
      <c r="W9" s="24"/>
      <c r="X9" s="24"/>
      <c r="Y9" s="24"/>
      <c r="Z9" s="24"/>
      <c r="AA9" s="24"/>
    </row>
    <row r="10" spans="1:27" x14ac:dyDescent="0.2">
      <c r="A10" s="121" t="str">
        <f>'Summary of Returns'!B12</f>
        <v>Sch II - Small Commercial  Small Power</v>
      </c>
      <c r="B10" s="122" t="str">
        <f>'Summary of Returns'!C12</f>
        <v>C1</v>
      </c>
      <c r="C10" s="123">
        <f>O58</f>
        <v>1279</v>
      </c>
      <c r="D10" s="123">
        <f>O59</f>
        <v>15091330</v>
      </c>
      <c r="E10" s="125">
        <v>1909411.8199999998</v>
      </c>
      <c r="F10" s="36">
        <f>O66</f>
        <v>90005.068679178061</v>
      </c>
      <c r="G10" s="36">
        <f>P66</f>
        <v>8838.664596273291</v>
      </c>
      <c r="H10" s="124">
        <f>Q62</f>
        <v>5808.2653061224491</v>
      </c>
      <c r="I10" s="123">
        <f>R64</f>
        <v>50274.259790798038</v>
      </c>
      <c r="J10" s="123">
        <f>S64</f>
        <v>13698.495172262454</v>
      </c>
      <c r="K10" s="123">
        <f>T64</f>
        <v>36575.764618535584</v>
      </c>
      <c r="L10" s="121" t="str">
        <f t="shared" si="2"/>
        <v>C1</v>
      </c>
      <c r="M10" s="123">
        <f t="shared" si="0"/>
        <v>1279</v>
      </c>
      <c r="N10" s="123">
        <f t="shared" si="1"/>
        <v>15091330</v>
      </c>
      <c r="O10" s="67">
        <f>D10/$D$25</f>
        <v>3.8427810584599598E-2</v>
      </c>
      <c r="P10" s="125">
        <f>E10</f>
        <v>1909411.8199999998</v>
      </c>
      <c r="Q10" s="67">
        <f>E10/$E$25</f>
        <v>3.9560788321726423E-2</v>
      </c>
      <c r="S10" s="25"/>
      <c r="T10" s="93"/>
      <c r="W10" s="24"/>
      <c r="X10" s="24"/>
      <c r="Y10" s="24"/>
      <c r="Z10" s="24"/>
      <c r="AA10" s="24"/>
    </row>
    <row r="11" spans="1:27" x14ac:dyDescent="0.2">
      <c r="A11" s="121" t="str">
        <f>'Summary of Returns'!B13</f>
        <v>Sch II - Small Commercial  Small Power</v>
      </c>
      <c r="B11" s="122" t="str">
        <f>'Summary of Returns'!C13</f>
        <v>C2</v>
      </c>
      <c r="C11" s="123">
        <f>O68</f>
        <v>171</v>
      </c>
      <c r="D11" s="123">
        <f>O69</f>
        <v>9902607</v>
      </c>
      <c r="E11" s="125">
        <v>1357876.44</v>
      </c>
      <c r="F11" s="36">
        <f>O76</f>
        <v>37784.720823798634</v>
      </c>
      <c r="G11" s="36">
        <f>P76</f>
        <v>3357.1281464530889</v>
      </c>
      <c r="H11" s="124">
        <f>Q72</f>
        <v>4049.5967741935488</v>
      </c>
      <c r="I11" s="123">
        <f>R74</f>
        <v>32944.093173505964</v>
      </c>
      <c r="J11" s="123">
        <f>S74</f>
        <v>9286.1559907834107</v>
      </c>
      <c r="K11" s="123">
        <f>T74</f>
        <v>23657.937182722555</v>
      </c>
      <c r="L11" s="121" t="str">
        <f t="shared" si="2"/>
        <v>C2</v>
      </c>
      <c r="M11" s="123">
        <f t="shared" si="0"/>
        <v>171</v>
      </c>
      <c r="N11" s="123">
        <f t="shared" si="1"/>
        <v>9902607</v>
      </c>
      <c r="O11" s="67">
        <f>D11/$D$25</f>
        <v>2.5215504934934834E-2</v>
      </c>
      <c r="P11" s="125">
        <f>E11</f>
        <v>1357876.44</v>
      </c>
      <c r="Q11" s="67">
        <f>E11/$E$25</f>
        <v>2.81336178226337E-2</v>
      </c>
      <c r="S11" s="25"/>
      <c r="T11" s="93"/>
      <c r="W11" s="24"/>
      <c r="X11" s="24"/>
      <c r="Y11" s="24"/>
      <c r="Z11" s="24"/>
      <c r="AA11" s="24"/>
    </row>
    <row r="12" spans="1:27" x14ac:dyDescent="0.2">
      <c r="A12" s="121" t="str">
        <f>'Summary of Returns'!B14</f>
        <v>Sch VII - Inclining Block Rate</v>
      </c>
      <c r="B12" s="122" t="str">
        <f>'Summary of Returns'!C14</f>
        <v>IB</v>
      </c>
      <c r="C12" s="123">
        <f>O78</f>
        <v>192</v>
      </c>
      <c r="D12" s="123">
        <f>O79</f>
        <v>686837</v>
      </c>
      <c r="E12" s="125">
        <v>103827.47</v>
      </c>
      <c r="F12" s="36">
        <f>O86</f>
        <v>5230.2410287591747</v>
      </c>
      <c r="G12" s="36">
        <f>P86</f>
        <v>506.92129629629636</v>
      </c>
      <c r="H12" s="124">
        <f>Q82</f>
        <v>224.33585368112881</v>
      </c>
      <c r="I12" s="123">
        <f>R84</f>
        <v>1704.3037427330191</v>
      </c>
      <c r="J12" s="123">
        <f>S84</f>
        <v>381.40442651402043</v>
      </c>
      <c r="K12" s="123">
        <f>T84</f>
        <v>1322.8993162189986</v>
      </c>
      <c r="L12" s="121" t="str">
        <f t="shared" si="2"/>
        <v>IB</v>
      </c>
      <c r="M12" s="123">
        <f t="shared" si="0"/>
        <v>192</v>
      </c>
      <c r="N12" s="123">
        <f t="shared" si="1"/>
        <v>686837</v>
      </c>
      <c r="O12" s="67">
        <f>D12/$D$25</f>
        <v>1.7489275059583639E-3</v>
      </c>
      <c r="P12" s="125">
        <f>E12</f>
        <v>103827.47</v>
      </c>
      <c r="Q12" s="67">
        <f>E12/$E$25</f>
        <v>2.1511842126600016E-3</v>
      </c>
      <c r="S12" s="25"/>
      <c r="T12" s="93"/>
      <c r="W12" s="24"/>
      <c r="X12" s="24"/>
      <c r="Y12" s="24"/>
      <c r="Z12" s="24"/>
      <c r="AA12" s="24"/>
    </row>
    <row r="13" spans="1:27" x14ac:dyDescent="0.2">
      <c r="A13" s="121" t="str">
        <f>'Summary of Returns'!B15</f>
        <v>Sch III - All 3Phase Schools &amp; Churches</v>
      </c>
      <c r="B13" s="122" t="str">
        <f>'Summary of Returns'!C15</f>
        <v>E1</v>
      </c>
      <c r="C13" s="123">
        <f>O88</f>
        <v>47</v>
      </c>
      <c r="D13" s="123">
        <f>O89</f>
        <v>12423232</v>
      </c>
      <c r="E13" s="125">
        <v>1272161.3099999998</v>
      </c>
      <c r="F13" s="36">
        <f>O96</f>
        <v>73993.832189607958</v>
      </c>
      <c r="G13" s="36">
        <f>P96</f>
        <v>7432.6028517999057</v>
      </c>
      <c r="H13" s="124">
        <f>Q92</f>
        <v>7239.3346774193542</v>
      </c>
      <c r="I13" s="123">
        <f>R94</f>
        <v>13282.131879403043</v>
      </c>
      <c r="J13" s="123">
        <f>S94</f>
        <v>2535.2628925845293</v>
      </c>
      <c r="K13" s="123">
        <f>T94</f>
        <v>10746.868986818514</v>
      </c>
      <c r="L13" s="121" t="str">
        <f t="shared" si="2"/>
        <v>E1</v>
      </c>
      <c r="M13" s="123">
        <f t="shared" si="0"/>
        <v>47</v>
      </c>
      <c r="N13" s="123">
        <f t="shared" si="1"/>
        <v>12423232</v>
      </c>
      <c r="O13" s="67">
        <f>D13/$D$25</f>
        <v>3.1633898811074736E-2</v>
      </c>
      <c r="P13" s="125">
        <f>E13</f>
        <v>1272161.3099999998</v>
      </c>
      <c r="Q13" s="67">
        <f>E13/$E$25</f>
        <v>2.6357700192722273E-2</v>
      </c>
      <c r="S13" s="25"/>
      <c r="T13" s="93"/>
      <c r="W13" s="24"/>
      <c r="X13" s="24"/>
      <c r="Y13" s="24"/>
      <c r="Z13" s="24"/>
      <c r="AA13" s="24"/>
    </row>
    <row r="14" spans="1:27" x14ac:dyDescent="0.2">
      <c r="A14" s="121" t="str">
        <f>'Summary of Returns'!B16</f>
        <v>Sch IV-A - Large Power 50-2500 kW</v>
      </c>
      <c r="B14" s="122" t="str">
        <f>'Summary of Returns'!C16</f>
        <v>L1</v>
      </c>
      <c r="C14" s="123">
        <f>O98</f>
        <v>61</v>
      </c>
      <c r="D14" s="123">
        <f>O99</f>
        <v>77726344</v>
      </c>
      <c r="E14" s="125">
        <v>7414373.6000000006</v>
      </c>
      <c r="F14" s="36">
        <f>O106</f>
        <v>259768.94279176201</v>
      </c>
      <c r="G14" s="36">
        <f>P106</f>
        <v>25742.306636155608</v>
      </c>
      <c r="H14" s="124">
        <f>Q102</f>
        <v>26309.643817204298</v>
      </c>
      <c r="I14" s="123">
        <f>R104</f>
        <v>199817.3486943164</v>
      </c>
      <c r="J14" s="123">
        <f>S104</f>
        <v>51708.162970430101</v>
      </c>
      <c r="K14" s="123">
        <f>T104</f>
        <v>148109.1857238863</v>
      </c>
      <c r="L14" s="121" t="str">
        <f t="shared" si="2"/>
        <v>L1</v>
      </c>
      <c r="M14" s="123">
        <f t="shared" si="0"/>
        <v>61</v>
      </c>
      <c r="N14" s="123">
        <f t="shared" si="1"/>
        <v>77726344</v>
      </c>
      <c r="O14" s="67">
        <f>D14/$D$25</f>
        <v>0.19791848860673178</v>
      </c>
      <c r="P14" s="125">
        <f>E14</f>
        <v>7414373.6000000006</v>
      </c>
      <c r="Q14" s="67">
        <f>E14/$E$25</f>
        <v>0.15361718276563133</v>
      </c>
      <c r="S14" s="25"/>
      <c r="T14" s="93"/>
      <c r="W14" s="24"/>
      <c r="X14" s="24"/>
      <c r="Y14" s="24"/>
      <c r="Z14" s="24"/>
      <c r="AA14" s="24"/>
    </row>
    <row r="15" spans="1:27" x14ac:dyDescent="0.2">
      <c r="A15" s="121" t="str">
        <f>'Summary of Returns'!B17</f>
        <v>Sch VI - Outdoor Lighting - Security Lights</v>
      </c>
      <c r="B15" s="122" t="str">
        <f>'Summary of Returns'!C17</f>
        <v>S</v>
      </c>
      <c r="C15" s="123">
        <f>O108</f>
        <v>161</v>
      </c>
      <c r="D15" s="123">
        <f>O109</f>
        <v>8541299</v>
      </c>
      <c r="E15" s="125">
        <v>1672272.4999999998</v>
      </c>
      <c r="F15" s="36">
        <f>O116</f>
        <v>23420.530555555553</v>
      </c>
      <c r="G15" s="36">
        <f>P116</f>
        <v>2115.625</v>
      </c>
      <c r="H15" s="124">
        <f>Q112</f>
        <v>2115.625</v>
      </c>
      <c r="I15" s="123">
        <f>R114</f>
        <v>11597.637186379929</v>
      </c>
      <c r="J15" s="123">
        <f>S114</f>
        <v>0</v>
      </c>
      <c r="K15" s="123">
        <f>T114</f>
        <v>11597.637186379929</v>
      </c>
      <c r="L15" s="121" t="str">
        <f t="shared" si="2"/>
        <v>S</v>
      </c>
      <c r="M15" s="123">
        <f t="shared" si="0"/>
        <v>161</v>
      </c>
      <c r="N15" s="123">
        <f t="shared" ref="N15:N25" si="3">D15</f>
        <v>8541299</v>
      </c>
      <c r="O15" s="67">
        <f>D15/$D$25</f>
        <v>2.1749138089116729E-2</v>
      </c>
      <c r="P15" s="125">
        <f>E15</f>
        <v>1672272.4999999998</v>
      </c>
      <c r="Q15" s="67">
        <f>E15/$E$25</f>
        <v>3.4647537894022383E-2</v>
      </c>
      <c r="S15" s="25"/>
      <c r="T15" s="93"/>
      <c r="W15" s="24"/>
      <c r="X15" s="24"/>
      <c r="Y15" s="24"/>
      <c r="Z15" s="24"/>
      <c r="AA15" s="24"/>
    </row>
    <row r="16" spans="1:27" hidden="1" x14ac:dyDescent="0.2">
      <c r="A16" s="121">
        <f>'Summary of Returns'!B18</f>
        <v>0</v>
      </c>
      <c r="B16" s="122">
        <f>'Summary of Returns'!C18</f>
        <v>0</v>
      </c>
      <c r="C16" s="123">
        <f>O118</f>
        <v>0</v>
      </c>
      <c r="D16" s="123">
        <f>O119</f>
        <v>0</v>
      </c>
      <c r="E16" s="125">
        <v>0</v>
      </c>
      <c r="F16" s="36">
        <f>O126</f>
        <v>0</v>
      </c>
      <c r="G16" s="36">
        <f>P126</f>
        <v>0</v>
      </c>
      <c r="H16" s="124">
        <f>Q122</f>
        <v>0</v>
      </c>
      <c r="I16" s="123">
        <f>R124</f>
        <v>0</v>
      </c>
      <c r="J16" s="123">
        <f>S124</f>
        <v>0</v>
      </c>
      <c r="K16" s="123">
        <f>T124</f>
        <v>0</v>
      </c>
      <c r="L16" s="121">
        <f t="shared" ref="L9:L17" si="4">A16</f>
        <v>0</v>
      </c>
      <c r="M16" s="123">
        <f t="shared" si="0"/>
        <v>0</v>
      </c>
      <c r="N16" s="123">
        <f t="shared" si="3"/>
        <v>0</v>
      </c>
      <c r="O16" s="67">
        <f>D16/$D$25</f>
        <v>0</v>
      </c>
      <c r="P16" s="125">
        <f>E16</f>
        <v>0</v>
      </c>
      <c r="Q16" s="67">
        <f>E16/$E$25</f>
        <v>0</v>
      </c>
      <c r="S16" s="36"/>
      <c r="W16" s="24"/>
      <c r="X16" s="24"/>
      <c r="Y16" s="24"/>
      <c r="Z16" s="24"/>
      <c r="AA16" s="24"/>
    </row>
    <row r="17" spans="1:27" hidden="1" x14ac:dyDescent="0.2">
      <c r="A17" s="121">
        <f>'Summary of Returns'!B19</f>
        <v>0</v>
      </c>
      <c r="B17" s="122">
        <f>'Summary of Returns'!C19</f>
        <v>0</v>
      </c>
      <c r="C17" s="123">
        <f>O128</f>
        <v>0</v>
      </c>
      <c r="D17" s="123">
        <f>O129</f>
        <v>0</v>
      </c>
      <c r="E17" s="125">
        <v>0</v>
      </c>
      <c r="F17" s="36">
        <f>O136</f>
        <v>0</v>
      </c>
      <c r="G17" s="36">
        <f>P136</f>
        <v>0</v>
      </c>
      <c r="H17" s="124">
        <f>Q132</f>
        <v>0</v>
      </c>
      <c r="I17" s="123">
        <f>R134</f>
        <v>0</v>
      </c>
      <c r="J17" s="123">
        <f>S134</f>
        <v>0</v>
      </c>
      <c r="K17" s="123">
        <f>T134</f>
        <v>0</v>
      </c>
      <c r="L17" s="121">
        <f t="shared" si="4"/>
        <v>0</v>
      </c>
      <c r="M17" s="123">
        <f t="shared" si="0"/>
        <v>0</v>
      </c>
      <c r="N17" s="123">
        <f t="shared" si="3"/>
        <v>0</v>
      </c>
      <c r="O17" s="67">
        <f>D17/$D$25</f>
        <v>0</v>
      </c>
      <c r="P17" s="125">
        <f>E17</f>
        <v>0</v>
      </c>
      <c r="Q17" s="67">
        <f>E17/$E$25</f>
        <v>0</v>
      </c>
      <c r="W17" s="24"/>
      <c r="X17" s="24"/>
      <c r="Y17" s="24"/>
      <c r="Z17" s="24"/>
      <c r="AA17" s="24"/>
    </row>
    <row r="18" spans="1:27" hidden="1" x14ac:dyDescent="0.2">
      <c r="A18" s="121">
        <f>'Summary of Returns'!B20</f>
        <v>0</v>
      </c>
      <c r="B18" s="122">
        <f>'Summary of Returns'!C20</f>
        <v>0</v>
      </c>
      <c r="C18" s="123">
        <v>0</v>
      </c>
      <c r="D18" s="123">
        <f>O139</f>
        <v>0</v>
      </c>
      <c r="E18" s="123">
        <v>0</v>
      </c>
      <c r="F18" s="36">
        <f>O146</f>
        <v>0</v>
      </c>
      <c r="G18" s="36">
        <f>P146</f>
        <v>0</v>
      </c>
      <c r="H18" s="123">
        <f>Q142</f>
        <v>0</v>
      </c>
      <c r="I18" s="123">
        <f>R144</f>
        <v>0</v>
      </c>
      <c r="J18" s="123">
        <f>S144</f>
        <v>0</v>
      </c>
      <c r="K18" s="123">
        <f>T144</f>
        <v>0</v>
      </c>
      <c r="L18" s="121" t="e">
        <f>'Summary of Returns'!#REF!</f>
        <v>#REF!</v>
      </c>
      <c r="M18" s="123">
        <f t="shared" si="0"/>
        <v>0</v>
      </c>
      <c r="N18" s="123">
        <f t="shared" si="3"/>
        <v>0</v>
      </c>
      <c r="O18" s="123">
        <f>D18/$D$25</f>
        <v>0</v>
      </c>
      <c r="P18" s="125">
        <f>E18</f>
        <v>0</v>
      </c>
      <c r="Q18" s="123">
        <f>E18/$E$25</f>
        <v>0</v>
      </c>
      <c r="W18" s="24"/>
      <c r="X18" s="24"/>
      <c r="Y18" s="24"/>
      <c r="Z18" s="24"/>
      <c r="AA18" s="24"/>
    </row>
    <row r="19" spans="1:27" hidden="1" x14ac:dyDescent="0.2">
      <c r="A19" s="121">
        <f>'Summary of Returns'!B21</f>
        <v>0</v>
      </c>
      <c r="B19" s="122">
        <f>'Summary of Returns'!C21</f>
        <v>0</v>
      </c>
      <c r="C19" s="123">
        <v>0</v>
      </c>
      <c r="D19" s="123">
        <f>O149</f>
        <v>0</v>
      </c>
      <c r="E19" s="123">
        <v>0</v>
      </c>
      <c r="F19" s="36">
        <f>O156</f>
        <v>0</v>
      </c>
      <c r="G19" s="36">
        <f>P156</f>
        <v>0</v>
      </c>
      <c r="H19" s="36">
        <f>Q152</f>
        <v>0</v>
      </c>
      <c r="I19" s="123">
        <f>R154</f>
        <v>0</v>
      </c>
      <c r="J19" s="123">
        <f>S154</f>
        <v>0</v>
      </c>
      <c r="K19" s="123">
        <f>T154</f>
        <v>0</v>
      </c>
      <c r="L19" s="121" t="e">
        <f>'Summary of Returns'!#REF!</f>
        <v>#REF!</v>
      </c>
      <c r="M19" s="123">
        <f t="shared" si="0"/>
        <v>0</v>
      </c>
      <c r="N19" s="123">
        <f t="shared" si="3"/>
        <v>0</v>
      </c>
      <c r="O19" s="123">
        <f>D19/$D$25</f>
        <v>0</v>
      </c>
      <c r="P19" s="125">
        <f>E19</f>
        <v>0</v>
      </c>
      <c r="Q19" s="123">
        <f>E19/$E$25</f>
        <v>0</v>
      </c>
      <c r="W19" s="24"/>
      <c r="X19" s="24"/>
      <c r="Y19" s="24"/>
      <c r="Z19" s="24"/>
      <c r="AA19" s="24"/>
    </row>
    <row r="20" spans="1:27" hidden="1" x14ac:dyDescent="0.2">
      <c r="A20" s="121">
        <f>'Summary of Returns'!B22</f>
        <v>0</v>
      </c>
      <c r="B20" s="122">
        <f>'Summary of Returns'!C22</f>
        <v>0</v>
      </c>
      <c r="C20" s="123">
        <v>0</v>
      </c>
      <c r="D20" s="123">
        <f>O159</f>
        <v>0</v>
      </c>
      <c r="E20" s="123">
        <v>0</v>
      </c>
      <c r="F20" s="36">
        <f>O166</f>
        <v>0</v>
      </c>
      <c r="G20" s="36">
        <f>P166</f>
        <v>0</v>
      </c>
      <c r="H20" s="124">
        <f>Q162</f>
        <v>0</v>
      </c>
      <c r="I20" s="123">
        <f>R164</f>
        <v>0</v>
      </c>
      <c r="J20" s="123">
        <f>S164</f>
        <v>0</v>
      </c>
      <c r="K20" s="123">
        <f>T164</f>
        <v>0</v>
      </c>
      <c r="L20" s="121" t="e">
        <f>'Summary of Returns'!#REF!</f>
        <v>#REF!</v>
      </c>
      <c r="M20" s="123">
        <f t="shared" si="0"/>
        <v>0</v>
      </c>
      <c r="N20" s="123">
        <f t="shared" si="3"/>
        <v>0</v>
      </c>
      <c r="O20" s="123">
        <f>D20/$D$25</f>
        <v>0</v>
      </c>
      <c r="P20" s="125">
        <f>E20</f>
        <v>0</v>
      </c>
      <c r="Q20" s="123">
        <f>E20/$E$25</f>
        <v>0</v>
      </c>
      <c r="W20" s="24"/>
      <c r="X20" s="24"/>
      <c r="Y20" s="24"/>
      <c r="Z20" s="24"/>
      <c r="AA20" s="24"/>
    </row>
    <row r="21" spans="1:27" hidden="1" x14ac:dyDescent="0.2">
      <c r="A21" s="121">
        <f>'Summary of Returns'!B23</f>
        <v>0</v>
      </c>
      <c r="B21" s="122">
        <f>'Summary of Returns'!C23</f>
        <v>0</v>
      </c>
      <c r="C21" s="123">
        <v>0</v>
      </c>
      <c r="D21" s="123">
        <f>O169</f>
        <v>0</v>
      </c>
      <c r="E21" s="123"/>
      <c r="F21" s="36">
        <f>O176</f>
        <v>0</v>
      </c>
      <c r="G21" s="36">
        <f>P176</f>
        <v>0</v>
      </c>
      <c r="H21" s="124">
        <f>Q172</f>
        <v>0</v>
      </c>
      <c r="I21" s="123">
        <f>R174</f>
        <v>0</v>
      </c>
      <c r="J21" s="123">
        <f>S174</f>
        <v>0</v>
      </c>
      <c r="K21" s="123">
        <f>T174</f>
        <v>0</v>
      </c>
      <c r="L21" s="121" t="e">
        <f>'Summary of Returns'!#REF!</f>
        <v>#REF!</v>
      </c>
      <c r="M21" s="123">
        <f t="shared" si="0"/>
        <v>0</v>
      </c>
      <c r="N21" s="123">
        <f t="shared" si="3"/>
        <v>0</v>
      </c>
      <c r="O21" s="123">
        <f>D21/$D$25</f>
        <v>0</v>
      </c>
      <c r="P21" s="123">
        <f>E21</f>
        <v>0</v>
      </c>
      <c r="Q21" s="123">
        <f>E21/$E$25</f>
        <v>0</v>
      </c>
      <c r="W21" s="24"/>
      <c r="X21" s="24"/>
      <c r="Y21" s="24"/>
      <c r="Z21" s="24"/>
      <c r="AA21" s="24"/>
    </row>
    <row r="22" spans="1:27" hidden="1" x14ac:dyDescent="0.2">
      <c r="A22" s="121">
        <f>'Summary of Returns'!B24</f>
        <v>0</v>
      </c>
      <c r="B22" s="122">
        <f>'Summary of Returns'!C24</f>
        <v>0</v>
      </c>
      <c r="C22" s="123">
        <v>0</v>
      </c>
      <c r="D22" s="123">
        <f>O179</f>
        <v>0</v>
      </c>
      <c r="E22" s="123"/>
      <c r="F22" s="36">
        <f>O186</f>
        <v>0</v>
      </c>
      <c r="G22" s="36">
        <f>P186</f>
        <v>0</v>
      </c>
      <c r="H22" s="124">
        <f>Q182</f>
        <v>0</v>
      </c>
      <c r="I22" s="123">
        <f>R184</f>
        <v>0</v>
      </c>
      <c r="J22" s="123">
        <f>S184</f>
        <v>0</v>
      </c>
      <c r="K22" s="123">
        <f>T184</f>
        <v>0</v>
      </c>
      <c r="L22" s="121" t="e">
        <f>'Summary of Returns'!#REF!</f>
        <v>#REF!</v>
      </c>
      <c r="M22" s="123">
        <f t="shared" si="0"/>
        <v>0</v>
      </c>
      <c r="N22" s="123">
        <f t="shared" si="3"/>
        <v>0</v>
      </c>
      <c r="O22" s="123">
        <f>D22/$D$25</f>
        <v>0</v>
      </c>
      <c r="P22" s="123">
        <f>E22</f>
        <v>0</v>
      </c>
      <c r="Q22" s="123">
        <f>E22/$E$25</f>
        <v>0</v>
      </c>
      <c r="W22" s="24"/>
      <c r="X22" s="24"/>
      <c r="Y22" s="24"/>
      <c r="Z22" s="24"/>
      <c r="AA22" s="24"/>
    </row>
    <row r="23" spans="1:27" hidden="1" x14ac:dyDescent="0.2">
      <c r="A23" s="121">
        <f>'Summary of Returns'!B25</f>
        <v>0</v>
      </c>
      <c r="B23" s="122">
        <f>'Summary of Returns'!C25</f>
        <v>0</v>
      </c>
      <c r="C23" s="123">
        <v>0</v>
      </c>
      <c r="D23" s="123">
        <f>O189</f>
        <v>0</v>
      </c>
      <c r="E23" s="123"/>
      <c r="F23" s="36">
        <f>O196</f>
        <v>0</v>
      </c>
      <c r="G23" s="36">
        <f>P196</f>
        <v>0</v>
      </c>
      <c r="H23" s="124">
        <f>Q192</f>
        <v>0</v>
      </c>
      <c r="I23" s="123">
        <f>R194</f>
        <v>0</v>
      </c>
      <c r="J23" s="123">
        <f>S194</f>
        <v>0</v>
      </c>
      <c r="K23" s="123">
        <f>T194</f>
        <v>0</v>
      </c>
      <c r="L23" s="121" t="e">
        <f>'Summary of Returns'!#REF!</f>
        <v>#REF!</v>
      </c>
      <c r="M23" s="123">
        <f t="shared" si="0"/>
        <v>0</v>
      </c>
      <c r="N23" s="123">
        <f t="shared" si="3"/>
        <v>0</v>
      </c>
      <c r="O23" s="123">
        <f>D23/$D$25</f>
        <v>0</v>
      </c>
      <c r="P23" s="123">
        <f>E23</f>
        <v>0</v>
      </c>
      <c r="Q23" s="123">
        <f>E23/$E$25</f>
        <v>0</v>
      </c>
      <c r="W23" s="24"/>
      <c r="X23" s="24"/>
      <c r="Y23" s="24"/>
      <c r="Z23" s="24"/>
      <c r="AA23" s="24"/>
    </row>
    <row r="24" spans="1:27" hidden="1" x14ac:dyDescent="0.2">
      <c r="A24" s="33"/>
      <c r="C24" s="123"/>
      <c r="D24" s="123"/>
      <c r="E24" s="123"/>
      <c r="F24" s="36"/>
      <c r="G24" s="36"/>
      <c r="H24" s="36"/>
      <c r="I24" s="36"/>
      <c r="J24" s="36"/>
      <c r="K24" s="36"/>
      <c r="L24" s="33"/>
      <c r="M24" s="123"/>
      <c r="N24" s="123"/>
      <c r="O24" s="123"/>
      <c r="P24" s="123"/>
      <c r="Q24" s="67"/>
    </row>
    <row r="25" spans="1:27" x14ac:dyDescent="0.2">
      <c r="A25" s="27" t="s">
        <v>0</v>
      </c>
      <c r="B25" s="127"/>
      <c r="C25" s="128">
        <f>SUM(C8:C24)</f>
        <v>24398</v>
      </c>
      <c r="D25" s="128">
        <f t="shared" ref="D25:K25" si="5">SUM(D8:D24)</f>
        <v>392718965</v>
      </c>
      <c r="E25" s="129">
        <f t="shared" si="5"/>
        <v>48265262.169999994</v>
      </c>
      <c r="F25" s="130">
        <f t="shared" si="5"/>
        <v>2534232.9152061706</v>
      </c>
      <c r="G25" s="130">
        <f t="shared" si="5"/>
        <v>262072.01395907695</v>
      </c>
      <c r="H25" s="130">
        <f t="shared" si="5"/>
        <v>137969.98830478825</v>
      </c>
      <c r="I25" s="130">
        <f t="shared" si="5"/>
        <v>984082.00044854335</v>
      </c>
      <c r="J25" s="130">
        <f t="shared" si="5"/>
        <v>226942.00000019782</v>
      </c>
      <c r="K25" s="130">
        <f t="shared" si="5"/>
        <v>757140.00044834544</v>
      </c>
      <c r="L25" s="27" t="s">
        <v>0</v>
      </c>
      <c r="M25" s="128">
        <f t="shared" si="0"/>
        <v>24398</v>
      </c>
      <c r="N25" s="128">
        <f t="shared" si="3"/>
        <v>392718965</v>
      </c>
      <c r="O25" s="131">
        <f>D25/$D$25</f>
        <v>1</v>
      </c>
      <c r="P25" s="129">
        <f>E25</f>
        <v>48265262.169999994</v>
      </c>
      <c r="Q25" s="131">
        <f>E25/$E$25</f>
        <v>1</v>
      </c>
      <c r="T25" s="93"/>
      <c r="W25" s="24"/>
      <c r="X25" s="24"/>
      <c r="Y25" s="24"/>
      <c r="Z25" s="24"/>
      <c r="AA25" s="24"/>
    </row>
    <row r="26" spans="1:27" x14ac:dyDescent="0.2">
      <c r="A26" s="33" t="s">
        <v>1141</v>
      </c>
      <c r="C26" s="214">
        <f>C25-C15</f>
        <v>24237</v>
      </c>
      <c r="D26" s="214"/>
      <c r="E26" s="215"/>
      <c r="F26" s="36"/>
      <c r="G26" s="36"/>
      <c r="H26" s="36"/>
      <c r="I26" s="36"/>
      <c r="J26" s="36"/>
      <c r="K26" s="36"/>
      <c r="L26" s="33" t="str">
        <f>A26</f>
        <v>Total excl Lighting</v>
      </c>
      <c r="M26" s="214">
        <f t="shared" si="0"/>
        <v>24237</v>
      </c>
      <c r="N26" s="214"/>
      <c r="O26" s="215"/>
      <c r="P26" s="77"/>
      <c r="Q26" s="77"/>
      <c r="R26" s="126"/>
      <c r="T26" s="93"/>
      <c r="W26" s="24"/>
      <c r="X26" s="24"/>
      <c r="Y26" s="24"/>
      <c r="Z26" s="24"/>
      <c r="AA26" s="24"/>
    </row>
    <row r="27" spans="1:27" x14ac:dyDescent="0.2">
      <c r="A27" s="29"/>
      <c r="C27" s="214"/>
      <c r="D27" s="214"/>
      <c r="E27" s="215"/>
      <c r="F27" s="36"/>
      <c r="G27" s="36"/>
      <c r="H27" s="36"/>
      <c r="I27" s="36"/>
      <c r="J27" s="36"/>
      <c r="K27" s="36"/>
      <c r="L27" s="50"/>
      <c r="M27" s="123"/>
      <c r="N27" s="123"/>
      <c r="O27" s="125"/>
      <c r="P27" s="50"/>
      <c r="Q27" s="126"/>
      <c r="R27" s="126"/>
    </row>
    <row r="28" spans="1:27" x14ac:dyDescent="0.2">
      <c r="A28" s="36"/>
      <c r="C28" s="214"/>
      <c r="D28" s="214"/>
      <c r="E28" s="215"/>
      <c r="F28" s="36"/>
      <c r="G28" s="36"/>
      <c r="H28" s="36"/>
      <c r="I28" s="36"/>
      <c r="J28" s="36"/>
      <c r="K28" s="36"/>
      <c r="L28" s="50"/>
      <c r="M28" s="123"/>
      <c r="N28" s="123"/>
      <c r="O28" s="125"/>
      <c r="Q28" s="36"/>
    </row>
    <row r="29" spans="1:27" x14ac:dyDescent="0.2">
      <c r="C29" s="123"/>
      <c r="D29" s="123"/>
      <c r="E29" s="123"/>
      <c r="F29" s="36"/>
      <c r="G29" s="36"/>
      <c r="H29" s="36"/>
      <c r="I29" s="36"/>
      <c r="J29" s="36"/>
      <c r="K29" s="36"/>
      <c r="L29" s="50"/>
      <c r="M29" s="123"/>
      <c r="N29" s="123"/>
      <c r="O29" s="123"/>
      <c r="Q29" s="36"/>
    </row>
    <row r="30" spans="1:27" x14ac:dyDescent="0.2">
      <c r="C30" s="212"/>
      <c r="D30" s="212"/>
      <c r="E30" s="212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36"/>
    </row>
    <row r="31" spans="1:27" x14ac:dyDescent="0.2"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U31" s="121"/>
      <c r="W31" s="121"/>
    </row>
    <row r="32" spans="1:27" x14ac:dyDescent="0.2">
      <c r="A32" s="13" t="str">
        <f>A1</f>
        <v>CUMBERLAND VALLEY ELECTRIC</v>
      </c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U32" s="121"/>
      <c r="W32" s="121"/>
    </row>
    <row r="33" spans="1:23" x14ac:dyDescent="0.2">
      <c r="A33" s="14" t="s">
        <v>677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132"/>
      <c r="P33" s="132"/>
      <c r="Q33" s="132"/>
      <c r="U33" s="121"/>
      <c r="W33" s="121"/>
    </row>
    <row r="34" spans="1:23" ht="30.75" customHeight="1" x14ac:dyDescent="0.2">
      <c r="C34" s="200">
        <f>C205</f>
        <v>-2.5916961021721363E-8</v>
      </c>
      <c r="D34" s="200">
        <f t="shared" ref="D34:N34" si="6">D205</f>
        <v>-3.6045094020664692E-8</v>
      </c>
      <c r="E34" s="200">
        <f t="shared" si="6"/>
        <v>-4.4794203131459653E-4</v>
      </c>
      <c r="F34" s="200">
        <f t="shared" si="6"/>
        <v>-5.5806594900786877E-8</v>
      </c>
      <c r="G34" s="200">
        <f t="shared" si="6"/>
        <v>-9.0520188678056002E-8</v>
      </c>
      <c r="H34" s="200">
        <f t="shared" si="6"/>
        <v>-5.5195414461195469E-8</v>
      </c>
      <c r="I34" s="200">
        <f t="shared" si="6"/>
        <v>-7.3021510615944862E-8</v>
      </c>
      <c r="J34" s="200">
        <f t="shared" si="6"/>
        <v>-6.9616362452507019E-8</v>
      </c>
      <c r="K34" s="200">
        <f t="shared" si="6"/>
        <v>-4.0337909013032913E-8</v>
      </c>
      <c r="L34" s="200">
        <f t="shared" si="6"/>
        <v>-9.9615135695785284E-8</v>
      </c>
      <c r="M34" s="200">
        <f t="shared" si="6"/>
        <v>-1.2078089639544487E-8</v>
      </c>
      <c r="N34" s="200">
        <f t="shared" si="6"/>
        <v>-4.3117324821650982E-8</v>
      </c>
      <c r="O34" s="50"/>
      <c r="P34" s="50"/>
      <c r="Q34" s="133" t="s">
        <v>694</v>
      </c>
    </row>
    <row r="35" spans="1:23" x14ac:dyDescent="0.2">
      <c r="C35" s="200">
        <f>C205</f>
        <v>-2.5916961021721363E-8</v>
      </c>
      <c r="D35" s="200">
        <f t="shared" ref="D35:N35" si="7">D205</f>
        <v>-3.6045094020664692E-8</v>
      </c>
      <c r="E35" s="200">
        <f t="shared" si="7"/>
        <v>-4.4794203131459653E-4</v>
      </c>
      <c r="F35" s="200">
        <f t="shared" si="7"/>
        <v>-5.5806594900786877E-8</v>
      </c>
      <c r="G35" s="200">
        <f t="shared" si="7"/>
        <v>-9.0520188678056002E-8</v>
      </c>
      <c r="H35" s="200">
        <f t="shared" si="7"/>
        <v>-5.5195414461195469E-8</v>
      </c>
      <c r="I35" s="200">
        <f t="shared" si="7"/>
        <v>-7.3021510615944862E-8</v>
      </c>
      <c r="J35" s="200">
        <f t="shared" si="7"/>
        <v>-6.9616362452507019E-8</v>
      </c>
      <c r="K35" s="200">
        <f t="shared" si="7"/>
        <v>-4.0337909013032913E-8</v>
      </c>
      <c r="L35" s="200">
        <f t="shared" si="7"/>
        <v>-9.9615135695785284E-8</v>
      </c>
      <c r="M35" s="200">
        <f t="shared" si="7"/>
        <v>-1.2078089639544487E-8</v>
      </c>
      <c r="N35" s="200">
        <f t="shared" si="7"/>
        <v>-4.3117324821650982E-8</v>
      </c>
      <c r="O35" s="50"/>
      <c r="P35" s="24" t="s">
        <v>689</v>
      </c>
      <c r="Q35" s="134" t="s">
        <v>695</v>
      </c>
      <c r="R35" s="24" t="s">
        <v>685</v>
      </c>
      <c r="S35" s="24" t="s">
        <v>687</v>
      </c>
      <c r="T35" s="24" t="s">
        <v>688</v>
      </c>
    </row>
    <row r="36" spans="1:23" s="139" customFormat="1" ht="15" x14ac:dyDescent="0.35">
      <c r="A36" s="135" t="s">
        <v>870</v>
      </c>
      <c r="B36" s="136" t="s">
        <v>871</v>
      </c>
      <c r="C36" s="137" t="s">
        <v>1037</v>
      </c>
      <c r="D36" s="137" t="s">
        <v>1038</v>
      </c>
      <c r="E36" s="137" t="s">
        <v>1039</v>
      </c>
      <c r="F36" s="137" t="s">
        <v>1040</v>
      </c>
      <c r="G36" s="137" t="s">
        <v>1041</v>
      </c>
      <c r="H36" s="137" t="s">
        <v>1042</v>
      </c>
      <c r="I36" s="137" t="s">
        <v>1043</v>
      </c>
      <c r="J36" s="137" t="s">
        <v>1044</v>
      </c>
      <c r="K36" s="137" t="s">
        <v>1045</v>
      </c>
      <c r="L36" s="137" t="s">
        <v>1046</v>
      </c>
      <c r="M36" s="137" t="s">
        <v>1047</v>
      </c>
      <c r="N36" s="137" t="s">
        <v>1048</v>
      </c>
      <c r="O36" s="138" t="s">
        <v>0</v>
      </c>
      <c r="P36" s="138" t="s">
        <v>683</v>
      </c>
      <c r="Q36" s="138" t="s">
        <v>696</v>
      </c>
      <c r="R36" s="138" t="s">
        <v>690</v>
      </c>
      <c r="S36" s="138" t="s">
        <v>690</v>
      </c>
      <c r="T36" s="138" t="s">
        <v>690</v>
      </c>
    </row>
    <row r="37" spans="1:23" x14ac:dyDescent="0.2"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36"/>
    </row>
    <row r="38" spans="1:23" x14ac:dyDescent="0.2">
      <c r="A38" s="15" t="str">
        <f>A8</f>
        <v>Sch I - Residential, Schools &amp; Churches</v>
      </c>
      <c r="B38" s="16" t="str">
        <f>B8</f>
        <v>R</v>
      </c>
      <c r="C38" s="50">
        <v>22474</v>
      </c>
      <c r="D38" s="50">
        <v>22394</v>
      </c>
      <c r="E38" s="50">
        <v>22418</v>
      </c>
      <c r="F38" s="50">
        <v>22419</v>
      </c>
      <c r="G38" s="50">
        <v>22467</v>
      </c>
      <c r="H38" s="50">
        <v>22447</v>
      </c>
      <c r="I38" s="50">
        <v>22476</v>
      </c>
      <c r="J38" s="50">
        <v>22505</v>
      </c>
      <c r="K38" s="50">
        <v>22512</v>
      </c>
      <c r="L38" s="50">
        <v>22517</v>
      </c>
      <c r="M38" s="50">
        <v>22564</v>
      </c>
      <c r="N38" s="50">
        <v>22543</v>
      </c>
      <c r="O38" s="50">
        <f>ROUND(SUM(C38:N38)/12,0)</f>
        <v>22478</v>
      </c>
      <c r="P38" s="50"/>
      <c r="Q38" s="36"/>
    </row>
    <row r="39" spans="1:23" x14ac:dyDescent="0.2">
      <c r="A39" s="14" t="s">
        <v>1123</v>
      </c>
      <c r="C39" s="50">
        <v>26900123</v>
      </c>
      <c r="D39" s="50">
        <v>27734057</v>
      </c>
      <c r="E39" s="50">
        <v>23436776</v>
      </c>
      <c r="F39" s="50">
        <v>17548794</v>
      </c>
      <c r="G39" s="50">
        <v>18312507</v>
      </c>
      <c r="H39" s="50">
        <v>17665725</v>
      </c>
      <c r="I39" s="50">
        <v>22748453</v>
      </c>
      <c r="J39" s="50">
        <v>25420336</v>
      </c>
      <c r="K39" s="50">
        <v>18307503</v>
      </c>
      <c r="L39" s="50">
        <v>16731491</v>
      </c>
      <c r="M39" s="50">
        <v>24940132</v>
      </c>
      <c r="N39" s="50">
        <v>28551828</v>
      </c>
      <c r="O39" s="50">
        <f>SUM(C39:N39)</f>
        <v>268297725</v>
      </c>
      <c r="P39" s="132"/>
      <c r="Q39" s="132"/>
      <c r="U39" s="121"/>
      <c r="W39" s="121"/>
    </row>
    <row r="40" spans="1:23" x14ac:dyDescent="0.2">
      <c r="A40" s="14" t="s">
        <v>680</v>
      </c>
      <c r="C40" s="50">
        <f>C39/744</f>
        <v>36156.079301075268</v>
      </c>
      <c r="D40" s="48">
        <f>D39/720</f>
        <v>38519.523611111108</v>
      </c>
      <c r="E40" s="50">
        <f t="shared" ref="E40:N40" si="8">E39/744</f>
        <v>31501.043010752688</v>
      </c>
      <c r="F40" s="50">
        <f>F39/720</f>
        <v>24373.325000000001</v>
      </c>
      <c r="G40" s="50">
        <f t="shared" si="8"/>
        <v>24613.584677419356</v>
      </c>
      <c r="H40" s="48">
        <f>H39/744</f>
        <v>23744.254032258064</v>
      </c>
      <c r="I40" s="48">
        <f>I39/672</f>
        <v>33851.864583333336</v>
      </c>
      <c r="J40" s="50">
        <f t="shared" si="8"/>
        <v>34167.118279569891</v>
      </c>
      <c r="K40" s="50">
        <f>K39/720</f>
        <v>25427.087500000001</v>
      </c>
      <c r="L40" s="50">
        <f t="shared" si="8"/>
        <v>22488.56317204301</v>
      </c>
      <c r="M40" s="50">
        <f>M39/720</f>
        <v>34639.072222222225</v>
      </c>
      <c r="N40" s="50">
        <f t="shared" si="8"/>
        <v>38376.112903225803</v>
      </c>
      <c r="O40" s="50">
        <f>O39/8760</f>
        <v>30627.594178082192</v>
      </c>
      <c r="P40" s="50"/>
      <c r="Q40" s="50"/>
    </row>
    <row r="41" spans="1:23" x14ac:dyDescent="0.2">
      <c r="A41" s="14" t="s">
        <v>757</v>
      </c>
      <c r="B41" s="30" t="s">
        <v>1049</v>
      </c>
      <c r="C41" s="67">
        <v>0.46850538158996963</v>
      </c>
      <c r="D41" s="67">
        <v>0.48963311840293622</v>
      </c>
      <c r="E41" s="67">
        <v>0.34170027342859682</v>
      </c>
      <c r="F41" s="67">
        <v>0.51811384856172016</v>
      </c>
      <c r="G41" s="67">
        <v>0.58827579378616146</v>
      </c>
      <c r="H41" s="67">
        <v>0.51916838444262237</v>
      </c>
      <c r="I41" s="67">
        <v>0.56777776535365099</v>
      </c>
      <c r="J41" s="67">
        <v>0.5641906276717451</v>
      </c>
      <c r="K41" s="67">
        <v>0.47256925612195944</v>
      </c>
      <c r="L41" s="67">
        <v>0.69897836917690825</v>
      </c>
      <c r="M41" s="67">
        <v>0.40673762947865771</v>
      </c>
      <c r="N41" s="67">
        <v>0.50977405319639957</v>
      </c>
      <c r="O41" s="67"/>
      <c r="Q41" s="36"/>
    </row>
    <row r="42" spans="1:23" x14ac:dyDescent="0.2">
      <c r="A42" s="14" t="s">
        <v>758</v>
      </c>
      <c r="C42" s="50">
        <f>C40/C41</f>
        <v>77173.242233359531</v>
      </c>
      <c r="D42" s="50">
        <f t="shared" ref="D42:N42" si="9">D40/D41</f>
        <v>78670.176022309111</v>
      </c>
      <c r="E42" s="50">
        <f t="shared" si="9"/>
        <v>92189.106829425131</v>
      </c>
      <c r="F42" s="50">
        <f t="shared" si="9"/>
        <v>47042.411754984263</v>
      </c>
      <c r="G42" s="50">
        <f t="shared" si="9"/>
        <v>41840.213276506845</v>
      </c>
      <c r="H42" s="50">
        <f t="shared" si="9"/>
        <v>45735.169443628249</v>
      </c>
      <c r="I42" s="50">
        <f t="shared" si="9"/>
        <v>59621.680609926792</v>
      </c>
      <c r="J42" s="50">
        <f t="shared" si="9"/>
        <v>60559.5282937753</v>
      </c>
      <c r="K42" s="50">
        <f t="shared" si="9"/>
        <v>53806.055240795955</v>
      </c>
      <c r="L42" s="50">
        <f t="shared" si="9"/>
        <v>32173.475122734817</v>
      </c>
      <c r="M42" s="50">
        <f t="shared" si="9"/>
        <v>85163.185581381767</v>
      </c>
      <c r="N42" s="50">
        <f t="shared" si="9"/>
        <v>75280.632002744795</v>
      </c>
      <c r="O42" s="50">
        <f>SUM(C42:N42)</f>
        <v>749254.87641157268</v>
      </c>
      <c r="Q42" s="36">
        <f>MAX(C42:N42)</f>
        <v>92189.106829425131</v>
      </c>
    </row>
    <row r="43" spans="1:23" x14ac:dyDescent="0.2">
      <c r="A43" s="14" t="s">
        <v>681</v>
      </c>
      <c r="B43" s="30" t="s">
        <v>1049</v>
      </c>
      <c r="C43" s="67">
        <v>0.9</v>
      </c>
      <c r="D43" s="67">
        <v>0.9</v>
      </c>
      <c r="E43" s="67">
        <v>0.9</v>
      </c>
      <c r="F43" s="67">
        <v>0.9</v>
      </c>
      <c r="G43" s="67">
        <v>0.9</v>
      </c>
      <c r="H43" s="67">
        <v>0.9</v>
      </c>
      <c r="I43" s="67">
        <v>0.9</v>
      </c>
      <c r="J43" s="67">
        <v>0.9</v>
      </c>
      <c r="K43" s="67">
        <v>0.9</v>
      </c>
      <c r="L43" s="67">
        <v>0.9</v>
      </c>
      <c r="M43" s="67">
        <v>0.9</v>
      </c>
      <c r="N43" s="67">
        <v>0.9</v>
      </c>
      <c r="O43" s="67"/>
      <c r="P43" s="50"/>
      <c r="Q43" s="36"/>
    </row>
    <row r="44" spans="1:23" x14ac:dyDescent="0.2">
      <c r="A44" s="14" t="s">
        <v>682</v>
      </c>
      <c r="C44" s="50">
        <f>C42*C43</f>
        <v>69455.918010023583</v>
      </c>
      <c r="D44" s="50">
        <f t="shared" ref="D44:N44" si="10">D42*D43</f>
        <v>70803.158420078209</v>
      </c>
      <c r="E44" s="50">
        <f t="shared" si="10"/>
        <v>82970.196146482616</v>
      </c>
      <c r="F44" s="50">
        <f t="shared" si="10"/>
        <v>42338.170579485835</v>
      </c>
      <c r="G44" s="50">
        <f t="shared" si="10"/>
        <v>37656.191948856162</v>
      </c>
      <c r="H44" s="50">
        <f t="shared" si="10"/>
        <v>41161.652499265423</v>
      </c>
      <c r="I44" s="50">
        <f t="shared" si="10"/>
        <v>53659.512548934115</v>
      </c>
      <c r="J44" s="50">
        <f t="shared" si="10"/>
        <v>54503.575464397771</v>
      </c>
      <c r="K44" s="50">
        <f t="shared" si="10"/>
        <v>48425.449716716357</v>
      </c>
      <c r="L44" s="50">
        <f t="shared" si="10"/>
        <v>28956.127610461335</v>
      </c>
      <c r="M44" s="50">
        <f t="shared" si="10"/>
        <v>76646.867023243598</v>
      </c>
      <c r="N44" s="50">
        <f t="shared" si="10"/>
        <v>67752.568802470312</v>
      </c>
      <c r="O44" s="50">
        <f>SUM(C44:N44)</f>
        <v>674329.38877041545</v>
      </c>
      <c r="P44" s="50"/>
      <c r="Q44" s="36"/>
      <c r="R44" s="36">
        <f>O44</f>
        <v>674329.38877041545</v>
      </c>
      <c r="S44" s="36">
        <f>H44+I44+J44</f>
        <v>149324.74051259732</v>
      </c>
      <c r="T44" s="36">
        <f>R44-S44</f>
        <v>525004.64825781807</v>
      </c>
    </row>
    <row r="45" spans="1:23" x14ac:dyDescent="0.2">
      <c r="A45" s="14" t="s">
        <v>759</v>
      </c>
      <c r="C45" s="67">
        <v>0.18</v>
      </c>
      <c r="D45" s="67">
        <v>0.18</v>
      </c>
      <c r="E45" s="67">
        <v>0.18</v>
      </c>
      <c r="F45" s="67">
        <v>0.18</v>
      </c>
      <c r="G45" s="67">
        <v>0.18</v>
      </c>
      <c r="H45" s="67">
        <v>0.18</v>
      </c>
      <c r="I45" s="67">
        <v>0.18</v>
      </c>
      <c r="J45" s="67">
        <v>0.18</v>
      </c>
      <c r="K45" s="67">
        <v>0.18</v>
      </c>
      <c r="L45" s="67">
        <v>0.18</v>
      </c>
      <c r="M45" s="67">
        <v>0.18</v>
      </c>
      <c r="N45" s="67">
        <v>0.18</v>
      </c>
      <c r="O45" s="67"/>
      <c r="P45" s="132"/>
      <c r="Q45" s="132"/>
      <c r="U45" s="121"/>
      <c r="W45" s="121"/>
    </row>
    <row r="46" spans="1:23" x14ac:dyDescent="0.2">
      <c r="A46" s="14" t="s">
        <v>760</v>
      </c>
      <c r="C46" s="50">
        <f>C40/C45</f>
        <v>200867.10722819594</v>
      </c>
      <c r="D46" s="50">
        <f t="shared" ref="D46:N46" si="11">D40/D45</f>
        <v>213997.35339506171</v>
      </c>
      <c r="E46" s="50">
        <f t="shared" si="11"/>
        <v>175005.7945041816</v>
      </c>
      <c r="F46" s="50">
        <f t="shared" si="11"/>
        <v>135407.36111111112</v>
      </c>
      <c r="G46" s="50">
        <f t="shared" si="11"/>
        <v>136742.13709677421</v>
      </c>
      <c r="H46" s="50">
        <f t="shared" si="11"/>
        <v>131912.5224014337</v>
      </c>
      <c r="I46" s="50">
        <f t="shared" si="11"/>
        <v>188065.91435185188</v>
      </c>
      <c r="J46" s="50">
        <f t="shared" si="11"/>
        <v>189817.3237753883</v>
      </c>
      <c r="K46" s="50">
        <f t="shared" si="11"/>
        <v>141261.59722222225</v>
      </c>
      <c r="L46" s="50">
        <f t="shared" si="11"/>
        <v>124936.46206690562</v>
      </c>
      <c r="M46" s="50">
        <f t="shared" si="11"/>
        <v>192439.2901234568</v>
      </c>
      <c r="N46" s="50">
        <f t="shared" si="11"/>
        <v>213200.62724014337</v>
      </c>
      <c r="O46" s="50">
        <f>SUM(C46:N46)</f>
        <v>2043653.4905167264</v>
      </c>
      <c r="P46" s="50">
        <f>MAX(C46:N46)</f>
        <v>213997.35339506171</v>
      </c>
      <c r="Q46" s="50"/>
    </row>
    <row r="47" spans="1:23" x14ac:dyDescent="0.2"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</row>
    <row r="48" spans="1:23" x14ac:dyDescent="0.2">
      <c r="A48" s="15" t="str">
        <f>A9</f>
        <v>Sch I - Res TOD</v>
      </c>
      <c r="B48" s="16" t="str">
        <f>B9</f>
        <v>TOD</v>
      </c>
      <c r="C48" s="50">
        <v>8</v>
      </c>
      <c r="D48" s="50">
        <v>9</v>
      </c>
      <c r="E48" s="50">
        <v>9</v>
      </c>
      <c r="F48" s="50">
        <v>9</v>
      </c>
      <c r="G48" s="50">
        <v>9</v>
      </c>
      <c r="H48" s="50">
        <v>9</v>
      </c>
      <c r="I48" s="50">
        <v>9</v>
      </c>
      <c r="J48" s="50">
        <v>8</v>
      </c>
      <c r="K48" s="50">
        <v>8</v>
      </c>
      <c r="L48" s="50">
        <v>8</v>
      </c>
      <c r="M48" s="50">
        <v>8</v>
      </c>
      <c r="N48" s="50">
        <v>8</v>
      </c>
      <c r="O48" s="50">
        <f>ROUND(SUM(C48:N48)/12,0)</f>
        <v>9</v>
      </c>
      <c r="P48" s="50"/>
      <c r="Q48" s="36"/>
    </row>
    <row r="49" spans="1:23" x14ac:dyDescent="0.2">
      <c r="A49" s="14" t="s">
        <v>1123</v>
      </c>
      <c r="C49" s="50">
        <v>7715</v>
      </c>
      <c r="D49" s="50">
        <v>10551</v>
      </c>
      <c r="E49" s="50">
        <v>8664</v>
      </c>
      <c r="F49" s="50">
        <v>3755</v>
      </c>
      <c r="G49" s="50">
        <v>2037</v>
      </c>
      <c r="H49" s="50">
        <v>800</v>
      </c>
      <c r="I49" s="50">
        <v>1221</v>
      </c>
      <c r="J49" s="50">
        <v>1415</v>
      </c>
      <c r="K49" s="50">
        <v>828</v>
      </c>
      <c r="L49" s="50">
        <v>1166</v>
      </c>
      <c r="M49" s="50">
        <v>4185</v>
      </c>
      <c r="N49" s="50">
        <v>7254</v>
      </c>
      <c r="O49" s="50">
        <f>SUM(C49:N49)</f>
        <v>49591</v>
      </c>
      <c r="P49" s="132"/>
      <c r="Q49" s="132"/>
      <c r="U49" s="121"/>
      <c r="W49" s="121"/>
    </row>
    <row r="50" spans="1:23" x14ac:dyDescent="0.2">
      <c r="A50" s="14" t="s">
        <v>680</v>
      </c>
      <c r="C50" s="50">
        <f>C49/744</f>
        <v>10.369623655913978</v>
      </c>
      <c r="D50" s="48">
        <f>D49/720</f>
        <v>14.654166666666667</v>
      </c>
      <c r="E50" s="50">
        <f t="shared" ref="E50" si="12">E49/744</f>
        <v>11.64516129032258</v>
      </c>
      <c r="F50" s="50">
        <f>F49/720</f>
        <v>5.2152777777777777</v>
      </c>
      <c r="G50" s="50">
        <f t="shared" ref="G50" si="13">G49/744</f>
        <v>2.7379032258064515</v>
      </c>
      <c r="H50" s="48">
        <f>H49/744</f>
        <v>1.075268817204301</v>
      </c>
      <c r="I50" s="48">
        <f>I49/672</f>
        <v>1.8169642857142858</v>
      </c>
      <c r="J50" s="50">
        <f t="shared" ref="J50" si="14">J49/744</f>
        <v>1.9018817204301075</v>
      </c>
      <c r="K50" s="50">
        <f>K49/720</f>
        <v>1.1499999999999999</v>
      </c>
      <c r="L50" s="50">
        <f t="shared" ref="L50" si="15">L49/744</f>
        <v>1.5672043010752688</v>
      </c>
      <c r="M50" s="50">
        <f>M49/720</f>
        <v>5.8125</v>
      </c>
      <c r="N50" s="50">
        <f t="shared" ref="N50" si="16">N49/744</f>
        <v>9.75</v>
      </c>
      <c r="O50" s="50">
        <f>O49/8760</f>
        <v>5.6610730593607306</v>
      </c>
      <c r="P50" s="50"/>
      <c r="Q50" s="50"/>
    </row>
    <row r="51" spans="1:23" x14ac:dyDescent="0.2">
      <c r="A51" s="14" t="s">
        <v>757</v>
      </c>
      <c r="C51" s="67">
        <f>C41</f>
        <v>0.46850538158996963</v>
      </c>
      <c r="D51" s="67">
        <f t="shared" ref="D51:N51" si="17">D41</f>
        <v>0.48963311840293622</v>
      </c>
      <c r="E51" s="67">
        <f t="shared" si="17"/>
        <v>0.34170027342859682</v>
      </c>
      <c r="F51" s="67">
        <f t="shared" si="17"/>
        <v>0.51811384856172016</v>
      </c>
      <c r="G51" s="67">
        <f t="shared" si="17"/>
        <v>0.58827579378616146</v>
      </c>
      <c r="H51" s="67">
        <f t="shared" si="17"/>
        <v>0.51916838444262237</v>
      </c>
      <c r="I51" s="67">
        <f t="shared" si="17"/>
        <v>0.56777776535365099</v>
      </c>
      <c r="J51" s="67">
        <f t="shared" si="17"/>
        <v>0.5641906276717451</v>
      </c>
      <c r="K51" s="67">
        <f t="shared" si="17"/>
        <v>0.47256925612195944</v>
      </c>
      <c r="L51" s="67">
        <f t="shared" si="17"/>
        <v>0.69897836917690825</v>
      </c>
      <c r="M51" s="67">
        <f t="shared" si="17"/>
        <v>0.40673762947865771</v>
      </c>
      <c r="N51" s="67">
        <f t="shared" si="17"/>
        <v>0.50977405319639957</v>
      </c>
      <c r="O51" s="67"/>
      <c r="Q51" s="36"/>
    </row>
    <row r="52" spans="1:23" x14ac:dyDescent="0.2">
      <c r="A52" s="14" t="s">
        <v>758</v>
      </c>
      <c r="C52" s="50">
        <f>C50/C51</f>
        <v>22.133414179197946</v>
      </c>
      <c r="D52" s="50">
        <f t="shared" ref="D52:N52" si="18">D50/D51</f>
        <v>29.928871466997542</v>
      </c>
      <c r="E52" s="50">
        <f t="shared" si="18"/>
        <v>34.080046742356508</v>
      </c>
      <c r="F52" s="50">
        <f t="shared" si="18"/>
        <v>10.065891487470074</v>
      </c>
      <c r="G52" s="50">
        <f t="shared" si="18"/>
        <v>4.6541150506724414</v>
      </c>
      <c r="H52" s="50">
        <f t="shared" si="18"/>
        <v>2.0711369363500562</v>
      </c>
      <c r="I52" s="50">
        <f t="shared" si="18"/>
        <v>3.2001328628685481</v>
      </c>
      <c r="J52" s="50">
        <f t="shared" si="18"/>
        <v>3.3709913407789749</v>
      </c>
      <c r="K52" s="50">
        <f t="shared" si="18"/>
        <v>2.4335057456704523</v>
      </c>
      <c r="L52" s="50">
        <f t="shared" si="18"/>
        <v>2.2421356227671998</v>
      </c>
      <c r="M52" s="50">
        <f t="shared" si="18"/>
        <v>14.290539106131543</v>
      </c>
      <c r="N52" s="50">
        <f t="shared" si="18"/>
        <v>19.126120560403724</v>
      </c>
      <c r="O52" s="50">
        <f>SUM(C52:N52)</f>
        <v>147.59690110166503</v>
      </c>
      <c r="Q52" s="36">
        <f>MAX(C52:N52)</f>
        <v>34.080046742356508</v>
      </c>
    </row>
    <row r="53" spans="1:23" x14ac:dyDescent="0.2">
      <c r="A53" s="14" t="s">
        <v>681</v>
      </c>
      <c r="C53" s="67">
        <f>C43</f>
        <v>0.9</v>
      </c>
      <c r="D53" s="67">
        <f t="shared" ref="D53:N53" si="19">D43</f>
        <v>0.9</v>
      </c>
      <c r="E53" s="67">
        <f t="shared" si="19"/>
        <v>0.9</v>
      </c>
      <c r="F53" s="67">
        <f t="shared" si="19"/>
        <v>0.9</v>
      </c>
      <c r="G53" s="67">
        <f t="shared" si="19"/>
        <v>0.9</v>
      </c>
      <c r="H53" s="67">
        <f t="shared" si="19"/>
        <v>0.9</v>
      </c>
      <c r="I53" s="67">
        <f t="shared" si="19"/>
        <v>0.9</v>
      </c>
      <c r="J53" s="67">
        <f t="shared" si="19"/>
        <v>0.9</v>
      </c>
      <c r="K53" s="67">
        <f t="shared" si="19"/>
        <v>0.9</v>
      </c>
      <c r="L53" s="67">
        <f t="shared" si="19"/>
        <v>0.9</v>
      </c>
      <c r="M53" s="67">
        <f t="shared" si="19"/>
        <v>0.9</v>
      </c>
      <c r="N53" s="67">
        <f t="shared" si="19"/>
        <v>0.9</v>
      </c>
      <c r="O53" s="67"/>
      <c r="P53" s="50"/>
      <c r="Q53" s="36"/>
    </row>
    <row r="54" spans="1:23" x14ac:dyDescent="0.2">
      <c r="A54" s="14" t="s">
        <v>682</v>
      </c>
      <c r="C54" s="50">
        <f>C52*C53</f>
        <v>19.920072761278153</v>
      </c>
      <c r="D54" s="50">
        <f t="shared" ref="D54:N54" si="20">D52*D53</f>
        <v>26.935984320297788</v>
      </c>
      <c r="E54" s="50">
        <f t="shared" si="20"/>
        <v>30.672042068120859</v>
      </c>
      <c r="F54" s="50">
        <f t="shared" si="20"/>
        <v>9.0593023387230662</v>
      </c>
      <c r="G54" s="50">
        <f t="shared" si="20"/>
        <v>4.1887035456051978</v>
      </c>
      <c r="H54" s="50">
        <f t="shared" si="20"/>
        <v>1.8640232427150507</v>
      </c>
      <c r="I54" s="50">
        <f t="shared" si="20"/>
        <v>2.8801195765816936</v>
      </c>
      <c r="J54" s="50">
        <f t="shared" si="20"/>
        <v>3.0338922067010774</v>
      </c>
      <c r="K54" s="50">
        <f t="shared" si="20"/>
        <v>2.1901551711034073</v>
      </c>
      <c r="L54" s="50">
        <f t="shared" si="20"/>
        <v>2.0179220604904797</v>
      </c>
      <c r="M54" s="50">
        <f t="shared" si="20"/>
        <v>12.861485195518389</v>
      </c>
      <c r="N54" s="50">
        <f t="shared" si="20"/>
        <v>17.21350850436335</v>
      </c>
      <c r="O54" s="50">
        <f>SUM(C54:N54)</f>
        <v>132.83721099149852</v>
      </c>
      <c r="P54" s="50"/>
      <c r="Q54" s="36"/>
      <c r="R54" s="36">
        <f>O54</f>
        <v>132.83721099149852</v>
      </c>
      <c r="S54" s="36">
        <f>H54+I54+J54</f>
        <v>7.7780350259978217</v>
      </c>
      <c r="T54" s="36">
        <f>R54-S54</f>
        <v>125.0591759655007</v>
      </c>
    </row>
    <row r="55" spans="1:23" x14ac:dyDescent="0.2">
      <c r="A55" s="14" t="s">
        <v>759</v>
      </c>
      <c r="C55" s="67">
        <v>0.18</v>
      </c>
      <c r="D55" s="67">
        <v>0.18</v>
      </c>
      <c r="E55" s="67">
        <v>0.18</v>
      </c>
      <c r="F55" s="67">
        <v>0.18</v>
      </c>
      <c r="G55" s="67">
        <v>0.18</v>
      </c>
      <c r="H55" s="67">
        <v>0.18</v>
      </c>
      <c r="I55" s="67">
        <v>0.18</v>
      </c>
      <c r="J55" s="67">
        <v>0.18</v>
      </c>
      <c r="K55" s="67">
        <v>0.18</v>
      </c>
      <c r="L55" s="67">
        <v>0.18</v>
      </c>
      <c r="M55" s="67">
        <v>0.18</v>
      </c>
      <c r="N55" s="67">
        <v>0.18</v>
      </c>
      <c r="O55" s="67"/>
      <c r="P55" s="132"/>
      <c r="Q55" s="132"/>
      <c r="U55" s="121"/>
      <c r="W55" s="121"/>
    </row>
    <row r="56" spans="1:23" x14ac:dyDescent="0.2">
      <c r="A56" s="14" t="s">
        <v>760</v>
      </c>
      <c r="C56" s="50">
        <f>C50/C55</f>
        <v>57.609020310633213</v>
      </c>
      <c r="D56" s="50">
        <f t="shared" ref="D56:N56" si="21">D50/D55</f>
        <v>81.412037037037038</v>
      </c>
      <c r="E56" s="50">
        <f t="shared" si="21"/>
        <v>64.695340501792117</v>
      </c>
      <c r="F56" s="50">
        <f t="shared" si="21"/>
        <v>28.973765432098766</v>
      </c>
      <c r="G56" s="50">
        <f t="shared" si="21"/>
        <v>15.210573476702509</v>
      </c>
      <c r="H56" s="50">
        <f t="shared" si="21"/>
        <v>5.9737156511350058</v>
      </c>
      <c r="I56" s="50">
        <f t="shared" si="21"/>
        <v>10.094246031746033</v>
      </c>
      <c r="J56" s="50">
        <f t="shared" si="21"/>
        <v>10.566009557945042</v>
      </c>
      <c r="K56" s="50">
        <f t="shared" si="21"/>
        <v>6.3888888888888884</v>
      </c>
      <c r="L56" s="50">
        <f t="shared" si="21"/>
        <v>8.7066905615292711</v>
      </c>
      <c r="M56" s="50">
        <f t="shared" si="21"/>
        <v>32.291666666666671</v>
      </c>
      <c r="N56" s="50">
        <f t="shared" si="21"/>
        <v>54.166666666666671</v>
      </c>
      <c r="O56" s="50">
        <f>SUM(C56:N56)</f>
        <v>376.0886207828413</v>
      </c>
      <c r="P56" s="50">
        <f>MAX(C56:N56)</f>
        <v>81.412037037037038</v>
      </c>
      <c r="Q56" s="50"/>
    </row>
    <row r="57" spans="1:23" x14ac:dyDescent="0.2"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U57" s="121"/>
      <c r="W57" s="121"/>
    </row>
    <row r="58" spans="1:23" x14ac:dyDescent="0.2">
      <c r="A58" s="15" t="str">
        <f>A10</f>
        <v>Sch II - Small Commercial  Small Power</v>
      </c>
      <c r="B58" s="16" t="str">
        <f>B10</f>
        <v>C1</v>
      </c>
      <c r="C58" s="50">
        <v>1280</v>
      </c>
      <c r="D58" s="50">
        <v>1277</v>
      </c>
      <c r="E58" s="50">
        <v>1264</v>
      </c>
      <c r="F58" s="50">
        <v>1266</v>
      </c>
      <c r="G58" s="50">
        <v>1273</v>
      </c>
      <c r="H58" s="50">
        <v>1282</v>
      </c>
      <c r="I58" s="50">
        <v>1286</v>
      </c>
      <c r="J58" s="50">
        <v>1294</v>
      </c>
      <c r="K58" s="50">
        <v>1286</v>
      </c>
      <c r="L58" s="50">
        <v>1284</v>
      </c>
      <c r="M58" s="50">
        <v>1280</v>
      </c>
      <c r="N58" s="50">
        <v>1271</v>
      </c>
      <c r="O58" s="50">
        <f>ROUND(SUM(C58:N58)/12,0)</f>
        <v>1279</v>
      </c>
      <c r="P58" s="50"/>
      <c r="Q58" s="36"/>
    </row>
    <row r="59" spans="1:23" x14ac:dyDescent="0.2">
      <c r="A59" s="14" t="s">
        <v>1123</v>
      </c>
      <c r="C59" s="50">
        <v>1279832</v>
      </c>
      <c r="D59" s="50">
        <v>1339382</v>
      </c>
      <c r="E59" s="50">
        <v>1224343</v>
      </c>
      <c r="F59" s="50">
        <v>1056559</v>
      </c>
      <c r="G59" s="50">
        <v>1212053</v>
      </c>
      <c r="H59" s="50">
        <v>1196734</v>
      </c>
      <c r="I59" s="50">
        <v>1366104</v>
      </c>
      <c r="J59" s="50">
        <v>1487368</v>
      </c>
      <c r="K59" s="50">
        <v>1219903</v>
      </c>
      <c r="L59" s="50">
        <v>1109941</v>
      </c>
      <c r="M59" s="50">
        <v>1303228</v>
      </c>
      <c r="N59" s="50">
        <v>1295883</v>
      </c>
      <c r="O59" s="50">
        <f>SUM(C59:N59)</f>
        <v>15091330</v>
      </c>
      <c r="P59" s="132"/>
      <c r="Q59" s="132"/>
      <c r="U59" s="121"/>
      <c r="W59" s="121"/>
    </row>
    <row r="60" spans="1:23" x14ac:dyDescent="0.2">
      <c r="A60" s="14" t="s">
        <v>680</v>
      </c>
      <c r="C60" s="50">
        <f>C59/744</f>
        <v>1720.2043010752689</v>
      </c>
      <c r="D60" s="48">
        <f>D59/720</f>
        <v>1860.2527777777777</v>
      </c>
      <c r="E60" s="50">
        <f t="shared" ref="E60" si="22">E59/744</f>
        <v>1645.622311827957</v>
      </c>
      <c r="F60" s="50">
        <f>F59/720</f>
        <v>1467.4430555555555</v>
      </c>
      <c r="G60" s="50">
        <f t="shared" ref="G60" si="23">G59/744</f>
        <v>1629.1034946236559</v>
      </c>
      <c r="H60" s="48">
        <f>H59/744</f>
        <v>1608.513440860215</v>
      </c>
      <c r="I60" s="48">
        <f>I59/672</f>
        <v>2032.8928571428571</v>
      </c>
      <c r="J60" s="50">
        <f t="shared" ref="J60" si="24">J59/744</f>
        <v>1999.1505376344087</v>
      </c>
      <c r="K60" s="50">
        <f>K59/720</f>
        <v>1694.3097222222223</v>
      </c>
      <c r="L60" s="50">
        <f t="shared" ref="L60" si="25">L59/744</f>
        <v>1491.8561827956989</v>
      </c>
      <c r="M60" s="50">
        <f>M59/720</f>
        <v>1810.0388888888888</v>
      </c>
      <c r="N60" s="50">
        <f t="shared" ref="N60" si="26">N59/744</f>
        <v>1741.7782258064517</v>
      </c>
      <c r="O60" s="50">
        <f>O59/8760</f>
        <v>1722.7545662100456</v>
      </c>
      <c r="P60" s="50"/>
      <c r="Q60" s="50"/>
    </row>
    <row r="61" spans="1:23" x14ac:dyDescent="0.2">
      <c r="A61" s="14" t="s">
        <v>757</v>
      </c>
      <c r="C61" s="67">
        <v>0.35</v>
      </c>
      <c r="D61" s="67">
        <f>C61</f>
        <v>0.35</v>
      </c>
      <c r="E61" s="67">
        <f t="shared" ref="E61:N61" si="27">D61</f>
        <v>0.35</v>
      </c>
      <c r="F61" s="67">
        <f t="shared" si="27"/>
        <v>0.35</v>
      </c>
      <c r="G61" s="67">
        <f t="shared" si="27"/>
        <v>0.35</v>
      </c>
      <c r="H61" s="67">
        <f t="shared" si="27"/>
        <v>0.35</v>
      </c>
      <c r="I61" s="67">
        <f t="shared" si="27"/>
        <v>0.35</v>
      </c>
      <c r="J61" s="67">
        <f t="shared" si="27"/>
        <v>0.35</v>
      </c>
      <c r="K61" s="67">
        <f t="shared" si="27"/>
        <v>0.35</v>
      </c>
      <c r="L61" s="67">
        <f t="shared" si="27"/>
        <v>0.35</v>
      </c>
      <c r="M61" s="67">
        <f t="shared" si="27"/>
        <v>0.35</v>
      </c>
      <c r="N61" s="67">
        <f t="shared" si="27"/>
        <v>0.35</v>
      </c>
      <c r="O61" s="67"/>
      <c r="Q61" s="36"/>
    </row>
    <row r="62" spans="1:23" x14ac:dyDescent="0.2">
      <c r="A62" s="14" t="s">
        <v>758</v>
      </c>
      <c r="C62" s="50">
        <f>C60/C61</f>
        <v>4914.8694316436258</v>
      </c>
      <c r="D62" s="50">
        <f t="shared" ref="D62:N62" si="28">D60/D61</f>
        <v>5315.0079365079364</v>
      </c>
      <c r="E62" s="50">
        <f t="shared" si="28"/>
        <v>4701.7780337941631</v>
      </c>
      <c r="F62" s="50">
        <f t="shared" si="28"/>
        <v>4192.6944444444443</v>
      </c>
      <c r="G62" s="50">
        <f t="shared" si="28"/>
        <v>4654.581413210446</v>
      </c>
      <c r="H62" s="50">
        <f t="shared" si="28"/>
        <v>4595.7526881720432</v>
      </c>
      <c r="I62" s="50">
        <f t="shared" si="28"/>
        <v>5808.2653061224491</v>
      </c>
      <c r="J62" s="50">
        <f t="shared" si="28"/>
        <v>5711.8586789554538</v>
      </c>
      <c r="K62" s="50">
        <f t="shared" si="28"/>
        <v>4840.8849206349214</v>
      </c>
      <c r="L62" s="50">
        <f t="shared" si="28"/>
        <v>4262.4462365591398</v>
      </c>
      <c r="M62" s="50">
        <f t="shared" si="28"/>
        <v>5171.5396825396829</v>
      </c>
      <c r="N62" s="50">
        <f t="shared" si="28"/>
        <v>4976.5092165898623</v>
      </c>
      <c r="O62" s="50">
        <f>SUM(C62:N62)</f>
        <v>59146.187989174163</v>
      </c>
      <c r="Q62" s="36">
        <f>MAX(C62:N62)</f>
        <v>5808.2653061224491</v>
      </c>
    </row>
    <row r="63" spans="1:23" x14ac:dyDescent="0.2">
      <c r="A63" s="14" t="s">
        <v>681</v>
      </c>
      <c r="C63" s="67">
        <f>C53-0.05</f>
        <v>0.85</v>
      </c>
      <c r="D63" s="67">
        <f t="shared" ref="D63:N63" si="29">D53-0.05</f>
        <v>0.85</v>
      </c>
      <c r="E63" s="67">
        <f t="shared" si="29"/>
        <v>0.85</v>
      </c>
      <c r="F63" s="67">
        <f t="shared" si="29"/>
        <v>0.85</v>
      </c>
      <c r="G63" s="67">
        <f t="shared" si="29"/>
        <v>0.85</v>
      </c>
      <c r="H63" s="67">
        <f t="shared" si="29"/>
        <v>0.85</v>
      </c>
      <c r="I63" s="67">
        <f t="shared" si="29"/>
        <v>0.85</v>
      </c>
      <c r="J63" s="67">
        <f t="shared" si="29"/>
        <v>0.85</v>
      </c>
      <c r="K63" s="67">
        <f t="shared" si="29"/>
        <v>0.85</v>
      </c>
      <c r="L63" s="67">
        <f t="shared" si="29"/>
        <v>0.85</v>
      </c>
      <c r="M63" s="67">
        <f t="shared" si="29"/>
        <v>0.85</v>
      </c>
      <c r="N63" s="67">
        <f t="shared" si="29"/>
        <v>0.85</v>
      </c>
      <c r="O63" s="67"/>
      <c r="P63" s="50"/>
      <c r="Q63" s="36"/>
    </row>
    <row r="64" spans="1:23" x14ac:dyDescent="0.2">
      <c r="A64" s="14" t="s">
        <v>682</v>
      </c>
      <c r="C64" s="50">
        <f>C62*C63</f>
        <v>4177.639016897082</v>
      </c>
      <c r="D64" s="50">
        <f t="shared" ref="D64:N64" si="30">D62*D63</f>
        <v>4517.7567460317459</v>
      </c>
      <c r="E64" s="50">
        <f t="shared" si="30"/>
        <v>3996.5113287250383</v>
      </c>
      <c r="F64" s="50">
        <f t="shared" si="30"/>
        <v>3563.7902777777776</v>
      </c>
      <c r="G64" s="50">
        <f t="shared" si="30"/>
        <v>3956.394201228879</v>
      </c>
      <c r="H64" s="50">
        <f t="shared" si="30"/>
        <v>3906.3897849462364</v>
      </c>
      <c r="I64" s="50">
        <f t="shared" si="30"/>
        <v>4937.0255102040819</v>
      </c>
      <c r="J64" s="50">
        <f t="shared" si="30"/>
        <v>4855.0798771121354</v>
      </c>
      <c r="K64" s="50">
        <f t="shared" si="30"/>
        <v>4114.7521825396834</v>
      </c>
      <c r="L64" s="50">
        <f t="shared" si="30"/>
        <v>3623.0793010752686</v>
      </c>
      <c r="M64" s="50">
        <f t="shared" si="30"/>
        <v>4395.8087301587302</v>
      </c>
      <c r="N64" s="50">
        <f t="shared" si="30"/>
        <v>4230.0328341013828</v>
      </c>
      <c r="O64" s="50">
        <f>SUM(C64:N64)</f>
        <v>50274.259790798038</v>
      </c>
      <c r="P64" s="50"/>
      <c r="Q64" s="36"/>
      <c r="R64" s="36">
        <f>O64</f>
        <v>50274.259790798038</v>
      </c>
      <c r="S64" s="36">
        <f>H64+I64+J64</f>
        <v>13698.495172262454</v>
      </c>
      <c r="T64" s="36">
        <f>R64-S64</f>
        <v>36575.764618535584</v>
      </c>
    </row>
    <row r="65" spans="1:23" x14ac:dyDescent="0.2">
      <c r="A65" s="14" t="s">
        <v>759</v>
      </c>
      <c r="C65" s="67">
        <v>0.23</v>
      </c>
      <c r="D65" s="67">
        <f>C65</f>
        <v>0.23</v>
      </c>
      <c r="E65" s="67">
        <f t="shared" ref="E65:N65" si="31">D65</f>
        <v>0.23</v>
      </c>
      <c r="F65" s="67">
        <f t="shared" si="31"/>
        <v>0.23</v>
      </c>
      <c r="G65" s="67">
        <f t="shared" si="31"/>
        <v>0.23</v>
      </c>
      <c r="H65" s="67">
        <f t="shared" si="31"/>
        <v>0.23</v>
      </c>
      <c r="I65" s="67">
        <f t="shared" si="31"/>
        <v>0.23</v>
      </c>
      <c r="J65" s="67">
        <f t="shared" si="31"/>
        <v>0.23</v>
      </c>
      <c r="K65" s="67">
        <f t="shared" si="31"/>
        <v>0.23</v>
      </c>
      <c r="L65" s="67">
        <f t="shared" si="31"/>
        <v>0.23</v>
      </c>
      <c r="M65" s="67">
        <f t="shared" si="31"/>
        <v>0.23</v>
      </c>
      <c r="N65" s="67">
        <f t="shared" si="31"/>
        <v>0.23</v>
      </c>
      <c r="O65" s="67"/>
      <c r="P65" s="132"/>
      <c r="Q65" s="132"/>
      <c r="U65" s="121"/>
      <c r="W65" s="121"/>
    </row>
    <row r="66" spans="1:23" x14ac:dyDescent="0.2">
      <c r="A66" s="14" t="s">
        <v>760</v>
      </c>
      <c r="C66" s="50">
        <f>C60/C65</f>
        <v>7479.1491351098639</v>
      </c>
      <c r="D66" s="50">
        <f t="shared" ref="D66:N66" si="32">D60/D65</f>
        <v>8088.0555555555547</v>
      </c>
      <c r="E66" s="50">
        <f t="shared" si="32"/>
        <v>7154.8796166432912</v>
      </c>
      <c r="F66" s="50">
        <f t="shared" si="32"/>
        <v>6380.1871980676324</v>
      </c>
      <c r="G66" s="50">
        <f t="shared" si="32"/>
        <v>7083.0586722767648</v>
      </c>
      <c r="H66" s="50">
        <f t="shared" si="32"/>
        <v>6993.5366993922389</v>
      </c>
      <c r="I66" s="50">
        <f t="shared" si="32"/>
        <v>8838.664596273291</v>
      </c>
      <c r="J66" s="50">
        <f t="shared" si="32"/>
        <v>8691.9588592800374</v>
      </c>
      <c r="K66" s="50">
        <f t="shared" si="32"/>
        <v>7366.5640096618354</v>
      </c>
      <c r="L66" s="50">
        <f t="shared" si="32"/>
        <v>6486.3312295465166</v>
      </c>
      <c r="M66" s="50">
        <f t="shared" si="32"/>
        <v>7869.7342995169074</v>
      </c>
      <c r="N66" s="50">
        <f t="shared" si="32"/>
        <v>7572.9488078541372</v>
      </c>
      <c r="O66" s="50">
        <f>SUM(C66:N66)</f>
        <v>90005.068679178061</v>
      </c>
      <c r="P66" s="50">
        <f>MAX(C66:N66)</f>
        <v>8838.664596273291</v>
      </c>
      <c r="Q66" s="50"/>
    </row>
    <row r="67" spans="1:23" x14ac:dyDescent="0.2"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36"/>
    </row>
    <row r="68" spans="1:23" x14ac:dyDescent="0.2">
      <c r="A68" s="15" t="str">
        <f>A11</f>
        <v>Sch II - Small Commercial  Small Power</v>
      </c>
      <c r="B68" s="16" t="str">
        <f>B11</f>
        <v>C2</v>
      </c>
      <c r="C68" s="50">
        <v>168</v>
      </c>
      <c r="D68" s="50">
        <v>166</v>
      </c>
      <c r="E68" s="50">
        <v>168</v>
      </c>
      <c r="F68" s="50">
        <v>170</v>
      </c>
      <c r="G68" s="50">
        <v>170</v>
      </c>
      <c r="H68" s="50">
        <v>170</v>
      </c>
      <c r="I68" s="50">
        <v>170</v>
      </c>
      <c r="J68" s="50">
        <v>175</v>
      </c>
      <c r="K68" s="50">
        <v>172</v>
      </c>
      <c r="L68" s="50">
        <v>174</v>
      </c>
      <c r="M68" s="50">
        <v>174</v>
      </c>
      <c r="N68" s="50">
        <v>174</v>
      </c>
      <c r="O68" s="50">
        <f>ROUND(SUM(C68:N68)/12,0)</f>
        <v>171</v>
      </c>
      <c r="P68" s="50"/>
      <c r="Q68" s="36"/>
    </row>
    <row r="69" spans="1:23" x14ac:dyDescent="0.2">
      <c r="A69" s="14" t="s">
        <v>1123</v>
      </c>
      <c r="C69" s="50">
        <v>726242</v>
      </c>
      <c r="D69" s="50">
        <v>754414</v>
      </c>
      <c r="E69" s="50">
        <v>728489</v>
      </c>
      <c r="F69" s="50">
        <v>716707</v>
      </c>
      <c r="G69" s="50">
        <v>849918</v>
      </c>
      <c r="H69" s="50">
        <v>821646</v>
      </c>
      <c r="I69" s="50">
        <v>941292</v>
      </c>
      <c r="J69" s="50">
        <v>1054515</v>
      </c>
      <c r="K69" s="50">
        <v>887889</v>
      </c>
      <c r="L69" s="50">
        <v>786864</v>
      </c>
      <c r="M69" s="50">
        <v>846241</v>
      </c>
      <c r="N69" s="50">
        <v>788390</v>
      </c>
      <c r="O69" s="50">
        <f>SUM(C69:N69)</f>
        <v>9902607</v>
      </c>
      <c r="P69" s="132"/>
      <c r="Q69" s="132"/>
      <c r="U69" s="121"/>
      <c r="W69" s="121"/>
    </row>
    <row r="70" spans="1:23" x14ac:dyDescent="0.2">
      <c r="A70" s="14" t="s">
        <v>680</v>
      </c>
      <c r="C70" s="50">
        <f>C69/744</f>
        <v>976.13172043010752</v>
      </c>
      <c r="D70" s="50">
        <f>D69/672</f>
        <v>1122.639880952381</v>
      </c>
      <c r="E70" s="50">
        <f>E69/744</f>
        <v>979.15188172043008</v>
      </c>
      <c r="F70" s="50">
        <f>F69/720</f>
        <v>995.42638888888894</v>
      </c>
      <c r="G70" s="50">
        <f>G69/744</f>
        <v>1142.3629032258063</v>
      </c>
      <c r="H70" s="50">
        <f>H69/720</f>
        <v>1141.175</v>
      </c>
      <c r="I70" s="50">
        <f>I69/744</f>
        <v>1265.1774193548388</v>
      </c>
      <c r="J70" s="50">
        <f>J69/744</f>
        <v>1417.358870967742</v>
      </c>
      <c r="K70" s="50">
        <f>K69/720</f>
        <v>1233.1791666666666</v>
      </c>
      <c r="L70" s="50">
        <f>L69/744</f>
        <v>1057.6129032258063</v>
      </c>
      <c r="M70" s="50">
        <f>M69/720</f>
        <v>1175.3347222222221</v>
      </c>
      <c r="N70" s="50">
        <f>N69/744</f>
        <v>1059.6639784946237</v>
      </c>
      <c r="O70" s="50">
        <f>O69/8760</f>
        <v>1130.4345890410959</v>
      </c>
      <c r="P70" s="50"/>
      <c r="Q70" s="50"/>
    </row>
    <row r="71" spans="1:23" x14ac:dyDescent="0.2">
      <c r="A71" s="14" t="s">
        <v>757</v>
      </c>
      <c r="C71" s="67">
        <v>0.35</v>
      </c>
      <c r="D71" s="67">
        <f>C71</f>
        <v>0.35</v>
      </c>
      <c r="E71" s="67">
        <f t="shared" ref="E71:N71" si="33">D71</f>
        <v>0.35</v>
      </c>
      <c r="F71" s="67">
        <f t="shared" si="33"/>
        <v>0.35</v>
      </c>
      <c r="G71" s="67">
        <f t="shared" si="33"/>
        <v>0.35</v>
      </c>
      <c r="H71" s="67">
        <f t="shared" si="33"/>
        <v>0.35</v>
      </c>
      <c r="I71" s="67">
        <f t="shared" si="33"/>
        <v>0.35</v>
      </c>
      <c r="J71" s="67">
        <f t="shared" si="33"/>
        <v>0.35</v>
      </c>
      <c r="K71" s="67">
        <f t="shared" si="33"/>
        <v>0.35</v>
      </c>
      <c r="L71" s="67">
        <f t="shared" si="33"/>
        <v>0.35</v>
      </c>
      <c r="M71" s="67">
        <f t="shared" si="33"/>
        <v>0.35</v>
      </c>
      <c r="N71" s="67">
        <f t="shared" si="33"/>
        <v>0.35</v>
      </c>
      <c r="O71" s="67"/>
      <c r="Q71" s="36"/>
    </row>
    <row r="72" spans="1:23" x14ac:dyDescent="0.2">
      <c r="A72" s="14" t="s">
        <v>758</v>
      </c>
      <c r="C72" s="50">
        <f t="shared" ref="C72:N72" si="34">C70/C71</f>
        <v>2788.9477726574501</v>
      </c>
      <c r="D72" s="50">
        <f t="shared" si="34"/>
        <v>3207.5425170068029</v>
      </c>
      <c r="E72" s="50">
        <f t="shared" si="34"/>
        <v>2797.5768049155149</v>
      </c>
      <c r="F72" s="50">
        <f t="shared" si="34"/>
        <v>2844.0753968253971</v>
      </c>
      <c r="G72" s="50">
        <f t="shared" si="34"/>
        <v>3263.8940092165899</v>
      </c>
      <c r="H72" s="50">
        <f t="shared" si="34"/>
        <v>3260.5</v>
      </c>
      <c r="I72" s="50">
        <f t="shared" si="34"/>
        <v>3614.7926267281109</v>
      </c>
      <c r="J72" s="50">
        <f t="shared" si="34"/>
        <v>4049.5967741935488</v>
      </c>
      <c r="K72" s="50">
        <f t="shared" si="34"/>
        <v>3523.3690476190477</v>
      </c>
      <c r="L72" s="50">
        <f t="shared" si="34"/>
        <v>3021.7511520737326</v>
      </c>
      <c r="M72" s="50">
        <f t="shared" si="34"/>
        <v>3358.0992063492063</v>
      </c>
      <c r="N72" s="50">
        <f t="shared" si="34"/>
        <v>3027.6113671274966</v>
      </c>
      <c r="O72" s="50">
        <f>SUM(C72:N72)</f>
        <v>38757.756674712895</v>
      </c>
      <c r="Q72" s="36">
        <f>MAX(C72:N72)</f>
        <v>4049.5967741935488</v>
      </c>
    </row>
    <row r="73" spans="1:23" x14ac:dyDescent="0.2">
      <c r="A73" s="14" t="s">
        <v>681</v>
      </c>
      <c r="C73" s="67">
        <v>0.85</v>
      </c>
      <c r="D73" s="67">
        <f>C73</f>
        <v>0.85</v>
      </c>
      <c r="E73" s="67">
        <f t="shared" ref="E73:N73" si="35">D73</f>
        <v>0.85</v>
      </c>
      <c r="F73" s="67">
        <f t="shared" si="35"/>
        <v>0.85</v>
      </c>
      <c r="G73" s="67">
        <f t="shared" si="35"/>
        <v>0.85</v>
      </c>
      <c r="H73" s="67">
        <f t="shared" si="35"/>
        <v>0.85</v>
      </c>
      <c r="I73" s="67">
        <f t="shared" si="35"/>
        <v>0.85</v>
      </c>
      <c r="J73" s="67">
        <f t="shared" si="35"/>
        <v>0.85</v>
      </c>
      <c r="K73" s="67">
        <f t="shared" si="35"/>
        <v>0.85</v>
      </c>
      <c r="L73" s="67">
        <f t="shared" si="35"/>
        <v>0.85</v>
      </c>
      <c r="M73" s="67">
        <f t="shared" si="35"/>
        <v>0.85</v>
      </c>
      <c r="N73" s="67">
        <f t="shared" si="35"/>
        <v>0.85</v>
      </c>
      <c r="O73" s="67"/>
      <c r="P73" s="50"/>
      <c r="Q73" s="36"/>
    </row>
    <row r="74" spans="1:23" x14ac:dyDescent="0.2">
      <c r="A74" s="14" t="s">
        <v>682</v>
      </c>
      <c r="C74" s="50">
        <f t="shared" ref="C74:N74" si="36">C72*C73</f>
        <v>2370.6056067588324</v>
      </c>
      <c r="D74" s="50">
        <f t="shared" si="36"/>
        <v>2726.4111394557822</v>
      </c>
      <c r="E74" s="50">
        <f t="shared" si="36"/>
        <v>2377.9402841781875</v>
      </c>
      <c r="F74" s="50">
        <f t="shared" si="36"/>
        <v>2417.4640873015874</v>
      </c>
      <c r="G74" s="50">
        <f t="shared" si="36"/>
        <v>2774.3099078341015</v>
      </c>
      <c r="H74" s="50">
        <f t="shared" si="36"/>
        <v>2771.4249999999997</v>
      </c>
      <c r="I74" s="50">
        <f t="shared" si="36"/>
        <v>3072.573732718894</v>
      </c>
      <c r="J74" s="50">
        <f t="shared" si="36"/>
        <v>3442.1572580645166</v>
      </c>
      <c r="K74" s="50">
        <f t="shared" si="36"/>
        <v>2994.8636904761906</v>
      </c>
      <c r="L74" s="50">
        <f t="shared" si="36"/>
        <v>2568.4884792626726</v>
      </c>
      <c r="M74" s="50">
        <f t="shared" si="36"/>
        <v>2854.3843253968253</v>
      </c>
      <c r="N74" s="50">
        <f t="shared" si="36"/>
        <v>2573.4696620583723</v>
      </c>
      <c r="O74" s="50">
        <f>SUM(C74:N74)</f>
        <v>32944.093173505964</v>
      </c>
      <c r="P74" s="50"/>
      <c r="Q74" s="36"/>
      <c r="R74" s="36">
        <f>O74</f>
        <v>32944.093173505964</v>
      </c>
      <c r="S74" s="36">
        <f>H74+I74+J74</f>
        <v>9286.1559907834107</v>
      </c>
      <c r="T74" s="36">
        <f>R74-S74</f>
        <v>23657.937182722555</v>
      </c>
    </row>
    <row r="75" spans="1:23" x14ac:dyDescent="0.2">
      <c r="A75" s="14" t="s">
        <v>759</v>
      </c>
      <c r="C75" s="67">
        <f>C70/C76</f>
        <v>0.33007891339178891</v>
      </c>
      <c r="D75" s="67">
        <f t="shared" ref="D75:N75" si="37">D70/D76</f>
        <v>0.36858194629436636</v>
      </c>
      <c r="E75" s="67">
        <f t="shared" si="37"/>
        <v>0.30371448873469353</v>
      </c>
      <c r="F75" s="67">
        <f t="shared" si="37"/>
        <v>0.30852602458302619</v>
      </c>
      <c r="G75" s="67">
        <f t="shared" si="37"/>
        <v>0.36060841651943448</v>
      </c>
      <c r="H75" s="67">
        <f t="shared" si="37"/>
        <v>0.37359458202107798</v>
      </c>
      <c r="I75" s="67">
        <f t="shared" si="37"/>
        <v>0.40028100357800156</v>
      </c>
      <c r="J75" s="67">
        <f t="shared" si="37"/>
        <v>0.42219385413250488</v>
      </c>
      <c r="K75" s="67">
        <f t="shared" si="37"/>
        <v>0.37234596632737005</v>
      </c>
      <c r="L75" s="67">
        <f t="shared" si="37"/>
        <v>0.34923257826932863</v>
      </c>
      <c r="M75" s="67">
        <f t="shared" si="37"/>
        <v>0.37199820788530463</v>
      </c>
      <c r="N75" s="67">
        <f t="shared" si="37"/>
        <v>0.34280385434407523</v>
      </c>
      <c r="O75" s="67"/>
      <c r="P75" s="132"/>
      <c r="Q75" s="132"/>
      <c r="U75" s="121"/>
      <c r="W75" s="121"/>
    </row>
    <row r="76" spans="1:23" x14ac:dyDescent="0.2">
      <c r="A76" s="14" t="s">
        <v>760</v>
      </c>
      <c r="C76" s="50">
        <v>2957.2677345537759</v>
      </c>
      <c r="D76" s="50">
        <v>3045.8352402745995</v>
      </c>
      <c r="E76" s="50">
        <v>3223.922196796339</v>
      </c>
      <c r="F76" s="50">
        <v>3226.3935926773456</v>
      </c>
      <c r="G76" s="50">
        <v>3167.8764302059499</v>
      </c>
      <c r="H76" s="50">
        <v>3054.5812356979404</v>
      </c>
      <c r="I76" s="50">
        <v>3160.7231121281466</v>
      </c>
      <c r="J76" s="50">
        <v>3357.1281464530889</v>
      </c>
      <c r="K76" s="50">
        <v>3311.9176201372998</v>
      </c>
      <c r="L76" s="50">
        <v>3028.391304347826</v>
      </c>
      <c r="M76" s="50">
        <v>3159.5171624713957</v>
      </c>
      <c r="N76" s="50">
        <v>3091.1670480549196</v>
      </c>
      <c r="O76" s="50">
        <f>SUM(C76:N76)</f>
        <v>37784.720823798634</v>
      </c>
      <c r="P76" s="50">
        <f>MAX(C76:N76)</f>
        <v>3357.1281464530889</v>
      </c>
      <c r="Q76" s="50"/>
    </row>
    <row r="77" spans="1:23" x14ac:dyDescent="0.2">
      <c r="C77" s="48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</row>
    <row r="78" spans="1:23" x14ac:dyDescent="0.2">
      <c r="A78" s="15" t="str">
        <f>A12</f>
        <v>Sch VII - Inclining Block Rate</v>
      </c>
      <c r="B78" s="16" t="str">
        <f>B12</f>
        <v>IB</v>
      </c>
      <c r="C78" s="50">
        <v>192</v>
      </c>
      <c r="D78" s="50">
        <v>192</v>
      </c>
      <c r="E78" s="50">
        <v>192</v>
      </c>
      <c r="F78" s="50">
        <v>192</v>
      </c>
      <c r="G78" s="50">
        <v>192</v>
      </c>
      <c r="H78" s="50">
        <v>192</v>
      </c>
      <c r="I78" s="50">
        <v>193</v>
      </c>
      <c r="J78" s="50">
        <v>192</v>
      </c>
      <c r="K78" s="50">
        <v>192</v>
      </c>
      <c r="L78" s="50">
        <v>193</v>
      </c>
      <c r="M78" s="50">
        <v>193</v>
      </c>
      <c r="N78" s="50">
        <v>194</v>
      </c>
      <c r="O78" s="50">
        <f>ROUND(SUM(C78:N78)/12,0)</f>
        <v>192</v>
      </c>
      <c r="P78" s="50"/>
      <c r="Q78" s="36"/>
    </row>
    <row r="79" spans="1:23" x14ac:dyDescent="0.2">
      <c r="A79" s="14" t="s">
        <v>1123</v>
      </c>
      <c r="C79" s="50">
        <v>53798</v>
      </c>
      <c r="D79" s="50">
        <v>56661</v>
      </c>
      <c r="E79" s="50">
        <v>54124</v>
      </c>
      <c r="F79" s="50">
        <v>53359</v>
      </c>
      <c r="G79" s="50">
        <v>61469</v>
      </c>
      <c r="H79" s="50">
        <v>53927</v>
      </c>
      <c r="I79" s="50">
        <v>54415</v>
      </c>
      <c r="J79" s="50">
        <v>59418</v>
      </c>
      <c r="K79" s="50">
        <v>57284</v>
      </c>
      <c r="L79" s="50">
        <v>58715</v>
      </c>
      <c r="M79" s="50">
        <v>65697</v>
      </c>
      <c r="N79" s="50">
        <v>57970</v>
      </c>
      <c r="O79" s="50">
        <f>SUM(C79:N79)</f>
        <v>686837</v>
      </c>
      <c r="P79" s="132"/>
      <c r="Q79" s="132"/>
      <c r="U79" s="121"/>
      <c r="W79" s="121"/>
    </row>
    <row r="80" spans="1:23" x14ac:dyDescent="0.2">
      <c r="A80" s="14" t="s">
        <v>680</v>
      </c>
      <c r="C80" s="50">
        <f>C79/744</f>
        <v>72.30913978494624</v>
      </c>
      <c r="D80" s="48">
        <f>D79/720</f>
        <v>78.69583333333334</v>
      </c>
      <c r="E80" s="50">
        <f t="shared" ref="E80" si="38">E79/744</f>
        <v>72.747311827956992</v>
      </c>
      <c r="F80" s="50">
        <f>F79/720</f>
        <v>74.109722222222217</v>
      </c>
      <c r="G80" s="50">
        <f t="shared" ref="G80" si="39">G79/744</f>
        <v>82.619623655913983</v>
      </c>
      <c r="H80" s="48">
        <f>H79/744</f>
        <v>72.482526881720432</v>
      </c>
      <c r="I80" s="48">
        <f>I79/672</f>
        <v>80.97470238095238</v>
      </c>
      <c r="J80" s="50">
        <f t="shared" ref="J80" si="40">J79/744</f>
        <v>79.862903225806448</v>
      </c>
      <c r="K80" s="50">
        <f>K79/720</f>
        <v>79.561111111111117</v>
      </c>
      <c r="L80" s="50">
        <f t="shared" ref="L80" si="41">L79/744</f>
        <v>78.918010752688176</v>
      </c>
      <c r="M80" s="50">
        <f>M79/720</f>
        <v>91.245833333333337</v>
      </c>
      <c r="N80" s="50">
        <f t="shared" ref="N80" si="42">N79/744</f>
        <v>77.916666666666671</v>
      </c>
      <c r="O80" s="50">
        <f>O79/8760</f>
        <v>78.406050228310505</v>
      </c>
      <c r="P80" s="50"/>
      <c r="Q80" s="50"/>
    </row>
    <row r="81" spans="1:23" x14ac:dyDescent="0.2">
      <c r="A81" s="14" t="s">
        <v>757</v>
      </c>
      <c r="C81" s="67">
        <f>C41</f>
        <v>0.46850538158996963</v>
      </c>
      <c r="D81" s="67">
        <f t="shared" ref="D81:N81" si="43">D41</f>
        <v>0.48963311840293622</v>
      </c>
      <c r="E81" s="67">
        <f t="shared" si="43"/>
        <v>0.34170027342859682</v>
      </c>
      <c r="F81" s="67">
        <f t="shared" si="43"/>
        <v>0.51811384856172016</v>
      </c>
      <c r="G81" s="67">
        <f t="shared" si="43"/>
        <v>0.58827579378616146</v>
      </c>
      <c r="H81" s="67">
        <f t="shared" si="43"/>
        <v>0.51916838444262237</v>
      </c>
      <c r="I81" s="67">
        <f t="shared" si="43"/>
        <v>0.56777776535365099</v>
      </c>
      <c r="J81" s="67">
        <f t="shared" si="43"/>
        <v>0.5641906276717451</v>
      </c>
      <c r="K81" s="67">
        <f t="shared" si="43"/>
        <v>0.47256925612195944</v>
      </c>
      <c r="L81" s="67">
        <f t="shared" si="43"/>
        <v>0.69897836917690825</v>
      </c>
      <c r="M81" s="67">
        <f t="shared" si="43"/>
        <v>0.40673762947865771</v>
      </c>
      <c r="N81" s="67">
        <f t="shared" si="43"/>
        <v>0.50977405319639957</v>
      </c>
      <c r="O81" s="67"/>
      <c r="Q81" s="36"/>
    </row>
    <row r="82" spans="1:23" x14ac:dyDescent="0.2">
      <c r="A82" s="14" t="s">
        <v>758</v>
      </c>
      <c r="C82" s="50">
        <f>C80/C81</f>
        <v>154.34004096078954</v>
      </c>
      <c r="D82" s="50">
        <f t="shared" ref="D82:N82" si="44">D80/D81</f>
        <v>160.72408171657167</v>
      </c>
      <c r="E82" s="50">
        <f t="shared" si="44"/>
        <v>212.89802053131393</v>
      </c>
      <c r="F82" s="50">
        <f t="shared" si="44"/>
        <v>143.03752433553012</v>
      </c>
      <c r="G82" s="50">
        <f t="shared" si="44"/>
        <v>140.44369074608952</v>
      </c>
      <c r="H82" s="50">
        <f t="shared" si="44"/>
        <v>139.61275195818686</v>
      </c>
      <c r="I82" s="50">
        <f t="shared" si="44"/>
        <v>142.61689576821624</v>
      </c>
      <c r="J82" s="50">
        <f t="shared" si="44"/>
        <v>141.55304840028631</v>
      </c>
      <c r="K82" s="50">
        <f t="shared" si="44"/>
        <v>168.35862697462105</v>
      </c>
      <c r="L82" s="50">
        <f t="shared" si="44"/>
        <v>112.90479681884746</v>
      </c>
      <c r="M82" s="50">
        <f t="shared" si="44"/>
        <v>224.33585368112881</v>
      </c>
      <c r="N82" s="50">
        <f t="shared" si="44"/>
        <v>152.84549336732891</v>
      </c>
      <c r="O82" s="50">
        <f>SUM(C82:N82)</f>
        <v>1893.6708252589106</v>
      </c>
      <c r="Q82" s="36">
        <f>MAX(C82:N82)</f>
        <v>224.33585368112881</v>
      </c>
    </row>
    <row r="83" spans="1:23" x14ac:dyDescent="0.2">
      <c r="A83" s="14" t="s">
        <v>681</v>
      </c>
      <c r="C83" s="67">
        <f>C43</f>
        <v>0.9</v>
      </c>
      <c r="D83" s="67">
        <f t="shared" ref="D83:N83" si="45">D43</f>
        <v>0.9</v>
      </c>
      <c r="E83" s="67">
        <f t="shared" si="45"/>
        <v>0.9</v>
      </c>
      <c r="F83" s="67">
        <f t="shared" si="45"/>
        <v>0.9</v>
      </c>
      <c r="G83" s="67">
        <f t="shared" si="45"/>
        <v>0.9</v>
      </c>
      <c r="H83" s="67">
        <f t="shared" si="45"/>
        <v>0.9</v>
      </c>
      <c r="I83" s="67">
        <f t="shared" si="45"/>
        <v>0.9</v>
      </c>
      <c r="J83" s="67">
        <f t="shared" si="45"/>
        <v>0.9</v>
      </c>
      <c r="K83" s="67">
        <f t="shared" si="45"/>
        <v>0.9</v>
      </c>
      <c r="L83" s="67">
        <f t="shared" si="45"/>
        <v>0.9</v>
      </c>
      <c r="M83" s="67">
        <f t="shared" si="45"/>
        <v>0.9</v>
      </c>
      <c r="N83" s="67">
        <f t="shared" si="45"/>
        <v>0.9</v>
      </c>
      <c r="O83" s="67"/>
      <c r="P83" s="50"/>
      <c r="Q83" s="36"/>
    </row>
    <row r="84" spans="1:23" x14ac:dyDescent="0.2">
      <c r="A84" s="14" t="s">
        <v>682</v>
      </c>
      <c r="C84" s="50">
        <f>C82*C83</f>
        <v>138.90603686471059</v>
      </c>
      <c r="D84" s="50">
        <f t="shared" ref="D84:N84" si="46">D82*D83</f>
        <v>144.6516735449145</v>
      </c>
      <c r="E84" s="50">
        <f t="shared" si="46"/>
        <v>191.60821847818255</v>
      </c>
      <c r="F84" s="50">
        <f t="shared" si="46"/>
        <v>128.73377190197712</v>
      </c>
      <c r="G84" s="50">
        <f t="shared" si="46"/>
        <v>126.39932167148056</v>
      </c>
      <c r="H84" s="50">
        <f t="shared" si="46"/>
        <v>125.65147676236818</v>
      </c>
      <c r="I84" s="50">
        <f t="shared" si="46"/>
        <v>128.35520619139461</v>
      </c>
      <c r="J84" s="50">
        <f t="shared" si="46"/>
        <v>127.39774356025768</v>
      </c>
      <c r="K84" s="50">
        <f t="shared" si="46"/>
        <v>151.52276427715896</v>
      </c>
      <c r="L84" s="50">
        <f t="shared" si="46"/>
        <v>101.61431713696271</v>
      </c>
      <c r="M84" s="50">
        <f t="shared" si="46"/>
        <v>201.90226831301592</v>
      </c>
      <c r="N84" s="50">
        <f t="shared" si="46"/>
        <v>137.56094403059603</v>
      </c>
      <c r="O84" s="50">
        <f>SUM(C84:N84)</f>
        <v>1704.3037427330191</v>
      </c>
      <c r="P84" s="50"/>
      <c r="Q84" s="36"/>
      <c r="R84" s="36">
        <f>O84</f>
        <v>1704.3037427330191</v>
      </c>
      <c r="S84" s="36">
        <f>H84+I84+J84</f>
        <v>381.40442651402043</v>
      </c>
      <c r="T84" s="36">
        <f>R84-S84</f>
        <v>1322.8993162189986</v>
      </c>
    </row>
    <row r="85" spans="1:23" x14ac:dyDescent="0.2">
      <c r="A85" s="14" t="s">
        <v>759</v>
      </c>
      <c r="C85" s="67">
        <f>C45</f>
        <v>0.18</v>
      </c>
      <c r="D85" s="67">
        <f t="shared" ref="D85:N85" si="47">D45</f>
        <v>0.18</v>
      </c>
      <c r="E85" s="67">
        <f t="shared" si="47"/>
        <v>0.18</v>
      </c>
      <c r="F85" s="67">
        <f t="shared" si="47"/>
        <v>0.18</v>
      </c>
      <c r="G85" s="67">
        <f t="shared" si="47"/>
        <v>0.18</v>
      </c>
      <c r="H85" s="67">
        <f t="shared" si="47"/>
        <v>0.18</v>
      </c>
      <c r="I85" s="67">
        <f t="shared" si="47"/>
        <v>0.18</v>
      </c>
      <c r="J85" s="67">
        <f t="shared" si="47"/>
        <v>0.18</v>
      </c>
      <c r="K85" s="67">
        <f t="shared" si="47"/>
        <v>0.18</v>
      </c>
      <c r="L85" s="67">
        <f t="shared" si="47"/>
        <v>0.18</v>
      </c>
      <c r="M85" s="67">
        <f t="shared" si="47"/>
        <v>0.18</v>
      </c>
      <c r="N85" s="67">
        <f t="shared" si="47"/>
        <v>0.18</v>
      </c>
      <c r="O85" s="67"/>
      <c r="P85" s="132"/>
      <c r="Q85" s="132"/>
      <c r="U85" s="121"/>
      <c r="W85" s="121"/>
    </row>
    <row r="86" spans="1:23" x14ac:dyDescent="0.2">
      <c r="A86" s="14" t="s">
        <v>760</v>
      </c>
      <c r="C86" s="50">
        <f>C80/C85</f>
        <v>401.71744324970132</v>
      </c>
      <c r="D86" s="50">
        <f t="shared" ref="D86:N86" si="48">D80/D85</f>
        <v>437.19907407407413</v>
      </c>
      <c r="E86" s="50">
        <f t="shared" si="48"/>
        <v>404.15173237753885</v>
      </c>
      <c r="F86" s="50">
        <f t="shared" si="48"/>
        <v>411.72067901234567</v>
      </c>
      <c r="G86" s="50">
        <f t="shared" si="48"/>
        <v>458.99790919952216</v>
      </c>
      <c r="H86" s="50">
        <f t="shared" si="48"/>
        <v>402.68070489844683</v>
      </c>
      <c r="I86" s="50">
        <f t="shared" si="48"/>
        <v>449.85945767195767</v>
      </c>
      <c r="J86" s="50">
        <f t="shared" si="48"/>
        <v>443.68279569892474</v>
      </c>
      <c r="K86" s="50">
        <f t="shared" si="48"/>
        <v>442.00617283950623</v>
      </c>
      <c r="L86" s="50">
        <f t="shared" si="48"/>
        <v>438.4333930704899</v>
      </c>
      <c r="M86" s="50">
        <f t="shared" si="48"/>
        <v>506.92129629629636</v>
      </c>
      <c r="N86" s="50">
        <f t="shared" si="48"/>
        <v>432.87037037037044</v>
      </c>
      <c r="O86" s="50">
        <f>SUM(C86:N86)</f>
        <v>5230.2410287591747</v>
      </c>
      <c r="P86" s="50">
        <f>MAX(C86:N86)</f>
        <v>506.92129629629636</v>
      </c>
      <c r="Q86" s="50"/>
    </row>
    <row r="87" spans="1:23" x14ac:dyDescent="0.2">
      <c r="H87" s="140"/>
    </row>
    <row r="88" spans="1:23" x14ac:dyDescent="0.2">
      <c r="A88" s="15" t="str">
        <f>A13</f>
        <v>Sch III - All 3Phase Schools &amp; Churches</v>
      </c>
      <c r="B88" s="16" t="str">
        <f>B13</f>
        <v>E1</v>
      </c>
      <c r="C88" s="50">
        <v>47</v>
      </c>
      <c r="D88" s="50">
        <v>47</v>
      </c>
      <c r="E88" s="50">
        <v>47</v>
      </c>
      <c r="F88" s="50">
        <v>47</v>
      </c>
      <c r="G88" s="50">
        <v>47</v>
      </c>
      <c r="H88" s="50">
        <v>47</v>
      </c>
      <c r="I88" s="50">
        <v>47</v>
      </c>
      <c r="J88" s="50">
        <v>47</v>
      </c>
      <c r="K88" s="50">
        <v>47</v>
      </c>
      <c r="L88" s="50">
        <v>47</v>
      </c>
      <c r="M88" s="50">
        <v>47</v>
      </c>
      <c r="N88" s="50">
        <v>47</v>
      </c>
      <c r="O88" s="50">
        <f>ROUND(SUM(C88:N88)/12,0)</f>
        <v>47</v>
      </c>
      <c r="P88" s="50"/>
      <c r="Q88" s="36"/>
    </row>
    <row r="89" spans="1:23" x14ac:dyDescent="0.2">
      <c r="A89" s="14" t="s">
        <v>1123</v>
      </c>
      <c r="C89" s="50">
        <v>1077213</v>
      </c>
      <c r="D89" s="50">
        <v>1131773</v>
      </c>
      <c r="E89" s="50">
        <v>1086304</v>
      </c>
      <c r="F89" s="50">
        <v>885898</v>
      </c>
      <c r="G89" s="50">
        <v>991113</v>
      </c>
      <c r="H89" s="50">
        <v>806387</v>
      </c>
      <c r="I89" s="50">
        <v>903709</v>
      </c>
      <c r="J89" s="50">
        <v>1271867</v>
      </c>
      <c r="K89" s="50">
        <v>1186437</v>
      </c>
      <c r="L89" s="50">
        <v>967791</v>
      </c>
      <c r="M89" s="50">
        <v>1048890</v>
      </c>
      <c r="N89" s="50">
        <v>1065850</v>
      </c>
      <c r="O89" s="50">
        <f>SUM(C89:N89)</f>
        <v>12423232</v>
      </c>
      <c r="P89" s="132"/>
      <c r="Q89" s="132"/>
      <c r="U89" s="121"/>
      <c r="W89" s="121"/>
    </row>
    <row r="90" spans="1:23" x14ac:dyDescent="0.2">
      <c r="A90" s="14" t="s">
        <v>680</v>
      </c>
      <c r="C90" s="50">
        <f>C89/744</f>
        <v>1447.866935483871</v>
      </c>
      <c r="D90" s="48">
        <f>D89/720</f>
        <v>1571.9069444444444</v>
      </c>
      <c r="E90" s="50">
        <f t="shared" ref="E90" si="49">E89/744</f>
        <v>1460.0860215053763</v>
      </c>
      <c r="F90" s="50">
        <f>F89/720</f>
        <v>1230.4138888888888</v>
      </c>
      <c r="G90" s="50">
        <f t="shared" ref="G90" si="50">G89/744</f>
        <v>1332.141129032258</v>
      </c>
      <c r="H90" s="48">
        <f>H89/744</f>
        <v>1083.8534946236559</v>
      </c>
      <c r="I90" s="48">
        <f>I89/672</f>
        <v>1344.8050595238096</v>
      </c>
      <c r="J90" s="50">
        <f t="shared" ref="J90" si="51">J89/744</f>
        <v>1709.4986559139784</v>
      </c>
      <c r="K90" s="50">
        <f>K89/720</f>
        <v>1647.8291666666667</v>
      </c>
      <c r="L90" s="50">
        <f t="shared" ref="L90" si="52">L89/744</f>
        <v>1300.7943548387098</v>
      </c>
      <c r="M90" s="50">
        <f>M89/720</f>
        <v>1456.7916666666667</v>
      </c>
      <c r="N90" s="50">
        <f t="shared" ref="N90" si="53">N89/744</f>
        <v>1432.5940860215053</v>
      </c>
      <c r="O90" s="50">
        <f>O89/8760</f>
        <v>1418.1771689497716</v>
      </c>
      <c r="P90" s="50"/>
      <c r="Q90" s="50"/>
    </row>
    <row r="91" spans="1:23" x14ac:dyDescent="0.2">
      <c r="A91" s="14" t="s">
        <v>757</v>
      </c>
      <c r="C91" s="67">
        <v>0.2</v>
      </c>
      <c r="D91" s="67">
        <f t="shared" ref="D91:N91" si="54">D41+0.1</f>
        <v>0.5896331184029362</v>
      </c>
      <c r="E91" s="67">
        <f t="shared" si="54"/>
        <v>0.44170027342859686</v>
      </c>
      <c r="F91" s="67">
        <f t="shared" si="54"/>
        <v>0.61811384856172014</v>
      </c>
      <c r="G91" s="67">
        <f t="shared" si="54"/>
        <v>0.68827579378616144</v>
      </c>
      <c r="H91" s="67">
        <f t="shared" si="54"/>
        <v>0.61916838444262234</v>
      </c>
      <c r="I91" s="67">
        <f t="shared" si="54"/>
        <v>0.66777776535365096</v>
      </c>
      <c r="J91" s="67">
        <f t="shared" si="54"/>
        <v>0.66419062767174508</v>
      </c>
      <c r="K91" s="67">
        <f t="shared" si="54"/>
        <v>0.57256925612195941</v>
      </c>
      <c r="L91" s="67">
        <f t="shared" si="54"/>
        <v>0.79897836917690823</v>
      </c>
      <c r="M91" s="67">
        <f t="shared" si="54"/>
        <v>0.50673762947865775</v>
      </c>
      <c r="N91" s="67">
        <f t="shared" si="54"/>
        <v>0.60977405319639955</v>
      </c>
      <c r="O91" s="67"/>
      <c r="Q91" s="36"/>
    </row>
    <row r="92" spans="1:23" x14ac:dyDescent="0.2">
      <c r="A92" s="14" t="s">
        <v>758</v>
      </c>
      <c r="C92" s="50">
        <f>C90/C91</f>
        <v>7239.3346774193542</v>
      </c>
      <c r="D92" s="50">
        <f t="shared" ref="D92:N92" si="55">D90/D91</f>
        <v>2665.9068077825541</v>
      </c>
      <c r="E92" s="50">
        <f t="shared" si="55"/>
        <v>3305.6036170677326</v>
      </c>
      <c r="F92" s="50">
        <f t="shared" si="55"/>
        <v>1990.5942760414127</v>
      </c>
      <c r="G92" s="50">
        <f t="shared" si="55"/>
        <v>1935.4757802889367</v>
      </c>
      <c r="H92" s="50">
        <f t="shared" si="55"/>
        <v>1750.4987687627895</v>
      </c>
      <c r="I92" s="50">
        <f t="shared" si="55"/>
        <v>2013.851208136002</v>
      </c>
      <c r="J92" s="50">
        <f t="shared" si="55"/>
        <v>2573.8072545625309</v>
      </c>
      <c r="K92" s="50">
        <f t="shared" si="55"/>
        <v>2877.9560708996096</v>
      </c>
      <c r="L92" s="50">
        <f t="shared" si="55"/>
        <v>1628.0720542894828</v>
      </c>
      <c r="M92" s="50">
        <f t="shared" si="55"/>
        <v>2874.8440650942866</v>
      </c>
      <c r="N92" s="50">
        <f t="shared" si="55"/>
        <v>2349.3851181629193</v>
      </c>
      <c r="O92" s="50">
        <f>SUM(C92:N92)</f>
        <v>33205.329698507616</v>
      </c>
      <c r="Q92" s="36">
        <f>MAX(C92:N92)</f>
        <v>7239.3346774193542</v>
      </c>
    </row>
    <row r="93" spans="1:23" x14ac:dyDescent="0.2">
      <c r="A93" s="14" t="s">
        <v>681</v>
      </c>
      <c r="C93" s="67">
        <v>0.4</v>
      </c>
      <c r="D93" s="67">
        <f>C93</f>
        <v>0.4</v>
      </c>
      <c r="E93" s="67">
        <f t="shared" ref="E93:N93" si="56">D93</f>
        <v>0.4</v>
      </c>
      <c r="F93" s="67">
        <f t="shared" si="56"/>
        <v>0.4</v>
      </c>
      <c r="G93" s="67">
        <f t="shared" si="56"/>
        <v>0.4</v>
      </c>
      <c r="H93" s="67">
        <f t="shared" si="56"/>
        <v>0.4</v>
      </c>
      <c r="I93" s="67">
        <f t="shared" si="56"/>
        <v>0.4</v>
      </c>
      <c r="J93" s="67">
        <f t="shared" si="56"/>
        <v>0.4</v>
      </c>
      <c r="K93" s="67">
        <f t="shared" si="56"/>
        <v>0.4</v>
      </c>
      <c r="L93" s="67">
        <f t="shared" si="56"/>
        <v>0.4</v>
      </c>
      <c r="M93" s="67">
        <f t="shared" si="56"/>
        <v>0.4</v>
      </c>
      <c r="N93" s="67">
        <f t="shared" si="56"/>
        <v>0.4</v>
      </c>
      <c r="O93" s="67"/>
      <c r="P93" s="50"/>
      <c r="Q93" s="36"/>
    </row>
    <row r="94" spans="1:23" x14ac:dyDescent="0.2">
      <c r="A94" s="14" t="s">
        <v>682</v>
      </c>
      <c r="C94" s="50">
        <f>C92*C93</f>
        <v>2895.733870967742</v>
      </c>
      <c r="D94" s="50">
        <f t="shared" ref="D94:N94" si="57">D92*D93</f>
        <v>1066.3627231130217</v>
      </c>
      <c r="E94" s="50">
        <f t="shared" si="57"/>
        <v>1322.2414468270931</v>
      </c>
      <c r="F94" s="50">
        <f t="shared" si="57"/>
        <v>796.23771041656516</v>
      </c>
      <c r="G94" s="50">
        <f t="shared" si="57"/>
        <v>774.19031211557467</v>
      </c>
      <c r="H94" s="50">
        <f t="shared" si="57"/>
        <v>700.19950750511589</v>
      </c>
      <c r="I94" s="50">
        <f t="shared" si="57"/>
        <v>805.5404832544009</v>
      </c>
      <c r="J94" s="50">
        <f t="shared" si="57"/>
        <v>1029.5229018250125</v>
      </c>
      <c r="K94" s="50">
        <f t="shared" si="57"/>
        <v>1151.1824283598439</v>
      </c>
      <c r="L94" s="50">
        <f t="shared" si="57"/>
        <v>651.22882171579317</v>
      </c>
      <c r="M94" s="50">
        <f t="shared" si="57"/>
        <v>1149.9376260377146</v>
      </c>
      <c r="N94" s="50">
        <f t="shared" si="57"/>
        <v>939.75404726516774</v>
      </c>
      <c r="O94" s="50">
        <f>SUM(C94:N94)</f>
        <v>13282.131879403043</v>
      </c>
      <c r="P94" s="50"/>
      <c r="Q94" s="36"/>
      <c r="R94" s="36">
        <f>O94</f>
        <v>13282.131879403043</v>
      </c>
      <c r="S94" s="36">
        <f>H94+I94+J94</f>
        <v>2535.2628925845293</v>
      </c>
      <c r="T94" s="36">
        <f>R94-S94</f>
        <v>10746.868986818514</v>
      </c>
    </row>
    <row r="95" spans="1:23" x14ac:dyDescent="0.2">
      <c r="A95" s="14" t="s">
        <v>759</v>
      </c>
      <c r="C95" s="67">
        <v>0.23</v>
      </c>
      <c r="D95" s="67">
        <f>C95</f>
        <v>0.23</v>
      </c>
      <c r="E95" s="67">
        <f t="shared" ref="E95:N95" si="58">D95</f>
        <v>0.23</v>
      </c>
      <c r="F95" s="67">
        <f t="shared" si="58"/>
        <v>0.23</v>
      </c>
      <c r="G95" s="67">
        <f t="shared" si="58"/>
        <v>0.23</v>
      </c>
      <c r="H95" s="67">
        <f t="shared" si="58"/>
        <v>0.23</v>
      </c>
      <c r="I95" s="67">
        <f t="shared" si="58"/>
        <v>0.23</v>
      </c>
      <c r="J95" s="67">
        <f t="shared" si="58"/>
        <v>0.23</v>
      </c>
      <c r="K95" s="67">
        <f t="shared" si="58"/>
        <v>0.23</v>
      </c>
      <c r="L95" s="67">
        <f t="shared" si="58"/>
        <v>0.23</v>
      </c>
      <c r="M95" s="67">
        <f t="shared" si="58"/>
        <v>0.23</v>
      </c>
      <c r="N95" s="67">
        <f t="shared" si="58"/>
        <v>0.23</v>
      </c>
      <c r="O95" s="67"/>
      <c r="P95" s="132"/>
      <c r="Q95" s="132"/>
      <c r="U95" s="121"/>
      <c r="W95" s="121"/>
    </row>
    <row r="96" spans="1:23" x14ac:dyDescent="0.2">
      <c r="A96" s="14" t="s">
        <v>760</v>
      </c>
      <c r="C96" s="50">
        <f>C90/C95</f>
        <v>6295.0736325385687</v>
      </c>
      <c r="D96" s="50">
        <f t="shared" ref="D96:N96" si="59">D90/D95</f>
        <v>6834.3780193236707</v>
      </c>
      <c r="E96" s="50">
        <f t="shared" si="59"/>
        <v>6348.2000935016358</v>
      </c>
      <c r="F96" s="50">
        <f t="shared" si="59"/>
        <v>5349.6256038647334</v>
      </c>
      <c r="G96" s="50">
        <f t="shared" si="59"/>
        <v>5791.9179523141656</v>
      </c>
      <c r="H96" s="50">
        <f t="shared" si="59"/>
        <v>4712.4064983637209</v>
      </c>
      <c r="I96" s="50">
        <f t="shared" si="59"/>
        <v>5846.9785196687371</v>
      </c>
      <c r="J96" s="50">
        <f t="shared" si="59"/>
        <v>7432.6028517999057</v>
      </c>
      <c r="K96" s="50">
        <f t="shared" si="59"/>
        <v>7164.474637681159</v>
      </c>
      <c r="L96" s="50">
        <f t="shared" si="59"/>
        <v>5655.6276297335207</v>
      </c>
      <c r="M96" s="50">
        <f t="shared" si="59"/>
        <v>6333.876811594203</v>
      </c>
      <c r="N96" s="50">
        <f t="shared" si="59"/>
        <v>6228.6699392239361</v>
      </c>
      <c r="O96" s="50">
        <f>SUM(C96:N96)</f>
        <v>73993.832189607958</v>
      </c>
      <c r="P96" s="50">
        <f>MAX(C96:N96)</f>
        <v>7432.6028517999057</v>
      </c>
      <c r="Q96" s="50"/>
    </row>
    <row r="97" spans="1:23" ht="16.5" customHeight="1" x14ac:dyDescent="0.2">
      <c r="C97" s="50"/>
      <c r="H97" s="140"/>
      <c r="M97" s="50"/>
    </row>
    <row r="98" spans="1:23" ht="14.25" customHeight="1" x14ac:dyDescent="0.2">
      <c r="A98" s="15" t="str">
        <f>A14</f>
        <v>Sch IV-A - Large Power 50-2500 kW</v>
      </c>
      <c r="B98" s="216" t="str">
        <f>B14</f>
        <v>L1</v>
      </c>
      <c r="C98" s="50">
        <v>59</v>
      </c>
      <c r="D98" s="50">
        <v>61</v>
      </c>
      <c r="E98" s="50">
        <v>61</v>
      </c>
      <c r="F98" s="50">
        <v>62</v>
      </c>
      <c r="G98" s="50">
        <v>62</v>
      </c>
      <c r="H98" s="50">
        <v>62</v>
      </c>
      <c r="I98" s="50">
        <v>62</v>
      </c>
      <c r="J98" s="50">
        <v>60</v>
      </c>
      <c r="K98" s="50">
        <v>62</v>
      </c>
      <c r="L98" s="50">
        <v>61</v>
      </c>
      <c r="M98" s="50">
        <v>61</v>
      </c>
      <c r="N98" s="50">
        <v>63</v>
      </c>
      <c r="O98" s="50">
        <f>ROUND(SUM(C98:N98)/12,0)</f>
        <v>61</v>
      </c>
      <c r="P98" s="50"/>
      <c r="Q98" s="36"/>
    </row>
    <row r="99" spans="1:23" x14ac:dyDescent="0.2">
      <c r="A99" s="14" t="s">
        <v>1123</v>
      </c>
      <c r="C99" s="50">
        <v>5904413</v>
      </c>
      <c r="D99" s="50">
        <v>6639448</v>
      </c>
      <c r="E99" s="50">
        <v>6390894</v>
      </c>
      <c r="F99" s="50">
        <v>6075473</v>
      </c>
      <c r="G99" s="50">
        <v>6849294</v>
      </c>
      <c r="H99" s="50">
        <v>6241082</v>
      </c>
      <c r="I99" s="50">
        <v>6238931</v>
      </c>
      <c r="J99" s="50">
        <v>7829750</v>
      </c>
      <c r="K99" s="50">
        <v>6538383</v>
      </c>
      <c r="L99" s="50">
        <v>6429920</v>
      </c>
      <c r="M99" s="50">
        <v>6639378</v>
      </c>
      <c r="N99" s="50">
        <v>5949378</v>
      </c>
      <c r="O99" s="50">
        <f>SUM(C99:N99)</f>
        <v>77726344</v>
      </c>
      <c r="P99" s="132"/>
      <c r="Q99" s="132"/>
      <c r="U99" s="121"/>
      <c r="W99" s="121"/>
    </row>
    <row r="100" spans="1:23" x14ac:dyDescent="0.2">
      <c r="A100" s="14" t="s">
        <v>680</v>
      </c>
      <c r="C100" s="50">
        <f>C99/744</f>
        <v>7936.0389784946237</v>
      </c>
      <c r="D100" s="50">
        <f>D99/672</f>
        <v>9880.1309523809523</v>
      </c>
      <c r="E100" s="50">
        <f>E99/744</f>
        <v>8589.9112903225814</v>
      </c>
      <c r="F100" s="50">
        <f>F99/720</f>
        <v>8438.1569444444449</v>
      </c>
      <c r="G100" s="50">
        <f>G99/744</f>
        <v>9206.0403225806458</v>
      </c>
      <c r="H100" s="50">
        <f>H99/720</f>
        <v>8668.1694444444438</v>
      </c>
      <c r="I100" s="50">
        <f>I99/744</f>
        <v>8385.6599462365593</v>
      </c>
      <c r="J100" s="50">
        <f>J99/744</f>
        <v>10523.85752688172</v>
      </c>
      <c r="K100" s="50">
        <f>K99/720</f>
        <v>9081.0874999999996</v>
      </c>
      <c r="L100" s="50">
        <f>L99/744</f>
        <v>8642.3655913978491</v>
      </c>
      <c r="M100" s="50">
        <f>M99/720</f>
        <v>9221.3583333333336</v>
      </c>
      <c r="N100" s="50">
        <f>N99/744</f>
        <v>7996.4758064516127</v>
      </c>
      <c r="O100" s="50">
        <f>O99/8760</f>
        <v>8872.8703196347033</v>
      </c>
      <c r="P100" s="50"/>
      <c r="Q100" s="50"/>
    </row>
    <row r="101" spans="1:23" x14ac:dyDescent="0.2">
      <c r="A101" s="14" t="s">
        <v>757</v>
      </c>
      <c r="C101" s="67">
        <v>0.4</v>
      </c>
      <c r="D101" s="67">
        <f>C101</f>
        <v>0.4</v>
      </c>
      <c r="E101" s="67">
        <f t="shared" ref="E101:N101" si="60">D101</f>
        <v>0.4</v>
      </c>
      <c r="F101" s="67">
        <f t="shared" si="60"/>
        <v>0.4</v>
      </c>
      <c r="G101" s="67">
        <f t="shared" si="60"/>
        <v>0.4</v>
      </c>
      <c r="H101" s="67">
        <f t="shared" si="60"/>
        <v>0.4</v>
      </c>
      <c r="I101" s="67">
        <f t="shared" si="60"/>
        <v>0.4</v>
      </c>
      <c r="J101" s="67">
        <f t="shared" si="60"/>
        <v>0.4</v>
      </c>
      <c r="K101" s="67">
        <f t="shared" si="60"/>
        <v>0.4</v>
      </c>
      <c r="L101" s="67">
        <f t="shared" si="60"/>
        <v>0.4</v>
      </c>
      <c r="M101" s="67">
        <f t="shared" si="60"/>
        <v>0.4</v>
      </c>
      <c r="N101" s="67">
        <f t="shared" si="60"/>
        <v>0.4</v>
      </c>
      <c r="O101" s="67"/>
      <c r="Q101" s="36"/>
    </row>
    <row r="102" spans="1:23" x14ac:dyDescent="0.2">
      <c r="A102" s="14" t="s">
        <v>758</v>
      </c>
      <c r="C102" s="50">
        <f t="shared" ref="C102:N102" si="61">C100/C101</f>
        <v>19840.097446236559</v>
      </c>
      <c r="D102" s="50">
        <f t="shared" si="61"/>
        <v>24700.327380952378</v>
      </c>
      <c r="E102" s="50">
        <f t="shared" si="61"/>
        <v>21474.778225806451</v>
      </c>
      <c r="F102" s="50">
        <f t="shared" si="61"/>
        <v>21095.392361111109</v>
      </c>
      <c r="G102" s="50">
        <f t="shared" si="61"/>
        <v>23015.100806451614</v>
      </c>
      <c r="H102" s="50">
        <f t="shared" si="61"/>
        <v>21670.423611111109</v>
      </c>
      <c r="I102" s="50">
        <f t="shared" si="61"/>
        <v>20964.149865591397</v>
      </c>
      <c r="J102" s="50">
        <f t="shared" si="61"/>
        <v>26309.643817204298</v>
      </c>
      <c r="K102" s="50">
        <f t="shared" si="61"/>
        <v>22702.718749999996</v>
      </c>
      <c r="L102" s="50">
        <f t="shared" si="61"/>
        <v>21605.91397849462</v>
      </c>
      <c r="M102" s="50">
        <f t="shared" si="61"/>
        <v>23053.395833333332</v>
      </c>
      <c r="N102" s="50">
        <f t="shared" si="61"/>
        <v>19991.18951612903</v>
      </c>
      <c r="O102" s="50">
        <f>SUM(C102:N102)</f>
        <v>266423.13159242191</v>
      </c>
      <c r="P102" s="50"/>
      <c r="Q102" s="50">
        <f>MAX(C102:N102)</f>
        <v>26309.643817204298</v>
      </c>
    </row>
    <row r="103" spans="1:23" x14ac:dyDescent="0.2">
      <c r="A103" s="14" t="s">
        <v>681</v>
      </c>
      <c r="C103" s="67">
        <v>0.75</v>
      </c>
      <c r="D103" s="67">
        <f>C103</f>
        <v>0.75</v>
      </c>
      <c r="E103" s="67">
        <f t="shared" ref="E103:N103" si="62">D103</f>
        <v>0.75</v>
      </c>
      <c r="F103" s="67">
        <f t="shared" si="62"/>
        <v>0.75</v>
      </c>
      <c r="G103" s="67">
        <f t="shared" si="62"/>
        <v>0.75</v>
      </c>
      <c r="H103" s="67">
        <f t="shared" si="62"/>
        <v>0.75</v>
      </c>
      <c r="I103" s="67">
        <f t="shared" si="62"/>
        <v>0.75</v>
      </c>
      <c r="J103" s="67">
        <f t="shared" si="62"/>
        <v>0.75</v>
      </c>
      <c r="K103" s="67">
        <f t="shared" si="62"/>
        <v>0.75</v>
      </c>
      <c r="L103" s="67">
        <f t="shared" si="62"/>
        <v>0.75</v>
      </c>
      <c r="M103" s="67">
        <f t="shared" si="62"/>
        <v>0.75</v>
      </c>
      <c r="N103" s="67">
        <f t="shared" si="62"/>
        <v>0.75</v>
      </c>
      <c r="O103" s="67"/>
      <c r="P103" s="50"/>
      <c r="Q103" s="36"/>
    </row>
    <row r="104" spans="1:23" x14ac:dyDescent="0.2">
      <c r="A104" s="14" t="s">
        <v>682</v>
      </c>
      <c r="C104" s="50">
        <f t="shared" ref="C104:N104" si="63">C102*C103</f>
        <v>14880.07308467742</v>
      </c>
      <c r="D104" s="50">
        <f t="shared" si="63"/>
        <v>18525.245535714283</v>
      </c>
      <c r="E104" s="50">
        <f t="shared" si="63"/>
        <v>16106.083669354837</v>
      </c>
      <c r="F104" s="50">
        <f t="shared" si="63"/>
        <v>15821.544270833332</v>
      </c>
      <c r="G104" s="50">
        <f t="shared" si="63"/>
        <v>17261.325604838712</v>
      </c>
      <c r="H104" s="50">
        <f t="shared" si="63"/>
        <v>16252.817708333332</v>
      </c>
      <c r="I104" s="50">
        <f t="shared" si="63"/>
        <v>15723.112399193547</v>
      </c>
      <c r="J104" s="50">
        <f t="shared" si="63"/>
        <v>19732.232862903224</v>
      </c>
      <c r="K104" s="50">
        <f t="shared" si="63"/>
        <v>17027.039062499996</v>
      </c>
      <c r="L104" s="50">
        <f t="shared" si="63"/>
        <v>16204.435483870966</v>
      </c>
      <c r="M104" s="50">
        <f t="shared" si="63"/>
        <v>17290.046875</v>
      </c>
      <c r="N104" s="50">
        <f t="shared" si="63"/>
        <v>14993.392137096773</v>
      </c>
      <c r="O104" s="50">
        <f>SUM(C104:N104)</f>
        <v>199817.3486943164</v>
      </c>
      <c r="P104" s="50"/>
      <c r="Q104" s="36"/>
      <c r="R104" s="36">
        <f>O104</f>
        <v>199817.3486943164</v>
      </c>
      <c r="S104" s="36">
        <f>H104+I104+J104</f>
        <v>51708.162970430101</v>
      </c>
      <c r="T104" s="36">
        <f>R104-S104</f>
        <v>148109.1857238863</v>
      </c>
    </row>
    <row r="105" spans="1:23" x14ac:dyDescent="0.2">
      <c r="A105" s="14" t="s">
        <v>759</v>
      </c>
      <c r="C105" s="67">
        <f>C100/C106</f>
        <v>0.38734345604905096</v>
      </c>
      <c r="D105" s="67">
        <f t="shared" ref="D105:N105" si="64">D100/D106</f>
        <v>0.45912082436725737</v>
      </c>
      <c r="E105" s="67">
        <f t="shared" si="64"/>
        <v>0.39954844830242803</v>
      </c>
      <c r="F105" s="67">
        <f t="shared" si="64"/>
        <v>0.39524249993083582</v>
      </c>
      <c r="G105" s="67">
        <f t="shared" si="64"/>
        <v>0.41329279764701182</v>
      </c>
      <c r="H105" s="67">
        <f t="shared" si="64"/>
        <v>0.42886777333511256</v>
      </c>
      <c r="I105" s="67">
        <f t="shared" si="64"/>
        <v>0.3987579145847957</v>
      </c>
      <c r="J105" s="67">
        <f t="shared" si="64"/>
        <v>0.40881563861494613</v>
      </c>
      <c r="K105" s="67">
        <f t="shared" si="64"/>
        <v>0.42879742186812858</v>
      </c>
      <c r="L105" s="67">
        <f t="shared" si="64"/>
        <v>0.40102771149479677</v>
      </c>
      <c r="M105" s="67">
        <f t="shared" si="64"/>
        <v>0.43695736897261678</v>
      </c>
      <c r="N105" s="67">
        <f t="shared" si="64"/>
        <v>0.36644089867285473</v>
      </c>
      <c r="O105" s="67"/>
      <c r="P105" s="132"/>
      <c r="Q105" s="132"/>
      <c r="U105" s="121"/>
      <c r="W105" s="121"/>
    </row>
    <row r="106" spans="1:23" x14ac:dyDescent="0.2">
      <c r="A106" s="14" t="s">
        <v>760</v>
      </c>
      <c r="C106" s="50">
        <v>20488.377574370712</v>
      </c>
      <c r="D106" s="50">
        <v>21519.675057208238</v>
      </c>
      <c r="E106" s="50">
        <v>21499.048054919906</v>
      </c>
      <c r="F106" s="50">
        <v>21349.315789473683</v>
      </c>
      <c r="G106" s="50">
        <v>22274.86270022883</v>
      </c>
      <c r="H106" s="50">
        <v>20211.7528604119</v>
      </c>
      <c r="I106" s="50">
        <v>21029.450800915332</v>
      </c>
      <c r="J106" s="50">
        <v>25742.306636155608</v>
      </c>
      <c r="K106" s="50">
        <v>21178.03661327231</v>
      </c>
      <c r="L106" s="50">
        <v>21550.54462242563</v>
      </c>
      <c r="M106" s="50">
        <v>21103.565217391304</v>
      </c>
      <c r="N106" s="50">
        <v>21822.006864988558</v>
      </c>
      <c r="O106" s="50">
        <f>SUM(C106:N106)</f>
        <v>259768.94279176201</v>
      </c>
      <c r="P106" s="50">
        <f>MAX(C106:N106)</f>
        <v>25742.306636155608</v>
      </c>
      <c r="Q106" s="50"/>
    </row>
    <row r="108" spans="1:23" x14ac:dyDescent="0.2">
      <c r="A108" s="15" t="str">
        <f>A15</f>
        <v>Sch VI - Outdoor Lighting - Security Lights</v>
      </c>
      <c r="B108" s="16" t="str">
        <f>B15</f>
        <v>S</v>
      </c>
      <c r="C108" s="50">
        <v>159</v>
      </c>
      <c r="D108" s="50">
        <v>159</v>
      </c>
      <c r="E108" s="50">
        <v>159</v>
      </c>
      <c r="F108" s="50">
        <v>159</v>
      </c>
      <c r="G108" s="50">
        <v>160</v>
      </c>
      <c r="H108" s="50">
        <v>160</v>
      </c>
      <c r="I108" s="50">
        <v>160</v>
      </c>
      <c r="J108" s="50">
        <v>161</v>
      </c>
      <c r="K108" s="50">
        <v>160</v>
      </c>
      <c r="L108" s="50">
        <v>160</v>
      </c>
      <c r="M108" s="50">
        <v>160</v>
      </c>
      <c r="N108" s="50">
        <v>169</v>
      </c>
      <c r="O108" s="50">
        <f>ROUND(SUM(C108:N108)/12,0)</f>
        <v>161</v>
      </c>
      <c r="P108" s="50"/>
      <c r="Q108" s="36"/>
    </row>
    <row r="109" spans="1:23" x14ac:dyDescent="0.2">
      <c r="A109" s="14" t="s">
        <v>1123</v>
      </c>
      <c r="C109" s="50">
        <v>722500</v>
      </c>
      <c r="D109" s="50">
        <v>719452</v>
      </c>
      <c r="E109" s="50">
        <v>713774</v>
      </c>
      <c r="F109" s="50">
        <v>715277</v>
      </c>
      <c r="G109" s="50">
        <v>714605</v>
      </c>
      <c r="H109" s="50">
        <v>711813</v>
      </c>
      <c r="I109" s="50">
        <v>710850</v>
      </c>
      <c r="J109" s="50">
        <v>711943</v>
      </c>
      <c r="K109" s="50">
        <v>709958</v>
      </c>
      <c r="L109" s="50">
        <v>706431</v>
      </c>
      <c r="M109" s="50">
        <v>704589</v>
      </c>
      <c r="N109" s="50">
        <v>700107</v>
      </c>
      <c r="O109" s="50">
        <f>SUM(C109:N109)</f>
        <v>8541299</v>
      </c>
      <c r="P109" s="132"/>
      <c r="Q109" s="132"/>
      <c r="U109" s="121"/>
      <c r="W109" s="121"/>
    </row>
    <row r="110" spans="1:23" x14ac:dyDescent="0.2">
      <c r="A110" s="14" t="s">
        <v>680</v>
      </c>
      <c r="C110" s="50">
        <f>C109/744</f>
        <v>971.10215053763443</v>
      </c>
      <c r="D110" s="48">
        <f>D109/720</f>
        <v>999.23888888888894</v>
      </c>
      <c r="E110" s="50">
        <f t="shared" ref="E110:N110" si="65">E109/744</f>
        <v>959.3736559139785</v>
      </c>
      <c r="F110" s="50">
        <f>F109/720</f>
        <v>993.44027777777774</v>
      </c>
      <c r="G110" s="50">
        <f t="shared" si="65"/>
        <v>960.49059139784947</v>
      </c>
      <c r="H110" s="48">
        <f>H109/744</f>
        <v>956.73790322580646</v>
      </c>
      <c r="I110" s="48">
        <f>I109/672</f>
        <v>1057.8125</v>
      </c>
      <c r="J110" s="50">
        <f t="shared" si="65"/>
        <v>956.91263440860212</v>
      </c>
      <c r="K110" s="50">
        <f>K109/720</f>
        <v>986.05277777777781</v>
      </c>
      <c r="L110" s="50">
        <f t="shared" si="65"/>
        <v>949.50403225806451</v>
      </c>
      <c r="M110" s="50">
        <f>M109/720</f>
        <v>978.5958333333333</v>
      </c>
      <c r="N110" s="50">
        <f t="shared" si="65"/>
        <v>941.00403225806451</v>
      </c>
      <c r="O110" s="50">
        <f>O109/8760</f>
        <v>975.03413242009128</v>
      </c>
      <c r="P110" s="50"/>
      <c r="Q110" s="50"/>
    </row>
    <row r="111" spans="1:23" x14ac:dyDescent="0.2">
      <c r="A111" s="14" t="s">
        <v>757</v>
      </c>
      <c r="C111" s="67">
        <v>0.5</v>
      </c>
      <c r="D111" s="67">
        <v>0.5</v>
      </c>
      <c r="E111" s="67">
        <v>0.5</v>
      </c>
      <c r="F111" s="67">
        <v>0.5</v>
      </c>
      <c r="G111" s="67">
        <v>0.5</v>
      </c>
      <c r="H111" s="67">
        <v>0.5</v>
      </c>
      <c r="I111" s="67">
        <v>0.5</v>
      </c>
      <c r="J111" s="67">
        <v>0.5</v>
      </c>
      <c r="K111" s="67">
        <v>0.5</v>
      </c>
      <c r="L111" s="67">
        <v>0.5</v>
      </c>
      <c r="M111" s="67">
        <v>0.5</v>
      </c>
      <c r="N111" s="67">
        <v>0.5</v>
      </c>
      <c r="O111" s="67"/>
      <c r="Q111" s="36"/>
    </row>
    <row r="112" spans="1:23" x14ac:dyDescent="0.2">
      <c r="A112" s="14" t="s">
        <v>758</v>
      </c>
      <c r="C112" s="50">
        <f>C110/C111</f>
        <v>1942.2043010752689</v>
      </c>
      <c r="D112" s="50">
        <f t="shared" ref="D112:N112" si="66">D110/D111</f>
        <v>1998.4777777777779</v>
      </c>
      <c r="E112" s="50">
        <f t="shared" si="66"/>
        <v>1918.747311827957</v>
      </c>
      <c r="F112" s="50">
        <f t="shared" si="66"/>
        <v>1986.8805555555555</v>
      </c>
      <c r="G112" s="50">
        <f t="shared" si="66"/>
        <v>1920.9811827956989</v>
      </c>
      <c r="H112" s="50">
        <f t="shared" si="66"/>
        <v>1913.4758064516129</v>
      </c>
      <c r="I112" s="50">
        <f t="shared" si="66"/>
        <v>2115.625</v>
      </c>
      <c r="J112" s="50">
        <f t="shared" si="66"/>
        <v>1913.8252688172042</v>
      </c>
      <c r="K112" s="50">
        <f t="shared" si="66"/>
        <v>1972.1055555555556</v>
      </c>
      <c r="L112" s="50">
        <f t="shared" si="66"/>
        <v>1899.008064516129</v>
      </c>
      <c r="M112" s="50">
        <f t="shared" si="66"/>
        <v>1957.1916666666666</v>
      </c>
      <c r="N112" s="50">
        <f t="shared" si="66"/>
        <v>1882.008064516129</v>
      </c>
      <c r="O112" s="50">
        <f>SUM(C112:N112)</f>
        <v>23420.530555555553</v>
      </c>
      <c r="Q112" s="36">
        <f>MAX(C112:N112)</f>
        <v>2115.625</v>
      </c>
    </row>
    <row r="113" spans="1:23" x14ac:dyDescent="0.2">
      <c r="A113" s="14" t="s">
        <v>681</v>
      </c>
      <c r="C113" s="67">
        <v>1</v>
      </c>
      <c r="D113" s="67">
        <v>1</v>
      </c>
      <c r="E113" s="67">
        <v>1</v>
      </c>
      <c r="F113" s="67">
        <v>0</v>
      </c>
      <c r="G113" s="67">
        <v>0</v>
      </c>
      <c r="H113" s="67">
        <v>0</v>
      </c>
      <c r="I113" s="67">
        <v>0</v>
      </c>
      <c r="J113" s="67">
        <v>0</v>
      </c>
      <c r="K113" s="67">
        <v>0</v>
      </c>
      <c r="L113" s="67">
        <v>1</v>
      </c>
      <c r="M113" s="67">
        <v>1</v>
      </c>
      <c r="N113" s="67">
        <v>1</v>
      </c>
      <c r="O113" s="67"/>
      <c r="P113" s="50"/>
      <c r="Q113" s="36"/>
    </row>
    <row r="114" spans="1:23" x14ac:dyDescent="0.2">
      <c r="A114" s="14" t="s">
        <v>682</v>
      </c>
      <c r="C114" s="50">
        <f t="shared" ref="C114:N114" si="67">C112*C113</f>
        <v>1942.2043010752689</v>
      </c>
      <c r="D114" s="50">
        <f t="shared" si="67"/>
        <v>1998.4777777777779</v>
      </c>
      <c r="E114" s="50">
        <f t="shared" si="67"/>
        <v>1918.747311827957</v>
      </c>
      <c r="F114" s="50">
        <f t="shared" si="67"/>
        <v>0</v>
      </c>
      <c r="G114" s="50">
        <f t="shared" si="67"/>
        <v>0</v>
      </c>
      <c r="H114" s="50">
        <f t="shared" si="67"/>
        <v>0</v>
      </c>
      <c r="I114" s="50">
        <f t="shared" si="67"/>
        <v>0</v>
      </c>
      <c r="J114" s="50">
        <f t="shared" si="67"/>
        <v>0</v>
      </c>
      <c r="K114" s="50">
        <f t="shared" si="67"/>
        <v>0</v>
      </c>
      <c r="L114" s="50">
        <f t="shared" si="67"/>
        <v>1899.008064516129</v>
      </c>
      <c r="M114" s="50">
        <f t="shared" si="67"/>
        <v>1957.1916666666666</v>
      </c>
      <c r="N114" s="50">
        <f t="shared" si="67"/>
        <v>1882.008064516129</v>
      </c>
      <c r="O114" s="50">
        <f>SUM(C114:N114)</f>
        <v>11597.637186379929</v>
      </c>
      <c r="P114" s="50"/>
      <c r="Q114" s="36"/>
      <c r="R114" s="36">
        <f>O114</f>
        <v>11597.637186379929</v>
      </c>
      <c r="S114" s="36">
        <f>H114+I114+J114</f>
        <v>0</v>
      </c>
      <c r="T114" s="36">
        <f>R114-S114</f>
        <v>11597.637186379929</v>
      </c>
    </row>
    <row r="115" spans="1:23" x14ac:dyDescent="0.2">
      <c r="A115" s="14" t="s">
        <v>759</v>
      </c>
      <c r="C115" s="67">
        <v>0.5</v>
      </c>
      <c r="D115" s="67">
        <v>0.5</v>
      </c>
      <c r="E115" s="67">
        <v>0.5</v>
      </c>
      <c r="F115" s="67">
        <v>0.5</v>
      </c>
      <c r="G115" s="67">
        <v>0.5</v>
      </c>
      <c r="H115" s="67">
        <v>0.5</v>
      </c>
      <c r="I115" s="67">
        <v>0.5</v>
      </c>
      <c r="J115" s="67">
        <v>0.5</v>
      </c>
      <c r="K115" s="67">
        <v>0.5</v>
      </c>
      <c r="L115" s="67">
        <v>0.5</v>
      </c>
      <c r="M115" s="67">
        <v>0.5</v>
      </c>
      <c r="N115" s="67">
        <v>0.5</v>
      </c>
      <c r="O115" s="67"/>
      <c r="P115" s="132"/>
      <c r="Q115" s="132"/>
      <c r="U115" s="121"/>
      <c r="W115" s="121"/>
    </row>
    <row r="116" spans="1:23" x14ac:dyDescent="0.2">
      <c r="A116" s="14" t="s">
        <v>760</v>
      </c>
      <c r="C116" s="50">
        <f>C110/C115</f>
        <v>1942.2043010752689</v>
      </c>
      <c r="D116" s="50">
        <f t="shared" ref="D116:N116" si="68">D110/D115</f>
        <v>1998.4777777777779</v>
      </c>
      <c r="E116" s="50">
        <f t="shared" si="68"/>
        <v>1918.747311827957</v>
      </c>
      <c r="F116" s="50">
        <f t="shared" si="68"/>
        <v>1986.8805555555555</v>
      </c>
      <c r="G116" s="50">
        <f t="shared" si="68"/>
        <v>1920.9811827956989</v>
      </c>
      <c r="H116" s="50">
        <f t="shared" si="68"/>
        <v>1913.4758064516129</v>
      </c>
      <c r="I116" s="50">
        <f t="shared" si="68"/>
        <v>2115.625</v>
      </c>
      <c r="J116" s="50">
        <f t="shared" si="68"/>
        <v>1913.8252688172042</v>
      </c>
      <c r="K116" s="50">
        <f t="shared" si="68"/>
        <v>1972.1055555555556</v>
      </c>
      <c r="L116" s="50">
        <f t="shared" si="68"/>
        <v>1899.008064516129</v>
      </c>
      <c r="M116" s="50">
        <f t="shared" si="68"/>
        <v>1957.1916666666666</v>
      </c>
      <c r="N116" s="50">
        <f t="shared" si="68"/>
        <v>1882.008064516129</v>
      </c>
      <c r="O116" s="50">
        <f>SUM(C116:N116)</f>
        <v>23420.530555555553</v>
      </c>
      <c r="P116" s="50">
        <f>MAX(C116:N116)</f>
        <v>2115.625</v>
      </c>
      <c r="Q116" s="50"/>
    </row>
    <row r="118" spans="1:23" hidden="1" x14ac:dyDescent="0.2">
      <c r="A118" s="15">
        <f>A16</f>
        <v>0</v>
      </c>
      <c r="B118" s="216">
        <f>B16</f>
        <v>0</v>
      </c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36"/>
    </row>
    <row r="119" spans="1:23" hidden="1" x14ac:dyDescent="0.2">
      <c r="A119" s="14" t="s">
        <v>679</v>
      </c>
      <c r="C119" s="50">
        <v>0</v>
      </c>
      <c r="D119" s="50">
        <v>0</v>
      </c>
      <c r="E119" s="50">
        <v>0</v>
      </c>
      <c r="F119" s="50">
        <v>0</v>
      </c>
      <c r="G119" s="50">
        <v>0</v>
      </c>
      <c r="H119" s="50">
        <v>0</v>
      </c>
      <c r="I119" s="50">
        <v>0</v>
      </c>
      <c r="J119" s="50">
        <v>0</v>
      </c>
      <c r="K119" s="50">
        <v>0</v>
      </c>
      <c r="L119" s="50">
        <v>0</v>
      </c>
      <c r="M119" s="50">
        <v>0</v>
      </c>
      <c r="N119" s="50">
        <v>0</v>
      </c>
      <c r="O119" s="50">
        <f>SUM(C119:N119)</f>
        <v>0</v>
      </c>
      <c r="P119" s="132"/>
      <c r="Q119" s="132"/>
      <c r="U119" s="121"/>
      <c r="W119" s="121"/>
    </row>
    <row r="120" spans="1:23" hidden="1" x14ac:dyDescent="0.2">
      <c r="A120" s="14" t="s">
        <v>680</v>
      </c>
      <c r="C120" s="50">
        <f>C119/744</f>
        <v>0</v>
      </c>
      <c r="D120" s="48">
        <f>D119/720</f>
        <v>0</v>
      </c>
      <c r="E120" s="50">
        <f t="shared" ref="E120" si="69">E119/744</f>
        <v>0</v>
      </c>
      <c r="F120" s="50">
        <f>F119/720</f>
        <v>0</v>
      </c>
      <c r="G120" s="50">
        <f t="shared" ref="G120" si="70">G119/744</f>
        <v>0</v>
      </c>
      <c r="H120" s="48">
        <f>H119/744</f>
        <v>0</v>
      </c>
      <c r="I120" s="48">
        <f>I119/672</f>
        <v>0</v>
      </c>
      <c r="J120" s="50">
        <f t="shared" ref="J120" si="71">J119/744</f>
        <v>0</v>
      </c>
      <c r="K120" s="50">
        <f>K119/720</f>
        <v>0</v>
      </c>
      <c r="L120" s="50">
        <f t="shared" ref="L120" si="72">L119/744</f>
        <v>0</v>
      </c>
      <c r="M120" s="50">
        <f>M119/720</f>
        <v>0</v>
      </c>
      <c r="N120" s="50">
        <f t="shared" ref="N120" si="73">N119/744</f>
        <v>0</v>
      </c>
      <c r="O120" s="50">
        <f>O119/8760</f>
        <v>0</v>
      </c>
      <c r="P120" s="50"/>
      <c r="Q120" s="50"/>
    </row>
    <row r="121" spans="1:23" hidden="1" x14ac:dyDescent="0.2">
      <c r="A121" s="14" t="s">
        <v>757</v>
      </c>
      <c r="C121" s="67">
        <v>0</v>
      </c>
      <c r="D121" s="67">
        <v>0</v>
      </c>
      <c r="E121" s="67">
        <v>0</v>
      </c>
      <c r="F121" s="67">
        <v>0.25</v>
      </c>
      <c r="G121" s="67">
        <v>0.25</v>
      </c>
      <c r="H121" s="67">
        <v>0.25</v>
      </c>
      <c r="I121" s="67">
        <v>0.25</v>
      </c>
      <c r="J121" s="67">
        <v>0</v>
      </c>
      <c r="K121" s="67">
        <v>0</v>
      </c>
      <c r="L121" s="67">
        <v>0</v>
      </c>
      <c r="M121" s="67">
        <v>0</v>
      </c>
      <c r="N121" s="67">
        <v>0</v>
      </c>
      <c r="O121" s="67"/>
      <c r="Q121" s="36"/>
    </row>
    <row r="122" spans="1:23" hidden="1" x14ac:dyDescent="0.2">
      <c r="A122" s="14" t="s">
        <v>758</v>
      </c>
      <c r="C122" s="50"/>
      <c r="D122" s="50"/>
      <c r="E122" s="50"/>
      <c r="F122" s="50">
        <v>0</v>
      </c>
      <c r="G122" s="50">
        <v>0</v>
      </c>
      <c r="H122" s="50">
        <v>0</v>
      </c>
      <c r="I122" s="50">
        <v>0</v>
      </c>
      <c r="J122" s="50">
        <v>0</v>
      </c>
      <c r="K122" s="50"/>
      <c r="L122" s="50"/>
      <c r="M122" s="50"/>
      <c r="N122" s="50"/>
      <c r="O122" s="50">
        <f>SUM(C122:N122)</f>
        <v>0</v>
      </c>
      <c r="Q122" s="36">
        <f>MAX(C122:N122)</f>
        <v>0</v>
      </c>
    </row>
    <row r="123" spans="1:23" hidden="1" x14ac:dyDescent="0.2">
      <c r="A123" s="14" t="s">
        <v>681</v>
      </c>
      <c r="C123" s="67">
        <v>1</v>
      </c>
      <c r="D123" s="67">
        <v>1</v>
      </c>
      <c r="E123" s="67">
        <v>1</v>
      </c>
      <c r="F123" s="67">
        <v>0</v>
      </c>
      <c r="G123" s="67">
        <v>0</v>
      </c>
      <c r="H123" s="67">
        <v>0</v>
      </c>
      <c r="I123" s="67">
        <v>0</v>
      </c>
      <c r="J123" s="67">
        <v>0</v>
      </c>
      <c r="K123" s="67">
        <v>0</v>
      </c>
      <c r="L123" s="67">
        <v>1</v>
      </c>
      <c r="M123" s="67">
        <v>1</v>
      </c>
      <c r="N123" s="67">
        <v>1</v>
      </c>
      <c r="O123" s="67"/>
      <c r="P123" s="50"/>
      <c r="Q123" s="36"/>
    </row>
    <row r="124" spans="1:23" hidden="1" x14ac:dyDescent="0.2">
      <c r="A124" s="14" t="s">
        <v>682</v>
      </c>
      <c r="C124" s="50">
        <f t="shared" ref="C124:N124" si="74">C122*C123</f>
        <v>0</v>
      </c>
      <c r="D124" s="50">
        <f t="shared" si="74"/>
        <v>0</v>
      </c>
      <c r="E124" s="50">
        <f t="shared" si="74"/>
        <v>0</v>
      </c>
      <c r="F124" s="50">
        <f t="shared" si="74"/>
        <v>0</v>
      </c>
      <c r="G124" s="50">
        <f t="shared" si="74"/>
        <v>0</v>
      </c>
      <c r="H124" s="50">
        <f t="shared" si="74"/>
        <v>0</v>
      </c>
      <c r="I124" s="50">
        <f t="shared" si="74"/>
        <v>0</v>
      </c>
      <c r="J124" s="50">
        <f t="shared" si="74"/>
        <v>0</v>
      </c>
      <c r="K124" s="50">
        <f t="shared" si="74"/>
        <v>0</v>
      </c>
      <c r="L124" s="50">
        <f t="shared" si="74"/>
        <v>0</v>
      </c>
      <c r="M124" s="50">
        <f t="shared" si="74"/>
        <v>0</v>
      </c>
      <c r="N124" s="50">
        <f t="shared" si="74"/>
        <v>0</v>
      </c>
      <c r="O124" s="50">
        <f>SUM(C124:N124)</f>
        <v>0</v>
      </c>
      <c r="P124" s="50"/>
      <c r="Q124" s="36"/>
      <c r="R124" s="36">
        <f>O124</f>
        <v>0</v>
      </c>
      <c r="S124" s="36">
        <f>H124+I124+J124</f>
        <v>0</v>
      </c>
      <c r="T124" s="36">
        <f>R124-S124</f>
        <v>0</v>
      </c>
    </row>
    <row r="125" spans="1:23" hidden="1" x14ac:dyDescent="0.2">
      <c r="A125" s="14" t="s">
        <v>759</v>
      </c>
      <c r="C125" s="67">
        <v>0.65</v>
      </c>
      <c r="D125" s="67">
        <v>0.65</v>
      </c>
      <c r="E125" s="67">
        <v>0.65</v>
      </c>
      <c r="F125" s="67">
        <v>0.65</v>
      </c>
      <c r="G125" s="67">
        <v>0.65</v>
      </c>
      <c r="H125" s="67">
        <v>0.65</v>
      </c>
      <c r="I125" s="67">
        <v>0.65</v>
      </c>
      <c r="J125" s="67">
        <v>0.65</v>
      </c>
      <c r="K125" s="67">
        <v>0.65</v>
      </c>
      <c r="L125" s="67">
        <v>0.65</v>
      </c>
      <c r="M125" s="67">
        <v>0.65</v>
      </c>
      <c r="N125" s="67">
        <v>0.65</v>
      </c>
      <c r="O125" s="67"/>
      <c r="P125" s="132"/>
      <c r="Q125" s="132"/>
      <c r="U125" s="121"/>
      <c r="W125" s="121"/>
    </row>
    <row r="126" spans="1:23" hidden="1" x14ac:dyDescent="0.2">
      <c r="A126" s="14" t="s">
        <v>760</v>
      </c>
      <c r="C126" s="50">
        <f>C120/C125</f>
        <v>0</v>
      </c>
      <c r="D126" s="50">
        <f t="shared" ref="D126:N126" si="75">D120/D125</f>
        <v>0</v>
      </c>
      <c r="E126" s="50">
        <f t="shared" si="75"/>
        <v>0</v>
      </c>
      <c r="F126" s="50">
        <f t="shared" si="75"/>
        <v>0</v>
      </c>
      <c r="G126" s="50">
        <f t="shared" si="75"/>
        <v>0</v>
      </c>
      <c r="H126" s="50">
        <f t="shared" si="75"/>
        <v>0</v>
      </c>
      <c r="I126" s="50">
        <f t="shared" si="75"/>
        <v>0</v>
      </c>
      <c r="J126" s="50">
        <f t="shared" si="75"/>
        <v>0</v>
      </c>
      <c r="K126" s="50">
        <f t="shared" si="75"/>
        <v>0</v>
      </c>
      <c r="L126" s="50">
        <f t="shared" si="75"/>
        <v>0</v>
      </c>
      <c r="M126" s="50">
        <f t="shared" si="75"/>
        <v>0</v>
      </c>
      <c r="N126" s="50">
        <f t="shared" si="75"/>
        <v>0</v>
      </c>
      <c r="O126" s="50">
        <f>SUM(C126:N126)</f>
        <v>0</v>
      </c>
      <c r="P126" s="50">
        <f>MAX(C126:N126)</f>
        <v>0</v>
      </c>
      <c r="Q126" s="50"/>
    </row>
    <row r="128" spans="1:23" hidden="1" x14ac:dyDescent="0.2">
      <c r="A128" s="15">
        <f>A17</f>
        <v>0</v>
      </c>
      <c r="B128" s="216">
        <f>B17</f>
        <v>0</v>
      </c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36"/>
    </row>
    <row r="129" spans="1:23" hidden="1" x14ac:dyDescent="0.2">
      <c r="A129" s="14" t="s">
        <v>679</v>
      </c>
      <c r="C129" s="50">
        <v>0</v>
      </c>
      <c r="D129" s="50">
        <v>0</v>
      </c>
      <c r="E129" s="50">
        <v>0</v>
      </c>
      <c r="F129" s="50">
        <v>0</v>
      </c>
      <c r="G129" s="50">
        <v>0</v>
      </c>
      <c r="H129" s="50">
        <v>0</v>
      </c>
      <c r="I129" s="50">
        <v>0</v>
      </c>
      <c r="J129" s="50">
        <v>0</v>
      </c>
      <c r="K129" s="50">
        <v>0</v>
      </c>
      <c r="L129" s="50">
        <v>0</v>
      </c>
      <c r="M129" s="50">
        <v>0</v>
      </c>
      <c r="N129" s="50">
        <v>0</v>
      </c>
      <c r="O129" s="50">
        <f>SUM(C129:N129)</f>
        <v>0</v>
      </c>
      <c r="P129" s="132"/>
      <c r="Q129" s="132"/>
      <c r="U129" s="121"/>
      <c r="W129" s="121"/>
    </row>
    <row r="130" spans="1:23" hidden="1" x14ac:dyDescent="0.2">
      <c r="A130" s="14" t="s">
        <v>680</v>
      </c>
      <c r="C130" s="50">
        <f>C129/744</f>
        <v>0</v>
      </c>
      <c r="D130" s="48">
        <f>D129/720</f>
        <v>0</v>
      </c>
      <c r="E130" s="50">
        <f t="shared" ref="E130" si="76">E129/744</f>
        <v>0</v>
      </c>
      <c r="F130" s="50">
        <f>F129/720</f>
        <v>0</v>
      </c>
      <c r="G130" s="50">
        <f t="shared" ref="G130" si="77">G129/744</f>
        <v>0</v>
      </c>
      <c r="H130" s="48">
        <f>H129/744</f>
        <v>0</v>
      </c>
      <c r="I130" s="48">
        <f>I129/672</f>
        <v>0</v>
      </c>
      <c r="J130" s="50">
        <f t="shared" ref="J130" si="78">J129/744</f>
        <v>0</v>
      </c>
      <c r="K130" s="50">
        <f>K129/720</f>
        <v>0</v>
      </c>
      <c r="L130" s="50">
        <f t="shared" ref="L130" si="79">L129/744</f>
        <v>0</v>
      </c>
      <c r="M130" s="50">
        <f>M129/720</f>
        <v>0</v>
      </c>
      <c r="N130" s="50">
        <f t="shared" ref="N130" si="80">N129/744</f>
        <v>0</v>
      </c>
      <c r="O130" s="50">
        <f>O129/8760</f>
        <v>0</v>
      </c>
      <c r="P130" s="50"/>
      <c r="Q130" s="50"/>
    </row>
    <row r="131" spans="1:23" hidden="1" x14ac:dyDescent="0.2">
      <c r="A131" s="14" t="s">
        <v>757</v>
      </c>
      <c r="C131" s="67">
        <v>0</v>
      </c>
      <c r="D131" s="67">
        <v>0</v>
      </c>
      <c r="E131" s="67">
        <v>0</v>
      </c>
      <c r="F131" s="67">
        <v>0.25</v>
      </c>
      <c r="G131" s="67">
        <v>0.25</v>
      </c>
      <c r="H131" s="67">
        <v>0.25</v>
      </c>
      <c r="I131" s="67">
        <v>0.25</v>
      </c>
      <c r="J131" s="67">
        <v>0</v>
      </c>
      <c r="K131" s="67">
        <v>0</v>
      </c>
      <c r="L131" s="67">
        <v>0</v>
      </c>
      <c r="M131" s="67">
        <v>0</v>
      </c>
      <c r="N131" s="67">
        <v>0</v>
      </c>
      <c r="O131" s="67"/>
      <c r="Q131" s="36"/>
    </row>
    <row r="132" spans="1:23" hidden="1" x14ac:dyDescent="0.2">
      <c r="A132" s="14" t="s">
        <v>758</v>
      </c>
      <c r="C132" s="50"/>
      <c r="D132" s="50"/>
      <c r="E132" s="50"/>
      <c r="F132" s="50">
        <v>0</v>
      </c>
      <c r="G132" s="50">
        <v>0</v>
      </c>
      <c r="H132" s="50">
        <v>0</v>
      </c>
      <c r="I132" s="50">
        <v>0</v>
      </c>
      <c r="J132" s="50">
        <v>0</v>
      </c>
      <c r="K132" s="50"/>
      <c r="L132" s="50"/>
      <c r="M132" s="50"/>
      <c r="N132" s="50"/>
      <c r="O132" s="50">
        <f>SUM(C132:N132)</f>
        <v>0</v>
      </c>
      <c r="Q132" s="36">
        <f>MAX(C132:N132)</f>
        <v>0</v>
      </c>
    </row>
    <row r="133" spans="1:23" hidden="1" x14ac:dyDescent="0.2">
      <c r="A133" s="14" t="s">
        <v>681</v>
      </c>
      <c r="C133" s="67">
        <v>1</v>
      </c>
      <c r="D133" s="67">
        <v>1</v>
      </c>
      <c r="E133" s="67">
        <v>1</v>
      </c>
      <c r="F133" s="67">
        <v>0</v>
      </c>
      <c r="G133" s="67">
        <v>0</v>
      </c>
      <c r="H133" s="67">
        <v>0</v>
      </c>
      <c r="I133" s="67">
        <v>0</v>
      </c>
      <c r="J133" s="67">
        <v>0</v>
      </c>
      <c r="K133" s="67">
        <v>0</v>
      </c>
      <c r="L133" s="67">
        <v>1</v>
      </c>
      <c r="M133" s="67">
        <v>1</v>
      </c>
      <c r="N133" s="67">
        <v>1</v>
      </c>
      <c r="O133" s="67"/>
      <c r="P133" s="50"/>
      <c r="Q133" s="36"/>
    </row>
    <row r="134" spans="1:23" hidden="1" x14ac:dyDescent="0.2">
      <c r="A134" s="14" t="s">
        <v>682</v>
      </c>
      <c r="C134" s="50">
        <f t="shared" ref="C134:N134" si="81">C132*C133</f>
        <v>0</v>
      </c>
      <c r="D134" s="50">
        <f t="shared" si="81"/>
        <v>0</v>
      </c>
      <c r="E134" s="50">
        <f t="shared" si="81"/>
        <v>0</v>
      </c>
      <c r="F134" s="50">
        <f t="shared" si="81"/>
        <v>0</v>
      </c>
      <c r="G134" s="50">
        <f t="shared" si="81"/>
        <v>0</v>
      </c>
      <c r="H134" s="50">
        <f t="shared" si="81"/>
        <v>0</v>
      </c>
      <c r="I134" s="50">
        <f t="shared" si="81"/>
        <v>0</v>
      </c>
      <c r="J134" s="50">
        <f t="shared" si="81"/>
        <v>0</v>
      </c>
      <c r="K134" s="50">
        <f t="shared" si="81"/>
        <v>0</v>
      </c>
      <c r="L134" s="50">
        <f t="shared" si="81"/>
        <v>0</v>
      </c>
      <c r="M134" s="50">
        <f t="shared" si="81"/>
        <v>0</v>
      </c>
      <c r="N134" s="50">
        <f t="shared" si="81"/>
        <v>0</v>
      </c>
      <c r="O134" s="50">
        <f>SUM(C134:N134)</f>
        <v>0</v>
      </c>
      <c r="P134" s="50"/>
      <c r="Q134" s="36"/>
      <c r="R134" s="36">
        <f>O134</f>
        <v>0</v>
      </c>
      <c r="S134" s="36">
        <f>H134+I134+J134</f>
        <v>0</v>
      </c>
      <c r="T134" s="36">
        <f>R134-S134</f>
        <v>0</v>
      </c>
    </row>
    <row r="135" spans="1:23" hidden="1" x14ac:dyDescent="0.2">
      <c r="A135" s="14" t="s">
        <v>759</v>
      </c>
      <c r="C135" s="67">
        <v>0.65</v>
      </c>
      <c r="D135" s="67">
        <v>0.65</v>
      </c>
      <c r="E135" s="67">
        <v>0.65</v>
      </c>
      <c r="F135" s="67">
        <v>0.65</v>
      </c>
      <c r="G135" s="67">
        <v>0.65</v>
      </c>
      <c r="H135" s="67">
        <v>0.65</v>
      </c>
      <c r="I135" s="67">
        <v>0.65</v>
      </c>
      <c r="J135" s="67">
        <v>0.65</v>
      </c>
      <c r="K135" s="67">
        <v>0.65</v>
      </c>
      <c r="L135" s="67">
        <v>0.65</v>
      </c>
      <c r="M135" s="67">
        <v>0.65</v>
      </c>
      <c r="N135" s="67">
        <v>0.65</v>
      </c>
      <c r="O135" s="67"/>
      <c r="P135" s="132"/>
      <c r="Q135" s="132"/>
      <c r="U135" s="121"/>
      <c r="W135" s="121"/>
    </row>
    <row r="136" spans="1:23" hidden="1" x14ac:dyDescent="0.2">
      <c r="A136" s="14" t="s">
        <v>760</v>
      </c>
      <c r="C136" s="50">
        <f>C130/C135</f>
        <v>0</v>
      </c>
      <c r="D136" s="50">
        <f t="shared" ref="D136:N136" si="82">D130/D135</f>
        <v>0</v>
      </c>
      <c r="E136" s="50">
        <f t="shared" si="82"/>
        <v>0</v>
      </c>
      <c r="F136" s="50">
        <f t="shared" si="82"/>
        <v>0</v>
      </c>
      <c r="G136" s="50">
        <f t="shared" si="82"/>
        <v>0</v>
      </c>
      <c r="H136" s="50">
        <f t="shared" si="82"/>
        <v>0</v>
      </c>
      <c r="I136" s="50">
        <f t="shared" si="82"/>
        <v>0</v>
      </c>
      <c r="J136" s="50">
        <f t="shared" si="82"/>
        <v>0</v>
      </c>
      <c r="K136" s="50">
        <f t="shared" si="82"/>
        <v>0</v>
      </c>
      <c r="L136" s="50">
        <f t="shared" si="82"/>
        <v>0</v>
      </c>
      <c r="M136" s="50">
        <f t="shared" si="82"/>
        <v>0</v>
      </c>
      <c r="N136" s="50">
        <f t="shared" si="82"/>
        <v>0</v>
      </c>
      <c r="O136" s="50">
        <f>SUM(C136:N136)</f>
        <v>0</v>
      </c>
      <c r="P136" s="50">
        <f>MAX(C136:N136)</f>
        <v>0</v>
      </c>
      <c r="Q136" s="50"/>
    </row>
    <row r="137" spans="1:23" hidden="1" x14ac:dyDescent="0.2">
      <c r="L137" s="50"/>
    </row>
    <row r="138" spans="1:23" hidden="1" x14ac:dyDescent="0.2">
      <c r="A138" s="15">
        <f>A18</f>
        <v>0</v>
      </c>
      <c r="B138" s="16">
        <f>B18</f>
        <v>0</v>
      </c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36"/>
    </row>
    <row r="139" spans="1:23" hidden="1" x14ac:dyDescent="0.2">
      <c r="A139" s="14" t="s">
        <v>679</v>
      </c>
      <c r="C139" s="50">
        <v>0</v>
      </c>
      <c r="D139" s="50">
        <v>0</v>
      </c>
      <c r="E139" s="50">
        <v>0</v>
      </c>
      <c r="F139" s="50">
        <v>0</v>
      </c>
      <c r="G139" s="50">
        <v>0</v>
      </c>
      <c r="H139" s="50">
        <v>0</v>
      </c>
      <c r="I139" s="50">
        <v>0</v>
      </c>
      <c r="J139" s="50">
        <v>0</v>
      </c>
      <c r="K139" s="50">
        <v>0</v>
      </c>
      <c r="L139" s="50">
        <v>0</v>
      </c>
      <c r="M139" s="50">
        <v>0</v>
      </c>
      <c r="N139" s="50">
        <v>0</v>
      </c>
      <c r="O139" s="50">
        <f>SUM(C139:N139)</f>
        <v>0</v>
      </c>
      <c r="P139" s="132"/>
      <c r="Q139" s="132"/>
      <c r="U139" s="121"/>
      <c r="W139" s="121"/>
    </row>
    <row r="140" spans="1:23" hidden="1" x14ac:dyDescent="0.2">
      <c r="A140" s="14" t="s">
        <v>680</v>
      </c>
      <c r="C140" s="50">
        <f>C139/744</f>
        <v>0</v>
      </c>
      <c r="D140" s="48">
        <f>D139/720</f>
        <v>0</v>
      </c>
      <c r="E140" s="50">
        <f t="shared" ref="E140:N140" si="83">E139/744</f>
        <v>0</v>
      </c>
      <c r="F140" s="50">
        <f>F139/720</f>
        <v>0</v>
      </c>
      <c r="G140" s="50">
        <f t="shared" si="83"/>
        <v>0</v>
      </c>
      <c r="H140" s="48">
        <f>H139/744</f>
        <v>0</v>
      </c>
      <c r="I140" s="48">
        <f>I139/672</f>
        <v>0</v>
      </c>
      <c r="J140" s="50">
        <f t="shared" si="83"/>
        <v>0</v>
      </c>
      <c r="K140" s="50">
        <f>K139/720</f>
        <v>0</v>
      </c>
      <c r="L140" s="50">
        <f t="shared" si="83"/>
        <v>0</v>
      </c>
      <c r="M140" s="50">
        <f>M139/720</f>
        <v>0</v>
      </c>
      <c r="N140" s="50">
        <f t="shared" si="83"/>
        <v>0</v>
      </c>
      <c r="O140" s="50">
        <f>O139/8760</f>
        <v>0</v>
      </c>
      <c r="P140" s="50"/>
      <c r="Q140" s="50"/>
    </row>
    <row r="141" spans="1:23" hidden="1" x14ac:dyDescent="0.2">
      <c r="A141" s="14" t="s">
        <v>757</v>
      </c>
      <c r="C141" s="67">
        <v>0</v>
      </c>
      <c r="D141" s="67">
        <v>0</v>
      </c>
      <c r="E141" s="67">
        <v>0</v>
      </c>
      <c r="F141" s="67">
        <v>0.25</v>
      </c>
      <c r="G141" s="67">
        <v>0.25</v>
      </c>
      <c r="H141" s="67">
        <v>0.25</v>
      </c>
      <c r="I141" s="67">
        <v>0.25</v>
      </c>
      <c r="J141" s="67">
        <v>0</v>
      </c>
      <c r="K141" s="67">
        <v>0</v>
      </c>
      <c r="L141" s="67">
        <v>0</v>
      </c>
      <c r="M141" s="67">
        <v>0</v>
      </c>
      <c r="N141" s="67">
        <v>0</v>
      </c>
      <c r="O141" s="67"/>
      <c r="Q141" s="36"/>
    </row>
    <row r="142" spans="1:23" hidden="1" x14ac:dyDescent="0.2">
      <c r="A142" s="14" t="s">
        <v>758</v>
      </c>
      <c r="C142" s="50"/>
      <c r="D142" s="50"/>
      <c r="E142" s="50"/>
      <c r="F142" s="50">
        <v>0</v>
      </c>
      <c r="G142" s="50">
        <v>0</v>
      </c>
      <c r="H142" s="50">
        <v>0</v>
      </c>
      <c r="I142" s="50">
        <v>0</v>
      </c>
      <c r="J142" s="50">
        <v>0</v>
      </c>
      <c r="K142" s="50"/>
      <c r="L142" s="50"/>
      <c r="M142" s="50"/>
      <c r="N142" s="50"/>
      <c r="O142" s="50">
        <f>SUM(C142:N142)</f>
        <v>0</v>
      </c>
      <c r="Q142" s="36">
        <f>MAX(C142:N142)</f>
        <v>0</v>
      </c>
    </row>
    <row r="143" spans="1:23" hidden="1" x14ac:dyDescent="0.2">
      <c r="A143" s="14" t="s">
        <v>681</v>
      </c>
      <c r="C143" s="67">
        <v>1</v>
      </c>
      <c r="D143" s="67">
        <v>1</v>
      </c>
      <c r="E143" s="67">
        <v>1</v>
      </c>
      <c r="F143" s="67">
        <v>0</v>
      </c>
      <c r="G143" s="67">
        <v>0</v>
      </c>
      <c r="H143" s="67">
        <v>0</v>
      </c>
      <c r="I143" s="67">
        <v>0</v>
      </c>
      <c r="J143" s="67">
        <v>0</v>
      </c>
      <c r="K143" s="67">
        <v>0</v>
      </c>
      <c r="L143" s="67">
        <v>1</v>
      </c>
      <c r="M143" s="67">
        <v>1</v>
      </c>
      <c r="N143" s="67">
        <v>1</v>
      </c>
      <c r="O143" s="67"/>
      <c r="P143" s="50"/>
      <c r="Q143" s="36"/>
    </row>
    <row r="144" spans="1:23" hidden="1" x14ac:dyDescent="0.2">
      <c r="A144" s="14" t="s">
        <v>682</v>
      </c>
      <c r="C144" s="50">
        <f t="shared" ref="C144:N144" si="84">C142*C143</f>
        <v>0</v>
      </c>
      <c r="D144" s="50">
        <f t="shared" si="84"/>
        <v>0</v>
      </c>
      <c r="E144" s="50">
        <f t="shared" si="84"/>
        <v>0</v>
      </c>
      <c r="F144" s="50">
        <f t="shared" si="84"/>
        <v>0</v>
      </c>
      <c r="G144" s="50">
        <f t="shared" si="84"/>
        <v>0</v>
      </c>
      <c r="H144" s="50">
        <f t="shared" si="84"/>
        <v>0</v>
      </c>
      <c r="I144" s="50">
        <f t="shared" si="84"/>
        <v>0</v>
      </c>
      <c r="J144" s="50">
        <f t="shared" si="84"/>
        <v>0</v>
      </c>
      <c r="K144" s="50">
        <f t="shared" si="84"/>
        <v>0</v>
      </c>
      <c r="L144" s="50">
        <f t="shared" si="84"/>
        <v>0</v>
      </c>
      <c r="M144" s="50">
        <f t="shared" si="84"/>
        <v>0</v>
      </c>
      <c r="N144" s="50">
        <f t="shared" si="84"/>
        <v>0</v>
      </c>
      <c r="O144" s="50">
        <f>SUM(C144:N144)</f>
        <v>0</v>
      </c>
      <c r="P144" s="50"/>
      <c r="Q144" s="36"/>
      <c r="R144" s="36">
        <f>O144</f>
        <v>0</v>
      </c>
      <c r="S144" s="36">
        <f>H144+I144+J144</f>
        <v>0</v>
      </c>
      <c r="T144" s="36">
        <f>R144-S144</f>
        <v>0</v>
      </c>
    </row>
    <row r="145" spans="1:23" hidden="1" x14ac:dyDescent="0.2">
      <c r="A145" s="14" t="s">
        <v>759</v>
      </c>
      <c r="C145" s="67">
        <v>0.65</v>
      </c>
      <c r="D145" s="67">
        <v>0.65</v>
      </c>
      <c r="E145" s="67">
        <v>0.65</v>
      </c>
      <c r="F145" s="67">
        <v>0.65</v>
      </c>
      <c r="G145" s="67">
        <v>0.65</v>
      </c>
      <c r="H145" s="67">
        <v>0.65</v>
      </c>
      <c r="I145" s="67">
        <v>0.65</v>
      </c>
      <c r="J145" s="67">
        <v>0.65</v>
      </c>
      <c r="K145" s="67">
        <v>0.65</v>
      </c>
      <c r="L145" s="67">
        <v>0.65</v>
      </c>
      <c r="M145" s="67">
        <v>0.65</v>
      </c>
      <c r="N145" s="67">
        <v>0.65</v>
      </c>
      <c r="O145" s="67"/>
      <c r="P145" s="132"/>
      <c r="Q145" s="132"/>
      <c r="U145" s="121"/>
      <c r="W145" s="121"/>
    </row>
    <row r="146" spans="1:23" hidden="1" x14ac:dyDescent="0.2">
      <c r="A146" s="14" t="s">
        <v>760</v>
      </c>
      <c r="C146" s="50">
        <f>C140/C145</f>
        <v>0</v>
      </c>
      <c r="D146" s="50">
        <f t="shared" ref="D146:N146" si="85">D140/D145</f>
        <v>0</v>
      </c>
      <c r="E146" s="50">
        <f t="shared" si="85"/>
        <v>0</v>
      </c>
      <c r="F146" s="50">
        <f t="shared" si="85"/>
        <v>0</v>
      </c>
      <c r="G146" s="50">
        <f t="shared" si="85"/>
        <v>0</v>
      </c>
      <c r="H146" s="50">
        <f t="shared" si="85"/>
        <v>0</v>
      </c>
      <c r="I146" s="50">
        <f t="shared" si="85"/>
        <v>0</v>
      </c>
      <c r="J146" s="50">
        <f t="shared" si="85"/>
        <v>0</v>
      </c>
      <c r="K146" s="50">
        <f t="shared" si="85"/>
        <v>0</v>
      </c>
      <c r="L146" s="50">
        <f t="shared" si="85"/>
        <v>0</v>
      </c>
      <c r="M146" s="50">
        <f t="shared" si="85"/>
        <v>0</v>
      </c>
      <c r="N146" s="50">
        <f t="shared" si="85"/>
        <v>0</v>
      </c>
      <c r="O146" s="50">
        <f>SUM(C146:N146)</f>
        <v>0</v>
      </c>
      <c r="P146" s="50">
        <f>MAX(C146:N146)</f>
        <v>0</v>
      </c>
      <c r="Q146" s="50"/>
    </row>
    <row r="147" spans="1:23" hidden="1" x14ac:dyDescent="0.2"/>
    <row r="148" spans="1:23" hidden="1" x14ac:dyDescent="0.2">
      <c r="A148" s="15">
        <f>A19</f>
        <v>0</v>
      </c>
      <c r="B148" s="16">
        <f>B19</f>
        <v>0</v>
      </c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36"/>
    </row>
    <row r="149" spans="1:23" hidden="1" x14ac:dyDescent="0.2">
      <c r="A149" s="14" t="s">
        <v>679</v>
      </c>
      <c r="C149" s="50">
        <v>0</v>
      </c>
      <c r="D149" s="50">
        <v>0</v>
      </c>
      <c r="E149" s="50">
        <v>0</v>
      </c>
      <c r="F149" s="50">
        <v>0</v>
      </c>
      <c r="G149" s="50">
        <v>0</v>
      </c>
      <c r="H149" s="50">
        <v>0</v>
      </c>
      <c r="I149" s="50">
        <v>0</v>
      </c>
      <c r="J149" s="50">
        <v>0</v>
      </c>
      <c r="K149" s="50">
        <v>0</v>
      </c>
      <c r="L149" s="50">
        <v>0</v>
      </c>
      <c r="M149" s="50">
        <v>0</v>
      </c>
      <c r="N149" s="50">
        <v>0</v>
      </c>
      <c r="O149" s="50">
        <f>SUM(C149:N149)</f>
        <v>0</v>
      </c>
      <c r="P149" s="132"/>
      <c r="Q149" s="132"/>
      <c r="U149" s="121"/>
      <c r="W149" s="121"/>
    </row>
    <row r="150" spans="1:23" hidden="1" x14ac:dyDescent="0.2">
      <c r="A150" s="14" t="s">
        <v>680</v>
      </c>
      <c r="C150" s="50">
        <f>C149/744</f>
        <v>0</v>
      </c>
      <c r="D150" s="48">
        <f>D149/720</f>
        <v>0</v>
      </c>
      <c r="E150" s="50">
        <f t="shared" ref="E150:N150" si="86">E149/744</f>
        <v>0</v>
      </c>
      <c r="F150" s="50">
        <f>F149/720</f>
        <v>0</v>
      </c>
      <c r="G150" s="50">
        <f t="shared" si="86"/>
        <v>0</v>
      </c>
      <c r="H150" s="48">
        <f>H149/744</f>
        <v>0</v>
      </c>
      <c r="I150" s="48">
        <f>I149/672</f>
        <v>0</v>
      </c>
      <c r="J150" s="50">
        <f t="shared" si="86"/>
        <v>0</v>
      </c>
      <c r="K150" s="50">
        <f>K149/720</f>
        <v>0</v>
      </c>
      <c r="L150" s="50">
        <f t="shared" si="86"/>
        <v>0</v>
      </c>
      <c r="M150" s="50">
        <f>M149/720</f>
        <v>0</v>
      </c>
      <c r="N150" s="50">
        <f t="shared" si="86"/>
        <v>0</v>
      </c>
      <c r="O150" s="50">
        <f>O149/8760</f>
        <v>0</v>
      </c>
      <c r="P150" s="50"/>
      <c r="Q150" s="50"/>
    </row>
    <row r="151" spans="1:23" hidden="1" x14ac:dyDescent="0.2">
      <c r="A151" s="14" t="s">
        <v>757</v>
      </c>
      <c r="C151" s="67">
        <v>0</v>
      </c>
      <c r="D151" s="67">
        <v>0</v>
      </c>
      <c r="E151" s="67">
        <v>0</v>
      </c>
      <c r="F151" s="67">
        <v>0.25</v>
      </c>
      <c r="G151" s="67">
        <v>0.25</v>
      </c>
      <c r="H151" s="67">
        <v>0.25</v>
      </c>
      <c r="I151" s="67">
        <v>0.25</v>
      </c>
      <c r="J151" s="67">
        <v>0</v>
      </c>
      <c r="K151" s="67">
        <v>0</v>
      </c>
      <c r="L151" s="67">
        <v>0</v>
      </c>
      <c r="M151" s="67">
        <v>0</v>
      </c>
      <c r="N151" s="67">
        <v>0</v>
      </c>
      <c r="O151" s="67"/>
      <c r="Q151" s="36"/>
    </row>
    <row r="152" spans="1:23" hidden="1" x14ac:dyDescent="0.2">
      <c r="A152" s="14" t="s">
        <v>758</v>
      </c>
      <c r="C152" s="50"/>
      <c r="D152" s="50"/>
      <c r="E152" s="50"/>
      <c r="F152" s="50">
        <v>0</v>
      </c>
      <c r="G152" s="50">
        <v>0</v>
      </c>
      <c r="H152" s="50">
        <v>0</v>
      </c>
      <c r="I152" s="50">
        <v>0</v>
      </c>
      <c r="J152" s="50">
        <v>0</v>
      </c>
      <c r="K152" s="50"/>
      <c r="L152" s="50"/>
      <c r="M152" s="50"/>
      <c r="N152" s="50"/>
      <c r="O152" s="50">
        <f>SUM(C152:N152)</f>
        <v>0</v>
      </c>
      <c r="Q152" s="36">
        <f>MAX(C152:N152)</f>
        <v>0</v>
      </c>
    </row>
    <row r="153" spans="1:23" hidden="1" x14ac:dyDescent="0.2">
      <c r="A153" s="14" t="s">
        <v>681</v>
      </c>
      <c r="C153" s="67">
        <v>1</v>
      </c>
      <c r="D153" s="67">
        <v>1</v>
      </c>
      <c r="E153" s="67">
        <v>1</v>
      </c>
      <c r="F153" s="67">
        <v>0</v>
      </c>
      <c r="G153" s="67">
        <v>0</v>
      </c>
      <c r="H153" s="67">
        <v>0</v>
      </c>
      <c r="I153" s="67">
        <v>0</v>
      </c>
      <c r="J153" s="67">
        <v>0</v>
      </c>
      <c r="K153" s="67">
        <v>0</v>
      </c>
      <c r="L153" s="67">
        <v>1</v>
      </c>
      <c r="M153" s="67">
        <v>1</v>
      </c>
      <c r="N153" s="67">
        <v>1</v>
      </c>
      <c r="O153" s="67"/>
      <c r="P153" s="50"/>
      <c r="Q153" s="36"/>
    </row>
    <row r="154" spans="1:23" hidden="1" x14ac:dyDescent="0.2">
      <c r="A154" s="14" t="s">
        <v>682</v>
      </c>
      <c r="C154" s="50">
        <f t="shared" ref="C154:N154" si="87">C152*C153</f>
        <v>0</v>
      </c>
      <c r="D154" s="50">
        <f t="shared" si="87"/>
        <v>0</v>
      </c>
      <c r="E154" s="50">
        <f t="shared" si="87"/>
        <v>0</v>
      </c>
      <c r="F154" s="50">
        <f t="shared" si="87"/>
        <v>0</v>
      </c>
      <c r="G154" s="50">
        <f t="shared" si="87"/>
        <v>0</v>
      </c>
      <c r="H154" s="50">
        <f t="shared" si="87"/>
        <v>0</v>
      </c>
      <c r="I154" s="50">
        <f t="shared" si="87"/>
        <v>0</v>
      </c>
      <c r="J154" s="50">
        <f t="shared" si="87"/>
        <v>0</v>
      </c>
      <c r="K154" s="50">
        <f t="shared" si="87"/>
        <v>0</v>
      </c>
      <c r="L154" s="50">
        <f t="shared" si="87"/>
        <v>0</v>
      </c>
      <c r="M154" s="50">
        <f t="shared" si="87"/>
        <v>0</v>
      </c>
      <c r="N154" s="50">
        <f t="shared" si="87"/>
        <v>0</v>
      </c>
      <c r="O154" s="50">
        <f>SUM(C154:N154)</f>
        <v>0</v>
      </c>
      <c r="P154" s="50"/>
      <c r="Q154" s="36"/>
      <c r="R154" s="36">
        <f>O154</f>
        <v>0</v>
      </c>
      <c r="S154" s="36">
        <f>H154+I154+J154</f>
        <v>0</v>
      </c>
      <c r="T154" s="36">
        <f>R154-S154</f>
        <v>0</v>
      </c>
    </row>
    <row r="155" spans="1:23" hidden="1" x14ac:dyDescent="0.2">
      <c r="A155" s="14" t="s">
        <v>759</v>
      </c>
      <c r="C155" s="67">
        <v>0.65</v>
      </c>
      <c r="D155" s="67">
        <v>0.65</v>
      </c>
      <c r="E155" s="67">
        <v>0.65</v>
      </c>
      <c r="F155" s="67">
        <v>0.65</v>
      </c>
      <c r="G155" s="67">
        <v>0.65</v>
      </c>
      <c r="H155" s="67">
        <v>0.65</v>
      </c>
      <c r="I155" s="67">
        <v>0.65</v>
      </c>
      <c r="J155" s="67">
        <v>0.65</v>
      </c>
      <c r="K155" s="67">
        <v>0.65</v>
      </c>
      <c r="L155" s="67">
        <v>0.65</v>
      </c>
      <c r="M155" s="67">
        <v>0.65</v>
      </c>
      <c r="N155" s="67">
        <v>0.65</v>
      </c>
      <c r="O155" s="67"/>
      <c r="P155" s="132"/>
      <c r="Q155" s="132"/>
      <c r="U155" s="121"/>
      <c r="W155" s="121"/>
    </row>
    <row r="156" spans="1:23" hidden="1" x14ac:dyDescent="0.2">
      <c r="A156" s="14" t="s">
        <v>760</v>
      </c>
      <c r="C156" s="50">
        <f>C150/C155</f>
        <v>0</v>
      </c>
      <c r="D156" s="50">
        <f t="shared" ref="D156:N156" si="88">D150/D155</f>
        <v>0</v>
      </c>
      <c r="E156" s="50">
        <f t="shared" si="88"/>
        <v>0</v>
      </c>
      <c r="F156" s="50">
        <f t="shared" si="88"/>
        <v>0</v>
      </c>
      <c r="G156" s="50">
        <f t="shared" si="88"/>
        <v>0</v>
      </c>
      <c r="H156" s="50">
        <f t="shared" si="88"/>
        <v>0</v>
      </c>
      <c r="I156" s="50">
        <f t="shared" si="88"/>
        <v>0</v>
      </c>
      <c r="J156" s="50">
        <f t="shared" si="88"/>
        <v>0</v>
      </c>
      <c r="K156" s="50">
        <f t="shared" si="88"/>
        <v>0</v>
      </c>
      <c r="L156" s="50">
        <f t="shared" si="88"/>
        <v>0</v>
      </c>
      <c r="M156" s="50">
        <f t="shared" si="88"/>
        <v>0</v>
      </c>
      <c r="N156" s="50">
        <f t="shared" si="88"/>
        <v>0</v>
      </c>
      <c r="O156" s="50">
        <f>SUM(C156:N156)</f>
        <v>0</v>
      </c>
      <c r="P156" s="50">
        <f>MAX(C156:N156)</f>
        <v>0</v>
      </c>
      <c r="Q156" s="50"/>
    </row>
    <row r="157" spans="1:23" hidden="1" x14ac:dyDescent="0.2"/>
    <row r="158" spans="1:23" hidden="1" x14ac:dyDescent="0.2">
      <c r="A158" s="15">
        <f>A20</f>
        <v>0</v>
      </c>
      <c r="B158" s="16">
        <f>B20</f>
        <v>0</v>
      </c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36"/>
    </row>
    <row r="159" spans="1:23" hidden="1" x14ac:dyDescent="0.2">
      <c r="A159" s="14" t="s">
        <v>679</v>
      </c>
      <c r="C159" s="50">
        <v>0</v>
      </c>
      <c r="D159" s="50">
        <v>0</v>
      </c>
      <c r="E159" s="50">
        <v>0</v>
      </c>
      <c r="F159" s="50">
        <v>0</v>
      </c>
      <c r="G159" s="50">
        <v>0</v>
      </c>
      <c r="H159" s="50">
        <v>0</v>
      </c>
      <c r="I159" s="50">
        <v>0</v>
      </c>
      <c r="J159" s="50">
        <v>0</v>
      </c>
      <c r="K159" s="50">
        <v>0</v>
      </c>
      <c r="L159" s="50">
        <v>0</v>
      </c>
      <c r="M159" s="50">
        <v>0</v>
      </c>
      <c r="N159" s="50">
        <v>0</v>
      </c>
      <c r="O159" s="50">
        <f>SUM(C159:N159)</f>
        <v>0</v>
      </c>
      <c r="P159" s="132"/>
      <c r="Q159" s="132"/>
      <c r="U159" s="121"/>
      <c r="W159" s="121"/>
    </row>
    <row r="160" spans="1:23" hidden="1" x14ac:dyDescent="0.2">
      <c r="A160" s="14" t="s">
        <v>680</v>
      </c>
      <c r="C160" s="50">
        <f>C159/744</f>
        <v>0</v>
      </c>
      <c r="D160" s="48">
        <f>D159/720</f>
        <v>0</v>
      </c>
      <c r="E160" s="50">
        <f t="shared" ref="E160:N160" si="89">E159/744</f>
        <v>0</v>
      </c>
      <c r="F160" s="50">
        <f>F159/720</f>
        <v>0</v>
      </c>
      <c r="G160" s="50">
        <f t="shared" si="89"/>
        <v>0</v>
      </c>
      <c r="H160" s="48">
        <f>H159/744</f>
        <v>0</v>
      </c>
      <c r="I160" s="48">
        <f>I159/672</f>
        <v>0</v>
      </c>
      <c r="J160" s="50">
        <f t="shared" si="89"/>
        <v>0</v>
      </c>
      <c r="K160" s="50">
        <f>K159/720</f>
        <v>0</v>
      </c>
      <c r="L160" s="50">
        <f t="shared" si="89"/>
        <v>0</v>
      </c>
      <c r="M160" s="50">
        <f>M159/720</f>
        <v>0</v>
      </c>
      <c r="N160" s="50">
        <f t="shared" si="89"/>
        <v>0</v>
      </c>
      <c r="O160" s="50">
        <f>O159/8760</f>
        <v>0</v>
      </c>
      <c r="P160" s="50"/>
      <c r="Q160" s="50"/>
    </row>
    <row r="161" spans="1:23" hidden="1" x14ac:dyDescent="0.2">
      <c r="A161" s="14" t="s">
        <v>757</v>
      </c>
      <c r="C161" s="67">
        <v>0</v>
      </c>
      <c r="D161" s="67">
        <v>0</v>
      </c>
      <c r="E161" s="67">
        <v>0</v>
      </c>
      <c r="F161" s="67">
        <v>0.25</v>
      </c>
      <c r="G161" s="67">
        <v>0.25</v>
      </c>
      <c r="H161" s="67">
        <v>0.25</v>
      </c>
      <c r="I161" s="67">
        <v>0.25</v>
      </c>
      <c r="J161" s="67">
        <v>0</v>
      </c>
      <c r="K161" s="67">
        <v>0</v>
      </c>
      <c r="L161" s="67">
        <v>0</v>
      </c>
      <c r="M161" s="67">
        <v>0</v>
      </c>
      <c r="N161" s="67">
        <v>0</v>
      </c>
      <c r="O161" s="67"/>
      <c r="Q161" s="36"/>
    </row>
    <row r="162" spans="1:23" hidden="1" x14ac:dyDescent="0.2">
      <c r="A162" s="14" t="s">
        <v>758</v>
      </c>
      <c r="C162" s="50"/>
      <c r="D162" s="50"/>
      <c r="E162" s="50"/>
      <c r="F162" s="50">
        <v>0</v>
      </c>
      <c r="G162" s="50">
        <v>0</v>
      </c>
      <c r="H162" s="50">
        <v>0</v>
      </c>
      <c r="I162" s="50">
        <v>0</v>
      </c>
      <c r="J162" s="50">
        <v>0</v>
      </c>
      <c r="K162" s="50"/>
      <c r="L162" s="50"/>
      <c r="M162" s="50"/>
      <c r="N162" s="50"/>
      <c r="O162" s="50">
        <f>SUM(C162:N162)</f>
        <v>0</v>
      </c>
      <c r="Q162" s="36">
        <f>MAX(C162:N162)</f>
        <v>0</v>
      </c>
    </row>
    <row r="163" spans="1:23" hidden="1" x14ac:dyDescent="0.2">
      <c r="A163" s="14" t="s">
        <v>681</v>
      </c>
      <c r="C163" s="67">
        <v>1</v>
      </c>
      <c r="D163" s="67">
        <v>1</v>
      </c>
      <c r="E163" s="67">
        <v>1</v>
      </c>
      <c r="F163" s="67">
        <v>0</v>
      </c>
      <c r="G163" s="67">
        <v>0</v>
      </c>
      <c r="H163" s="67">
        <v>0</v>
      </c>
      <c r="I163" s="67">
        <v>0</v>
      </c>
      <c r="J163" s="67">
        <v>0</v>
      </c>
      <c r="K163" s="67">
        <v>0</v>
      </c>
      <c r="L163" s="67">
        <v>1</v>
      </c>
      <c r="M163" s="67">
        <v>1</v>
      </c>
      <c r="N163" s="67">
        <v>1</v>
      </c>
      <c r="O163" s="67"/>
      <c r="P163" s="50"/>
      <c r="Q163" s="36"/>
    </row>
    <row r="164" spans="1:23" hidden="1" x14ac:dyDescent="0.2">
      <c r="A164" s="14" t="s">
        <v>682</v>
      </c>
      <c r="C164" s="50">
        <f t="shared" ref="C164:N164" si="90">C162*C163</f>
        <v>0</v>
      </c>
      <c r="D164" s="50">
        <f t="shared" si="90"/>
        <v>0</v>
      </c>
      <c r="E164" s="50">
        <f t="shared" si="90"/>
        <v>0</v>
      </c>
      <c r="F164" s="50">
        <f t="shared" si="90"/>
        <v>0</v>
      </c>
      <c r="G164" s="50">
        <f t="shared" si="90"/>
        <v>0</v>
      </c>
      <c r="H164" s="50">
        <f t="shared" si="90"/>
        <v>0</v>
      </c>
      <c r="I164" s="50">
        <f t="shared" si="90"/>
        <v>0</v>
      </c>
      <c r="J164" s="50">
        <f t="shared" si="90"/>
        <v>0</v>
      </c>
      <c r="K164" s="50">
        <f t="shared" si="90"/>
        <v>0</v>
      </c>
      <c r="L164" s="50">
        <f t="shared" si="90"/>
        <v>0</v>
      </c>
      <c r="M164" s="50">
        <f t="shared" si="90"/>
        <v>0</v>
      </c>
      <c r="N164" s="50">
        <f t="shared" si="90"/>
        <v>0</v>
      </c>
      <c r="O164" s="50">
        <f>SUM(C164:N164)</f>
        <v>0</v>
      </c>
      <c r="P164" s="50"/>
      <c r="Q164" s="36"/>
      <c r="R164" s="36">
        <f>O164</f>
        <v>0</v>
      </c>
      <c r="S164" s="36">
        <f>H164+I164+J164</f>
        <v>0</v>
      </c>
      <c r="T164" s="36">
        <f>R164-S164</f>
        <v>0</v>
      </c>
    </row>
    <row r="165" spans="1:23" hidden="1" x14ac:dyDescent="0.2">
      <c r="A165" s="14" t="s">
        <v>759</v>
      </c>
      <c r="C165" s="67">
        <v>0.65</v>
      </c>
      <c r="D165" s="67">
        <v>0.65</v>
      </c>
      <c r="E165" s="67">
        <v>0.65</v>
      </c>
      <c r="F165" s="67">
        <v>0.65</v>
      </c>
      <c r="G165" s="67">
        <v>0.65</v>
      </c>
      <c r="H165" s="67">
        <v>0.65</v>
      </c>
      <c r="I165" s="67">
        <v>0.65</v>
      </c>
      <c r="J165" s="67">
        <v>0.65</v>
      </c>
      <c r="K165" s="67">
        <v>0.65</v>
      </c>
      <c r="L165" s="67">
        <v>0.65</v>
      </c>
      <c r="M165" s="67">
        <v>0.65</v>
      </c>
      <c r="N165" s="67">
        <v>0.65</v>
      </c>
      <c r="O165" s="67"/>
      <c r="P165" s="132"/>
      <c r="Q165" s="132"/>
      <c r="U165" s="121"/>
      <c r="W165" s="121"/>
    </row>
    <row r="166" spans="1:23" hidden="1" x14ac:dyDescent="0.2">
      <c r="A166" s="14" t="s">
        <v>760</v>
      </c>
      <c r="C166" s="50">
        <f>C160/C165</f>
        <v>0</v>
      </c>
      <c r="D166" s="50">
        <f t="shared" ref="D166:N166" si="91">D160/D165</f>
        <v>0</v>
      </c>
      <c r="E166" s="50">
        <f t="shared" si="91"/>
        <v>0</v>
      </c>
      <c r="F166" s="50">
        <f t="shared" si="91"/>
        <v>0</v>
      </c>
      <c r="G166" s="50">
        <f t="shared" si="91"/>
        <v>0</v>
      </c>
      <c r="H166" s="50">
        <f t="shared" si="91"/>
        <v>0</v>
      </c>
      <c r="I166" s="50">
        <f t="shared" si="91"/>
        <v>0</v>
      </c>
      <c r="J166" s="50">
        <f t="shared" si="91"/>
        <v>0</v>
      </c>
      <c r="K166" s="50">
        <f t="shared" si="91"/>
        <v>0</v>
      </c>
      <c r="L166" s="50">
        <f t="shared" si="91"/>
        <v>0</v>
      </c>
      <c r="M166" s="50">
        <f t="shared" si="91"/>
        <v>0</v>
      </c>
      <c r="N166" s="50">
        <f t="shared" si="91"/>
        <v>0</v>
      </c>
      <c r="O166" s="50">
        <f>SUM(C166:N166)</f>
        <v>0</v>
      </c>
      <c r="P166" s="50">
        <f>MAX(C166:N166)</f>
        <v>0</v>
      </c>
      <c r="Q166" s="50"/>
    </row>
    <row r="167" spans="1:23" ht="15.75" hidden="1" customHeight="1" x14ac:dyDescent="0.2"/>
    <row r="168" spans="1:23" hidden="1" x14ac:dyDescent="0.2">
      <c r="A168" s="15">
        <f>A21</f>
        <v>0</v>
      </c>
      <c r="B168" s="16">
        <f>B21</f>
        <v>0</v>
      </c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36"/>
    </row>
    <row r="169" spans="1:23" hidden="1" x14ac:dyDescent="0.2">
      <c r="A169" s="14" t="s">
        <v>679</v>
      </c>
      <c r="C169" s="50">
        <v>0</v>
      </c>
      <c r="D169" s="50">
        <v>0</v>
      </c>
      <c r="E169" s="50">
        <v>0</v>
      </c>
      <c r="F169" s="50">
        <v>0</v>
      </c>
      <c r="G169" s="50">
        <v>0</v>
      </c>
      <c r="H169" s="50">
        <v>0</v>
      </c>
      <c r="I169" s="50">
        <v>0</v>
      </c>
      <c r="J169" s="50">
        <v>0</v>
      </c>
      <c r="K169" s="50">
        <v>0</v>
      </c>
      <c r="L169" s="50">
        <v>0</v>
      </c>
      <c r="M169" s="50">
        <v>0</v>
      </c>
      <c r="N169" s="50">
        <v>0</v>
      </c>
      <c r="O169" s="50">
        <f>SUM(C169:N169)</f>
        <v>0</v>
      </c>
      <c r="P169" s="132"/>
      <c r="Q169" s="132"/>
      <c r="U169" s="121"/>
      <c r="W169" s="121"/>
    </row>
    <row r="170" spans="1:23" hidden="1" x14ac:dyDescent="0.2">
      <c r="A170" s="14" t="s">
        <v>680</v>
      </c>
      <c r="C170" s="50">
        <f>C169/744</f>
        <v>0</v>
      </c>
      <c r="D170" s="48">
        <f>D169/720</f>
        <v>0</v>
      </c>
      <c r="E170" s="50">
        <f t="shared" ref="E170:N170" si="92">E169/744</f>
        <v>0</v>
      </c>
      <c r="F170" s="50">
        <f>F169/720</f>
        <v>0</v>
      </c>
      <c r="G170" s="50">
        <f t="shared" si="92"/>
        <v>0</v>
      </c>
      <c r="H170" s="48">
        <f>H169/744</f>
        <v>0</v>
      </c>
      <c r="I170" s="48">
        <f>I169/672</f>
        <v>0</v>
      </c>
      <c r="J170" s="50">
        <f t="shared" si="92"/>
        <v>0</v>
      </c>
      <c r="K170" s="50">
        <f>K169/720</f>
        <v>0</v>
      </c>
      <c r="L170" s="50">
        <f t="shared" si="92"/>
        <v>0</v>
      </c>
      <c r="M170" s="50">
        <f>M169/720</f>
        <v>0</v>
      </c>
      <c r="N170" s="50">
        <f t="shared" si="92"/>
        <v>0</v>
      </c>
      <c r="O170" s="50">
        <f>O169/8760</f>
        <v>0</v>
      </c>
      <c r="P170" s="50"/>
      <c r="Q170" s="50"/>
    </row>
    <row r="171" spans="1:23" hidden="1" x14ac:dyDescent="0.2">
      <c r="A171" s="14" t="s">
        <v>757</v>
      </c>
      <c r="C171" s="67">
        <v>0</v>
      </c>
      <c r="D171" s="67">
        <v>0</v>
      </c>
      <c r="E171" s="67">
        <v>0</v>
      </c>
      <c r="F171" s="67">
        <v>0.25</v>
      </c>
      <c r="G171" s="67">
        <v>0.25</v>
      </c>
      <c r="H171" s="67">
        <v>0.25</v>
      </c>
      <c r="I171" s="67">
        <v>0.25</v>
      </c>
      <c r="J171" s="67">
        <v>0</v>
      </c>
      <c r="K171" s="67">
        <v>0</v>
      </c>
      <c r="L171" s="67">
        <v>0</v>
      </c>
      <c r="M171" s="67">
        <v>0</v>
      </c>
      <c r="N171" s="67">
        <v>0</v>
      </c>
      <c r="O171" s="67"/>
      <c r="Q171" s="36"/>
    </row>
    <row r="172" spans="1:23" hidden="1" x14ac:dyDescent="0.2">
      <c r="A172" s="14" t="s">
        <v>758</v>
      </c>
      <c r="C172" s="50"/>
      <c r="D172" s="50"/>
      <c r="E172" s="50"/>
      <c r="F172" s="50">
        <v>0</v>
      </c>
      <c r="G172" s="50">
        <v>0</v>
      </c>
      <c r="H172" s="50">
        <v>0</v>
      </c>
      <c r="I172" s="50">
        <v>0</v>
      </c>
      <c r="J172" s="50">
        <v>0</v>
      </c>
      <c r="K172" s="50"/>
      <c r="L172" s="50"/>
      <c r="M172" s="50"/>
      <c r="N172" s="50"/>
      <c r="O172" s="50">
        <f>SUM(C172:N172)</f>
        <v>0</v>
      </c>
      <c r="Q172" s="36">
        <f>MAX(C172:N172)</f>
        <v>0</v>
      </c>
    </row>
    <row r="173" spans="1:23" hidden="1" x14ac:dyDescent="0.2">
      <c r="A173" s="14" t="s">
        <v>681</v>
      </c>
      <c r="C173" s="67">
        <v>1</v>
      </c>
      <c r="D173" s="67">
        <v>1</v>
      </c>
      <c r="E173" s="67">
        <v>1</v>
      </c>
      <c r="F173" s="67">
        <v>0</v>
      </c>
      <c r="G173" s="67">
        <v>0</v>
      </c>
      <c r="H173" s="67">
        <v>0</v>
      </c>
      <c r="I173" s="67">
        <v>0</v>
      </c>
      <c r="J173" s="67">
        <v>0</v>
      </c>
      <c r="K173" s="67">
        <v>0</v>
      </c>
      <c r="L173" s="67">
        <v>1</v>
      </c>
      <c r="M173" s="67">
        <v>1</v>
      </c>
      <c r="N173" s="67">
        <v>1</v>
      </c>
      <c r="O173" s="67"/>
      <c r="P173" s="50"/>
      <c r="Q173" s="36"/>
    </row>
    <row r="174" spans="1:23" hidden="1" x14ac:dyDescent="0.2">
      <c r="A174" s="14" t="s">
        <v>682</v>
      </c>
      <c r="C174" s="50">
        <f t="shared" ref="C174:N174" si="93">C172*C173</f>
        <v>0</v>
      </c>
      <c r="D174" s="50">
        <f t="shared" si="93"/>
        <v>0</v>
      </c>
      <c r="E174" s="50">
        <f t="shared" si="93"/>
        <v>0</v>
      </c>
      <c r="F174" s="50">
        <f t="shared" si="93"/>
        <v>0</v>
      </c>
      <c r="G174" s="50">
        <f t="shared" si="93"/>
        <v>0</v>
      </c>
      <c r="H174" s="50">
        <f t="shared" si="93"/>
        <v>0</v>
      </c>
      <c r="I174" s="50">
        <f t="shared" si="93"/>
        <v>0</v>
      </c>
      <c r="J174" s="50">
        <f t="shared" si="93"/>
        <v>0</v>
      </c>
      <c r="K174" s="50">
        <f t="shared" si="93"/>
        <v>0</v>
      </c>
      <c r="L174" s="50">
        <f t="shared" si="93"/>
        <v>0</v>
      </c>
      <c r="M174" s="50">
        <f t="shared" si="93"/>
        <v>0</v>
      </c>
      <c r="N174" s="50">
        <f t="shared" si="93"/>
        <v>0</v>
      </c>
      <c r="O174" s="50">
        <f>SUM(C174:N174)</f>
        <v>0</v>
      </c>
      <c r="P174" s="50"/>
      <c r="Q174" s="36"/>
      <c r="R174" s="36">
        <f>O174</f>
        <v>0</v>
      </c>
      <c r="S174" s="36">
        <f>H174+I174+J174</f>
        <v>0</v>
      </c>
      <c r="T174" s="36">
        <f>R174-S174</f>
        <v>0</v>
      </c>
    </row>
    <row r="175" spans="1:23" hidden="1" x14ac:dyDescent="0.2">
      <c r="A175" s="14" t="s">
        <v>759</v>
      </c>
      <c r="C175" s="67">
        <v>0.65</v>
      </c>
      <c r="D175" s="67">
        <v>0.65</v>
      </c>
      <c r="E175" s="67">
        <v>0.65</v>
      </c>
      <c r="F175" s="67">
        <v>0.65</v>
      </c>
      <c r="G175" s="67">
        <v>0.65</v>
      </c>
      <c r="H175" s="67">
        <v>0.65</v>
      </c>
      <c r="I175" s="67">
        <v>0.65</v>
      </c>
      <c r="J175" s="67">
        <v>0.65</v>
      </c>
      <c r="K175" s="67">
        <v>0.65</v>
      </c>
      <c r="L175" s="67">
        <v>0.65</v>
      </c>
      <c r="M175" s="67">
        <v>0.65</v>
      </c>
      <c r="N175" s="67">
        <v>0.65</v>
      </c>
      <c r="O175" s="67"/>
      <c r="P175" s="132"/>
      <c r="Q175" s="132"/>
      <c r="U175" s="121"/>
      <c r="W175" s="121"/>
    </row>
    <row r="176" spans="1:23" hidden="1" x14ac:dyDescent="0.2">
      <c r="A176" s="14" t="s">
        <v>760</v>
      </c>
      <c r="C176" s="50">
        <f>C170/C175</f>
        <v>0</v>
      </c>
      <c r="D176" s="50">
        <f t="shared" ref="D176:N176" si="94">D170/D175</f>
        <v>0</v>
      </c>
      <c r="E176" s="50">
        <f t="shared" si="94"/>
        <v>0</v>
      </c>
      <c r="F176" s="50">
        <f t="shared" si="94"/>
        <v>0</v>
      </c>
      <c r="G176" s="50">
        <f t="shared" si="94"/>
        <v>0</v>
      </c>
      <c r="H176" s="50">
        <f t="shared" si="94"/>
        <v>0</v>
      </c>
      <c r="I176" s="50">
        <f t="shared" si="94"/>
        <v>0</v>
      </c>
      <c r="J176" s="50">
        <f t="shared" si="94"/>
        <v>0</v>
      </c>
      <c r="K176" s="50">
        <f t="shared" si="94"/>
        <v>0</v>
      </c>
      <c r="L176" s="50">
        <f t="shared" si="94"/>
        <v>0</v>
      </c>
      <c r="M176" s="50">
        <f t="shared" si="94"/>
        <v>0</v>
      </c>
      <c r="N176" s="50">
        <f t="shared" si="94"/>
        <v>0</v>
      </c>
      <c r="O176" s="50">
        <f>SUM(C176:N176)</f>
        <v>0</v>
      </c>
      <c r="P176" s="50">
        <f>MAX(C176:N176)</f>
        <v>0</v>
      </c>
      <c r="Q176" s="50"/>
    </row>
    <row r="177" spans="1:23" hidden="1" x14ac:dyDescent="0.2"/>
    <row r="178" spans="1:23" hidden="1" x14ac:dyDescent="0.2">
      <c r="A178" s="15">
        <f>A22</f>
        <v>0</v>
      </c>
      <c r="B178" s="16">
        <f>B22</f>
        <v>0</v>
      </c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36"/>
    </row>
    <row r="179" spans="1:23" hidden="1" x14ac:dyDescent="0.2">
      <c r="A179" s="14" t="s">
        <v>679</v>
      </c>
      <c r="C179" s="50">
        <v>0</v>
      </c>
      <c r="D179" s="50">
        <v>0</v>
      </c>
      <c r="E179" s="50">
        <v>0</v>
      </c>
      <c r="F179" s="50">
        <v>0</v>
      </c>
      <c r="G179" s="50">
        <v>0</v>
      </c>
      <c r="H179" s="50">
        <v>0</v>
      </c>
      <c r="I179" s="50">
        <v>0</v>
      </c>
      <c r="J179" s="50">
        <v>0</v>
      </c>
      <c r="K179" s="50">
        <v>0</v>
      </c>
      <c r="L179" s="50">
        <v>0</v>
      </c>
      <c r="M179" s="50">
        <v>0</v>
      </c>
      <c r="N179" s="50">
        <v>0</v>
      </c>
      <c r="O179" s="50">
        <f>SUM(C179:N179)</f>
        <v>0</v>
      </c>
      <c r="P179" s="132"/>
      <c r="Q179" s="132"/>
      <c r="U179" s="121"/>
      <c r="W179" s="121"/>
    </row>
    <row r="180" spans="1:23" hidden="1" x14ac:dyDescent="0.2">
      <c r="A180" s="14" t="s">
        <v>680</v>
      </c>
      <c r="C180" s="50">
        <f>C179/744</f>
        <v>0</v>
      </c>
      <c r="D180" s="48">
        <f>D179/720</f>
        <v>0</v>
      </c>
      <c r="E180" s="50">
        <f t="shared" ref="E180:N180" si="95">E179/744</f>
        <v>0</v>
      </c>
      <c r="F180" s="50">
        <f>F179/720</f>
        <v>0</v>
      </c>
      <c r="G180" s="50">
        <f t="shared" si="95"/>
        <v>0</v>
      </c>
      <c r="H180" s="48">
        <f>H179/744</f>
        <v>0</v>
      </c>
      <c r="I180" s="48">
        <f>I179/672</f>
        <v>0</v>
      </c>
      <c r="J180" s="50">
        <f t="shared" si="95"/>
        <v>0</v>
      </c>
      <c r="K180" s="50">
        <f>K179/720</f>
        <v>0</v>
      </c>
      <c r="L180" s="50">
        <f t="shared" si="95"/>
        <v>0</v>
      </c>
      <c r="M180" s="50">
        <f>M179/720</f>
        <v>0</v>
      </c>
      <c r="N180" s="50">
        <f t="shared" si="95"/>
        <v>0</v>
      </c>
      <c r="O180" s="50">
        <f>O179/8760</f>
        <v>0</v>
      </c>
      <c r="P180" s="50"/>
      <c r="Q180" s="50"/>
    </row>
    <row r="181" spans="1:23" hidden="1" x14ac:dyDescent="0.2">
      <c r="A181" s="14" t="s">
        <v>757</v>
      </c>
      <c r="C181" s="67">
        <v>0</v>
      </c>
      <c r="D181" s="67">
        <v>0</v>
      </c>
      <c r="E181" s="67">
        <v>0</v>
      </c>
      <c r="F181" s="67">
        <v>0.25</v>
      </c>
      <c r="G181" s="67">
        <v>0.25</v>
      </c>
      <c r="H181" s="67">
        <v>0.25</v>
      </c>
      <c r="I181" s="67">
        <v>0.25</v>
      </c>
      <c r="J181" s="67">
        <v>0</v>
      </c>
      <c r="K181" s="67">
        <v>0</v>
      </c>
      <c r="L181" s="67">
        <v>0</v>
      </c>
      <c r="M181" s="67">
        <v>0</v>
      </c>
      <c r="N181" s="67">
        <v>0</v>
      </c>
      <c r="O181" s="67"/>
      <c r="Q181" s="36"/>
    </row>
    <row r="182" spans="1:23" hidden="1" x14ac:dyDescent="0.2">
      <c r="A182" s="14" t="s">
        <v>758</v>
      </c>
      <c r="C182" s="50"/>
      <c r="D182" s="50"/>
      <c r="E182" s="50"/>
      <c r="F182" s="50">
        <v>0</v>
      </c>
      <c r="G182" s="50">
        <v>0</v>
      </c>
      <c r="H182" s="50">
        <v>0</v>
      </c>
      <c r="I182" s="50">
        <v>0</v>
      </c>
      <c r="J182" s="50">
        <v>0</v>
      </c>
      <c r="K182" s="50"/>
      <c r="L182" s="50"/>
      <c r="M182" s="50"/>
      <c r="N182" s="50"/>
      <c r="O182" s="50">
        <f>SUM(C182:N182)</f>
        <v>0</v>
      </c>
      <c r="Q182" s="36">
        <f>MAX(C182:N182)</f>
        <v>0</v>
      </c>
    </row>
    <row r="183" spans="1:23" hidden="1" x14ac:dyDescent="0.2">
      <c r="A183" s="14" t="s">
        <v>681</v>
      </c>
      <c r="C183" s="67">
        <v>1</v>
      </c>
      <c r="D183" s="67">
        <v>1</v>
      </c>
      <c r="E183" s="67">
        <v>1</v>
      </c>
      <c r="F183" s="67">
        <v>0</v>
      </c>
      <c r="G183" s="67">
        <v>0</v>
      </c>
      <c r="H183" s="67">
        <v>0</v>
      </c>
      <c r="I183" s="67">
        <v>0</v>
      </c>
      <c r="J183" s="67">
        <v>0</v>
      </c>
      <c r="K183" s="67">
        <v>0</v>
      </c>
      <c r="L183" s="67">
        <v>1</v>
      </c>
      <c r="M183" s="67">
        <v>1</v>
      </c>
      <c r="N183" s="67">
        <v>1</v>
      </c>
      <c r="O183" s="67"/>
      <c r="P183" s="50"/>
      <c r="Q183" s="36"/>
    </row>
    <row r="184" spans="1:23" hidden="1" x14ac:dyDescent="0.2">
      <c r="A184" s="14" t="s">
        <v>682</v>
      </c>
      <c r="C184" s="50">
        <f t="shared" ref="C184:N184" si="96">C182*C183</f>
        <v>0</v>
      </c>
      <c r="D184" s="50">
        <f t="shared" si="96"/>
        <v>0</v>
      </c>
      <c r="E184" s="50">
        <f t="shared" si="96"/>
        <v>0</v>
      </c>
      <c r="F184" s="50">
        <f t="shared" si="96"/>
        <v>0</v>
      </c>
      <c r="G184" s="50">
        <f t="shared" si="96"/>
        <v>0</v>
      </c>
      <c r="H184" s="50">
        <f t="shared" si="96"/>
        <v>0</v>
      </c>
      <c r="I184" s="50">
        <f t="shared" si="96"/>
        <v>0</v>
      </c>
      <c r="J184" s="50">
        <f t="shared" si="96"/>
        <v>0</v>
      </c>
      <c r="K184" s="50">
        <f t="shared" si="96"/>
        <v>0</v>
      </c>
      <c r="L184" s="50">
        <f t="shared" si="96"/>
        <v>0</v>
      </c>
      <c r="M184" s="50">
        <f t="shared" si="96"/>
        <v>0</v>
      </c>
      <c r="N184" s="50">
        <f t="shared" si="96"/>
        <v>0</v>
      </c>
      <c r="O184" s="50">
        <f>SUM(C184:N184)</f>
        <v>0</v>
      </c>
      <c r="P184" s="50"/>
      <c r="Q184" s="36"/>
      <c r="R184" s="36">
        <f>O184</f>
        <v>0</v>
      </c>
      <c r="S184" s="36">
        <f>H184+I184+J184</f>
        <v>0</v>
      </c>
      <c r="T184" s="36">
        <f>R184-S184</f>
        <v>0</v>
      </c>
    </row>
    <row r="185" spans="1:23" hidden="1" x14ac:dyDescent="0.2">
      <c r="A185" s="14" t="s">
        <v>759</v>
      </c>
      <c r="C185" s="67">
        <v>0.65</v>
      </c>
      <c r="D185" s="67">
        <v>0.65</v>
      </c>
      <c r="E185" s="67">
        <v>0.65</v>
      </c>
      <c r="F185" s="67">
        <v>0.65</v>
      </c>
      <c r="G185" s="67">
        <v>0.65</v>
      </c>
      <c r="H185" s="67">
        <v>0.65</v>
      </c>
      <c r="I185" s="67">
        <v>0.65</v>
      </c>
      <c r="J185" s="67">
        <v>0.65</v>
      </c>
      <c r="K185" s="67">
        <v>0.65</v>
      </c>
      <c r="L185" s="67">
        <v>0.65</v>
      </c>
      <c r="M185" s="67">
        <v>0.65</v>
      </c>
      <c r="N185" s="67">
        <v>0.65</v>
      </c>
      <c r="O185" s="67"/>
      <c r="P185" s="132"/>
      <c r="Q185" s="132"/>
      <c r="U185" s="121"/>
      <c r="W185" s="121"/>
    </row>
    <row r="186" spans="1:23" hidden="1" x14ac:dyDescent="0.2">
      <c r="A186" s="14" t="s">
        <v>760</v>
      </c>
      <c r="C186" s="50">
        <f>C180/C185</f>
        <v>0</v>
      </c>
      <c r="D186" s="50">
        <f t="shared" ref="D186:N186" si="97">D180/D185</f>
        <v>0</v>
      </c>
      <c r="E186" s="50">
        <f t="shared" si="97"/>
        <v>0</v>
      </c>
      <c r="F186" s="50">
        <f t="shared" si="97"/>
        <v>0</v>
      </c>
      <c r="G186" s="50">
        <f t="shared" si="97"/>
        <v>0</v>
      </c>
      <c r="H186" s="50">
        <f t="shared" si="97"/>
        <v>0</v>
      </c>
      <c r="I186" s="50">
        <f t="shared" si="97"/>
        <v>0</v>
      </c>
      <c r="J186" s="50">
        <f t="shared" si="97"/>
        <v>0</v>
      </c>
      <c r="K186" s="50">
        <f t="shared" si="97"/>
        <v>0</v>
      </c>
      <c r="L186" s="50">
        <f t="shared" si="97"/>
        <v>0</v>
      </c>
      <c r="M186" s="50">
        <f t="shared" si="97"/>
        <v>0</v>
      </c>
      <c r="N186" s="50">
        <f t="shared" si="97"/>
        <v>0</v>
      </c>
      <c r="O186" s="50">
        <f>SUM(C186:N186)</f>
        <v>0</v>
      </c>
      <c r="P186" s="50">
        <f>MAX(C186:N186)</f>
        <v>0</v>
      </c>
      <c r="Q186" s="50"/>
    </row>
    <row r="187" spans="1:23" hidden="1" x14ac:dyDescent="0.2"/>
    <row r="188" spans="1:23" hidden="1" x14ac:dyDescent="0.2">
      <c r="A188" s="15">
        <f>A23</f>
        <v>0</v>
      </c>
      <c r="B188" s="16">
        <f>B23</f>
        <v>0</v>
      </c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36"/>
    </row>
    <row r="189" spans="1:23" hidden="1" x14ac:dyDescent="0.2">
      <c r="A189" s="14" t="s">
        <v>679</v>
      </c>
      <c r="C189" s="50">
        <v>0</v>
      </c>
      <c r="D189" s="50">
        <v>0</v>
      </c>
      <c r="E189" s="50">
        <v>0</v>
      </c>
      <c r="F189" s="50">
        <v>0</v>
      </c>
      <c r="G189" s="50">
        <v>0</v>
      </c>
      <c r="H189" s="50">
        <v>0</v>
      </c>
      <c r="I189" s="50">
        <v>0</v>
      </c>
      <c r="J189" s="50">
        <v>0</v>
      </c>
      <c r="K189" s="50">
        <v>0</v>
      </c>
      <c r="L189" s="50">
        <v>0</v>
      </c>
      <c r="M189" s="50">
        <v>0</v>
      </c>
      <c r="N189" s="50">
        <v>0</v>
      </c>
      <c r="O189" s="50">
        <f>SUM(C189:N189)</f>
        <v>0</v>
      </c>
      <c r="P189" s="132"/>
      <c r="Q189" s="132"/>
      <c r="U189" s="121"/>
      <c r="W189" s="121"/>
    </row>
    <row r="190" spans="1:23" hidden="1" x14ac:dyDescent="0.2">
      <c r="A190" s="14" t="s">
        <v>680</v>
      </c>
      <c r="C190" s="50">
        <f>C189/744</f>
        <v>0</v>
      </c>
      <c r="D190" s="48">
        <f>D189/720</f>
        <v>0</v>
      </c>
      <c r="E190" s="50">
        <f t="shared" ref="E190:N190" si="98">E189/744</f>
        <v>0</v>
      </c>
      <c r="F190" s="50">
        <f>F189/720</f>
        <v>0</v>
      </c>
      <c r="G190" s="50">
        <f t="shared" si="98"/>
        <v>0</v>
      </c>
      <c r="H190" s="48">
        <f>H189/744</f>
        <v>0</v>
      </c>
      <c r="I190" s="48">
        <f>I189/672</f>
        <v>0</v>
      </c>
      <c r="J190" s="50">
        <f t="shared" si="98"/>
        <v>0</v>
      </c>
      <c r="K190" s="50">
        <f>K189/720</f>
        <v>0</v>
      </c>
      <c r="L190" s="50">
        <f t="shared" si="98"/>
        <v>0</v>
      </c>
      <c r="M190" s="50">
        <f>M189/720</f>
        <v>0</v>
      </c>
      <c r="N190" s="50">
        <f t="shared" si="98"/>
        <v>0</v>
      </c>
      <c r="O190" s="50">
        <f>O189/8760</f>
        <v>0</v>
      </c>
      <c r="P190" s="50"/>
      <c r="Q190" s="50"/>
    </row>
    <row r="191" spans="1:23" hidden="1" x14ac:dyDescent="0.2">
      <c r="A191" s="14" t="s">
        <v>757</v>
      </c>
      <c r="C191" s="67">
        <v>0</v>
      </c>
      <c r="D191" s="67">
        <v>0</v>
      </c>
      <c r="E191" s="67">
        <v>0</v>
      </c>
      <c r="F191" s="67">
        <v>0.25</v>
      </c>
      <c r="G191" s="67">
        <v>0.25</v>
      </c>
      <c r="H191" s="67">
        <v>0.25</v>
      </c>
      <c r="I191" s="67">
        <v>0.25</v>
      </c>
      <c r="J191" s="67">
        <v>0</v>
      </c>
      <c r="K191" s="67">
        <v>0</v>
      </c>
      <c r="L191" s="67">
        <v>0</v>
      </c>
      <c r="M191" s="67">
        <v>0</v>
      </c>
      <c r="N191" s="67">
        <v>0</v>
      </c>
      <c r="O191" s="67"/>
      <c r="Q191" s="36"/>
    </row>
    <row r="192" spans="1:23" hidden="1" x14ac:dyDescent="0.2">
      <c r="A192" s="14" t="s">
        <v>758</v>
      </c>
      <c r="C192" s="50"/>
      <c r="D192" s="50"/>
      <c r="E192" s="50"/>
      <c r="F192" s="50">
        <v>0</v>
      </c>
      <c r="G192" s="50">
        <v>0</v>
      </c>
      <c r="H192" s="50">
        <v>0</v>
      </c>
      <c r="I192" s="50">
        <v>0</v>
      </c>
      <c r="J192" s="50">
        <v>0</v>
      </c>
      <c r="K192" s="50"/>
      <c r="L192" s="50"/>
      <c r="M192" s="50"/>
      <c r="N192" s="50"/>
      <c r="O192" s="50">
        <f>SUM(C192:N192)</f>
        <v>0</v>
      </c>
      <c r="Q192" s="36">
        <f>MAX(C192:N192)</f>
        <v>0</v>
      </c>
    </row>
    <row r="193" spans="1:23" hidden="1" x14ac:dyDescent="0.2">
      <c r="A193" s="14" t="s">
        <v>681</v>
      </c>
      <c r="C193" s="67">
        <v>1</v>
      </c>
      <c r="D193" s="67">
        <v>1</v>
      </c>
      <c r="E193" s="67">
        <v>1</v>
      </c>
      <c r="F193" s="67">
        <v>0</v>
      </c>
      <c r="G193" s="67">
        <v>0</v>
      </c>
      <c r="H193" s="67">
        <v>0</v>
      </c>
      <c r="I193" s="67">
        <v>0</v>
      </c>
      <c r="J193" s="67">
        <v>0</v>
      </c>
      <c r="K193" s="67">
        <v>0</v>
      </c>
      <c r="L193" s="67">
        <v>1</v>
      </c>
      <c r="M193" s="67">
        <v>1</v>
      </c>
      <c r="N193" s="67">
        <v>1</v>
      </c>
      <c r="O193" s="67"/>
      <c r="P193" s="50"/>
      <c r="Q193" s="36"/>
    </row>
    <row r="194" spans="1:23" hidden="1" x14ac:dyDescent="0.2">
      <c r="A194" s="14" t="s">
        <v>682</v>
      </c>
      <c r="C194" s="50">
        <f t="shared" ref="C194:N194" si="99">C192*C193</f>
        <v>0</v>
      </c>
      <c r="D194" s="50">
        <f t="shared" si="99"/>
        <v>0</v>
      </c>
      <c r="E194" s="50">
        <f t="shared" si="99"/>
        <v>0</v>
      </c>
      <c r="F194" s="50">
        <f t="shared" si="99"/>
        <v>0</v>
      </c>
      <c r="G194" s="50">
        <f t="shared" si="99"/>
        <v>0</v>
      </c>
      <c r="H194" s="50">
        <f t="shared" si="99"/>
        <v>0</v>
      </c>
      <c r="I194" s="50">
        <f t="shared" si="99"/>
        <v>0</v>
      </c>
      <c r="J194" s="50">
        <f t="shared" si="99"/>
        <v>0</v>
      </c>
      <c r="K194" s="50">
        <f t="shared" si="99"/>
        <v>0</v>
      </c>
      <c r="L194" s="50">
        <f t="shared" si="99"/>
        <v>0</v>
      </c>
      <c r="M194" s="50">
        <f t="shared" si="99"/>
        <v>0</v>
      </c>
      <c r="N194" s="50">
        <f t="shared" si="99"/>
        <v>0</v>
      </c>
      <c r="O194" s="50">
        <f>SUM(C194:N194)</f>
        <v>0</v>
      </c>
      <c r="P194" s="50"/>
      <c r="Q194" s="36"/>
      <c r="R194" s="36">
        <f>O194</f>
        <v>0</v>
      </c>
      <c r="S194" s="36">
        <f>H194+I194+J194</f>
        <v>0</v>
      </c>
      <c r="T194" s="36">
        <f>R194-S194</f>
        <v>0</v>
      </c>
    </row>
    <row r="195" spans="1:23" hidden="1" x14ac:dyDescent="0.2">
      <c r="A195" s="14" t="s">
        <v>759</v>
      </c>
      <c r="C195" s="67">
        <v>0.65</v>
      </c>
      <c r="D195" s="67">
        <v>0.65</v>
      </c>
      <c r="E195" s="67">
        <v>0.65</v>
      </c>
      <c r="F195" s="67">
        <v>0.65</v>
      </c>
      <c r="G195" s="67">
        <v>0.65</v>
      </c>
      <c r="H195" s="67">
        <v>0.65</v>
      </c>
      <c r="I195" s="67">
        <v>0.65</v>
      </c>
      <c r="J195" s="67">
        <v>0.65</v>
      </c>
      <c r="K195" s="67">
        <v>0.65</v>
      </c>
      <c r="L195" s="67">
        <v>0.65</v>
      </c>
      <c r="M195" s="67">
        <v>0.65</v>
      </c>
      <c r="N195" s="67">
        <v>0.65</v>
      </c>
      <c r="O195" s="67"/>
      <c r="P195" s="132"/>
      <c r="Q195" s="132"/>
      <c r="U195" s="121"/>
      <c r="W195" s="121"/>
    </row>
    <row r="196" spans="1:23" ht="1.5" customHeight="1" x14ac:dyDescent="0.2">
      <c r="A196" s="14" t="s">
        <v>760</v>
      </c>
      <c r="C196" s="50">
        <f>C190/C195</f>
        <v>0</v>
      </c>
      <c r="D196" s="50">
        <f t="shared" ref="D196:N196" si="100">D190/D195</f>
        <v>0</v>
      </c>
      <c r="E196" s="50">
        <f t="shared" si="100"/>
        <v>0</v>
      </c>
      <c r="F196" s="50">
        <f t="shared" si="100"/>
        <v>0</v>
      </c>
      <c r="G196" s="50">
        <f t="shared" si="100"/>
        <v>0</v>
      </c>
      <c r="H196" s="50">
        <f t="shared" si="100"/>
        <v>0</v>
      </c>
      <c r="I196" s="50">
        <f t="shared" si="100"/>
        <v>0</v>
      </c>
      <c r="J196" s="50">
        <f t="shared" si="100"/>
        <v>0</v>
      </c>
      <c r="K196" s="50">
        <f t="shared" si="100"/>
        <v>0</v>
      </c>
      <c r="L196" s="50">
        <f t="shared" si="100"/>
        <v>0</v>
      </c>
      <c r="M196" s="50">
        <f t="shared" si="100"/>
        <v>0</v>
      </c>
      <c r="N196" s="50">
        <f t="shared" si="100"/>
        <v>0</v>
      </c>
      <c r="O196" s="50">
        <f>SUM(C196:N196)</f>
        <v>0</v>
      </c>
      <c r="P196" s="50">
        <f>MAX(C196:N196)</f>
        <v>0</v>
      </c>
      <c r="Q196" s="50"/>
    </row>
    <row r="197" spans="1:23" x14ac:dyDescent="0.2"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</row>
    <row r="198" spans="1:23" x14ac:dyDescent="0.2">
      <c r="A198" s="14" t="s">
        <v>744</v>
      </c>
      <c r="C198" s="50">
        <f>C39+C49+C59+C69+C79+C89+C99+C109+C119+C129+C139+C149+C159+C169+C179+C189</f>
        <v>36671836</v>
      </c>
      <c r="D198" s="50">
        <f t="shared" ref="D198:N198" si="101">D39+D49+D59+D69+D79+D89+D99+D109+D119+D129+D139+D149+D159+D169+D179+D189</f>
        <v>38385738</v>
      </c>
      <c r="E198" s="50">
        <f t="shared" si="101"/>
        <v>33643368</v>
      </c>
      <c r="F198" s="50">
        <f t="shared" si="101"/>
        <v>27055822</v>
      </c>
      <c r="G198" s="50">
        <f t="shared" si="101"/>
        <v>28992996</v>
      </c>
      <c r="H198" s="50">
        <f t="shared" si="101"/>
        <v>27498114</v>
      </c>
      <c r="I198" s="50">
        <f t="shared" si="101"/>
        <v>32964975</v>
      </c>
      <c r="J198" s="50">
        <f t="shared" si="101"/>
        <v>37836612</v>
      </c>
      <c r="K198" s="50">
        <f t="shared" si="101"/>
        <v>28908185</v>
      </c>
      <c r="L198" s="50">
        <f t="shared" si="101"/>
        <v>26792319</v>
      </c>
      <c r="M198" s="50">
        <f t="shared" si="101"/>
        <v>35552340</v>
      </c>
      <c r="N198" s="50">
        <f t="shared" si="101"/>
        <v>38416660</v>
      </c>
      <c r="O198" s="50">
        <f>SUM(C198:N198)</f>
        <v>392718965</v>
      </c>
      <c r="P198" s="50"/>
      <c r="Q198" s="50"/>
    </row>
    <row r="199" spans="1:23" x14ac:dyDescent="0.2"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</row>
    <row r="200" spans="1:23" x14ac:dyDescent="0.2">
      <c r="A200" s="14" t="s">
        <v>716</v>
      </c>
      <c r="C200" s="50">
        <f>'Purchased Power'!C24-'Purchased Power'!C46-'Purchased Power'!C64</f>
        <v>95881</v>
      </c>
      <c r="D200" s="50">
        <f>'Purchased Power'!D24-'Purchased Power'!D46-'Purchased Power'!D64</f>
        <v>99809</v>
      </c>
      <c r="E200" s="50">
        <f>'Purchased Power'!E24-'Purchased Power'!E46-'Purchased Power'!E64</f>
        <v>108914</v>
      </c>
      <c r="F200" s="50">
        <f>'Purchased Power'!F24-'Purchased Power'!F46-'Purchased Power'!F64</f>
        <v>65075</v>
      </c>
      <c r="G200" s="50">
        <f>'Purchased Power'!G24-'Purchased Power'!G46-'Purchased Power'!G64</f>
        <v>62553</v>
      </c>
      <c r="H200" s="50">
        <f>'Purchased Power'!H24-'Purchased Power'!H46-'Purchased Power'!H64</f>
        <v>64920</v>
      </c>
      <c r="I200" s="50">
        <f>'Purchased Power'!I24-'Purchased Power'!I46-'Purchased Power'!I64</f>
        <v>78329</v>
      </c>
      <c r="J200" s="50">
        <f>'Purchased Power'!J24-'Purchased Power'!J46-'Purchased Power'!J64</f>
        <v>83693</v>
      </c>
      <c r="K200" s="50">
        <f>'Purchased Power'!K24-'Purchased Power'!K46-'Purchased Power'!K64</f>
        <v>73867</v>
      </c>
      <c r="L200" s="50">
        <f>'Purchased Power'!L24-'Purchased Power'!L46-'Purchased Power'!L64</f>
        <v>54006</v>
      </c>
      <c r="M200" s="50">
        <f>'Purchased Power'!M24-'Purchased Power'!M46-'Purchased Power'!M64</f>
        <v>104509</v>
      </c>
      <c r="N200" s="50">
        <f>'Purchased Power'!N24-'Purchased Power'!N46-'Purchased Power'!N64</f>
        <v>92526</v>
      </c>
      <c r="O200" s="50">
        <f>SUM(C200:N200)</f>
        <v>984082</v>
      </c>
      <c r="P200" s="50"/>
      <c r="Q200" s="50"/>
      <c r="R200" s="50"/>
      <c r="S200" s="50"/>
    </row>
    <row r="201" spans="1:23" x14ac:dyDescent="0.2">
      <c r="A201" s="14" t="s">
        <v>866</v>
      </c>
      <c r="C201" s="50">
        <f>'Purchased Power'!C7</f>
        <v>50745090</v>
      </c>
      <c r="D201" s="50">
        <f>'Purchased Power'!D7</f>
        <v>44284549</v>
      </c>
      <c r="E201" s="50">
        <f>'Purchased Power'!E7</f>
        <v>46429036</v>
      </c>
      <c r="F201" s="50">
        <f>'Purchased Power'!F7</f>
        <v>38015581</v>
      </c>
      <c r="G201" s="50">
        <f>'Purchased Power'!G7</f>
        <v>38450440</v>
      </c>
      <c r="H201" s="50">
        <f>'Purchased Power'!H7</f>
        <v>37920252</v>
      </c>
      <c r="I201" s="50">
        <f>'Purchased Power'!I7</f>
        <v>49489639</v>
      </c>
      <c r="J201" s="50">
        <f>'Purchased Power'!J7</f>
        <v>49753999</v>
      </c>
      <c r="K201" s="50">
        <f>'Purchased Power'!K7</f>
        <v>42421521</v>
      </c>
      <c r="L201" s="50">
        <f>'Purchased Power'!L7</f>
        <v>42880320</v>
      </c>
      <c r="M201" s="50">
        <f>'Purchased Power'!M7</f>
        <v>49903796</v>
      </c>
      <c r="N201" s="50">
        <f>'Purchased Power'!N7</f>
        <v>57121771</v>
      </c>
      <c r="O201" s="50">
        <f>SUM(C201:N201)</f>
        <v>547415994</v>
      </c>
      <c r="P201" s="126">
        <f>O198/O201</f>
        <v>0.71740498871868918</v>
      </c>
      <c r="Q201" s="50"/>
      <c r="R201" s="50"/>
      <c r="S201" s="50"/>
    </row>
    <row r="202" spans="1:23" x14ac:dyDescent="0.2">
      <c r="P202" s="126"/>
    </row>
    <row r="203" spans="1:23" x14ac:dyDescent="0.2">
      <c r="A203" s="14" t="s">
        <v>717</v>
      </c>
      <c r="C203" s="36">
        <f>(C44+C54+C64+C74+C84+C94+C104+C114+C124+C134+C144+C154+C164+C174+C184+C194)</f>
        <v>95881.000000025917</v>
      </c>
      <c r="D203" s="36">
        <f t="shared" ref="D203:N203" si="102">(D44+D54+D64+D74+D84+D94+D104+D114+D124+D134+D144+D154+D164+D174+D184+D194)</f>
        <v>99809.000000036045</v>
      </c>
      <c r="E203" s="36">
        <f t="shared" si="102"/>
        <v>108914.00044794203</v>
      </c>
      <c r="F203" s="36">
        <f t="shared" si="102"/>
        <v>65075.000000055807</v>
      </c>
      <c r="G203" s="36">
        <f t="shared" si="102"/>
        <v>62553.00000009052</v>
      </c>
      <c r="H203" s="36">
        <f t="shared" si="102"/>
        <v>64920.000000055195</v>
      </c>
      <c r="I203" s="36">
        <f t="shared" si="102"/>
        <v>78329.000000073022</v>
      </c>
      <c r="J203" s="36">
        <f t="shared" si="102"/>
        <v>83693.000000069616</v>
      </c>
      <c r="K203" s="36">
        <f t="shared" si="102"/>
        <v>73867.000000040338</v>
      </c>
      <c r="L203" s="36">
        <f t="shared" si="102"/>
        <v>54006.000000099615</v>
      </c>
      <c r="M203" s="36">
        <f t="shared" si="102"/>
        <v>104509.00000001208</v>
      </c>
      <c r="N203" s="36">
        <f t="shared" si="102"/>
        <v>92526.000000043117</v>
      </c>
      <c r="O203" s="36">
        <f>SUM(C203:N203)</f>
        <v>984082.00044854335</v>
      </c>
      <c r="P203" s="126">
        <f>O203/O200</f>
        <v>1.0000000004557987</v>
      </c>
    </row>
    <row r="205" spans="1:23" x14ac:dyDescent="0.2">
      <c r="A205" s="14" t="s">
        <v>718</v>
      </c>
      <c r="C205" s="36">
        <f>C200-C203</f>
        <v>-2.5916961021721363E-8</v>
      </c>
      <c r="D205" s="36">
        <f t="shared" ref="D205:O205" si="103">D200-D203</f>
        <v>-3.6045094020664692E-8</v>
      </c>
      <c r="E205" s="36">
        <f t="shared" si="103"/>
        <v>-4.4794203131459653E-4</v>
      </c>
      <c r="F205" s="36">
        <f t="shared" si="103"/>
        <v>-5.5806594900786877E-8</v>
      </c>
      <c r="G205" s="36">
        <f t="shared" si="103"/>
        <v>-9.0520188678056002E-8</v>
      </c>
      <c r="H205" s="36">
        <f t="shared" si="103"/>
        <v>-5.5195414461195469E-8</v>
      </c>
      <c r="I205" s="36">
        <f t="shared" si="103"/>
        <v>-7.3021510615944862E-8</v>
      </c>
      <c r="J205" s="36">
        <f t="shared" si="103"/>
        <v>-6.9616362452507019E-8</v>
      </c>
      <c r="K205" s="36">
        <f t="shared" si="103"/>
        <v>-4.0337909013032913E-8</v>
      </c>
      <c r="L205" s="36">
        <f t="shared" si="103"/>
        <v>-9.9615135695785284E-8</v>
      </c>
      <c r="M205" s="36">
        <f t="shared" si="103"/>
        <v>-1.2078089639544487E-8</v>
      </c>
      <c r="N205" s="36">
        <f t="shared" si="103"/>
        <v>-4.3117324821650982E-8</v>
      </c>
      <c r="O205" s="36">
        <f t="shared" si="103"/>
        <v>-4.4854334555566311E-4</v>
      </c>
    </row>
    <row r="207" spans="1:23" x14ac:dyDescent="0.2"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</row>
    <row r="208" spans="1:23" x14ac:dyDescent="0.2">
      <c r="B208" s="14"/>
    </row>
    <row r="209" spans="2:15" x14ac:dyDescent="0.2">
      <c r="B209" s="14"/>
    </row>
    <row r="210" spans="2:15" x14ac:dyDescent="0.2">
      <c r="B210" s="14"/>
    </row>
    <row r="211" spans="2:15" x14ac:dyDescent="0.2">
      <c r="C211" s="201">
        <f>C201/C198</f>
        <v>1.3837619147293307</v>
      </c>
      <c r="D211" s="201">
        <f t="shared" ref="D211:O211" si="104">D201/D198</f>
        <v>1.1536719445123083</v>
      </c>
      <c r="E211" s="201">
        <f t="shared" si="104"/>
        <v>1.3800353163214814</v>
      </c>
      <c r="F211" s="201">
        <f t="shared" si="104"/>
        <v>1.4050795056235956</v>
      </c>
      <c r="G211" s="201">
        <f t="shared" si="104"/>
        <v>1.3261975409509248</v>
      </c>
      <c r="H211" s="201">
        <f t="shared" si="104"/>
        <v>1.379012829752615</v>
      </c>
      <c r="I211" s="201">
        <f t="shared" si="104"/>
        <v>1.5012794337019821</v>
      </c>
      <c r="J211" s="201">
        <f t="shared" si="104"/>
        <v>1.3149697176903683</v>
      </c>
      <c r="K211" s="201">
        <f t="shared" si="104"/>
        <v>1.4674570887103429</v>
      </c>
      <c r="L211" s="201">
        <f t="shared" si="104"/>
        <v>1.6004706423508916</v>
      </c>
      <c r="M211" s="201">
        <f t="shared" si="104"/>
        <v>1.4036712070147843</v>
      </c>
      <c r="N211" s="201">
        <f t="shared" si="104"/>
        <v>1.4869010215880298</v>
      </c>
      <c r="O211" s="201">
        <f t="shared" si="104"/>
        <v>1.393912804796682</v>
      </c>
    </row>
  </sheetData>
  <printOptions horizontalCentered="1"/>
  <pageMargins left="0.25" right="0.25" top="1" bottom="0.32" header="0.5" footer="0.25"/>
  <pageSetup scale="66" fitToWidth="2" fitToHeight="5" pageOrder="overThenDown" orientation="landscape" r:id="rId1"/>
  <headerFooter alignWithMargins="0">
    <oddFooter>&amp;RExhibit JW-6
Page &amp;P of &amp;N</oddFooter>
  </headerFooter>
  <rowBreaks count="3" manualBreakCount="3">
    <brk id="30" max="19" man="1"/>
    <brk id="67" max="19" man="1"/>
    <brk id="126" max="19" man="1"/>
  </rowBreaks>
  <colBreaks count="1" manualBreakCount="1">
    <brk id="11" max="218" man="1"/>
  </colBreaks>
  <ignoredErrors>
    <ignoredError sqref="D70:M70 D100:M100 D110:M110 D80:O80 C82:N82 D72:N72 D94:N94 C52:N52 D50:M50 D40:M40 D60:N60 C84:N8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89"/>
  <sheetViews>
    <sheetView view="pageBreakPreview" zoomScale="60" zoomScaleNormal="100" workbookViewId="0">
      <selection activeCell="H29" sqref="H29"/>
    </sheetView>
  </sheetViews>
  <sheetFormatPr defaultColWidth="9.140625" defaultRowHeight="12.75" x14ac:dyDescent="0.2"/>
  <cols>
    <col min="1" max="1" width="5.7109375" style="14" customWidth="1"/>
    <col min="2" max="2" width="28.85546875" style="14" customWidth="1"/>
    <col min="3" max="14" width="14" style="14" bestFit="1" customWidth="1"/>
    <col min="15" max="15" width="15" style="14" bestFit="1" customWidth="1"/>
    <col min="16" max="16" width="14.42578125" style="14" bestFit="1" customWidth="1"/>
    <col min="17" max="17" width="11.42578125" style="14" bestFit="1" customWidth="1"/>
    <col min="18" max="16384" width="9.140625" style="14"/>
  </cols>
  <sheetData>
    <row r="1" spans="1:18" x14ac:dyDescent="0.2">
      <c r="A1" s="13" t="s">
        <v>1053</v>
      </c>
    </row>
    <row r="2" spans="1:18" x14ac:dyDescent="0.2">
      <c r="A2" s="13" t="s">
        <v>96</v>
      </c>
    </row>
    <row r="4" spans="1:18" x14ac:dyDescent="0.2">
      <c r="A4" s="62" t="s">
        <v>966</v>
      </c>
      <c r="B4" s="62" t="s">
        <v>967</v>
      </c>
      <c r="C4" s="142" t="s">
        <v>1037</v>
      </c>
      <c r="D4" s="142" t="s">
        <v>1038</v>
      </c>
      <c r="E4" s="142" t="s">
        <v>1039</v>
      </c>
      <c r="F4" s="142" t="s">
        <v>1040</v>
      </c>
      <c r="G4" s="142" t="s">
        <v>1041</v>
      </c>
      <c r="H4" s="142" t="s">
        <v>1042</v>
      </c>
      <c r="I4" s="142" t="s">
        <v>1043</v>
      </c>
      <c r="J4" s="142" t="s">
        <v>1044</v>
      </c>
      <c r="K4" s="142" t="s">
        <v>1045</v>
      </c>
      <c r="L4" s="142" t="s">
        <v>1046</v>
      </c>
      <c r="M4" s="142" t="s">
        <v>1047</v>
      </c>
      <c r="N4" s="142" t="s">
        <v>1048</v>
      </c>
      <c r="O4" s="62" t="s">
        <v>861</v>
      </c>
      <c r="P4" s="16"/>
      <c r="R4" s="30"/>
    </row>
    <row r="5" spans="1:18" x14ac:dyDescent="0.2">
      <c r="A5" s="30">
        <v>1</v>
      </c>
      <c r="B5" s="30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6"/>
      <c r="P5" s="16"/>
      <c r="R5" s="30"/>
    </row>
    <row r="6" spans="1:18" x14ac:dyDescent="0.2">
      <c r="A6" s="30">
        <f>A5+1</f>
        <v>2</v>
      </c>
      <c r="B6" s="33" t="s">
        <v>969</v>
      </c>
      <c r="C6" s="159">
        <v>115973</v>
      </c>
      <c r="D6" s="159">
        <v>119901</v>
      </c>
      <c r="E6" s="159">
        <v>129006</v>
      </c>
      <c r="F6" s="159">
        <v>85075</v>
      </c>
      <c r="G6" s="159">
        <v>82553</v>
      </c>
      <c r="H6" s="159">
        <v>84920</v>
      </c>
      <c r="I6" s="159">
        <v>98329</v>
      </c>
      <c r="J6" s="159">
        <v>103693</v>
      </c>
      <c r="K6" s="159">
        <v>93867</v>
      </c>
      <c r="L6" s="159">
        <v>74006</v>
      </c>
      <c r="M6" s="159">
        <v>124509</v>
      </c>
      <c r="N6" s="159">
        <v>112526</v>
      </c>
      <c r="O6" s="144">
        <f>SUM(C6:N6)</f>
        <v>1224358</v>
      </c>
      <c r="P6" s="16"/>
      <c r="R6" s="141"/>
    </row>
    <row r="7" spans="1:18" x14ac:dyDescent="0.2">
      <c r="A7" s="30">
        <f t="shared" ref="A7:A74" si="0">A6+1</f>
        <v>3</v>
      </c>
      <c r="B7" s="33" t="s">
        <v>968</v>
      </c>
      <c r="C7" s="159">
        <v>50745090</v>
      </c>
      <c r="D7" s="159">
        <v>44284549</v>
      </c>
      <c r="E7" s="159">
        <v>46429036</v>
      </c>
      <c r="F7" s="159">
        <v>38015581</v>
      </c>
      <c r="G7" s="159">
        <v>38450440</v>
      </c>
      <c r="H7" s="159">
        <v>37920252</v>
      </c>
      <c r="I7" s="159">
        <v>49489639</v>
      </c>
      <c r="J7" s="159">
        <v>49753999</v>
      </c>
      <c r="K7" s="159">
        <v>42421521</v>
      </c>
      <c r="L7" s="159">
        <v>42880320</v>
      </c>
      <c r="M7" s="159">
        <v>49903796</v>
      </c>
      <c r="N7" s="159">
        <v>57121771</v>
      </c>
      <c r="O7" s="144">
        <f t="shared" ref="O7:O22" si="1">SUM(C7:N7)</f>
        <v>547415994</v>
      </c>
      <c r="P7" s="16"/>
      <c r="R7" s="30"/>
    </row>
    <row r="8" spans="1:18" x14ac:dyDescent="0.2">
      <c r="A8" s="30">
        <f t="shared" si="0"/>
        <v>4</v>
      </c>
      <c r="B8" s="33" t="s">
        <v>940</v>
      </c>
      <c r="C8" s="162">
        <v>672037</v>
      </c>
      <c r="D8" s="162">
        <v>697651</v>
      </c>
      <c r="E8" s="162">
        <v>757015</v>
      </c>
      <c r="F8" s="162">
        <v>471010</v>
      </c>
      <c r="G8" s="162">
        <v>454565</v>
      </c>
      <c r="H8" s="162">
        <v>469999</v>
      </c>
      <c r="I8" s="162">
        <v>557426</v>
      </c>
      <c r="J8" s="162">
        <v>592400</v>
      </c>
      <c r="K8" s="162">
        <v>528333</v>
      </c>
      <c r="L8" s="162">
        <v>396840</v>
      </c>
      <c r="M8" s="162">
        <v>728119</v>
      </c>
      <c r="N8" s="162">
        <v>649988</v>
      </c>
      <c r="O8" s="219">
        <f t="shared" si="1"/>
        <v>6975383</v>
      </c>
      <c r="P8" s="16"/>
      <c r="R8" s="30"/>
    </row>
    <row r="9" spans="1:18" x14ac:dyDescent="0.2">
      <c r="A9" s="30">
        <f t="shared" si="0"/>
        <v>5</v>
      </c>
      <c r="B9" s="33" t="s">
        <v>941</v>
      </c>
      <c r="C9" s="162">
        <v>2267319</v>
      </c>
      <c r="D9" s="162">
        <v>1915547</v>
      </c>
      <c r="E9" s="162">
        <v>2022545</v>
      </c>
      <c r="F9" s="162">
        <v>1629074</v>
      </c>
      <c r="G9" s="162">
        <v>1701574</v>
      </c>
      <c r="H9" s="162">
        <v>1622363</v>
      </c>
      <c r="I9" s="162">
        <v>2266613</v>
      </c>
      <c r="J9" s="162">
        <v>2264403</v>
      </c>
      <c r="K9" s="162">
        <v>1913205</v>
      </c>
      <c r="L9" s="162">
        <v>1889568</v>
      </c>
      <c r="M9" s="162">
        <v>2213589</v>
      </c>
      <c r="N9" s="162">
        <v>2544551</v>
      </c>
      <c r="O9" s="219">
        <f t="shared" si="1"/>
        <v>24250351</v>
      </c>
      <c r="P9" s="16"/>
      <c r="R9" s="30"/>
    </row>
    <row r="10" spans="1:18" x14ac:dyDescent="0.2">
      <c r="A10" s="30">
        <f t="shared" si="0"/>
        <v>6</v>
      </c>
      <c r="B10" s="33" t="s">
        <v>942</v>
      </c>
      <c r="C10" s="162">
        <v>2718</v>
      </c>
      <c r="D10" s="162">
        <v>2718</v>
      </c>
      <c r="E10" s="162">
        <v>2718</v>
      </c>
      <c r="F10" s="162">
        <v>2718</v>
      </c>
      <c r="G10" s="162">
        <v>2718</v>
      </c>
      <c r="H10" s="162">
        <v>2718</v>
      </c>
      <c r="I10" s="162">
        <v>2718</v>
      </c>
      <c r="J10" s="162">
        <v>2718</v>
      </c>
      <c r="K10" s="162">
        <v>2718</v>
      </c>
      <c r="L10" s="162">
        <v>2718</v>
      </c>
      <c r="M10" s="162">
        <v>2718</v>
      </c>
      <c r="N10" s="162">
        <v>2718</v>
      </c>
      <c r="O10" s="219">
        <f t="shared" si="1"/>
        <v>32616</v>
      </c>
      <c r="P10" s="16"/>
      <c r="R10" s="30"/>
    </row>
    <row r="11" spans="1:18" x14ac:dyDescent="0.2">
      <c r="A11" s="30">
        <f t="shared" si="0"/>
        <v>7</v>
      </c>
      <c r="B11" s="33" t="s">
        <v>943</v>
      </c>
      <c r="C11" s="162">
        <v>62596</v>
      </c>
      <c r="D11" s="162">
        <v>62596</v>
      </c>
      <c r="E11" s="162">
        <v>62596</v>
      </c>
      <c r="F11" s="162">
        <v>62596</v>
      </c>
      <c r="G11" s="162">
        <v>62596</v>
      </c>
      <c r="H11" s="162">
        <v>62596</v>
      </c>
      <c r="I11" s="162">
        <v>62596</v>
      </c>
      <c r="J11" s="162">
        <v>62596</v>
      </c>
      <c r="K11" s="162">
        <v>62596</v>
      </c>
      <c r="L11" s="162">
        <v>62596</v>
      </c>
      <c r="M11" s="162">
        <v>62596</v>
      </c>
      <c r="N11" s="162">
        <v>62596</v>
      </c>
      <c r="O11" s="219">
        <f t="shared" si="1"/>
        <v>751152</v>
      </c>
      <c r="P11" s="16"/>
      <c r="R11" s="30"/>
    </row>
    <row r="12" spans="1:18" x14ac:dyDescent="0.2">
      <c r="A12" s="30">
        <f t="shared" si="0"/>
        <v>8</v>
      </c>
      <c r="B12" s="33" t="s">
        <v>952</v>
      </c>
      <c r="C12" s="162">
        <v>1121131</v>
      </c>
      <c r="D12" s="162">
        <v>475793</v>
      </c>
      <c r="E12" s="162">
        <v>393097</v>
      </c>
      <c r="F12" s="162">
        <v>338919</v>
      </c>
      <c r="G12" s="162">
        <v>410070</v>
      </c>
      <c r="H12" s="162">
        <v>162641</v>
      </c>
      <c r="I12" s="162">
        <v>338506</v>
      </c>
      <c r="J12" s="162">
        <v>555752</v>
      </c>
      <c r="K12" s="162">
        <v>439063</v>
      </c>
      <c r="L12" s="162">
        <v>475113</v>
      </c>
      <c r="M12" s="162">
        <v>402225</v>
      </c>
      <c r="N12" s="162">
        <v>361009</v>
      </c>
      <c r="O12" s="219">
        <f t="shared" si="1"/>
        <v>5473319</v>
      </c>
      <c r="P12" s="16"/>
      <c r="R12" s="30"/>
    </row>
    <row r="13" spans="1:18" x14ac:dyDescent="0.2">
      <c r="A13" s="30">
        <f t="shared" si="0"/>
        <v>9</v>
      </c>
      <c r="B13" s="33" t="s">
        <v>951</v>
      </c>
      <c r="C13" s="162">
        <v>578852</v>
      </c>
      <c r="D13" s="162">
        <v>296495</v>
      </c>
      <c r="E13" s="162">
        <v>387263</v>
      </c>
      <c r="F13" s="162">
        <v>407703</v>
      </c>
      <c r="G13" s="162">
        <v>416570</v>
      </c>
      <c r="H13" s="162">
        <v>432030</v>
      </c>
      <c r="I13" s="162">
        <v>624887</v>
      </c>
      <c r="J13" s="162">
        <v>674358</v>
      </c>
      <c r="K13" s="162">
        <v>444532</v>
      </c>
      <c r="L13" s="162">
        <v>418236</v>
      </c>
      <c r="M13" s="162">
        <v>595597</v>
      </c>
      <c r="N13" s="162">
        <v>649947</v>
      </c>
      <c r="O13" s="219">
        <f t="shared" si="1"/>
        <v>5926470</v>
      </c>
      <c r="P13" s="16"/>
      <c r="R13" s="30"/>
    </row>
    <row r="14" spans="1:18" x14ac:dyDescent="0.2">
      <c r="A14" s="30">
        <f t="shared" si="0"/>
        <v>10</v>
      </c>
      <c r="B14" s="173" t="s">
        <v>944</v>
      </c>
      <c r="C14" s="222">
        <f>SUM(C8:C13)</f>
        <v>4704653</v>
      </c>
      <c r="D14" s="222">
        <f t="shared" ref="D14:N14" si="2">SUM(D8:D13)</f>
        <v>3450800</v>
      </c>
      <c r="E14" s="222">
        <f t="shared" si="2"/>
        <v>3625234</v>
      </c>
      <c r="F14" s="222">
        <f t="shared" si="2"/>
        <v>2912020</v>
      </c>
      <c r="G14" s="222">
        <f t="shared" si="2"/>
        <v>3048093</v>
      </c>
      <c r="H14" s="222">
        <f t="shared" si="2"/>
        <v>2752347</v>
      </c>
      <c r="I14" s="222">
        <f t="shared" si="2"/>
        <v>3852746</v>
      </c>
      <c r="J14" s="222">
        <f t="shared" si="2"/>
        <v>4152227</v>
      </c>
      <c r="K14" s="222">
        <f t="shared" si="2"/>
        <v>3390447</v>
      </c>
      <c r="L14" s="222">
        <f t="shared" si="2"/>
        <v>3245071</v>
      </c>
      <c r="M14" s="222">
        <f t="shared" si="2"/>
        <v>4004844</v>
      </c>
      <c r="N14" s="222">
        <f t="shared" si="2"/>
        <v>4270809</v>
      </c>
      <c r="O14" s="145">
        <f t="shared" ref="O14" si="3">SUM(O8:O13)</f>
        <v>43409291</v>
      </c>
      <c r="P14" s="16"/>
      <c r="Q14" s="36"/>
      <c r="R14" s="141"/>
    </row>
    <row r="15" spans="1:18" x14ac:dyDescent="0.2">
      <c r="A15" s="30">
        <f t="shared" si="0"/>
        <v>11</v>
      </c>
      <c r="B15" s="33" t="s">
        <v>945</v>
      </c>
      <c r="C15" s="162">
        <v>-315</v>
      </c>
      <c r="D15" s="162">
        <v>-317</v>
      </c>
      <c r="E15" s="162">
        <v>-325</v>
      </c>
      <c r="F15" s="162">
        <v>-332</v>
      </c>
      <c r="G15" s="162">
        <v>-364</v>
      </c>
      <c r="H15" s="162">
        <v>-368</v>
      </c>
      <c r="I15" s="162">
        <v>-381</v>
      </c>
      <c r="J15" s="162">
        <v>0</v>
      </c>
      <c r="K15" s="162">
        <v>0</v>
      </c>
      <c r="L15" s="162">
        <v>-405</v>
      </c>
      <c r="M15" s="162">
        <v>-417</v>
      </c>
      <c r="N15" s="162">
        <v>-429</v>
      </c>
      <c r="O15" s="219">
        <f t="shared" si="1"/>
        <v>-3653</v>
      </c>
      <c r="P15" s="16"/>
      <c r="Q15" s="36"/>
      <c r="R15" s="30"/>
    </row>
    <row r="16" spans="1:18" x14ac:dyDescent="0.2">
      <c r="A16" s="30">
        <f t="shared" si="0"/>
        <v>12</v>
      </c>
      <c r="B16" s="33" t="s">
        <v>946</v>
      </c>
      <c r="C16" s="162">
        <v>-44</v>
      </c>
      <c r="D16" s="162">
        <v>-30</v>
      </c>
      <c r="E16" s="162">
        <v>-39</v>
      </c>
      <c r="F16" s="162">
        <v>-54</v>
      </c>
      <c r="G16" s="162">
        <v>-58</v>
      </c>
      <c r="H16" s="162">
        <v>-69</v>
      </c>
      <c r="I16" s="162">
        <v>-74</v>
      </c>
      <c r="J16" s="162">
        <v>0</v>
      </c>
      <c r="K16" s="162">
        <v>0</v>
      </c>
      <c r="L16" s="162">
        <v>-60</v>
      </c>
      <c r="M16" s="162">
        <v>-73</v>
      </c>
      <c r="N16" s="162">
        <v>-77</v>
      </c>
      <c r="O16" s="219">
        <f t="shared" si="1"/>
        <v>-578</v>
      </c>
      <c r="P16" s="16"/>
      <c r="Q16" s="36"/>
      <c r="R16" s="30"/>
    </row>
    <row r="17" spans="1:18" x14ac:dyDescent="0.2">
      <c r="A17" s="30">
        <f t="shared" si="0"/>
        <v>13</v>
      </c>
      <c r="B17" s="33" t="s">
        <v>949</v>
      </c>
      <c r="C17" s="162">
        <f>C16+C15</f>
        <v>-359</v>
      </c>
      <c r="D17" s="162">
        <f t="shared" ref="D17:N17" si="4">D16+D15</f>
        <v>-347</v>
      </c>
      <c r="E17" s="162">
        <f t="shared" si="4"/>
        <v>-364</v>
      </c>
      <c r="F17" s="162">
        <f t="shared" si="4"/>
        <v>-386</v>
      </c>
      <c r="G17" s="162">
        <f t="shared" si="4"/>
        <v>-422</v>
      </c>
      <c r="H17" s="162">
        <f t="shared" si="4"/>
        <v>-437</v>
      </c>
      <c r="I17" s="162">
        <f t="shared" si="4"/>
        <v>-455</v>
      </c>
      <c r="J17" s="162">
        <f t="shared" si="4"/>
        <v>0</v>
      </c>
      <c r="K17" s="162">
        <f t="shared" si="4"/>
        <v>0</v>
      </c>
      <c r="L17" s="162">
        <f t="shared" si="4"/>
        <v>-465</v>
      </c>
      <c r="M17" s="162">
        <f t="shared" si="4"/>
        <v>-490</v>
      </c>
      <c r="N17" s="162">
        <f t="shared" si="4"/>
        <v>-506</v>
      </c>
      <c r="O17" s="219">
        <f t="shared" si="1"/>
        <v>-4231</v>
      </c>
      <c r="P17" s="16"/>
      <c r="R17" s="30"/>
    </row>
    <row r="18" spans="1:18" x14ac:dyDescent="0.2">
      <c r="A18" s="30">
        <f t="shared" si="0"/>
        <v>14</v>
      </c>
      <c r="B18" s="33" t="s">
        <v>947</v>
      </c>
      <c r="C18" s="159">
        <v>600</v>
      </c>
      <c r="D18" s="159">
        <v>600</v>
      </c>
      <c r="E18" s="159">
        <v>600</v>
      </c>
      <c r="F18" s="159">
        <v>600</v>
      </c>
      <c r="G18" s="159">
        <v>600</v>
      </c>
      <c r="H18" s="159">
        <v>600</v>
      </c>
      <c r="I18" s="159">
        <v>600</v>
      </c>
      <c r="J18" s="159">
        <v>600</v>
      </c>
      <c r="K18" s="159">
        <v>600</v>
      </c>
      <c r="L18" s="159">
        <v>600</v>
      </c>
      <c r="M18" s="159">
        <v>600</v>
      </c>
      <c r="N18" s="159">
        <v>600</v>
      </c>
      <c r="O18" s="219">
        <f t="shared" si="1"/>
        <v>7200</v>
      </c>
      <c r="P18" s="16"/>
      <c r="R18" s="30"/>
    </row>
    <row r="19" spans="1:18" x14ac:dyDescent="0.2">
      <c r="A19" s="30">
        <f t="shared" si="0"/>
        <v>15</v>
      </c>
      <c r="B19" s="33" t="s">
        <v>948</v>
      </c>
      <c r="C19" s="162">
        <v>15</v>
      </c>
      <c r="D19" s="162">
        <v>15</v>
      </c>
      <c r="E19" s="162">
        <v>15</v>
      </c>
      <c r="F19" s="162">
        <v>15</v>
      </c>
      <c r="G19" s="162">
        <v>15</v>
      </c>
      <c r="H19" s="162">
        <v>15</v>
      </c>
      <c r="I19" s="162">
        <v>15</v>
      </c>
      <c r="J19" s="162">
        <v>15</v>
      </c>
      <c r="K19" s="162">
        <v>15</v>
      </c>
      <c r="L19" s="162">
        <v>15</v>
      </c>
      <c r="M19" s="162">
        <v>15</v>
      </c>
      <c r="N19" s="162">
        <v>15</v>
      </c>
      <c r="O19" s="219">
        <f t="shared" si="1"/>
        <v>180</v>
      </c>
      <c r="P19" s="16"/>
      <c r="R19" s="30"/>
    </row>
    <row r="20" spans="1:18" x14ac:dyDescent="0.2">
      <c r="A20" s="30">
        <f t="shared" si="0"/>
        <v>16</v>
      </c>
      <c r="B20" s="33" t="s">
        <v>1153</v>
      </c>
      <c r="C20" s="162">
        <v>0</v>
      </c>
      <c r="D20" s="162">
        <v>0</v>
      </c>
      <c r="E20" s="162">
        <v>0</v>
      </c>
      <c r="F20" s="162">
        <v>0</v>
      </c>
      <c r="G20" s="162">
        <v>0</v>
      </c>
      <c r="H20" s="162">
        <v>0</v>
      </c>
      <c r="I20" s="162">
        <v>0</v>
      </c>
      <c r="J20" s="162">
        <v>550</v>
      </c>
      <c r="K20" s="162">
        <v>824</v>
      </c>
      <c r="L20" s="162">
        <v>736</v>
      </c>
      <c r="M20" s="162">
        <v>643</v>
      </c>
      <c r="N20" s="162">
        <v>657</v>
      </c>
      <c r="O20" s="219">
        <f t="shared" si="1"/>
        <v>3410</v>
      </c>
      <c r="P20" s="16"/>
      <c r="R20" s="30"/>
    </row>
    <row r="21" spans="1:18" x14ac:dyDescent="0.2">
      <c r="A21" s="30">
        <f t="shared" si="0"/>
        <v>17</v>
      </c>
      <c r="B21" s="33" t="s">
        <v>1069</v>
      </c>
      <c r="C21" s="162">
        <v>-3</v>
      </c>
      <c r="D21" s="162">
        <v>-2</v>
      </c>
      <c r="E21" s="162">
        <v>-2</v>
      </c>
      <c r="F21" s="162">
        <v>-2</v>
      </c>
      <c r="G21" s="162">
        <v>-2</v>
      </c>
      <c r="H21" s="162">
        <v>-2</v>
      </c>
      <c r="I21" s="162">
        <v>-2</v>
      </c>
      <c r="J21" s="162">
        <v>-3</v>
      </c>
      <c r="K21" s="162">
        <v>-3</v>
      </c>
      <c r="L21" s="162">
        <v>-2</v>
      </c>
      <c r="M21" s="162">
        <v>-2</v>
      </c>
      <c r="N21" s="162">
        <v>-2</v>
      </c>
      <c r="O21" s="219">
        <f t="shared" si="1"/>
        <v>-27</v>
      </c>
      <c r="P21" s="16"/>
      <c r="R21" s="30"/>
    </row>
    <row r="22" spans="1:18" x14ac:dyDescent="0.2">
      <c r="A22" s="30">
        <f t="shared" si="0"/>
        <v>18</v>
      </c>
      <c r="B22" s="173" t="s">
        <v>861</v>
      </c>
      <c r="C22" s="222">
        <f>C14+C17+C19+C21+C20</f>
        <v>4704306</v>
      </c>
      <c r="D22" s="222">
        <f t="shared" ref="D22:N22" si="5">D14+D17+D19+D21+D20</f>
        <v>3450466</v>
      </c>
      <c r="E22" s="222">
        <f t="shared" si="5"/>
        <v>3624883</v>
      </c>
      <c r="F22" s="222">
        <f t="shared" si="5"/>
        <v>2911647</v>
      </c>
      <c r="G22" s="222">
        <f t="shared" si="5"/>
        <v>3047684</v>
      </c>
      <c r="H22" s="222">
        <f t="shared" si="5"/>
        <v>2751923</v>
      </c>
      <c r="I22" s="222">
        <f t="shared" si="5"/>
        <v>3852304</v>
      </c>
      <c r="J22" s="222">
        <f t="shared" si="5"/>
        <v>4152789</v>
      </c>
      <c r="K22" s="222">
        <f t="shared" si="5"/>
        <v>3391283</v>
      </c>
      <c r="L22" s="222">
        <f t="shared" si="5"/>
        <v>3245355</v>
      </c>
      <c r="M22" s="222">
        <f t="shared" si="5"/>
        <v>4005010</v>
      </c>
      <c r="N22" s="222">
        <f t="shared" si="5"/>
        <v>4270973</v>
      </c>
      <c r="O22" s="222">
        <f t="shared" si="1"/>
        <v>43408623</v>
      </c>
      <c r="P22" s="16"/>
      <c r="Q22" s="36"/>
      <c r="R22" s="141"/>
    </row>
    <row r="23" spans="1:18" x14ac:dyDescent="0.2">
      <c r="A23" s="30">
        <f t="shared" si="0"/>
        <v>19</v>
      </c>
      <c r="B23" s="30"/>
      <c r="C23" s="30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207"/>
      <c r="P23" s="16"/>
      <c r="R23" s="30"/>
    </row>
    <row r="24" spans="1:18" x14ac:dyDescent="0.2">
      <c r="A24" s="30">
        <f>A23+1</f>
        <v>20</v>
      </c>
      <c r="B24" s="33" t="s">
        <v>1156</v>
      </c>
      <c r="C24" s="159">
        <v>106251</v>
      </c>
      <c r="D24" s="159">
        <v>99943</v>
      </c>
      <c r="E24" s="159">
        <v>119037</v>
      </c>
      <c r="F24" s="159">
        <v>74830</v>
      </c>
      <c r="G24" s="159">
        <v>67623</v>
      </c>
      <c r="H24" s="159">
        <v>73478</v>
      </c>
      <c r="I24" s="159">
        <v>78711</v>
      </c>
      <c r="J24" s="159">
        <v>84108</v>
      </c>
      <c r="K24" s="159">
        <v>91745</v>
      </c>
      <c r="L24" s="159">
        <v>72970</v>
      </c>
      <c r="M24" s="159">
        <v>123999</v>
      </c>
      <c r="N24" s="159">
        <v>112118</v>
      </c>
      <c r="O24" s="144">
        <f t="shared" ref="O24:O25" si="6">SUM(C24:N24)</f>
        <v>1104813</v>
      </c>
      <c r="P24" s="16"/>
      <c r="R24" s="30"/>
    </row>
    <row r="25" spans="1:18" x14ac:dyDescent="0.2">
      <c r="A25" s="30">
        <f t="shared" si="0"/>
        <v>21</v>
      </c>
      <c r="B25" s="33" t="s">
        <v>1157</v>
      </c>
      <c r="C25" s="159">
        <v>113028</v>
      </c>
      <c r="D25" s="159">
        <v>111113</v>
      </c>
      <c r="E25" s="159">
        <v>121591</v>
      </c>
      <c r="F25" s="159">
        <v>82315</v>
      </c>
      <c r="G25" s="159">
        <v>80739</v>
      </c>
      <c r="H25" s="159">
        <v>90052</v>
      </c>
      <c r="I25" s="159">
        <v>103254</v>
      </c>
      <c r="J25" s="159">
        <v>110318</v>
      </c>
      <c r="K25" s="159">
        <v>103910</v>
      </c>
      <c r="L25" s="159">
        <v>91979</v>
      </c>
      <c r="M25" s="159">
        <v>126127</v>
      </c>
      <c r="N25" s="159">
        <v>121048</v>
      </c>
      <c r="O25" s="144">
        <f t="shared" si="6"/>
        <v>1255474</v>
      </c>
      <c r="P25" s="16"/>
      <c r="R25" s="30"/>
    </row>
    <row r="26" spans="1:18" x14ac:dyDescent="0.2">
      <c r="A26" s="30">
        <f t="shared" si="0"/>
        <v>22</v>
      </c>
    </row>
    <row r="27" spans="1:18" x14ac:dyDescent="0.2">
      <c r="A27" s="30">
        <f t="shared" si="0"/>
        <v>23</v>
      </c>
      <c r="B27" s="14" t="s">
        <v>1028</v>
      </c>
      <c r="C27" s="93">
        <f t="shared" ref="C27:N27" si="7">C8+C10+C11+(C13*C34)</f>
        <v>1084662.2</v>
      </c>
      <c r="D27" s="93">
        <f t="shared" si="7"/>
        <v>940862</v>
      </c>
      <c r="E27" s="93">
        <f t="shared" si="7"/>
        <v>1054686.8</v>
      </c>
      <c r="F27" s="93">
        <f t="shared" si="7"/>
        <v>780945.8</v>
      </c>
      <c r="G27" s="93">
        <f t="shared" si="7"/>
        <v>769821</v>
      </c>
      <c r="H27" s="93">
        <f t="shared" si="7"/>
        <v>794531</v>
      </c>
      <c r="I27" s="93">
        <f t="shared" si="7"/>
        <v>997672.2</v>
      </c>
      <c r="J27" s="93">
        <f t="shared" si="7"/>
        <v>1062328.8</v>
      </c>
      <c r="K27" s="93">
        <f t="shared" si="7"/>
        <v>860366.2</v>
      </c>
      <c r="L27" s="93">
        <f t="shared" si="7"/>
        <v>713095.6</v>
      </c>
      <c r="M27" s="93">
        <f t="shared" si="7"/>
        <v>1150791.2</v>
      </c>
      <c r="N27" s="93">
        <f t="shared" si="7"/>
        <v>1105270.2</v>
      </c>
      <c r="O27" s="144">
        <f>SUM(C27:N27)</f>
        <v>11315032.999999998</v>
      </c>
    </row>
    <row r="28" spans="1:18" x14ac:dyDescent="0.2">
      <c r="A28" s="30">
        <f t="shared" si="0"/>
        <v>24</v>
      </c>
      <c r="B28" s="14" t="s">
        <v>1029</v>
      </c>
      <c r="C28" s="93">
        <f t="shared" ref="C28:N28" si="8">C14-C27</f>
        <v>3619990.8</v>
      </c>
      <c r="D28" s="93">
        <f t="shared" si="8"/>
        <v>2509938</v>
      </c>
      <c r="E28" s="93">
        <f t="shared" si="8"/>
        <v>2570547.2000000002</v>
      </c>
      <c r="F28" s="93">
        <f t="shared" si="8"/>
        <v>2131074.2000000002</v>
      </c>
      <c r="G28" s="93">
        <f t="shared" si="8"/>
        <v>2278272</v>
      </c>
      <c r="H28" s="93">
        <f t="shared" si="8"/>
        <v>1957816</v>
      </c>
      <c r="I28" s="93">
        <f t="shared" si="8"/>
        <v>2855073.8</v>
      </c>
      <c r="J28" s="93">
        <f t="shared" si="8"/>
        <v>3089898.2</v>
      </c>
      <c r="K28" s="93">
        <f t="shared" si="8"/>
        <v>2530080.7999999998</v>
      </c>
      <c r="L28" s="93">
        <f t="shared" si="8"/>
        <v>2531975.4</v>
      </c>
      <c r="M28" s="93">
        <f t="shared" si="8"/>
        <v>2854052.8</v>
      </c>
      <c r="N28" s="93">
        <f t="shared" si="8"/>
        <v>3165538.8</v>
      </c>
      <c r="O28" s="144">
        <f t="shared" ref="O28:O30" si="9">SUM(C28:N28)</f>
        <v>32094258</v>
      </c>
    </row>
    <row r="29" spans="1:18" x14ac:dyDescent="0.2">
      <c r="A29" s="30">
        <f t="shared" si="0"/>
        <v>25</v>
      </c>
      <c r="B29" s="14" t="s">
        <v>1030</v>
      </c>
      <c r="C29" s="146">
        <f>C27+C28</f>
        <v>4704653</v>
      </c>
      <c r="D29" s="146">
        <f t="shared" ref="D29:N29" si="10">D27+D28</f>
        <v>3450800</v>
      </c>
      <c r="E29" s="146">
        <f t="shared" si="10"/>
        <v>3625234</v>
      </c>
      <c r="F29" s="146">
        <f t="shared" si="10"/>
        <v>2912020</v>
      </c>
      <c r="G29" s="146">
        <f t="shared" si="10"/>
        <v>3048093</v>
      </c>
      <c r="H29" s="146">
        <f t="shared" si="10"/>
        <v>2752347</v>
      </c>
      <c r="I29" s="146">
        <f t="shared" si="10"/>
        <v>3852746</v>
      </c>
      <c r="J29" s="146">
        <f t="shared" si="10"/>
        <v>4152227</v>
      </c>
      <c r="K29" s="146">
        <f t="shared" si="10"/>
        <v>3390447</v>
      </c>
      <c r="L29" s="146">
        <f t="shared" si="10"/>
        <v>3245071</v>
      </c>
      <c r="M29" s="146">
        <f t="shared" si="10"/>
        <v>4004844</v>
      </c>
      <c r="N29" s="146">
        <f t="shared" si="10"/>
        <v>4270809</v>
      </c>
      <c r="O29" s="144">
        <f t="shared" si="9"/>
        <v>43409291</v>
      </c>
    </row>
    <row r="30" spans="1:18" x14ac:dyDescent="0.2">
      <c r="A30" s="30">
        <f t="shared" si="0"/>
        <v>26</v>
      </c>
      <c r="B30" s="14" t="s">
        <v>929</v>
      </c>
      <c r="C30" s="93">
        <f t="shared" ref="C30:N30" si="11">C29-C14</f>
        <v>0</v>
      </c>
      <c r="D30" s="93">
        <f t="shared" si="11"/>
        <v>0</v>
      </c>
      <c r="E30" s="93">
        <f t="shared" si="11"/>
        <v>0</v>
      </c>
      <c r="F30" s="93">
        <f t="shared" si="11"/>
        <v>0</v>
      </c>
      <c r="G30" s="93">
        <f t="shared" si="11"/>
        <v>0</v>
      </c>
      <c r="H30" s="93">
        <f t="shared" si="11"/>
        <v>0</v>
      </c>
      <c r="I30" s="93">
        <f t="shared" si="11"/>
        <v>0</v>
      </c>
      <c r="J30" s="93">
        <f t="shared" si="11"/>
        <v>0</v>
      </c>
      <c r="K30" s="93">
        <f t="shared" si="11"/>
        <v>0</v>
      </c>
      <c r="L30" s="93">
        <f t="shared" si="11"/>
        <v>0</v>
      </c>
      <c r="M30" s="93">
        <f t="shared" si="11"/>
        <v>0</v>
      </c>
      <c r="N30" s="93">
        <f t="shared" si="11"/>
        <v>0</v>
      </c>
      <c r="O30" s="144">
        <f t="shared" si="9"/>
        <v>0</v>
      </c>
    </row>
    <row r="31" spans="1:18" x14ac:dyDescent="0.2">
      <c r="A31" s="30">
        <f t="shared" si="0"/>
        <v>27</v>
      </c>
      <c r="B31" s="14" t="s">
        <v>1031</v>
      </c>
      <c r="C31" s="26">
        <f>C27/C29</f>
        <v>0.23055094605276946</v>
      </c>
      <c r="D31" s="26">
        <f t="shared" ref="D31:O31" si="12">D27/D29</f>
        <v>0.27265039990726786</v>
      </c>
      <c r="E31" s="26">
        <f t="shared" si="12"/>
        <v>0.29092930277052464</v>
      </c>
      <c r="F31" s="26">
        <f t="shared" si="12"/>
        <v>0.26818009491693051</v>
      </c>
      <c r="G31" s="26">
        <f t="shared" si="12"/>
        <v>0.25255823887263285</v>
      </c>
      <c r="H31" s="26">
        <f t="shared" si="12"/>
        <v>0.28867399350445272</v>
      </c>
      <c r="I31" s="26">
        <f t="shared" si="12"/>
        <v>0.25895094044611294</v>
      </c>
      <c r="J31" s="26">
        <f t="shared" si="12"/>
        <v>0.25584554986998542</v>
      </c>
      <c r="K31" s="26">
        <f t="shared" si="12"/>
        <v>0.25376187859594912</v>
      </c>
      <c r="L31" s="26">
        <f t="shared" si="12"/>
        <v>0.21974730290955113</v>
      </c>
      <c r="M31" s="26">
        <f t="shared" si="12"/>
        <v>0.28734981936874443</v>
      </c>
      <c r="N31" s="26">
        <f t="shared" si="12"/>
        <v>0.25879644816708025</v>
      </c>
      <c r="O31" s="147">
        <f t="shared" si="12"/>
        <v>0.26065924458429873</v>
      </c>
    </row>
    <row r="32" spans="1:18" x14ac:dyDescent="0.2">
      <c r="A32" s="30">
        <f t="shared" si="0"/>
        <v>28</v>
      </c>
      <c r="B32" s="14" t="s">
        <v>1032</v>
      </c>
      <c r="C32" s="26">
        <f>C28/C29</f>
        <v>0.76944905394723051</v>
      </c>
      <c r="D32" s="26">
        <f t="shared" ref="D32:O32" si="13">D28/D29</f>
        <v>0.72734960009273208</v>
      </c>
      <c r="E32" s="26">
        <f t="shared" si="13"/>
        <v>0.70907069722947547</v>
      </c>
      <c r="F32" s="26">
        <f t="shared" si="13"/>
        <v>0.7318199050830696</v>
      </c>
      <c r="G32" s="26">
        <f t="shared" si="13"/>
        <v>0.74744176112736715</v>
      </c>
      <c r="H32" s="26">
        <f t="shared" si="13"/>
        <v>0.71132600649554723</v>
      </c>
      <c r="I32" s="26">
        <f t="shared" si="13"/>
        <v>0.741049059553887</v>
      </c>
      <c r="J32" s="26">
        <f t="shared" si="13"/>
        <v>0.74415445013001458</v>
      </c>
      <c r="K32" s="26">
        <f t="shared" si="13"/>
        <v>0.74623812140405077</v>
      </c>
      <c r="L32" s="26">
        <f t="shared" si="13"/>
        <v>0.78025269709044887</v>
      </c>
      <c r="M32" s="26">
        <f t="shared" si="13"/>
        <v>0.71265018063125551</v>
      </c>
      <c r="N32" s="26">
        <f t="shared" si="13"/>
        <v>0.74120355183291964</v>
      </c>
      <c r="O32" s="147">
        <f t="shared" si="13"/>
        <v>0.73934075541570121</v>
      </c>
    </row>
    <row r="33" spans="1:15" x14ac:dyDescent="0.2">
      <c r="A33" s="30">
        <f>A32+1</f>
        <v>29</v>
      </c>
    </row>
    <row r="34" spans="1:15" x14ac:dyDescent="0.2">
      <c r="A34" s="30">
        <f t="shared" si="0"/>
        <v>30</v>
      </c>
      <c r="B34" s="148" t="s">
        <v>1026</v>
      </c>
      <c r="C34" s="148">
        <v>0.6</v>
      </c>
      <c r="D34" s="148">
        <v>0.6</v>
      </c>
      <c r="E34" s="148">
        <v>0.6</v>
      </c>
      <c r="F34" s="148">
        <v>0.6</v>
      </c>
      <c r="G34" s="148">
        <v>0.6</v>
      </c>
      <c r="H34" s="148">
        <v>0.6</v>
      </c>
      <c r="I34" s="148">
        <v>0.6</v>
      </c>
      <c r="J34" s="148">
        <v>0.6</v>
      </c>
      <c r="K34" s="148">
        <v>0.6</v>
      </c>
      <c r="L34" s="148">
        <v>0.6</v>
      </c>
      <c r="M34" s="148">
        <v>0.6</v>
      </c>
      <c r="N34" s="148">
        <v>0.6</v>
      </c>
      <c r="O34" s="148">
        <v>0.6</v>
      </c>
    </row>
    <row r="35" spans="1:15" x14ac:dyDescent="0.2">
      <c r="A35" s="30">
        <f t="shared" si="0"/>
        <v>31</v>
      </c>
      <c r="B35" s="14" t="s">
        <v>1027</v>
      </c>
      <c r="C35" s="174">
        <v>0.4</v>
      </c>
      <c r="D35" s="174">
        <v>0.4</v>
      </c>
      <c r="E35" s="174">
        <v>0.4</v>
      </c>
      <c r="F35" s="174">
        <v>0.4</v>
      </c>
      <c r="G35" s="174">
        <v>0.4</v>
      </c>
      <c r="H35" s="174">
        <v>0.4</v>
      </c>
      <c r="I35" s="174">
        <v>0.4</v>
      </c>
      <c r="J35" s="174">
        <v>0.4</v>
      </c>
      <c r="K35" s="174">
        <v>0.4</v>
      </c>
      <c r="L35" s="174">
        <v>0.4</v>
      </c>
      <c r="M35" s="174">
        <v>0.4</v>
      </c>
      <c r="N35" s="174">
        <v>0.4</v>
      </c>
      <c r="O35" s="174">
        <v>0.4</v>
      </c>
    </row>
    <row r="36" spans="1:15" x14ac:dyDescent="0.2">
      <c r="A36" s="30">
        <f t="shared" si="0"/>
        <v>32</v>
      </c>
    </row>
    <row r="37" spans="1:15" x14ac:dyDescent="0.2">
      <c r="A37" s="30">
        <f t="shared" si="0"/>
        <v>33</v>
      </c>
      <c r="B37" s="14" t="s">
        <v>1072</v>
      </c>
      <c r="N37" s="29" t="s">
        <v>1071</v>
      </c>
      <c r="O37" s="25">
        <f>O22-O21</f>
        <v>43408650</v>
      </c>
    </row>
    <row r="38" spans="1:15" x14ac:dyDescent="0.2">
      <c r="A38" s="30">
        <f t="shared" si="0"/>
        <v>34</v>
      </c>
      <c r="N38" s="29" t="s">
        <v>950</v>
      </c>
      <c r="O38" s="25">
        <v>43384255</v>
      </c>
    </row>
    <row r="39" spans="1:15" x14ac:dyDescent="0.2">
      <c r="A39" s="30">
        <f t="shared" si="0"/>
        <v>35</v>
      </c>
      <c r="N39" s="29" t="s">
        <v>1070</v>
      </c>
      <c r="O39" s="178">
        <f>O37-O38</f>
        <v>24395</v>
      </c>
    </row>
    <row r="40" spans="1:15" x14ac:dyDescent="0.2">
      <c r="A40" s="30">
        <f t="shared" si="0"/>
        <v>36</v>
      </c>
      <c r="D40" s="148"/>
      <c r="E40" s="148"/>
      <c r="F40" s="148"/>
      <c r="G40" s="148"/>
      <c r="H40" s="148"/>
      <c r="I40" s="148"/>
      <c r="J40" s="148"/>
      <c r="K40" s="148"/>
      <c r="L40" s="148"/>
      <c r="N40" s="29"/>
      <c r="O40" s="226">
        <f>O39/O38</f>
        <v>5.6230077017572393E-4</v>
      </c>
    </row>
    <row r="41" spans="1:15" x14ac:dyDescent="0.2">
      <c r="A41" s="30">
        <f t="shared" si="0"/>
        <v>37</v>
      </c>
      <c r="B41" s="13" t="s">
        <v>1165</v>
      </c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8"/>
    </row>
    <row r="42" spans="1:15" x14ac:dyDescent="0.2">
      <c r="A42" s="30">
        <f t="shared" si="0"/>
        <v>38</v>
      </c>
      <c r="C42" s="29" t="s">
        <v>1037</v>
      </c>
      <c r="D42" s="29" t="s">
        <v>1038</v>
      </c>
      <c r="E42" s="29" t="s">
        <v>1039</v>
      </c>
      <c r="F42" s="29" t="s">
        <v>1040</v>
      </c>
      <c r="G42" s="29" t="s">
        <v>1041</v>
      </c>
      <c r="H42" s="29" t="s">
        <v>1042</v>
      </c>
      <c r="I42" s="29" t="s">
        <v>1043</v>
      </c>
      <c r="J42" s="29" t="s">
        <v>1044</v>
      </c>
      <c r="K42" s="29" t="s">
        <v>1045</v>
      </c>
      <c r="L42" s="29" t="s">
        <v>1046</v>
      </c>
      <c r="M42" s="29" t="s">
        <v>1047</v>
      </c>
      <c r="N42" s="29" t="s">
        <v>1048</v>
      </c>
    </row>
    <row r="43" spans="1:15" x14ac:dyDescent="0.2">
      <c r="A43" s="30">
        <f t="shared" si="0"/>
        <v>39</v>
      </c>
      <c r="B43" s="14" t="s">
        <v>1144</v>
      </c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221"/>
    </row>
    <row r="44" spans="1:15" ht="12.75" customHeight="1" x14ac:dyDescent="0.2">
      <c r="A44" s="30">
        <f t="shared" si="0"/>
        <v>40</v>
      </c>
      <c r="B44" s="197" t="s">
        <v>1152</v>
      </c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43"/>
    </row>
    <row r="45" spans="1:15" x14ac:dyDescent="0.2">
      <c r="A45" s="30">
        <f t="shared" si="0"/>
        <v>41</v>
      </c>
      <c r="B45" s="14" t="s">
        <v>1160</v>
      </c>
      <c r="C45" s="159">
        <v>8092</v>
      </c>
      <c r="D45" s="159">
        <v>8092</v>
      </c>
      <c r="E45" s="159">
        <v>8092</v>
      </c>
      <c r="F45" s="159">
        <v>8000</v>
      </c>
      <c r="G45" s="159">
        <v>8000</v>
      </c>
      <c r="H45" s="159">
        <v>8000</v>
      </c>
      <c r="I45" s="159">
        <v>8000</v>
      </c>
      <c r="J45" s="159">
        <v>8000</v>
      </c>
      <c r="K45" s="159">
        <v>8000</v>
      </c>
      <c r="L45" s="159">
        <v>8000</v>
      </c>
      <c r="M45" s="159">
        <v>8000</v>
      </c>
      <c r="N45" s="159">
        <v>8000</v>
      </c>
      <c r="O45" s="144">
        <f t="shared" ref="O45" si="14">SUM(C45:N45)</f>
        <v>96276</v>
      </c>
    </row>
    <row r="46" spans="1:15" x14ac:dyDescent="0.2">
      <c r="A46" s="30">
        <f t="shared" si="0"/>
        <v>42</v>
      </c>
      <c r="B46" s="14" t="s">
        <v>1161</v>
      </c>
      <c r="C46" s="159">
        <v>6100</v>
      </c>
      <c r="D46" s="159">
        <v>119</v>
      </c>
      <c r="E46" s="159">
        <v>6791</v>
      </c>
      <c r="F46" s="159">
        <v>6773</v>
      </c>
      <c r="G46" s="159">
        <v>4873</v>
      </c>
      <c r="H46" s="159">
        <v>4779</v>
      </c>
      <c r="I46" s="159">
        <v>367</v>
      </c>
      <c r="J46" s="159">
        <v>400</v>
      </c>
      <c r="K46" s="159">
        <v>7819</v>
      </c>
      <c r="L46" s="159">
        <v>7467</v>
      </c>
      <c r="M46" s="159">
        <v>7523</v>
      </c>
      <c r="N46" s="159">
        <v>7758</v>
      </c>
      <c r="O46" s="144">
        <f t="shared" ref="O46:O50" si="15">SUM(C46:N46)</f>
        <v>60769</v>
      </c>
    </row>
    <row r="47" spans="1:15" x14ac:dyDescent="0.2">
      <c r="A47" s="30">
        <f t="shared" si="0"/>
        <v>43</v>
      </c>
      <c r="B47" s="14" t="s">
        <v>1162</v>
      </c>
      <c r="C47" s="159">
        <v>4482</v>
      </c>
      <c r="D47" s="159">
        <v>0</v>
      </c>
      <c r="E47" s="159">
        <v>6789</v>
      </c>
      <c r="F47" s="159">
        <v>6809</v>
      </c>
      <c r="G47" s="159">
        <v>6639</v>
      </c>
      <c r="H47" s="159">
        <v>45</v>
      </c>
      <c r="I47" s="159">
        <v>375</v>
      </c>
      <c r="J47" s="159">
        <v>7459</v>
      </c>
      <c r="K47" s="159">
        <v>7787</v>
      </c>
      <c r="L47" s="159">
        <v>7550</v>
      </c>
      <c r="M47" s="159">
        <v>7523</v>
      </c>
      <c r="N47" s="159">
        <v>7799</v>
      </c>
      <c r="O47" s="144">
        <f t="shared" si="15"/>
        <v>63257</v>
      </c>
    </row>
    <row r="48" spans="1:15" x14ac:dyDescent="0.2">
      <c r="A48" s="30">
        <f t="shared" si="0"/>
        <v>44</v>
      </c>
      <c r="B48" s="14" t="s">
        <v>1166</v>
      </c>
      <c r="C48" s="159">
        <v>8000</v>
      </c>
      <c r="D48" s="159">
        <v>8000</v>
      </c>
      <c r="E48" s="159">
        <v>8000</v>
      </c>
      <c r="F48" s="159">
        <v>8000</v>
      </c>
      <c r="G48" s="159">
        <v>8000</v>
      </c>
      <c r="H48" s="159">
        <v>8000</v>
      </c>
      <c r="I48" s="159">
        <v>8000</v>
      </c>
      <c r="J48" s="159">
        <v>8000</v>
      </c>
      <c r="K48" s="159">
        <v>8000</v>
      </c>
      <c r="L48" s="159">
        <v>8000</v>
      </c>
      <c r="M48" s="159">
        <v>8000</v>
      </c>
      <c r="N48" s="159">
        <v>8000</v>
      </c>
      <c r="O48" s="144">
        <f t="shared" ref="O48" si="16">SUM(C48:N48)</f>
        <v>96000</v>
      </c>
    </row>
    <row r="49" spans="1:15" x14ac:dyDescent="0.2">
      <c r="A49" s="30">
        <f t="shared" si="0"/>
        <v>45</v>
      </c>
      <c r="B49" s="14" t="s">
        <v>1164</v>
      </c>
      <c r="C49" s="159">
        <v>3800586</v>
      </c>
      <c r="D49" s="159">
        <v>4207868</v>
      </c>
      <c r="E49" s="159">
        <v>4858711</v>
      </c>
      <c r="F49" s="159">
        <v>4823932</v>
      </c>
      <c r="G49" s="159">
        <v>4549230</v>
      </c>
      <c r="H49" s="159">
        <v>3200000</v>
      </c>
      <c r="I49" s="159">
        <v>4458739</v>
      </c>
      <c r="J49" s="159">
        <v>5290303</v>
      </c>
      <c r="K49" s="159">
        <v>5386945</v>
      </c>
      <c r="L49" s="159">
        <v>5380492</v>
      </c>
      <c r="M49" s="159">
        <v>5329845</v>
      </c>
      <c r="N49" s="159">
        <v>5646579</v>
      </c>
      <c r="O49" s="144">
        <f t="shared" si="15"/>
        <v>56933230</v>
      </c>
    </row>
    <row r="50" spans="1:15" x14ac:dyDescent="0.2">
      <c r="A50" s="30">
        <f t="shared" si="0"/>
        <v>46</v>
      </c>
      <c r="B50" s="14" t="s">
        <v>1163</v>
      </c>
      <c r="C50" s="159">
        <v>3800586</v>
      </c>
      <c r="D50" s="159">
        <v>4207868</v>
      </c>
      <c r="E50" s="159">
        <v>4858711</v>
      </c>
      <c r="F50" s="159">
        <v>4823932</v>
      </c>
      <c r="G50" s="159">
        <v>4549230</v>
      </c>
      <c r="H50" s="159">
        <v>1436761</v>
      </c>
      <c r="I50" s="159">
        <v>4458739</v>
      </c>
      <c r="J50" s="159">
        <v>5290303</v>
      </c>
      <c r="K50" s="159">
        <v>5386945</v>
      </c>
      <c r="L50" s="159">
        <v>5380492</v>
      </c>
      <c r="M50" s="159">
        <v>5329845</v>
      </c>
      <c r="N50" s="159">
        <v>5646579</v>
      </c>
      <c r="O50" s="144">
        <f t="shared" si="15"/>
        <v>55169991</v>
      </c>
    </row>
    <row r="51" spans="1:15" x14ac:dyDescent="0.2">
      <c r="A51" s="30">
        <f t="shared" si="0"/>
        <v>47</v>
      </c>
      <c r="B51" s="14" t="s">
        <v>1167</v>
      </c>
      <c r="C51" s="159">
        <v>3200000</v>
      </c>
      <c r="D51" s="159">
        <v>3200000</v>
      </c>
      <c r="E51" s="159">
        <v>3200000</v>
      </c>
      <c r="F51" s="159">
        <v>3200000</v>
      </c>
      <c r="G51" s="159">
        <v>3200000</v>
      </c>
      <c r="H51" s="159">
        <v>3200000</v>
      </c>
      <c r="I51" s="159">
        <v>3200000</v>
      </c>
      <c r="J51" s="159">
        <v>3200000</v>
      </c>
      <c r="K51" s="159">
        <v>3200000</v>
      </c>
      <c r="L51" s="159">
        <v>3200000</v>
      </c>
      <c r="M51" s="159">
        <v>3200000</v>
      </c>
      <c r="N51" s="159">
        <v>3200000</v>
      </c>
      <c r="O51" s="144">
        <f t="shared" ref="O51" si="17">SUM(C51:N51)</f>
        <v>38400000</v>
      </c>
    </row>
    <row r="52" spans="1:15" x14ac:dyDescent="0.2">
      <c r="A52" s="30">
        <f t="shared" si="0"/>
        <v>48</v>
      </c>
      <c r="B52" s="14" t="s">
        <v>1145</v>
      </c>
      <c r="C52" s="66">
        <v>60609</v>
      </c>
      <c r="D52" s="66">
        <v>60609</v>
      </c>
      <c r="E52" s="66">
        <v>60609</v>
      </c>
      <c r="F52" s="66">
        <v>59920</v>
      </c>
      <c r="G52" s="66">
        <v>59920</v>
      </c>
      <c r="H52" s="66">
        <v>59920</v>
      </c>
      <c r="I52" s="66">
        <v>59920</v>
      </c>
      <c r="J52" s="66">
        <v>59920</v>
      </c>
      <c r="K52" s="66">
        <v>59920</v>
      </c>
      <c r="L52" s="66">
        <v>59920</v>
      </c>
      <c r="M52" s="66">
        <v>59920</v>
      </c>
      <c r="N52" s="66">
        <v>59920</v>
      </c>
      <c r="O52" s="219">
        <f>SUM(C52:N52)</f>
        <v>721107</v>
      </c>
    </row>
    <row r="53" spans="1:15" x14ac:dyDescent="0.2">
      <c r="A53" s="30">
        <f t="shared" si="0"/>
        <v>49</v>
      </c>
      <c r="B53" s="14" t="s">
        <v>1146</v>
      </c>
      <c r="C53" s="66">
        <v>-39715</v>
      </c>
      <c r="D53" s="66">
        <v>-39715</v>
      </c>
      <c r="E53" s="66">
        <v>-39715</v>
      </c>
      <c r="F53" s="66">
        <v>-39200</v>
      </c>
      <c r="G53" s="66">
        <v>-39200</v>
      </c>
      <c r="H53" s="66">
        <v>-39200</v>
      </c>
      <c r="I53" s="66">
        <v>-39200</v>
      </c>
      <c r="J53" s="66">
        <v>-39200</v>
      </c>
      <c r="K53" s="66">
        <v>-39200</v>
      </c>
      <c r="L53" s="66">
        <v>-39200</v>
      </c>
      <c r="M53" s="66">
        <v>-39200</v>
      </c>
      <c r="N53" s="66">
        <v>-39200</v>
      </c>
      <c r="O53" s="219">
        <f>SUM(C53:N53)</f>
        <v>-471945</v>
      </c>
    </row>
    <row r="54" spans="1:15" x14ac:dyDescent="0.2">
      <c r="A54" s="30">
        <f t="shared" si="0"/>
        <v>50</v>
      </c>
      <c r="B54" s="14" t="s">
        <v>941</v>
      </c>
      <c r="C54" s="66">
        <v>151583</v>
      </c>
      <c r="D54" s="66">
        <v>167827</v>
      </c>
      <c r="E54" s="66">
        <v>193785</v>
      </c>
      <c r="F54" s="66">
        <v>192398</v>
      </c>
      <c r="G54" s="66">
        <v>181441</v>
      </c>
      <c r="H54" s="66">
        <v>81362</v>
      </c>
      <c r="I54" s="66">
        <v>177832</v>
      </c>
      <c r="J54" s="66">
        <v>210998</v>
      </c>
      <c r="K54" s="66">
        <v>214853</v>
      </c>
      <c r="L54" s="66">
        <v>214596</v>
      </c>
      <c r="M54" s="66">
        <v>212576</v>
      </c>
      <c r="N54" s="66">
        <v>225208</v>
      </c>
      <c r="O54" s="219">
        <f t="shared" ref="O54:O58" si="18">SUM(C54:N54)</f>
        <v>2224459</v>
      </c>
    </row>
    <row r="55" spans="1:15" x14ac:dyDescent="0.2">
      <c r="A55" s="30">
        <f t="shared" si="0"/>
        <v>51</v>
      </c>
      <c r="B55" s="14" t="s">
        <v>1154</v>
      </c>
      <c r="C55" s="66">
        <v>0</v>
      </c>
      <c r="D55" s="66">
        <v>74</v>
      </c>
      <c r="E55" s="66"/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5864</v>
      </c>
      <c r="L55" s="66">
        <v>254</v>
      </c>
      <c r="M55" s="66">
        <v>0</v>
      </c>
      <c r="N55" s="66">
        <v>0</v>
      </c>
      <c r="O55" s="219">
        <f t="shared" si="18"/>
        <v>6192</v>
      </c>
    </row>
    <row r="56" spans="1:15" x14ac:dyDescent="0.2">
      <c r="A56" s="30">
        <f t="shared" si="0"/>
        <v>52</v>
      </c>
      <c r="B56" s="14" t="s">
        <v>1155</v>
      </c>
      <c r="C56" s="66">
        <v>0</v>
      </c>
      <c r="D56" s="66">
        <v>-158</v>
      </c>
      <c r="E56" s="66"/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-6495</v>
      </c>
      <c r="L56" s="66">
        <v>-245</v>
      </c>
      <c r="M56" s="66">
        <v>0</v>
      </c>
      <c r="N56" s="66">
        <v>0</v>
      </c>
      <c r="O56" s="219">
        <f t="shared" si="18"/>
        <v>-6898</v>
      </c>
    </row>
    <row r="57" spans="1:15" x14ac:dyDescent="0.2">
      <c r="A57" s="30">
        <f t="shared" si="0"/>
        <v>53</v>
      </c>
      <c r="B57" s="14" t="s">
        <v>1142</v>
      </c>
      <c r="C57" s="66">
        <v>85703</v>
      </c>
      <c r="D57" s="66">
        <v>48306</v>
      </c>
      <c r="E57" s="66">
        <v>43388</v>
      </c>
      <c r="F57" s="66">
        <v>46117</v>
      </c>
      <c r="G57" s="66">
        <v>50906</v>
      </c>
      <c r="H57" s="66">
        <v>6580</v>
      </c>
      <c r="I57" s="66">
        <v>30498</v>
      </c>
      <c r="J57" s="66">
        <v>59093</v>
      </c>
      <c r="K57" s="66">
        <v>55755</v>
      </c>
      <c r="L57" s="66">
        <v>59616</v>
      </c>
      <c r="M57" s="66">
        <v>42959</v>
      </c>
      <c r="N57" s="66">
        <v>35686</v>
      </c>
      <c r="O57" s="219">
        <f t="shared" si="18"/>
        <v>564607</v>
      </c>
    </row>
    <row r="58" spans="1:15" x14ac:dyDescent="0.2">
      <c r="A58" s="30">
        <f t="shared" si="0"/>
        <v>54</v>
      </c>
      <c r="B58" s="14" t="s">
        <v>1143</v>
      </c>
      <c r="C58" s="66">
        <v>36223</v>
      </c>
      <c r="D58" s="66">
        <v>22266</v>
      </c>
      <c r="E58" s="66">
        <v>30865</v>
      </c>
      <c r="F58" s="66">
        <v>42203</v>
      </c>
      <c r="G58" s="66">
        <v>40061</v>
      </c>
      <c r="H58" s="66">
        <v>20320</v>
      </c>
      <c r="I58" s="66">
        <v>44344</v>
      </c>
      <c r="J58" s="66">
        <v>56388</v>
      </c>
      <c r="K58" s="66">
        <v>43152</v>
      </c>
      <c r="L58" s="66">
        <v>43584</v>
      </c>
      <c r="M58" s="66">
        <v>48262</v>
      </c>
      <c r="N58" s="66">
        <v>50550</v>
      </c>
      <c r="O58" s="219">
        <f t="shared" si="18"/>
        <v>478218</v>
      </c>
    </row>
    <row r="59" spans="1:15" x14ac:dyDescent="0.2">
      <c r="A59" s="30">
        <f t="shared" si="0"/>
        <v>55</v>
      </c>
      <c r="B59" s="193" t="s">
        <v>0</v>
      </c>
      <c r="C59" s="102">
        <f t="shared" ref="C59:O59" si="19">SUM(C52:C58)</f>
        <v>294403</v>
      </c>
      <c r="D59" s="102">
        <f t="shared" si="19"/>
        <v>259209</v>
      </c>
      <c r="E59" s="102">
        <f t="shared" si="19"/>
        <v>288932</v>
      </c>
      <c r="F59" s="102">
        <f t="shared" si="19"/>
        <v>301438</v>
      </c>
      <c r="G59" s="102">
        <f t="shared" si="19"/>
        <v>293128</v>
      </c>
      <c r="H59" s="102">
        <f t="shared" si="19"/>
        <v>128982</v>
      </c>
      <c r="I59" s="102">
        <f t="shared" si="19"/>
        <v>273394</v>
      </c>
      <c r="J59" s="102">
        <f t="shared" si="19"/>
        <v>347199</v>
      </c>
      <c r="K59" s="102">
        <f t="shared" si="19"/>
        <v>333849</v>
      </c>
      <c r="L59" s="102">
        <f t="shared" si="19"/>
        <v>338525</v>
      </c>
      <c r="M59" s="102">
        <f t="shared" si="19"/>
        <v>324517</v>
      </c>
      <c r="N59" s="102">
        <f t="shared" si="19"/>
        <v>332164</v>
      </c>
      <c r="O59" s="220">
        <f t="shared" si="19"/>
        <v>3515740</v>
      </c>
    </row>
    <row r="60" spans="1:15" x14ac:dyDescent="0.2">
      <c r="A60" s="30">
        <f t="shared" si="0"/>
        <v>56</v>
      </c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221"/>
    </row>
    <row r="61" spans="1:15" x14ac:dyDescent="0.2">
      <c r="A61" s="30">
        <f t="shared" si="0"/>
        <v>57</v>
      </c>
      <c r="B61" s="14" t="s">
        <v>1150</v>
      </c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43"/>
    </row>
    <row r="62" spans="1:15" ht="12.75" customHeight="1" x14ac:dyDescent="0.2">
      <c r="A62" s="30">
        <f t="shared" si="0"/>
        <v>58</v>
      </c>
      <c r="B62" s="197" t="s">
        <v>1151</v>
      </c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43"/>
    </row>
    <row r="63" spans="1:15" x14ac:dyDescent="0.2">
      <c r="A63" s="30">
        <f t="shared" si="0"/>
        <v>59</v>
      </c>
      <c r="B63" s="14" t="s">
        <v>1160</v>
      </c>
      <c r="C63" s="159">
        <v>12000</v>
      </c>
      <c r="D63" s="159">
        <v>12000</v>
      </c>
      <c r="E63" s="159">
        <v>12000</v>
      </c>
      <c r="F63" s="159">
        <v>12000</v>
      </c>
      <c r="G63" s="159">
        <v>12000</v>
      </c>
      <c r="H63" s="159">
        <v>12000</v>
      </c>
      <c r="I63" s="159">
        <v>12000</v>
      </c>
      <c r="J63" s="159">
        <v>12000</v>
      </c>
      <c r="K63" s="159">
        <v>12000</v>
      </c>
      <c r="L63" s="159">
        <v>12000</v>
      </c>
      <c r="M63" s="159">
        <v>12000</v>
      </c>
      <c r="N63" s="159">
        <v>12000</v>
      </c>
      <c r="O63" s="144">
        <f t="shared" ref="O63:O68" si="20">SUM(C63:N63)</f>
        <v>144000</v>
      </c>
    </row>
    <row r="64" spans="1:15" x14ac:dyDescent="0.2">
      <c r="A64" s="30">
        <f t="shared" si="0"/>
        <v>60</v>
      </c>
      <c r="B64" s="14" t="s">
        <v>1161</v>
      </c>
      <c r="C64" s="159">
        <v>4270</v>
      </c>
      <c r="D64" s="159">
        <v>15</v>
      </c>
      <c r="E64" s="159">
        <v>3332</v>
      </c>
      <c r="F64" s="159">
        <v>2982</v>
      </c>
      <c r="G64" s="159">
        <v>197</v>
      </c>
      <c r="H64" s="159">
        <v>3779</v>
      </c>
      <c r="I64" s="159">
        <v>15</v>
      </c>
      <c r="J64" s="159">
        <v>15</v>
      </c>
      <c r="K64" s="159">
        <v>10059</v>
      </c>
      <c r="L64" s="159">
        <v>11497</v>
      </c>
      <c r="M64" s="159">
        <v>11967</v>
      </c>
      <c r="N64" s="159">
        <v>11834</v>
      </c>
      <c r="O64" s="144">
        <f t="shared" si="20"/>
        <v>59962</v>
      </c>
    </row>
    <row r="65" spans="1:15" x14ac:dyDescent="0.2">
      <c r="A65" s="30">
        <f t="shared" si="0"/>
        <v>61</v>
      </c>
      <c r="B65" s="14" t="s">
        <v>1162</v>
      </c>
      <c r="C65" s="159">
        <v>9054</v>
      </c>
      <c r="D65" s="159">
        <v>3906</v>
      </c>
      <c r="E65" s="159">
        <v>3333</v>
      </c>
      <c r="F65" s="159">
        <v>3347</v>
      </c>
      <c r="G65" s="159">
        <v>5443</v>
      </c>
      <c r="H65" s="159">
        <v>10324</v>
      </c>
      <c r="I65" s="159">
        <v>11675</v>
      </c>
      <c r="J65" s="159">
        <v>11894</v>
      </c>
      <c r="K65" s="159">
        <v>11971</v>
      </c>
      <c r="L65" s="159">
        <v>11959</v>
      </c>
      <c r="M65" s="159">
        <v>11972</v>
      </c>
      <c r="N65" s="159">
        <v>11956</v>
      </c>
      <c r="O65" s="144">
        <f t="shared" si="20"/>
        <v>106834</v>
      </c>
    </row>
    <row r="66" spans="1:15" x14ac:dyDescent="0.2">
      <c r="A66" s="30">
        <f t="shared" si="0"/>
        <v>62</v>
      </c>
      <c r="B66" s="14" t="s">
        <v>1166</v>
      </c>
      <c r="C66" s="159">
        <v>12000</v>
      </c>
      <c r="D66" s="159">
        <v>12000</v>
      </c>
      <c r="E66" s="159">
        <v>12000</v>
      </c>
      <c r="F66" s="159">
        <v>12000</v>
      </c>
      <c r="G66" s="159">
        <v>12000</v>
      </c>
      <c r="H66" s="159">
        <v>12000</v>
      </c>
      <c r="I66" s="159">
        <v>12000</v>
      </c>
      <c r="J66" s="159">
        <v>12000</v>
      </c>
      <c r="K66" s="159">
        <v>12000</v>
      </c>
      <c r="L66" s="159">
        <v>12000</v>
      </c>
      <c r="M66" s="159">
        <v>12000</v>
      </c>
      <c r="N66" s="159">
        <v>12000</v>
      </c>
      <c r="O66" s="144">
        <f t="shared" ref="O66" si="21">SUM(C66:N66)</f>
        <v>144000</v>
      </c>
    </row>
    <row r="67" spans="1:15" x14ac:dyDescent="0.2">
      <c r="A67" s="30">
        <f>A65+1</f>
        <v>62</v>
      </c>
      <c r="B67" s="14" t="s">
        <v>1164</v>
      </c>
      <c r="C67" s="159">
        <v>4800000</v>
      </c>
      <c r="D67" s="159">
        <v>4800000</v>
      </c>
      <c r="E67" s="159">
        <v>4800000</v>
      </c>
      <c r="F67" s="159">
        <v>4800000</v>
      </c>
      <c r="G67" s="159">
        <v>4800000</v>
      </c>
      <c r="H67" s="159">
        <v>4800000</v>
      </c>
      <c r="I67" s="159">
        <v>7362601</v>
      </c>
      <c r="J67" s="159">
        <v>7874384</v>
      </c>
      <c r="K67" s="159">
        <v>7478990</v>
      </c>
      <c r="L67" s="159">
        <v>8330165</v>
      </c>
      <c r="M67" s="159">
        <v>8381554</v>
      </c>
      <c r="N67" s="159">
        <v>8641626</v>
      </c>
      <c r="O67" s="144">
        <f t="shared" si="20"/>
        <v>76869320</v>
      </c>
    </row>
    <row r="68" spans="1:15" x14ac:dyDescent="0.2">
      <c r="A68" s="30">
        <f t="shared" si="0"/>
        <v>63</v>
      </c>
      <c r="B68" s="14" t="s">
        <v>1163</v>
      </c>
      <c r="C68" s="159">
        <v>3772526</v>
      </c>
      <c r="D68" s="159">
        <v>1961031</v>
      </c>
      <c r="E68" s="159">
        <v>2390609</v>
      </c>
      <c r="F68" s="159">
        <v>2236300</v>
      </c>
      <c r="G68" s="159">
        <v>2995816</v>
      </c>
      <c r="H68" s="159">
        <v>1970769</v>
      </c>
      <c r="I68" s="159">
        <v>7362601</v>
      </c>
      <c r="J68" s="159">
        <v>7874384</v>
      </c>
      <c r="K68" s="159">
        <v>7478990</v>
      </c>
      <c r="L68" s="159">
        <v>8330165</v>
      </c>
      <c r="M68" s="159">
        <v>8381554</v>
      </c>
      <c r="N68" s="159">
        <v>8641626</v>
      </c>
      <c r="O68" s="144">
        <f t="shared" si="20"/>
        <v>63396371</v>
      </c>
    </row>
    <row r="69" spans="1:15" x14ac:dyDescent="0.2">
      <c r="A69" s="30">
        <f t="shared" si="0"/>
        <v>64</v>
      </c>
      <c r="B69" s="14" t="s">
        <v>1167</v>
      </c>
      <c r="C69" s="159">
        <v>4800000</v>
      </c>
      <c r="D69" s="159">
        <v>4800000</v>
      </c>
      <c r="E69" s="159">
        <v>4800000</v>
      </c>
      <c r="F69" s="159">
        <v>4800000</v>
      </c>
      <c r="G69" s="159">
        <v>4800000</v>
      </c>
      <c r="H69" s="159">
        <v>4800000</v>
      </c>
      <c r="I69" s="159">
        <v>4800000</v>
      </c>
      <c r="J69" s="159">
        <v>4800000</v>
      </c>
      <c r="K69" s="159">
        <v>4800000</v>
      </c>
      <c r="L69" s="159">
        <v>4800000</v>
      </c>
      <c r="M69" s="159">
        <v>4800000</v>
      </c>
      <c r="N69" s="159">
        <v>4800000</v>
      </c>
      <c r="O69" s="144">
        <f t="shared" ref="O69" si="22">SUM(C69:N69)</f>
        <v>57600000</v>
      </c>
    </row>
    <row r="70" spans="1:15" x14ac:dyDescent="0.2">
      <c r="A70" s="30">
        <f>A68+1</f>
        <v>64</v>
      </c>
      <c r="B70" s="14" t="s">
        <v>1145</v>
      </c>
      <c r="C70" s="66">
        <v>87600</v>
      </c>
      <c r="D70" s="66">
        <v>87600</v>
      </c>
      <c r="E70" s="66">
        <v>87600</v>
      </c>
      <c r="F70" s="66">
        <v>87600</v>
      </c>
      <c r="G70" s="66">
        <v>87600</v>
      </c>
      <c r="H70" s="66">
        <v>87600</v>
      </c>
      <c r="I70" s="66">
        <v>87600</v>
      </c>
      <c r="J70" s="66">
        <v>87600</v>
      </c>
      <c r="K70" s="66">
        <v>87600</v>
      </c>
      <c r="L70" s="66">
        <v>87600</v>
      </c>
      <c r="M70" s="66">
        <v>87600</v>
      </c>
      <c r="N70" s="66">
        <v>87600</v>
      </c>
      <c r="O70" s="219">
        <f>SUM(C70:N70)</f>
        <v>1051200</v>
      </c>
    </row>
    <row r="71" spans="1:15" x14ac:dyDescent="0.2">
      <c r="A71" s="30">
        <f t="shared" si="0"/>
        <v>65</v>
      </c>
      <c r="B71" s="14" t="s">
        <v>1146</v>
      </c>
      <c r="C71" s="66">
        <v>-61600</v>
      </c>
      <c r="D71" s="66">
        <v>-61600</v>
      </c>
      <c r="E71" s="66">
        <v>-61600</v>
      </c>
      <c r="F71" s="66">
        <v>-61600</v>
      </c>
      <c r="G71" s="66">
        <v>-61600</v>
      </c>
      <c r="H71" s="66">
        <v>-61600</v>
      </c>
      <c r="I71" s="66">
        <v>-61600</v>
      </c>
      <c r="J71" s="66">
        <v>-61600</v>
      </c>
      <c r="K71" s="66">
        <v>-61600</v>
      </c>
      <c r="L71" s="66">
        <v>-61600</v>
      </c>
      <c r="M71" s="66">
        <v>-61600</v>
      </c>
      <c r="N71" s="66">
        <v>-61600</v>
      </c>
      <c r="O71" s="219">
        <f>SUM(C71:N71)</f>
        <v>-739200</v>
      </c>
    </row>
    <row r="72" spans="1:15" x14ac:dyDescent="0.2">
      <c r="A72" s="30">
        <f t="shared" si="0"/>
        <v>66</v>
      </c>
      <c r="B72" s="14" t="s">
        <v>941</v>
      </c>
      <c r="C72" s="66">
        <v>154383</v>
      </c>
      <c r="D72" s="66">
        <v>106849</v>
      </c>
      <c r="E72" s="66">
        <v>118122</v>
      </c>
      <c r="F72" s="66">
        <v>114073</v>
      </c>
      <c r="G72" s="66">
        <v>134002</v>
      </c>
      <c r="H72" s="66">
        <v>107105</v>
      </c>
      <c r="I72" s="66">
        <v>278159</v>
      </c>
      <c r="J72" s="66">
        <v>297494</v>
      </c>
      <c r="K72" s="66">
        <v>282556</v>
      </c>
      <c r="L72" s="66">
        <v>314714</v>
      </c>
      <c r="M72" s="66">
        <v>316655</v>
      </c>
      <c r="N72" s="66">
        <v>326481</v>
      </c>
      <c r="O72" s="219">
        <f t="shared" ref="O72:O76" si="23">SUM(C72:N72)</f>
        <v>2550593</v>
      </c>
    </row>
    <row r="73" spans="1:15" x14ac:dyDescent="0.2">
      <c r="A73" s="30">
        <f t="shared" si="0"/>
        <v>67</v>
      </c>
      <c r="B73" s="14" t="s">
        <v>1154</v>
      </c>
      <c r="C73" s="66">
        <v>0</v>
      </c>
      <c r="D73" s="66">
        <v>45</v>
      </c>
      <c r="E73" s="66">
        <v>0</v>
      </c>
      <c r="F73" s="66">
        <v>0</v>
      </c>
      <c r="G73" s="66">
        <v>0</v>
      </c>
      <c r="H73" s="66">
        <v>0</v>
      </c>
      <c r="I73" s="66">
        <v>125</v>
      </c>
      <c r="J73" s="66">
        <v>0</v>
      </c>
      <c r="K73" s="66">
        <v>5864</v>
      </c>
      <c r="L73" s="66">
        <v>759</v>
      </c>
      <c r="M73" s="66">
        <v>0</v>
      </c>
      <c r="N73" s="66">
        <v>0</v>
      </c>
      <c r="O73" s="219">
        <f t="shared" si="23"/>
        <v>6793</v>
      </c>
    </row>
    <row r="74" spans="1:15" x14ac:dyDescent="0.2">
      <c r="A74" s="30">
        <f t="shared" si="0"/>
        <v>68</v>
      </c>
      <c r="B74" s="14" t="s">
        <v>1155</v>
      </c>
      <c r="C74" s="66">
        <v>0</v>
      </c>
      <c r="D74" s="66">
        <v>-93</v>
      </c>
      <c r="E74" s="66">
        <v>0</v>
      </c>
      <c r="F74" s="66">
        <v>0</v>
      </c>
      <c r="G74" s="66">
        <v>0</v>
      </c>
      <c r="H74" s="66">
        <v>0</v>
      </c>
      <c r="I74" s="66">
        <v>-86</v>
      </c>
      <c r="J74" s="66">
        <v>0</v>
      </c>
      <c r="K74" s="66">
        <v>-6217</v>
      </c>
      <c r="L74" s="66">
        <v>-612</v>
      </c>
      <c r="M74" s="66">
        <v>0</v>
      </c>
      <c r="N74" s="66">
        <v>0</v>
      </c>
      <c r="O74" s="219">
        <f t="shared" si="23"/>
        <v>-7008</v>
      </c>
    </row>
    <row r="75" spans="1:15" x14ac:dyDescent="0.2">
      <c r="A75" s="30">
        <f t="shared" ref="A75:A89" si="24">A74+1</f>
        <v>69</v>
      </c>
      <c r="B75" s="14" t="s">
        <v>1142</v>
      </c>
      <c r="C75" s="66">
        <v>85070</v>
      </c>
      <c r="D75" s="66">
        <v>22513</v>
      </c>
      <c r="E75" s="66">
        <v>21348</v>
      </c>
      <c r="F75" s="66">
        <v>21379</v>
      </c>
      <c r="G75" s="66">
        <v>33523</v>
      </c>
      <c r="H75" s="66">
        <v>9026</v>
      </c>
      <c r="I75" s="66">
        <v>50360</v>
      </c>
      <c r="J75" s="66">
        <v>87957</v>
      </c>
      <c r="K75" s="66">
        <v>77408</v>
      </c>
      <c r="L75" s="66">
        <v>92298</v>
      </c>
      <c r="M75" s="66">
        <v>67555</v>
      </c>
      <c r="N75" s="66">
        <v>54615</v>
      </c>
      <c r="O75" s="219">
        <f t="shared" si="23"/>
        <v>623052</v>
      </c>
    </row>
    <row r="76" spans="1:15" x14ac:dyDescent="0.2">
      <c r="A76" s="30">
        <f t="shared" si="24"/>
        <v>70</v>
      </c>
      <c r="B76" s="14" t="s">
        <v>1143</v>
      </c>
      <c r="C76" s="66">
        <v>37243</v>
      </c>
      <c r="D76" s="66">
        <v>14595</v>
      </c>
      <c r="E76" s="66">
        <v>19790</v>
      </c>
      <c r="F76" s="66">
        <v>26284</v>
      </c>
      <c r="G76" s="66">
        <v>30635</v>
      </c>
      <c r="H76" s="66">
        <v>26578</v>
      </c>
      <c r="I76" s="66">
        <v>68618</v>
      </c>
      <c r="J76" s="66">
        <v>79780</v>
      </c>
      <c r="K76" s="66">
        <v>57532</v>
      </c>
      <c r="L76" s="66">
        <v>63952</v>
      </c>
      <c r="M76" s="66">
        <v>71664</v>
      </c>
      <c r="N76" s="66">
        <v>73074</v>
      </c>
      <c r="O76" s="219">
        <f t="shared" si="23"/>
        <v>569745</v>
      </c>
    </row>
    <row r="77" spans="1:15" x14ac:dyDescent="0.2">
      <c r="A77" s="30">
        <f t="shared" si="24"/>
        <v>71</v>
      </c>
      <c r="B77" s="193" t="s">
        <v>0</v>
      </c>
      <c r="C77" s="102">
        <f t="shared" ref="C77:O77" si="25">SUM(C70:C76)</f>
        <v>302696</v>
      </c>
      <c r="D77" s="102">
        <f t="shared" si="25"/>
        <v>169909</v>
      </c>
      <c r="E77" s="102">
        <f t="shared" si="25"/>
        <v>185260</v>
      </c>
      <c r="F77" s="102">
        <f t="shared" si="25"/>
        <v>187736</v>
      </c>
      <c r="G77" s="102">
        <f t="shared" si="25"/>
        <v>224160</v>
      </c>
      <c r="H77" s="102">
        <f t="shared" si="25"/>
        <v>168709</v>
      </c>
      <c r="I77" s="102">
        <f t="shared" si="25"/>
        <v>423176</v>
      </c>
      <c r="J77" s="102">
        <f t="shared" si="25"/>
        <v>491231</v>
      </c>
      <c r="K77" s="102">
        <f t="shared" si="25"/>
        <v>443143</v>
      </c>
      <c r="L77" s="102">
        <f t="shared" si="25"/>
        <v>497111</v>
      </c>
      <c r="M77" s="102">
        <f t="shared" si="25"/>
        <v>481874</v>
      </c>
      <c r="N77" s="102">
        <f t="shared" si="25"/>
        <v>480170</v>
      </c>
      <c r="O77" s="220">
        <f t="shared" si="25"/>
        <v>4055175</v>
      </c>
    </row>
    <row r="78" spans="1:15" x14ac:dyDescent="0.2">
      <c r="A78" s="30">
        <f t="shared" si="24"/>
        <v>72</v>
      </c>
    </row>
    <row r="79" spans="1:15" x14ac:dyDescent="0.2">
      <c r="A79" s="30">
        <f t="shared" si="24"/>
        <v>73</v>
      </c>
      <c r="B79" s="197" t="s">
        <v>1169</v>
      </c>
    </row>
    <row r="80" spans="1:15" x14ac:dyDescent="0.2">
      <c r="A80" s="30">
        <f t="shared" si="24"/>
        <v>74</v>
      </c>
      <c r="B80" s="14" t="s">
        <v>1147</v>
      </c>
      <c r="C80" s="175">
        <f t="shared" ref="C80:O80" si="26">C52+C53+C58*C34</f>
        <v>42627.8</v>
      </c>
      <c r="D80" s="175">
        <f t="shared" si="26"/>
        <v>34253.599999999999</v>
      </c>
      <c r="E80" s="175">
        <f t="shared" si="26"/>
        <v>39413</v>
      </c>
      <c r="F80" s="175">
        <f t="shared" si="26"/>
        <v>46041.8</v>
      </c>
      <c r="G80" s="175">
        <f t="shared" si="26"/>
        <v>44756.6</v>
      </c>
      <c r="H80" s="175">
        <f t="shared" si="26"/>
        <v>32912</v>
      </c>
      <c r="I80" s="175">
        <f t="shared" si="26"/>
        <v>47326.399999999994</v>
      </c>
      <c r="J80" s="175">
        <f t="shared" si="26"/>
        <v>54552.799999999996</v>
      </c>
      <c r="K80" s="175">
        <f t="shared" si="26"/>
        <v>46611.199999999997</v>
      </c>
      <c r="L80" s="175">
        <f t="shared" si="26"/>
        <v>46870.399999999994</v>
      </c>
      <c r="M80" s="175">
        <f t="shared" si="26"/>
        <v>49677.2</v>
      </c>
      <c r="N80" s="175">
        <f t="shared" si="26"/>
        <v>51050</v>
      </c>
      <c r="O80" s="261">
        <f t="shared" si="26"/>
        <v>536092.80000000005</v>
      </c>
    </row>
    <row r="81" spans="1:15" x14ac:dyDescent="0.2">
      <c r="A81" s="30">
        <f t="shared" si="24"/>
        <v>75</v>
      </c>
      <c r="B81" s="14" t="s">
        <v>1148</v>
      </c>
      <c r="C81" s="175">
        <f t="shared" ref="C81:O81" si="27">C54+C55+C56+C57+C58*C35</f>
        <v>251775.2</v>
      </c>
      <c r="D81" s="175">
        <f t="shared" si="27"/>
        <v>224955.4</v>
      </c>
      <c r="E81" s="175">
        <f t="shared" si="27"/>
        <v>249519</v>
      </c>
      <c r="F81" s="175">
        <f t="shared" si="27"/>
        <v>255396.2</v>
      </c>
      <c r="G81" s="175">
        <f t="shared" si="27"/>
        <v>248371.4</v>
      </c>
      <c r="H81" s="175">
        <f t="shared" si="27"/>
        <v>96070</v>
      </c>
      <c r="I81" s="175">
        <f t="shared" si="27"/>
        <v>226067.6</v>
      </c>
      <c r="J81" s="175">
        <f t="shared" si="27"/>
        <v>292646.2</v>
      </c>
      <c r="K81" s="175">
        <f t="shared" si="27"/>
        <v>287237.8</v>
      </c>
      <c r="L81" s="175">
        <f t="shared" si="27"/>
        <v>291654.59999999998</v>
      </c>
      <c r="M81" s="175">
        <f t="shared" si="27"/>
        <v>274839.8</v>
      </c>
      <c r="N81" s="175">
        <f t="shared" si="27"/>
        <v>281114</v>
      </c>
      <c r="O81" s="261">
        <f t="shared" si="27"/>
        <v>2979647.2</v>
      </c>
    </row>
    <row r="82" spans="1:15" x14ac:dyDescent="0.2">
      <c r="A82" s="30">
        <f t="shared" si="24"/>
        <v>76</v>
      </c>
      <c r="B82" s="193" t="s">
        <v>0</v>
      </c>
      <c r="C82" s="37">
        <f>C80+C81</f>
        <v>294403</v>
      </c>
      <c r="D82" s="37">
        <f t="shared" ref="D82:O82" si="28">D80+D81</f>
        <v>259209</v>
      </c>
      <c r="E82" s="37">
        <f t="shared" si="28"/>
        <v>288932</v>
      </c>
      <c r="F82" s="37">
        <f t="shared" si="28"/>
        <v>301438</v>
      </c>
      <c r="G82" s="37">
        <f t="shared" si="28"/>
        <v>293128</v>
      </c>
      <c r="H82" s="37">
        <f t="shared" si="28"/>
        <v>128982</v>
      </c>
      <c r="I82" s="37">
        <f t="shared" si="28"/>
        <v>273394</v>
      </c>
      <c r="J82" s="37">
        <f t="shared" si="28"/>
        <v>347199</v>
      </c>
      <c r="K82" s="37">
        <f t="shared" si="28"/>
        <v>333849</v>
      </c>
      <c r="L82" s="37">
        <f t="shared" si="28"/>
        <v>338525</v>
      </c>
      <c r="M82" s="37">
        <f t="shared" si="28"/>
        <v>324517</v>
      </c>
      <c r="N82" s="37">
        <f t="shared" si="28"/>
        <v>332164</v>
      </c>
      <c r="O82" s="264">
        <f t="shared" si="28"/>
        <v>3515740</v>
      </c>
    </row>
    <row r="83" spans="1:15" x14ac:dyDescent="0.2">
      <c r="A83" s="30">
        <f t="shared" si="24"/>
        <v>77</v>
      </c>
      <c r="B83" s="14" t="s">
        <v>1149</v>
      </c>
      <c r="C83" s="175">
        <f>C82-C59</f>
        <v>0</v>
      </c>
      <c r="D83" s="175">
        <f t="shared" ref="D83:O83" si="29">D82-D59</f>
        <v>0</v>
      </c>
      <c r="E83" s="175">
        <f t="shared" si="29"/>
        <v>0</v>
      </c>
      <c r="F83" s="175">
        <f t="shared" si="29"/>
        <v>0</v>
      </c>
      <c r="G83" s="175">
        <f t="shared" si="29"/>
        <v>0</v>
      </c>
      <c r="H83" s="175">
        <f t="shared" si="29"/>
        <v>0</v>
      </c>
      <c r="I83" s="175">
        <f t="shared" si="29"/>
        <v>0</v>
      </c>
      <c r="J83" s="175">
        <f t="shared" si="29"/>
        <v>0</v>
      </c>
      <c r="K83" s="175">
        <f t="shared" si="29"/>
        <v>0</v>
      </c>
      <c r="L83" s="175">
        <f t="shared" si="29"/>
        <v>0</v>
      </c>
      <c r="M83" s="175">
        <f t="shared" si="29"/>
        <v>0</v>
      </c>
      <c r="N83" s="175">
        <f t="shared" si="29"/>
        <v>0</v>
      </c>
      <c r="O83" s="261">
        <f t="shared" si="29"/>
        <v>0</v>
      </c>
    </row>
    <row r="84" spans="1:15" x14ac:dyDescent="0.2">
      <c r="A84" s="30">
        <f t="shared" si="24"/>
        <v>78</v>
      </c>
      <c r="C84" s="175"/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261"/>
    </row>
    <row r="85" spans="1:15" x14ac:dyDescent="0.2">
      <c r="A85" s="30">
        <f t="shared" si="24"/>
        <v>79</v>
      </c>
      <c r="B85" s="197" t="s">
        <v>1170</v>
      </c>
      <c r="O85" s="253"/>
    </row>
    <row r="86" spans="1:15" x14ac:dyDescent="0.2">
      <c r="A86" s="30">
        <f t="shared" si="24"/>
        <v>80</v>
      </c>
      <c r="B86" s="14" t="s">
        <v>1147</v>
      </c>
      <c r="C86" s="175">
        <f t="shared" ref="C86:O86" si="30">C70+C71+C76*C34</f>
        <v>48345.8</v>
      </c>
      <c r="D86" s="175">
        <f t="shared" si="30"/>
        <v>34757</v>
      </c>
      <c r="E86" s="175">
        <f t="shared" si="30"/>
        <v>37874</v>
      </c>
      <c r="F86" s="175">
        <f t="shared" si="30"/>
        <v>41770.400000000001</v>
      </c>
      <c r="G86" s="175">
        <f t="shared" si="30"/>
        <v>44381</v>
      </c>
      <c r="H86" s="175">
        <f t="shared" si="30"/>
        <v>41946.8</v>
      </c>
      <c r="I86" s="175">
        <f t="shared" si="30"/>
        <v>67170.799999999988</v>
      </c>
      <c r="J86" s="175">
        <f t="shared" si="30"/>
        <v>73868</v>
      </c>
      <c r="K86" s="175">
        <f t="shared" si="30"/>
        <v>60519.199999999997</v>
      </c>
      <c r="L86" s="175">
        <f t="shared" si="30"/>
        <v>64371.199999999997</v>
      </c>
      <c r="M86" s="175">
        <f t="shared" si="30"/>
        <v>68998.399999999994</v>
      </c>
      <c r="N86" s="175">
        <f t="shared" si="30"/>
        <v>69844.399999999994</v>
      </c>
      <c r="O86" s="261">
        <f t="shared" si="30"/>
        <v>653847</v>
      </c>
    </row>
    <row r="87" spans="1:15" x14ac:dyDescent="0.2">
      <c r="A87" s="30">
        <f t="shared" si="24"/>
        <v>81</v>
      </c>
      <c r="B87" s="14" t="s">
        <v>1148</v>
      </c>
      <c r="C87" s="175">
        <f t="shared" ref="C87:O87" si="31">C72+C73+C74+C75+C76*C35</f>
        <v>254350.2</v>
      </c>
      <c r="D87" s="175">
        <f t="shared" si="31"/>
        <v>135152</v>
      </c>
      <c r="E87" s="175">
        <f t="shared" si="31"/>
        <v>147386</v>
      </c>
      <c r="F87" s="175">
        <f t="shared" si="31"/>
        <v>145965.6</v>
      </c>
      <c r="G87" s="175">
        <f t="shared" si="31"/>
        <v>179779</v>
      </c>
      <c r="H87" s="175">
        <f t="shared" si="31"/>
        <v>126762.2</v>
      </c>
      <c r="I87" s="175">
        <f t="shared" si="31"/>
        <v>356005.2</v>
      </c>
      <c r="J87" s="175">
        <f t="shared" si="31"/>
        <v>417363</v>
      </c>
      <c r="K87" s="175">
        <f t="shared" si="31"/>
        <v>382623.8</v>
      </c>
      <c r="L87" s="175">
        <f t="shared" si="31"/>
        <v>432739.8</v>
      </c>
      <c r="M87" s="175">
        <f t="shared" si="31"/>
        <v>412875.6</v>
      </c>
      <c r="N87" s="175">
        <f t="shared" si="31"/>
        <v>410325.6</v>
      </c>
      <c r="O87" s="261">
        <f t="shared" si="31"/>
        <v>3401328</v>
      </c>
    </row>
    <row r="88" spans="1:15" x14ac:dyDescent="0.2">
      <c r="A88" s="30">
        <f t="shared" si="24"/>
        <v>82</v>
      </c>
      <c r="B88" s="193" t="s">
        <v>0</v>
      </c>
      <c r="C88" s="37">
        <f>C86+C87</f>
        <v>302696</v>
      </c>
      <c r="D88" s="37">
        <f t="shared" ref="D88:O88" si="32">D86+D87</f>
        <v>169909</v>
      </c>
      <c r="E88" s="37">
        <f t="shared" si="32"/>
        <v>185260</v>
      </c>
      <c r="F88" s="37">
        <f t="shared" si="32"/>
        <v>187736</v>
      </c>
      <c r="G88" s="37">
        <f t="shared" si="32"/>
        <v>224160</v>
      </c>
      <c r="H88" s="37">
        <f t="shared" si="32"/>
        <v>168709</v>
      </c>
      <c r="I88" s="37">
        <f t="shared" si="32"/>
        <v>423176</v>
      </c>
      <c r="J88" s="37">
        <f t="shared" si="32"/>
        <v>491231</v>
      </c>
      <c r="K88" s="37">
        <f t="shared" si="32"/>
        <v>443143</v>
      </c>
      <c r="L88" s="37">
        <f t="shared" si="32"/>
        <v>497111</v>
      </c>
      <c r="M88" s="37">
        <f t="shared" si="32"/>
        <v>481874</v>
      </c>
      <c r="N88" s="37">
        <f t="shared" si="32"/>
        <v>480170</v>
      </c>
      <c r="O88" s="37">
        <f t="shared" si="32"/>
        <v>4055175</v>
      </c>
    </row>
    <row r="89" spans="1:15" x14ac:dyDescent="0.2">
      <c r="A89" s="30">
        <f t="shared" si="24"/>
        <v>83</v>
      </c>
      <c r="B89" s="14" t="s">
        <v>1149</v>
      </c>
      <c r="C89" s="175">
        <f>C88-C77</f>
        <v>0</v>
      </c>
      <c r="D89" s="175">
        <f t="shared" ref="D89:O89" si="33">D88-D77</f>
        <v>0</v>
      </c>
      <c r="E89" s="175">
        <f t="shared" si="33"/>
        <v>0</v>
      </c>
      <c r="F89" s="175">
        <f t="shared" si="33"/>
        <v>0</v>
      </c>
      <c r="G89" s="175">
        <f t="shared" si="33"/>
        <v>0</v>
      </c>
      <c r="H89" s="175">
        <f t="shared" si="33"/>
        <v>0</v>
      </c>
      <c r="I89" s="175">
        <f t="shared" si="33"/>
        <v>0</v>
      </c>
      <c r="J89" s="175">
        <f t="shared" si="33"/>
        <v>0</v>
      </c>
      <c r="K89" s="175">
        <f t="shared" si="33"/>
        <v>0</v>
      </c>
      <c r="L89" s="175">
        <f t="shared" si="33"/>
        <v>0</v>
      </c>
      <c r="M89" s="175">
        <f t="shared" si="33"/>
        <v>0</v>
      </c>
      <c r="N89" s="175">
        <f t="shared" si="33"/>
        <v>0</v>
      </c>
      <c r="O89" s="175">
        <f t="shared" si="33"/>
        <v>0</v>
      </c>
    </row>
  </sheetData>
  <phoneticPr fontId="13" type="noConversion"/>
  <pageMargins left="0.45" right="0.45" top="1.25" bottom="0.75" header="0.55000000000000004" footer="0.3"/>
  <pageSetup scale="59" fitToHeight="2" orientation="landscape" r:id="rId1"/>
  <headerFooter>
    <oddFooter>&amp;RExhibit JW-7
Page 1 of 3</oddFooter>
  </headerFooter>
  <rowBreaks count="1" manualBreakCount="1">
    <brk id="40" max="14" man="1"/>
  </rowBreaks>
  <ignoredErrors>
    <ignoredError sqref="C14 D14:N14" formulaRange="1"/>
    <ignoredError sqref="O14" formula="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89"/>
  <sheetViews>
    <sheetView view="pageBreakPreview" zoomScaleNormal="100" zoomScaleSheetLayoutView="100" workbookViewId="0">
      <selection activeCell="H29" sqref="H29"/>
    </sheetView>
  </sheetViews>
  <sheetFormatPr defaultColWidth="9.140625" defaultRowHeight="12.75" x14ac:dyDescent="0.2"/>
  <cols>
    <col min="1" max="1" width="5.5703125" style="14" customWidth="1"/>
    <col min="2" max="2" width="35.85546875" style="30" customWidth="1"/>
    <col min="3" max="3" width="10.7109375" style="14" customWidth="1"/>
    <col min="4" max="4" width="13.28515625" style="14" customWidth="1"/>
    <col min="5" max="5" width="12.85546875" style="14" customWidth="1"/>
    <col min="6" max="6" width="14.85546875" style="14" customWidth="1"/>
    <col min="7" max="7" width="12.85546875" style="14" customWidth="1"/>
    <col min="8" max="8" width="12" style="14" bestFit="1" customWidth="1"/>
    <col min="9" max="9" width="9.140625" style="14" customWidth="1"/>
    <col min="10" max="10" width="4" style="14" customWidth="1"/>
    <col min="11" max="11" width="9.140625" style="14" customWidth="1"/>
    <col min="12" max="14" width="9.140625" style="14"/>
    <col min="15" max="15" width="9.140625" style="14" customWidth="1"/>
    <col min="16" max="16384" width="9.140625" style="14"/>
  </cols>
  <sheetData>
    <row r="1" spans="1:8" x14ac:dyDescent="0.2">
      <c r="A1" s="13" t="s">
        <v>1053</v>
      </c>
    </row>
    <row r="2" spans="1:8" x14ac:dyDescent="0.2">
      <c r="A2" s="13" t="s">
        <v>678</v>
      </c>
    </row>
    <row r="4" spans="1:8" ht="62.25" customHeight="1" thickBot="1" x14ac:dyDescent="0.25">
      <c r="A4" s="62" t="s">
        <v>966</v>
      </c>
      <c r="B4" s="89" t="s">
        <v>754</v>
      </c>
      <c r="C4" s="149" t="s">
        <v>872</v>
      </c>
      <c r="D4" s="84" t="s">
        <v>873</v>
      </c>
      <c r="E4" s="84" t="s">
        <v>874</v>
      </c>
      <c r="F4" s="84" t="s">
        <v>864</v>
      </c>
      <c r="G4" s="84" t="s">
        <v>875</v>
      </c>
      <c r="H4" s="85"/>
    </row>
    <row r="5" spans="1:8" x14ac:dyDescent="0.2">
      <c r="A5" s="30"/>
      <c r="B5" s="13"/>
      <c r="C5" s="16"/>
    </row>
    <row r="6" spans="1:8" x14ac:dyDescent="0.2">
      <c r="A6" s="30">
        <v>1</v>
      </c>
      <c r="B6" s="14" t="str">
        <f>'Summary of Returns'!B10</f>
        <v>Sch I - Residential, Schools &amp; Churches</v>
      </c>
      <c r="C6" s="150" t="str">
        <f>'Summary of Returns'!C10</f>
        <v>R</v>
      </c>
      <c r="D6" s="119">
        <f>'Billing Det'!C8</f>
        <v>22478</v>
      </c>
      <c r="E6" s="151">
        <v>283.72000000000003</v>
      </c>
      <c r="F6" s="151">
        <f t="shared" ref="F6:F16" si="0">E6*D6</f>
        <v>6377458.1600000001</v>
      </c>
      <c r="G6" s="152">
        <f t="shared" ref="G6:G11" si="1">F6/$F$32</f>
        <v>0.88936852613037087</v>
      </c>
      <c r="H6" s="152"/>
    </row>
    <row r="7" spans="1:8" x14ac:dyDescent="0.2">
      <c r="A7" s="30">
        <v>2</v>
      </c>
      <c r="B7" s="14" t="str">
        <f>'Summary of Returns'!B11</f>
        <v>Sch I - Res TOD</v>
      </c>
      <c r="C7" s="150" t="str">
        <f>'Summary of Returns'!C11</f>
        <v>TOD</v>
      </c>
      <c r="D7" s="119">
        <f>'Billing Det'!C9</f>
        <v>9</v>
      </c>
      <c r="E7" s="151">
        <f>E6</f>
        <v>283.72000000000003</v>
      </c>
      <c r="F7" s="151">
        <f t="shared" si="0"/>
        <v>2553.4800000000005</v>
      </c>
      <c r="G7" s="152">
        <f t="shared" si="1"/>
        <v>3.5609559280956219E-4</v>
      </c>
      <c r="H7" s="152"/>
    </row>
    <row r="8" spans="1:8" x14ac:dyDescent="0.2">
      <c r="A8" s="30">
        <v>3</v>
      </c>
      <c r="B8" s="14" t="str">
        <f>'Summary of Returns'!B12</f>
        <v>Sch II - Small Commercial  Small Power</v>
      </c>
      <c r="C8" s="150" t="str">
        <f>'Summary of Returns'!C12</f>
        <v>C1</v>
      </c>
      <c r="D8" s="119">
        <f>'Billing Det'!C10</f>
        <v>1279</v>
      </c>
      <c r="E8" s="151">
        <v>283.72000000000003</v>
      </c>
      <c r="F8" s="151">
        <f t="shared" si="0"/>
        <v>362877.88000000006</v>
      </c>
      <c r="G8" s="152">
        <f t="shared" si="1"/>
        <v>5.0605140355936676E-2</v>
      </c>
      <c r="H8" s="152"/>
    </row>
    <row r="9" spans="1:8" x14ac:dyDescent="0.2">
      <c r="A9" s="30">
        <v>4</v>
      </c>
      <c r="B9" s="14" t="str">
        <f>'Summary of Returns'!B13</f>
        <v>Sch II - Small Commercial  Small Power</v>
      </c>
      <c r="C9" s="150" t="str">
        <f>'Summary of Returns'!C13</f>
        <v>C2</v>
      </c>
      <c r="D9" s="119">
        <f>'Billing Det'!C11</f>
        <v>171</v>
      </c>
      <c r="E9" s="151">
        <v>643.07000000000005</v>
      </c>
      <c r="F9" s="151">
        <f t="shared" si="0"/>
        <v>109964.97000000002</v>
      </c>
      <c r="G9" s="152">
        <f t="shared" si="1"/>
        <v>1.5335166588512823E-2</v>
      </c>
      <c r="H9" s="152"/>
    </row>
    <row r="10" spans="1:8" x14ac:dyDescent="0.2">
      <c r="A10" s="30">
        <v>5</v>
      </c>
      <c r="B10" s="14" t="str">
        <f>'Summary of Returns'!B14</f>
        <v>Sch VII - Inclining Block Rate</v>
      </c>
      <c r="C10" s="150" t="str">
        <f>'Summary of Returns'!C14</f>
        <v>IB</v>
      </c>
      <c r="D10" s="119">
        <f>'Billing Det'!C12</f>
        <v>192</v>
      </c>
      <c r="E10" s="151">
        <f>E6</f>
        <v>283.72000000000003</v>
      </c>
      <c r="F10" s="151">
        <f t="shared" si="0"/>
        <v>54474.240000000005</v>
      </c>
      <c r="G10" s="152">
        <f t="shared" si="1"/>
        <v>7.5967059799373262E-3</v>
      </c>
      <c r="H10" s="152"/>
    </row>
    <row r="11" spans="1:8" x14ac:dyDescent="0.2">
      <c r="A11" s="30">
        <v>6</v>
      </c>
      <c r="B11" s="14" t="str">
        <f>'Summary of Returns'!B15</f>
        <v>Sch III - All 3Phase Schools &amp; Churches</v>
      </c>
      <c r="C11" s="150" t="str">
        <f>'Summary of Returns'!C15</f>
        <v>E1</v>
      </c>
      <c r="D11" s="119">
        <f>'Billing Det'!C13</f>
        <v>47</v>
      </c>
      <c r="E11" s="151">
        <v>1439.26</v>
      </c>
      <c r="F11" s="151">
        <f t="shared" si="0"/>
        <v>67645.22</v>
      </c>
      <c r="G11" s="152">
        <f t="shared" si="1"/>
        <v>9.4334651991138559E-3</v>
      </c>
      <c r="H11" s="152"/>
    </row>
    <row r="12" spans="1:8" x14ac:dyDescent="0.2">
      <c r="A12" s="30">
        <v>7</v>
      </c>
      <c r="B12" s="14" t="str">
        <f>'Summary of Returns'!B16</f>
        <v>Sch IV-A - Large Power 50-2500 kW</v>
      </c>
      <c r="C12" s="150" t="str">
        <f>'Summary of Returns'!C16</f>
        <v>L1</v>
      </c>
      <c r="D12" s="119">
        <f>'Billing Det'!C14</f>
        <v>61</v>
      </c>
      <c r="E12" s="151">
        <v>3209.79</v>
      </c>
      <c r="F12" s="151">
        <f t="shared" si="0"/>
        <v>195797.19</v>
      </c>
      <c r="G12" s="152">
        <f t="shared" ref="G12:G16" si="2">F12/$F$32</f>
        <v>2.7304900153318795E-2</v>
      </c>
      <c r="H12" s="152"/>
    </row>
    <row r="13" spans="1:8" x14ac:dyDescent="0.2">
      <c r="A13" s="30">
        <v>8</v>
      </c>
      <c r="B13" s="14" t="str">
        <f>'Summary of Returns'!B17</f>
        <v>Sch VI - Outdoor Lighting - Security Lights</v>
      </c>
      <c r="C13" s="150" t="str">
        <f>'Summary of Returns'!C17</f>
        <v>S</v>
      </c>
      <c r="D13" s="119">
        <f>'Billing Det'!C15</f>
        <v>161</v>
      </c>
      <c r="E13" s="151">
        <v>0</v>
      </c>
      <c r="F13" s="151">
        <f t="shared" si="0"/>
        <v>0</v>
      </c>
      <c r="G13" s="152">
        <f t="shared" si="2"/>
        <v>0</v>
      </c>
      <c r="H13" s="152"/>
    </row>
    <row r="14" spans="1:8" hidden="1" x14ac:dyDescent="0.2">
      <c r="A14" s="30">
        <v>9</v>
      </c>
      <c r="B14" s="14">
        <f>'Summary of Returns'!B18</f>
        <v>0</v>
      </c>
      <c r="C14" s="150">
        <f>'Summary of Returns'!C18</f>
        <v>0</v>
      </c>
      <c r="D14" s="119">
        <f>'Billing Det'!C16</f>
        <v>0</v>
      </c>
      <c r="E14" s="151">
        <v>0</v>
      </c>
      <c r="F14" s="151">
        <f t="shared" si="0"/>
        <v>0</v>
      </c>
      <c r="G14" s="152">
        <f t="shared" si="2"/>
        <v>0</v>
      </c>
      <c r="H14" s="152"/>
    </row>
    <row r="15" spans="1:8" hidden="1" x14ac:dyDescent="0.2">
      <c r="A15" s="30">
        <v>10</v>
      </c>
      <c r="B15" s="14">
        <f>'Summary of Returns'!B19</f>
        <v>0</v>
      </c>
      <c r="C15" s="150">
        <f>'Summary of Returns'!C19</f>
        <v>0</v>
      </c>
      <c r="D15" s="119">
        <f>'Billing Det'!C17</f>
        <v>0</v>
      </c>
      <c r="E15" s="151">
        <v>0</v>
      </c>
      <c r="F15" s="151">
        <f t="shared" si="0"/>
        <v>0</v>
      </c>
      <c r="G15" s="152">
        <f t="shared" si="2"/>
        <v>0</v>
      </c>
      <c r="H15" s="152"/>
    </row>
    <row r="16" spans="1:8" hidden="1" x14ac:dyDescent="0.2">
      <c r="A16" s="30">
        <v>11</v>
      </c>
      <c r="B16" s="14">
        <f>'Summary of Returns'!B20</f>
        <v>0</v>
      </c>
      <c r="C16" s="150">
        <f>'Summary of Returns'!C20</f>
        <v>0</v>
      </c>
      <c r="D16" s="119">
        <f>'Billing Det'!C18</f>
        <v>0</v>
      </c>
      <c r="E16" s="151">
        <v>5</v>
      </c>
      <c r="F16" s="151">
        <f t="shared" si="0"/>
        <v>0</v>
      </c>
      <c r="G16" s="152">
        <f t="shared" si="2"/>
        <v>0</v>
      </c>
      <c r="H16" s="67"/>
    </row>
    <row r="17" spans="1:8" hidden="1" x14ac:dyDescent="0.2">
      <c r="A17" s="30"/>
      <c r="B17" s="14"/>
      <c r="C17" s="30"/>
      <c r="D17" s="50"/>
      <c r="E17" s="66"/>
      <c r="F17" s="66"/>
      <c r="G17" s="67"/>
      <c r="H17" s="67"/>
    </row>
    <row r="18" spans="1:8" hidden="1" x14ac:dyDescent="0.2">
      <c r="A18" s="30"/>
      <c r="B18" s="14"/>
      <c r="C18" s="30"/>
      <c r="D18" s="50"/>
      <c r="E18" s="132"/>
      <c r="F18" s="66"/>
      <c r="G18" s="67"/>
      <c r="H18" s="67"/>
    </row>
    <row r="19" spans="1:8" hidden="1" x14ac:dyDescent="0.2">
      <c r="A19" s="30"/>
      <c r="B19" s="14"/>
      <c r="C19" s="30"/>
      <c r="D19" s="50"/>
      <c r="E19" s="66"/>
      <c r="F19" s="66"/>
      <c r="G19" s="67"/>
      <c r="H19" s="67"/>
    </row>
    <row r="20" spans="1:8" hidden="1" x14ac:dyDescent="0.2">
      <c r="A20" s="30"/>
      <c r="B20" s="14"/>
      <c r="C20" s="30"/>
      <c r="D20" s="50"/>
      <c r="E20" s="132"/>
      <c r="F20" s="66"/>
      <c r="G20" s="67"/>
      <c r="H20" s="67"/>
    </row>
    <row r="21" spans="1:8" hidden="1" x14ac:dyDescent="0.2">
      <c r="A21" s="30"/>
      <c r="B21" s="14"/>
      <c r="C21" s="30"/>
      <c r="D21" s="50"/>
      <c r="E21" s="66"/>
      <c r="F21" s="66"/>
      <c r="G21" s="67"/>
      <c r="H21" s="67"/>
    </row>
    <row r="22" spans="1:8" hidden="1" x14ac:dyDescent="0.2">
      <c r="A22" s="30"/>
      <c r="B22" s="14"/>
      <c r="C22" s="30"/>
      <c r="D22" s="50"/>
      <c r="E22" s="132"/>
      <c r="F22" s="66"/>
      <c r="G22" s="67"/>
      <c r="H22" s="67"/>
    </row>
    <row r="23" spans="1:8" hidden="1" x14ac:dyDescent="0.2">
      <c r="A23" s="30"/>
      <c r="B23" s="14"/>
      <c r="C23" s="30"/>
      <c r="D23" s="50"/>
      <c r="E23" s="66"/>
      <c r="F23" s="66"/>
      <c r="G23" s="67"/>
      <c r="H23" s="67"/>
    </row>
    <row r="24" spans="1:8" hidden="1" x14ac:dyDescent="0.2">
      <c r="A24" s="30"/>
      <c r="B24" s="14"/>
      <c r="C24" s="30"/>
      <c r="D24" s="50"/>
      <c r="E24" s="132"/>
      <c r="F24" s="66"/>
      <c r="G24" s="67"/>
      <c r="H24" s="67"/>
    </row>
    <row r="25" spans="1:8" hidden="1" x14ac:dyDescent="0.2">
      <c r="A25" s="30"/>
      <c r="B25" s="14"/>
      <c r="C25" s="30"/>
      <c r="D25" s="50"/>
      <c r="E25" s="66"/>
      <c r="F25" s="66"/>
      <c r="G25" s="67"/>
      <c r="H25" s="67"/>
    </row>
    <row r="26" spans="1:8" hidden="1" x14ac:dyDescent="0.2">
      <c r="A26" s="30"/>
      <c r="B26" s="14"/>
      <c r="C26" s="30"/>
      <c r="D26" s="50"/>
      <c r="E26" s="132"/>
      <c r="F26" s="66"/>
      <c r="G26" s="67"/>
      <c r="H26" s="67"/>
    </row>
    <row r="27" spans="1:8" hidden="1" x14ac:dyDescent="0.2">
      <c r="A27" s="30"/>
      <c r="B27" s="14"/>
      <c r="C27" s="30"/>
      <c r="D27" s="50"/>
      <c r="E27" s="66"/>
      <c r="F27" s="66"/>
      <c r="G27" s="67"/>
      <c r="H27" s="67"/>
    </row>
    <row r="28" spans="1:8" hidden="1" x14ac:dyDescent="0.2">
      <c r="A28" s="30"/>
      <c r="B28" s="14"/>
      <c r="C28" s="30"/>
      <c r="D28" s="50"/>
      <c r="E28" s="132"/>
      <c r="F28" s="66"/>
      <c r="G28" s="67"/>
      <c r="H28" s="67"/>
    </row>
    <row r="29" spans="1:8" hidden="1" x14ac:dyDescent="0.2">
      <c r="A29" s="30"/>
      <c r="B29" s="14"/>
      <c r="C29" s="30"/>
      <c r="D29" s="50"/>
      <c r="E29" s="66"/>
      <c r="F29" s="66"/>
      <c r="G29" s="67"/>
      <c r="H29" s="67"/>
    </row>
    <row r="30" spans="1:8" hidden="1" x14ac:dyDescent="0.2">
      <c r="A30" s="30"/>
      <c r="B30" s="14"/>
      <c r="C30" s="30"/>
      <c r="D30" s="50"/>
      <c r="E30" s="132"/>
      <c r="F30" s="66"/>
      <c r="G30" s="67"/>
      <c r="H30" s="67"/>
    </row>
    <row r="31" spans="1:8" hidden="1" x14ac:dyDescent="0.2">
      <c r="A31" s="30"/>
      <c r="B31" s="14"/>
      <c r="C31" s="30"/>
      <c r="D31" s="50"/>
      <c r="E31" s="66"/>
      <c r="F31" s="66"/>
      <c r="G31" s="67"/>
      <c r="H31" s="67"/>
    </row>
    <row r="32" spans="1:8" ht="13.5" thickBot="1" x14ac:dyDescent="0.25">
      <c r="A32" s="30">
        <v>9</v>
      </c>
      <c r="B32" s="153" t="s">
        <v>0</v>
      </c>
      <c r="C32" s="154"/>
      <c r="D32" s="155">
        <f>SUM(D6:D31)</f>
        <v>24398</v>
      </c>
      <c r="E32" s="156">
        <f>F32/D32</f>
        <v>293.90815394704487</v>
      </c>
      <c r="F32" s="157">
        <f>SUM(F6:F31)</f>
        <v>7170771.1400000006</v>
      </c>
      <c r="G32" s="158">
        <f>SUM(G6:G31)</f>
        <v>0.99999999999999989</v>
      </c>
      <c r="H32" s="47"/>
    </row>
    <row r="33" spans="1:16" ht="13.5" thickTop="1" x14ac:dyDescent="0.2">
      <c r="A33" s="30"/>
      <c r="B33" s="14"/>
      <c r="C33" s="159"/>
      <c r="D33" s="50"/>
    </row>
    <row r="34" spans="1:16" x14ac:dyDescent="0.2">
      <c r="B34" s="159"/>
      <c r="C34" s="50"/>
    </row>
    <row r="35" spans="1:16" x14ac:dyDescent="0.2">
      <c r="B35" s="159"/>
      <c r="C35" s="50"/>
    </row>
    <row r="36" spans="1:16" x14ac:dyDescent="0.2">
      <c r="B36" s="160"/>
      <c r="C36" s="161"/>
      <c r="E36" s="151"/>
    </row>
    <row r="37" spans="1:16" s="13" customFormat="1" x14ac:dyDescent="0.2">
      <c r="A37" s="14"/>
      <c r="B37" s="160"/>
      <c r="C37" s="161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x14ac:dyDescent="0.2">
      <c r="B38" s="160"/>
      <c r="C38" s="161"/>
    </row>
    <row r="39" spans="1:16" x14ac:dyDescent="0.2">
      <c r="B39" s="159"/>
      <c r="C39" s="50"/>
    </row>
    <row r="40" spans="1:16" x14ac:dyDescent="0.2">
      <c r="B40" s="159"/>
      <c r="C40" s="50"/>
    </row>
    <row r="41" spans="1:16" x14ac:dyDescent="0.2">
      <c r="B41" s="159"/>
      <c r="C41" s="50"/>
    </row>
    <row r="42" spans="1:16" x14ac:dyDescent="0.2">
      <c r="B42" s="159"/>
      <c r="C42" s="50"/>
    </row>
    <row r="43" spans="1:16" x14ac:dyDescent="0.2">
      <c r="B43" s="159"/>
      <c r="C43" s="50"/>
    </row>
    <row r="44" spans="1:16" x14ac:dyDescent="0.2">
      <c r="B44" s="159"/>
      <c r="C44" s="50"/>
    </row>
    <row r="45" spans="1:16" x14ac:dyDescent="0.2">
      <c r="B45" s="159"/>
      <c r="C45" s="50"/>
    </row>
    <row r="46" spans="1:16" x14ac:dyDescent="0.2">
      <c r="B46" s="159"/>
      <c r="C46" s="50"/>
    </row>
    <row r="47" spans="1:16" x14ac:dyDescent="0.2">
      <c r="B47" s="159"/>
      <c r="C47" s="50"/>
    </row>
    <row r="48" spans="1:16" x14ac:dyDescent="0.2">
      <c r="B48" s="159"/>
      <c r="C48" s="50"/>
    </row>
    <row r="49" spans="2:3" x14ac:dyDescent="0.2">
      <c r="B49" s="159"/>
      <c r="C49" s="50"/>
    </row>
    <row r="50" spans="2:3" x14ac:dyDescent="0.2">
      <c r="B50" s="159"/>
      <c r="C50" s="50"/>
    </row>
    <row r="51" spans="2:3" x14ac:dyDescent="0.2">
      <c r="B51" s="159"/>
      <c r="C51" s="50"/>
    </row>
    <row r="52" spans="2:3" x14ac:dyDescent="0.2">
      <c r="B52" s="159"/>
      <c r="C52" s="50"/>
    </row>
    <row r="53" spans="2:3" x14ac:dyDescent="0.2">
      <c r="B53" s="159"/>
      <c r="C53" s="50"/>
    </row>
    <row r="54" spans="2:3" x14ac:dyDescent="0.2">
      <c r="B54" s="159"/>
      <c r="C54" s="50"/>
    </row>
    <row r="55" spans="2:3" x14ac:dyDescent="0.2">
      <c r="B55" s="159"/>
      <c r="C55" s="50"/>
    </row>
    <row r="56" spans="2:3" x14ac:dyDescent="0.2">
      <c r="B56" s="159"/>
      <c r="C56" s="50"/>
    </row>
    <row r="57" spans="2:3" x14ac:dyDescent="0.2">
      <c r="B57" s="159"/>
      <c r="C57" s="50"/>
    </row>
    <row r="58" spans="2:3" x14ac:dyDescent="0.2">
      <c r="B58" s="159"/>
      <c r="C58" s="50"/>
    </row>
    <row r="59" spans="2:3" x14ac:dyDescent="0.2">
      <c r="B59" s="159"/>
      <c r="C59" s="50"/>
    </row>
    <row r="60" spans="2:3" x14ac:dyDescent="0.2">
      <c r="B60" s="159"/>
      <c r="C60" s="50"/>
    </row>
    <row r="61" spans="2:3" x14ac:dyDescent="0.2">
      <c r="B61" s="159"/>
      <c r="C61" s="50"/>
    </row>
    <row r="62" spans="2:3" x14ac:dyDescent="0.2">
      <c r="B62" s="159"/>
      <c r="C62" s="50"/>
    </row>
    <row r="63" spans="2:3" x14ac:dyDescent="0.2">
      <c r="B63" s="159"/>
      <c r="C63" s="50"/>
    </row>
    <row r="64" spans="2:3" x14ac:dyDescent="0.2">
      <c r="B64" s="159"/>
      <c r="C64" s="50"/>
    </row>
    <row r="65" spans="2:3" x14ac:dyDescent="0.2">
      <c r="B65" s="159"/>
      <c r="C65" s="50"/>
    </row>
    <row r="66" spans="2:3" x14ac:dyDescent="0.2">
      <c r="B66" s="159"/>
      <c r="C66" s="50"/>
    </row>
    <row r="67" spans="2:3" x14ac:dyDescent="0.2">
      <c r="B67" s="159"/>
      <c r="C67" s="50"/>
    </row>
    <row r="68" spans="2:3" x14ac:dyDescent="0.2">
      <c r="B68" s="159"/>
      <c r="C68" s="50"/>
    </row>
    <row r="69" spans="2:3" x14ac:dyDescent="0.2">
      <c r="B69" s="159"/>
      <c r="C69" s="50"/>
    </row>
    <row r="70" spans="2:3" x14ac:dyDescent="0.2">
      <c r="B70" s="159"/>
      <c r="C70" s="50"/>
    </row>
    <row r="71" spans="2:3" x14ac:dyDescent="0.2">
      <c r="B71" s="159"/>
      <c r="C71" s="50"/>
    </row>
    <row r="72" spans="2:3" x14ac:dyDescent="0.2">
      <c r="B72" s="159"/>
      <c r="C72" s="50"/>
    </row>
    <row r="73" spans="2:3" x14ac:dyDescent="0.2">
      <c r="B73" s="159"/>
      <c r="C73" s="50"/>
    </row>
    <row r="74" spans="2:3" x14ac:dyDescent="0.2">
      <c r="B74" s="159"/>
      <c r="C74" s="50"/>
    </row>
    <row r="75" spans="2:3" x14ac:dyDescent="0.2">
      <c r="B75" s="159"/>
      <c r="C75" s="50"/>
    </row>
    <row r="76" spans="2:3" x14ac:dyDescent="0.2">
      <c r="B76" s="159"/>
      <c r="C76" s="50"/>
    </row>
    <row r="77" spans="2:3" x14ac:dyDescent="0.2">
      <c r="B77" s="159"/>
      <c r="C77" s="50"/>
    </row>
    <row r="78" spans="2:3" x14ac:dyDescent="0.2">
      <c r="B78" s="159"/>
      <c r="C78" s="50"/>
    </row>
    <row r="79" spans="2:3" x14ac:dyDescent="0.2">
      <c r="B79" s="159"/>
      <c r="C79" s="50"/>
    </row>
    <row r="80" spans="2:3" x14ac:dyDescent="0.2">
      <c r="B80" s="159"/>
      <c r="C80" s="50"/>
    </row>
    <row r="81" spans="2:3" x14ac:dyDescent="0.2">
      <c r="B81" s="159"/>
      <c r="C81" s="50"/>
    </row>
    <row r="82" spans="2:3" x14ac:dyDescent="0.2">
      <c r="B82" s="159"/>
      <c r="C82" s="50"/>
    </row>
    <row r="83" spans="2:3" x14ac:dyDescent="0.2">
      <c r="B83" s="159"/>
      <c r="C83" s="50"/>
    </row>
    <row r="84" spans="2:3" x14ac:dyDescent="0.2">
      <c r="B84" s="159"/>
      <c r="C84" s="50"/>
    </row>
    <row r="85" spans="2:3" x14ac:dyDescent="0.2">
      <c r="B85" s="159"/>
      <c r="C85" s="50"/>
    </row>
    <row r="86" spans="2:3" x14ac:dyDescent="0.2">
      <c r="B86" s="159"/>
      <c r="C86" s="50"/>
    </row>
    <row r="87" spans="2:3" x14ac:dyDescent="0.2">
      <c r="B87" s="162"/>
    </row>
    <row r="88" spans="2:3" x14ac:dyDescent="0.2">
      <c r="B88" s="162"/>
    </row>
    <row r="89" spans="2:3" x14ac:dyDescent="0.2">
      <c r="B89" s="162"/>
    </row>
  </sheetData>
  <phoneticPr fontId="0" type="noConversion"/>
  <pageMargins left="0.75" right="0.75" top="1" bottom="1" header="0.5" footer="0.5"/>
  <pageSetup orientation="landscape" r:id="rId1"/>
  <headerFooter alignWithMargins="0">
    <oddFooter>&amp;RExhibit JW-7
Page 2 of 3</oddFooter>
  </headerFooter>
  <ignoredErrors>
    <ignoredError sqref="E3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72"/>
  <sheetViews>
    <sheetView view="pageBreakPreview" zoomScale="75" zoomScaleNormal="100" zoomScaleSheetLayoutView="75" workbookViewId="0">
      <selection activeCell="H29" sqref="H29"/>
    </sheetView>
  </sheetViews>
  <sheetFormatPr defaultColWidth="9.140625" defaultRowHeight="12.75" x14ac:dyDescent="0.2"/>
  <cols>
    <col min="1" max="1" width="6.7109375" style="14" customWidth="1"/>
    <col min="2" max="2" width="38.7109375" style="30" customWidth="1"/>
    <col min="3" max="3" width="8.42578125" style="29" customWidth="1"/>
    <col min="4" max="4" width="13.28515625" style="29" customWidth="1"/>
    <col min="5" max="5" width="12.85546875" style="29" customWidth="1"/>
    <col min="6" max="6" width="15.42578125" style="29" customWidth="1"/>
    <col min="7" max="7" width="11.85546875" style="14" customWidth="1"/>
    <col min="8" max="8" width="15.42578125" style="14" customWidth="1"/>
    <col min="9" max="9" width="15" style="14" customWidth="1"/>
    <col min="10" max="16384" width="9.140625" style="14"/>
  </cols>
  <sheetData>
    <row r="1" spans="1:7" x14ac:dyDescent="0.2">
      <c r="A1" s="13" t="s">
        <v>1053</v>
      </c>
    </row>
    <row r="2" spans="1:7" x14ac:dyDescent="0.2">
      <c r="A2" s="13" t="s">
        <v>699</v>
      </c>
    </row>
    <row r="4" spans="1:7" ht="45.75" customHeight="1" thickBot="1" x14ac:dyDescent="0.25">
      <c r="A4" s="62" t="s">
        <v>966</v>
      </c>
      <c r="B4" s="89" t="s">
        <v>754</v>
      </c>
      <c r="C4" s="149" t="s">
        <v>761</v>
      </c>
      <c r="D4" s="84" t="s">
        <v>877</v>
      </c>
      <c r="E4" s="84" t="s">
        <v>876</v>
      </c>
      <c r="F4" s="84" t="s">
        <v>863</v>
      </c>
      <c r="G4" s="84" t="s">
        <v>755</v>
      </c>
    </row>
    <row r="5" spans="1:7" x14ac:dyDescent="0.2">
      <c r="A5" s="30"/>
      <c r="B5" s="13"/>
      <c r="C5" s="16"/>
      <c r="G5" s="29"/>
    </row>
    <row r="6" spans="1:7" x14ac:dyDescent="0.2">
      <c r="A6" s="30">
        <v>1</v>
      </c>
      <c r="B6" s="14" t="str">
        <f>'Summary of Returns'!B10</f>
        <v>Sch I - Residential, Schools &amp; Churches</v>
      </c>
      <c r="C6" s="150" t="str">
        <f>'Summary of Returns'!C10</f>
        <v>R</v>
      </c>
      <c r="D6" s="119">
        <f>'Billing Det'!C8</f>
        <v>22478</v>
      </c>
      <c r="E6" s="151">
        <v>1230.3800000000001</v>
      </c>
      <c r="F6" s="151">
        <f t="shared" ref="F6:F11" si="0">E6*D6</f>
        <v>27656481.640000001</v>
      </c>
      <c r="G6" s="152">
        <f t="shared" ref="G6:G11" si="1">F6/$F$33</f>
        <v>0.89873262241242002</v>
      </c>
    </row>
    <row r="7" spans="1:7" x14ac:dyDescent="0.2">
      <c r="A7" s="30">
        <v>2</v>
      </c>
      <c r="B7" s="14" t="str">
        <f>'Summary of Returns'!B11</f>
        <v>Sch I - Res TOD</v>
      </c>
      <c r="C7" s="150" t="str">
        <f>'Summary of Returns'!C11</f>
        <v>TOD</v>
      </c>
      <c r="D7" s="119">
        <f>'Billing Det'!C9</f>
        <v>9</v>
      </c>
      <c r="E7" s="151">
        <f>E6</f>
        <v>1230.3800000000001</v>
      </c>
      <c r="F7" s="151">
        <f t="shared" si="0"/>
        <v>11073.420000000002</v>
      </c>
      <c r="G7" s="152">
        <f t="shared" si="1"/>
        <v>3.5984489730900353E-4</v>
      </c>
    </row>
    <row r="8" spans="1:7" x14ac:dyDescent="0.2">
      <c r="A8" s="30">
        <v>3</v>
      </c>
      <c r="B8" s="14" t="str">
        <f>'Summary of Returns'!B12</f>
        <v>Sch II - Small Commercial  Small Power</v>
      </c>
      <c r="C8" s="150" t="str">
        <f>'Summary of Returns'!C12</f>
        <v>C1</v>
      </c>
      <c r="D8" s="119">
        <f>'Billing Det'!C10</f>
        <v>1279</v>
      </c>
      <c r="E8" s="151">
        <v>1936.34</v>
      </c>
      <c r="F8" s="151">
        <f t="shared" si="0"/>
        <v>2476578.86</v>
      </c>
      <c r="G8" s="152">
        <f t="shared" si="1"/>
        <v>8.0479586754078583E-2</v>
      </c>
    </row>
    <row r="9" spans="1:7" x14ac:dyDescent="0.2">
      <c r="A9" s="30">
        <v>4</v>
      </c>
      <c r="B9" s="14" t="str">
        <f>'Summary of Returns'!B13</f>
        <v>Sch II - Small Commercial  Small Power</v>
      </c>
      <c r="C9" s="150" t="str">
        <f>'Summary of Returns'!C13</f>
        <v>C2</v>
      </c>
      <c r="D9" s="119">
        <f>'Billing Det'!C11</f>
        <v>171</v>
      </c>
      <c r="E9" s="151">
        <v>1452.26</v>
      </c>
      <c r="F9" s="151">
        <f t="shared" si="0"/>
        <v>248336.46</v>
      </c>
      <c r="G9" s="152">
        <f t="shared" si="1"/>
        <v>8.070009802462242E-3</v>
      </c>
    </row>
    <row r="10" spans="1:7" x14ac:dyDescent="0.2">
      <c r="A10" s="30">
        <v>5</v>
      </c>
      <c r="B10" s="14" t="str">
        <f>'Summary of Returns'!B14</f>
        <v>Sch VII - Inclining Block Rate</v>
      </c>
      <c r="C10" s="150" t="str">
        <f>'Summary of Returns'!C14</f>
        <v>IB</v>
      </c>
      <c r="D10" s="119">
        <f>'Billing Det'!C12</f>
        <v>192</v>
      </c>
      <c r="E10" s="151">
        <f>E6</f>
        <v>1230.3800000000001</v>
      </c>
      <c r="F10" s="151">
        <f t="shared" si="0"/>
        <v>236232.96000000002</v>
      </c>
      <c r="G10" s="152">
        <f t="shared" si="1"/>
        <v>7.6766911425920747E-3</v>
      </c>
    </row>
    <row r="11" spans="1:7" x14ac:dyDescent="0.2">
      <c r="A11" s="30">
        <v>6</v>
      </c>
      <c r="B11" s="14" t="str">
        <f>'Summary of Returns'!B15</f>
        <v>Sch III - All 3Phase Schools &amp; Churches</v>
      </c>
      <c r="C11" s="150" t="str">
        <f>'Summary of Returns'!C15</f>
        <v>E1</v>
      </c>
      <c r="D11" s="119">
        <f>'Billing Det'!C13</f>
        <v>47</v>
      </c>
      <c r="E11" s="151">
        <v>1452.26</v>
      </c>
      <c r="F11" s="151">
        <f t="shared" si="0"/>
        <v>68256.22</v>
      </c>
      <c r="G11" s="152">
        <f t="shared" si="1"/>
        <v>2.2180728696826048E-3</v>
      </c>
    </row>
    <row r="12" spans="1:7" x14ac:dyDescent="0.2">
      <c r="A12" s="30">
        <v>7</v>
      </c>
      <c r="B12" s="14" t="str">
        <f>'Summary of Returns'!B16</f>
        <v>Sch IV-A - Large Power 50-2500 kW</v>
      </c>
      <c r="C12" s="150" t="str">
        <f>'Summary of Returns'!C16</f>
        <v>L1</v>
      </c>
      <c r="D12" s="119">
        <f>'Billing Det'!C14</f>
        <v>61</v>
      </c>
      <c r="E12" s="151">
        <v>1242.5999999999999</v>
      </c>
      <c r="F12" s="151">
        <f t="shared" ref="F12:F16" si="2">E12*D12</f>
        <v>75798.599999999991</v>
      </c>
      <c r="G12" s="152">
        <f t="shared" ref="G12:G16" si="3">F12/$F$33</f>
        <v>2.4631721214553614E-3</v>
      </c>
    </row>
    <row r="13" spans="1:7" x14ac:dyDescent="0.2">
      <c r="A13" s="30">
        <v>8</v>
      </c>
      <c r="B13" s="14" t="str">
        <f>'Summary of Returns'!B17</f>
        <v>Sch VI - Outdoor Lighting - Security Lights</v>
      </c>
      <c r="C13" s="150" t="str">
        <f>'Summary of Returns'!C17</f>
        <v>S</v>
      </c>
      <c r="D13" s="119">
        <f>'Billing Det'!C15</f>
        <v>161</v>
      </c>
      <c r="E13" s="151">
        <v>0</v>
      </c>
      <c r="F13" s="151">
        <f t="shared" si="2"/>
        <v>0</v>
      </c>
      <c r="G13" s="152">
        <f t="shared" si="3"/>
        <v>0</v>
      </c>
    </row>
    <row r="14" spans="1:7" hidden="1" x14ac:dyDescent="0.2">
      <c r="A14" s="30">
        <v>9</v>
      </c>
      <c r="B14" s="14">
        <f>'Summary of Returns'!B18</f>
        <v>0</v>
      </c>
      <c r="C14" s="150">
        <f>'Summary of Returns'!C18</f>
        <v>0</v>
      </c>
      <c r="D14" s="119">
        <f>'Billing Det'!C16</f>
        <v>0</v>
      </c>
      <c r="E14" s="151">
        <v>0</v>
      </c>
      <c r="F14" s="151">
        <f t="shared" si="2"/>
        <v>0</v>
      </c>
      <c r="G14" s="152">
        <f t="shared" si="3"/>
        <v>0</v>
      </c>
    </row>
    <row r="15" spans="1:7" hidden="1" x14ac:dyDescent="0.2">
      <c r="A15" s="30">
        <v>10</v>
      </c>
      <c r="B15" s="14">
        <f>'Summary of Returns'!B19</f>
        <v>0</v>
      </c>
      <c r="C15" s="150">
        <f>'Summary of Returns'!C19</f>
        <v>0</v>
      </c>
      <c r="D15" s="119">
        <f>'Billing Det'!C17</f>
        <v>0</v>
      </c>
      <c r="E15" s="151">
        <v>0</v>
      </c>
      <c r="F15" s="151">
        <f t="shared" si="2"/>
        <v>0</v>
      </c>
      <c r="G15" s="152">
        <f t="shared" si="3"/>
        <v>0</v>
      </c>
    </row>
    <row r="16" spans="1:7" hidden="1" x14ac:dyDescent="0.2">
      <c r="A16" s="30"/>
      <c r="B16" s="14">
        <f>'Summary of Returns'!B20</f>
        <v>0</v>
      </c>
      <c r="C16" s="150">
        <f>'Summary of Returns'!C20</f>
        <v>0</v>
      </c>
      <c r="D16" s="119">
        <f>'Billing Det'!C18</f>
        <v>0</v>
      </c>
      <c r="E16" s="151">
        <v>0</v>
      </c>
      <c r="F16" s="151">
        <f t="shared" si="2"/>
        <v>0</v>
      </c>
      <c r="G16" s="152">
        <f t="shared" si="3"/>
        <v>0</v>
      </c>
    </row>
    <row r="17" spans="1:7" hidden="1" x14ac:dyDescent="0.2">
      <c r="A17" s="30"/>
      <c r="B17" s="14"/>
      <c r="C17" s="30"/>
      <c r="D17" s="119"/>
      <c r="E17" s="151"/>
      <c r="F17" s="151"/>
      <c r="G17" s="152"/>
    </row>
    <row r="18" spans="1:7" hidden="1" x14ac:dyDescent="0.2">
      <c r="A18" s="30"/>
      <c r="B18" s="121"/>
      <c r="C18" s="30"/>
      <c r="D18" s="119"/>
      <c r="E18" s="151"/>
      <c r="F18" s="151"/>
      <c r="G18" s="152"/>
    </row>
    <row r="19" spans="1:7" hidden="1" x14ac:dyDescent="0.2">
      <c r="A19" s="30"/>
      <c r="B19" s="14"/>
      <c r="C19" s="30"/>
      <c r="D19" s="119"/>
      <c r="E19" s="151"/>
      <c r="F19" s="151"/>
      <c r="G19" s="152"/>
    </row>
    <row r="20" spans="1:7" hidden="1" x14ac:dyDescent="0.2">
      <c r="A20" s="30"/>
      <c r="B20" s="14"/>
      <c r="C20" s="30"/>
      <c r="D20" s="119"/>
      <c r="E20" s="151"/>
      <c r="F20" s="151"/>
      <c r="G20" s="152"/>
    </row>
    <row r="21" spans="1:7" hidden="1" x14ac:dyDescent="0.2">
      <c r="A21" s="30"/>
      <c r="B21" s="14"/>
      <c r="C21" s="30"/>
      <c r="D21" s="119"/>
      <c r="E21" s="151"/>
      <c r="F21" s="151"/>
      <c r="G21" s="152"/>
    </row>
    <row r="22" spans="1:7" hidden="1" x14ac:dyDescent="0.2">
      <c r="A22" s="30"/>
      <c r="B22" s="14"/>
      <c r="C22" s="30"/>
      <c r="D22" s="119"/>
      <c r="E22" s="151"/>
      <c r="F22" s="151"/>
      <c r="G22" s="152"/>
    </row>
    <row r="23" spans="1:7" hidden="1" x14ac:dyDescent="0.2">
      <c r="A23" s="30"/>
      <c r="B23" s="14"/>
      <c r="C23" s="30"/>
      <c r="D23" s="119"/>
      <c r="E23" s="151"/>
      <c r="F23" s="151"/>
      <c r="G23" s="152"/>
    </row>
    <row r="24" spans="1:7" hidden="1" x14ac:dyDescent="0.2">
      <c r="A24" s="30"/>
      <c r="B24" s="14"/>
      <c r="C24" s="30"/>
      <c r="D24" s="119"/>
      <c r="E24" s="151"/>
      <c r="F24" s="151"/>
      <c r="G24" s="152"/>
    </row>
    <row r="25" spans="1:7" hidden="1" x14ac:dyDescent="0.2">
      <c r="A25" s="30"/>
      <c r="B25" s="14"/>
      <c r="C25" s="30"/>
      <c r="D25" s="119"/>
      <c r="E25" s="151"/>
      <c r="F25" s="151"/>
      <c r="G25" s="152"/>
    </row>
    <row r="26" spans="1:7" hidden="1" x14ac:dyDescent="0.2">
      <c r="A26" s="30"/>
      <c r="B26" s="14"/>
      <c r="C26" s="30"/>
      <c r="D26" s="119"/>
      <c r="E26" s="151"/>
      <c r="F26" s="151"/>
      <c r="G26" s="152"/>
    </row>
    <row r="27" spans="1:7" hidden="1" x14ac:dyDescent="0.2">
      <c r="A27" s="30"/>
      <c r="B27" s="14"/>
      <c r="C27" s="30"/>
      <c r="D27" s="119"/>
      <c r="E27" s="151"/>
      <c r="F27" s="151"/>
      <c r="G27" s="152"/>
    </row>
    <row r="28" spans="1:7" hidden="1" x14ac:dyDescent="0.2">
      <c r="A28" s="30"/>
      <c r="B28" s="14"/>
      <c r="C28" s="30"/>
      <c r="D28" s="119"/>
      <c r="E28" s="151"/>
      <c r="F28" s="151"/>
      <c r="G28" s="152"/>
    </row>
    <row r="29" spans="1:7" hidden="1" x14ac:dyDescent="0.2">
      <c r="A29" s="30"/>
      <c r="B29" s="14"/>
      <c r="C29" s="30"/>
      <c r="D29" s="119"/>
      <c r="E29" s="151"/>
      <c r="F29" s="151"/>
      <c r="G29" s="152"/>
    </row>
    <row r="30" spans="1:7" hidden="1" x14ac:dyDescent="0.2">
      <c r="A30" s="30"/>
      <c r="B30" s="14"/>
      <c r="C30" s="30"/>
      <c r="D30" s="119"/>
      <c r="E30" s="151"/>
      <c r="F30" s="151"/>
      <c r="G30" s="152"/>
    </row>
    <row r="31" spans="1:7" hidden="1" x14ac:dyDescent="0.2">
      <c r="A31" s="30"/>
      <c r="B31" s="14"/>
      <c r="C31" s="30"/>
      <c r="D31" s="119"/>
      <c r="E31" s="151"/>
      <c r="F31" s="151"/>
      <c r="G31" s="152"/>
    </row>
    <row r="32" spans="1:7" hidden="1" x14ac:dyDescent="0.2">
      <c r="A32" s="30"/>
      <c r="B32" s="14"/>
      <c r="C32" s="30"/>
      <c r="D32" s="119"/>
      <c r="E32" s="151"/>
      <c r="F32" s="151"/>
      <c r="G32" s="116"/>
    </row>
    <row r="33" spans="1:7" ht="13.5" thickBot="1" x14ac:dyDescent="0.25">
      <c r="A33" s="30">
        <v>9</v>
      </c>
      <c r="B33" s="153" t="s">
        <v>0</v>
      </c>
      <c r="C33" s="154"/>
      <c r="D33" s="163">
        <f>SUM(D6:D32)</f>
        <v>24398</v>
      </c>
      <c r="E33" s="164">
        <f>F33/D33</f>
        <v>1261.2819968849908</v>
      </c>
      <c r="F33" s="165">
        <f>SUM(F6:F32)</f>
        <v>30772758.160000004</v>
      </c>
      <c r="G33" s="166">
        <f>SUM(G6:G32)</f>
        <v>0.99999999999999989</v>
      </c>
    </row>
    <row r="34" spans="1:7" ht="13.5" thickTop="1" x14ac:dyDescent="0.2">
      <c r="B34" s="160"/>
      <c r="C34" s="167"/>
    </row>
    <row r="35" spans="1:7" x14ac:dyDescent="0.2">
      <c r="B35" s="160"/>
      <c r="C35" s="167"/>
    </row>
    <row r="36" spans="1:7" x14ac:dyDescent="0.2">
      <c r="B36" s="160"/>
      <c r="C36" s="167"/>
      <c r="E36" s="151"/>
    </row>
    <row r="37" spans="1:7" x14ac:dyDescent="0.2">
      <c r="B37" s="160"/>
      <c r="C37" s="167"/>
    </row>
    <row r="38" spans="1:7" x14ac:dyDescent="0.2">
      <c r="B38" s="160"/>
      <c r="C38" s="167"/>
    </row>
    <row r="39" spans="1:7" x14ac:dyDescent="0.2">
      <c r="B39" s="160"/>
      <c r="C39" s="167"/>
    </row>
    <row r="40" spans="1:7" x14ac:dyDescent="0.2">
      <c r="B40" s="160"/>
      <c r="C40" s="167"/>
    </row>
    <row r="41" spans="1:7" x14ac:dyDescent="0.2">
      <c r="B41" s="160"/>
      <c r="C41" s="167"/>
    </row>
    <row r="42" spans="1:7" x14ac:dyDescent="0.2">
      <c r="B42" s="160"/>
      <c r="C42" s="167"/>
    </row>
    <row r="43" spans="1:7" x14ac:dyDescent="0.2">
      <c r="B43" s="160"/>
      <c r="C43" s="167"/>
    </row>
    <row r="44" spans="1:7" x14ac:dyDescent="0.2">
      <c r="B44" s="160"/>
      <c r="C44" s="167"/>
    </row>
    <row r="45" spans="1:7" x14ac:dyDescent="0.2">
      <c r="B45" s="160"/>
      <c r="C45" s="167"/>
    </row>
    <row r="46" spans="1:7" x14ac:dyDescent="0.2">
      <c r="B46" s="160"/>
      <c r="C46" s="167"/>
    </row>
    <row r="47" spans="1:7" x14ac:dyDescent="0.2">
      <c r="B47" s="160"/>
      <c r="C47" s="167"/>
    </row>
    <row r="48" spans="1:7" x14ac:dyDescent="0.2">
      <c r="B48" s="160"/>
      <c r="C48" s="167"/>
    </row>
    <row r="49" spans="2:3" x14ac:dyDescent="0.2">
      <c r="B49" s="160"/>
      <c r="C49" s="167"/>
    </row>
    <row r="50" spans="2:3" x14ac:dyDescent="0.2">
      <c r="B50" s="160"/>
      <c r="C50" s="167"/>
    </row>
    <row r="51" spans="2:3" x14ac:dyDescent="0.2">
      <c r="B51" s="160"/>
      <c r="C51" s="167"/>
    </row>
    <row r="52" spans="2:3" x14ac:dyDescent="0.2">
      <c r="B52" s="160"/>
      <c r="C52" s="167"/>
    </row>
    <row r="53" spans="2:3" x14ac:dyDescent="0.2">
      <c r="B53" s="160"/>
      <c r="C53" s="167"/>
    </row>
    <row r="54" spans="2:3" x14ac:dyDescent="0.2">
      <c r="B54" s="160"/>
      <c r="C54" s="167"/>
    </row>
    <row r="55" spans="2:3" x14ac:dyDescent="0.2">
      <c r="B55" s="160"/>
      <c r="C55" s="167"/>
    </row>
    <row r="56" spans="2:3" x14ac:dyDescent="0.2">
      <c r="B56" s="160"/>
      <c r="C56" s="167"/>
    </row>
    <row r="57" spans="2:3" x14ac:dyDescent="0.2">
      <c r="B57" s="160"/>
      <c r="C57" s="167"/>
    </row>
    <row r="58" spans="2:3" x14ac:dyDescent="0.2">
      <c r="B58" s="160"/>
      <c r="C58" s="167"/>
    </row>
    <row r="59" spans="2:3" x14ac:dyDescent="0.2">
      <c r="B59" s="160"/>
      <c r="C59" s="167"/>
    </row>
    <row r="60" spans="2:3" x14ac:dyDescent="0.2">
      <c r="B60" s="160"/>
      <c r="C60" s="167"/>
    </row>
    <row r="61" spans="2:3" x14ac:dyDescent="0.2">
      <c r="B61" s="160"/>
      <c r="C61" s="167"/>
    </row>
    <row r="62" spans="2:3" x14ac:dyDescent="0.2">
      <c r="B62" s="160"/>
      <c r="C62" s="167"/>
    </row>
    <row r="63" spans="2:3" x14ac:dyDescent="0.2">
      <c r="B63" s="160"/>
      <c r="C63" s="167"/>
    </row>
    <row r="64" spans="2:3" x14ac:dyDescent="0.2">
      <c r="B64" s="160"/>
      <c r="C64" s="167"/>
    </row>
    <row r="65" spans="2:3" x14ac:dyDescent="0.2">
      <c r="B65" s="160"/>
      <c r="C65" s="167"/>
    </row>
    <row r="66" spans="2:3" x14ac:dyDescent="0.2">
      <c r="B66" s="160"/>
      <c r="C66" s="167"/>
    </row>
    <row r="67" spans="2:3" x14ac:dyDescent="0.2">
      <c r="B67" s="160"/>
      <c r="C67" s="167"/>
    </row>
    <row r="68" spans="2:3" x14ac:dyDescent="0.2">
      <c r="B68" s="160"/>
      <c r="C68" s="167"/>
    </row>
    <row r="69" spans="2:3" x14ac:dyDescent="0.2">
      <c r="B69" s="160"/>
      <c r="C69" s="167"/>
    </row>
    <row r="70" spans="2:3" x14ac:dyDescent="0.2">
      <c r="B70" s="160"/>
      <c r="C70" s="167"/>
    </row>
    <row r="71" spans="2:3" x14ac:dyDescent="0.2">
      <c r="B71" s="160"/>
      <c r="C71" s="167"/>
    </row>
    <row r="72" spans="2:3" x14ac:dyDescent="0.2">
      <c r="B72" s="160"/>
      <c r="C72" s="167"/>
    </row>
  </sheetData>
  <phoneticPr fontId="0" type="noConversion"/>
  <pageMargins left="0.75" right="0.75" top="1" bottom="1" header="0.5" footer="0.5"/>
  <pageSetup orientation="landscape" r:id="rId1"/>
  <headerFooter alignWithMargins="0">
    <oddFooter>&amp;RExhibit JW-7
Page 3 of 3</oddFooter>
  </headerFooter>
  <ignoredErrors>
    <ignoredError sqref="E33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L12"/>
  <sheetViews>
    <sheetView workbookViewId="0">
      <selection activeCell="J24" sqref="J24"/>
    </sheetView>
  </sheetViews>
  <sheetFormatPr defaultRowHeight="15" x14ac:dyDescent="0.25"/>
  <cols>
    <col min="1" max="1" width="22" bestFit="1" customWidth="1"/>
    <col min="3" max="3" width="7" bestFit="1" customWidth="1"/>
    <col min="4" max="4" width="10.42578125" bestFit="1" customWidth="1"/>
    <col min="5" max="5" width="12" bestFit="1" customWidth="1"/>
    <col min="6" max="6" width="13.7109375" bestFit="1" customWidth="1"/>
    <col min="7" max="7" width="17.5703125" bestFit="1" customWidth="1"/>
    <col min="8" max="8" width="12.85546875" customWidth="1"/>
    <col min="9" max="9" width="14" bestFit="1" customWidth="1"/>
    <col min="10" max="10" width="22.85546875" bestFit="1" customWidth="1"/>
    <col min="11" max="11" width="15.140625" bestFit="1" customWidth="1"/>
    <col min="12" max="12" width="19.28515625" bestFit="1" customWidth="1"/>
    <col min="13" max="13" width="13.7109375" bestFit="1" customWidth="1"/>
    <col min="14" max="14" width="12" bestFit="1" customWidth="1"/>
    <col min="15" max="15" width="13.7109375" bestFit="1" customWidth="1"/>
    <col min="16" max="16" width="14.140625" bestFit="1" customWidth="1"/>
    <col min="17" max="17" width="13.85546875" customWidth="1"/>
    <col min="18" max="18" width="16.28515625" bestFit="1" customWidth="1"/>
    <col min="19" max="19" width="13.7109375" bestFit="1" customWidth="1"/>
    <col min="20" max="20" width="6.7109375" bestFit="1" customWidth="1"/>
  </cols>
  <sheetData>
    <row r="1" spans="1:38" x14ac:dyDescent="0.25">
      <c r="A1" s="1"/>
      <c r="B1" s="1"/>
      <c r="C1" s="1"/>
      <c r="D1" s="1"/>
    </row>
    <row r="2" spans="1:38" ht="72" x14ac:dyDescent="0.25">
      <c r="A2" s="2"/>
      <c r="B2" s="2"/>
      <c r="C2" s="5"/>
      <c r="D2" s="6" t="s">
        <v>208</v>
      </c>
      <c r="E2" s="5" t="s">
        <v>0</v>
      </c>
      <c r="F2" s="10" t="s">
        <v>714</v>
      </c>
      <c r="G2" s="10" t="s">
        <v>723</v>
      </c>
      <c r="H2" s="10" t="s">
        <v>727</v>
      </c>
      <c r="I2" s="10" t="s">
        <v>728</v>
      </c>
      <c r="J2" s="10" t="s">
        <v>729</v>
      </c>
      <c r="K2" s="10" t="s">
        <v>730</v>
      </c>
      <c r="L2" s="10" t="s">
        <v>731</v>
      </c>
      <c r="M2" s="10" t="s">
        <v>732</v>
      </c>
      <c r="N2" s="10" t="s">
        <v>719</v>
      </c>
      <c r="O2" s="10" t="s">
        <v>720</v>
      </c>
      <c r="P2" s="10" t="s">
        <v>721</v>
      </c>
      <c r="Q2" s="10" t="s">
        <v>722</v>
      </c>
      <c r="R2" s="10" t="s">
        <v>733</v>
      </c>
      <c r="S2" s="2"/>
      <c r="T2" s="2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1:38" ht="15.75" thickBot="1" x14ac:dyDescent="0.3">
      <c r="A3" s="7" t="s">
        <v>6</v>
      </c>
      <c r="B3" s="7"/>
      <c r="C3" s="8" t="s">
        <v>7</v>
      </c>
      <c r="D3" s="8" t="s">
        <v>8</v>
      </c>
      <c r="E3" s="9" t="s">
        <v>9</v>
      </c>
      <c r="F3" s="9" t="s">
        <v>726</v>
      </c>
      <c r="G3" s="9" t="s">
        <v>738</v>
      </c>
      <c r="H3" s="9" t="s">
        <v>737</v>
      </c>
      <c r="I3" s="9" t="s">
        <v>735</v>
      </c>
      <c r="J3" s="9" t="s">
        <v>736</v>
      </c>
      <c r="K3" s="9" t="s">
        <v>715</v>
      </c>
      <c r="L3" s="9" t="s">
        <v>702</v>
      </c>
      <c r="M3" s="9" t="s">
        <v>739</v>
      </c>
      <c r="N3" s="9" t="s">
        <v>740</v>
      </c>
      <c r="O3" s="9" t="s">
        <v>741</v>
      </c>
      <c r="P3" s="9" t="s">
        <v>742</v>
      </c>
      <c r="Q3" s="9" t="s">
        <v>743</v>
      </c>
      <c r="R3" s="9" t="s">
        <v>734</v>
      </c>
      <c r="S3" s="9" t="s">
        <v>13</v>
      </c>
      <c r="T3" s="9" t="s">
        <v>14</v>
      </c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6" spans="1:38" x14ac:dyDescent="0.25">
      <c r="A6" t="s">
        <v>11</v>
      </c>
      <c r="C6" t="s">
        <v>744</v>
      </c>
      <c r="E6">
        <v>627658396</v>
      </c>
      <c r="F6">
        <v>234442443</v>
      </c>
      <c r="G6">
        <v>29430668</v>
      </c>
      <c r="H6">
        <v>151558</v>
      </c>
      <c r="I6">
        <v>72078019</v>
      </c>
      <c r="J6">
        <v>893794</v>
      </c>
      <c r="K6">
        <v>91720927</v>
      </c>
      <c r="L6">
        <v>1679700</v>
      </c>
      <c r="M6">
        <v>1146779</v>
      </c>
      <c r="N6">
        <v>15538140</v>
      </c>
      <c r="O6">
        <v>176471400</v>
      </c>
      <c r="P6">
        <v>1286846</v>
      </c>
      <c r="Q6">
        <v>18751</v>
      </c>
      <c r="R6">
        <v>2799371</v>
      </c>
      <c r="S6">
        <f>SUM(F6:R6)</f>
        <v>627658396</v>
      </c>
      <c r="T6" s="4" t="str">
        <f>IF(ABS(E6-S6)&lt;0.01,"ok","err")</f>
        <v>ok</v>
      </c>
    </row>
    <row r="7" spans="1:38" x14ac:dyDescent="0.25">
      <c r="A7" t="s">
        <v>745</v>
      </c>
      <c r="E7" s="3">
        <v>4.253478393504951E-2</v>
      </c>
      <c r="F7" s="12">
        <v>4.9813835559603975E-2</v>
      </c>
      <c r="G7" s="12">
        <f>F7</f>
        <v>4.9813835559603975E-2</v>
      </c>
      <c r="H7" s="12">
        <f>F7</f>
        <v>4.9813835559603975E-2</v>
      </c>
      <c r="I7" s="12">
        <f>F7</f>
        <v>4.9813835559603975E-2</v>
      </c>
      <c r="J7" s="12">
        <f>F7</f>
        <v>4.9813835559603975E-2</v>
      </c>
      <c r="K7" s="12">
        <f>F7-0.01</f>
        <v>3.9813835559603973E-2</v>
      </c>
      <c r="L7" s="12">
        <f>F7-0.01</f>
        <v>3.9813835559603973E-2</v>
      </c>
      <c r="M7" s="12">
        <f>F7</f>
        <v>4.9813835559603975E-2</v>
      </c>
      <c r="N7" s="12">
        <v>1.4999999999999999E-2</v>
      </c>
      <c r="O7" s="12">
        <v>0.01</v>
      </c>
      <c r="P7" s="12">
        <f>F7</f>
        <v>4.9813835559603975E-2</v>
      </c>
      <c r="Q7" s="12">
        <f>F7</f>
        <v>4.9813835559603975E-2</v>
      </c>
      <c r="R7" s="12">
        <f>F7</f>
        <v>4.9813835559603975E-2</v>
      </c>
      <c r="S7" s="3">
        <f>AVERAGE(F7:R7)</f>
        <v>4.253478393504951E-2</v>
      </c>
      <c r="T7" s="4" t="str">
        <f>IF(ABS(E7-S7)&lt;0.001,"ok","err")</f>
        <v>ok</v>
      </c>
    </row>
    <row r="8" spans="1:38" x14ac:dyDescent="0.25">
      <c r="A8" t="s">
        <v>746</v>
      </c>
      <c r="C8" t="s">
        <v>11</v>
      </c>
      <c r="E8">
        <v>651492867.00002527</v>
      </c>
      <c r="F8">
        <f t="shared" ref="F8:R8" si="0">F6/(1-F7)</f>
        <v>246733168.48185518</v>
      </c>
      <c r="G8">
        <f t="shared" si="0"/>
        <v>30973580.863843601</v>
      </c>
      <c r="H8">
        <f t="shared" si="0"/>
        <v>159503.4801304003</v>
      </c>
      <c r="I8">
        <f t="shared" si="0"/>
        <v>75856733.866936207</v>
      </c>
      <c r="J8">
        <f t="shared" si="0"/>
        <v>940651.45699778979</v>
      </c>
      <c r="K8">
        <f t="shared" si="0"/>
        <v>95524108.133192763</v>
      </c>
      <c r="L8">
        <f t="shared" si="0"/>
        <v>1749348.2641243245</v>
      </c>
      <c r="M8">
        <f t="shared" si="0"/>
        <v>1206899.2823899784</v>
      </c>
      <c r="N8">
        <f t="shared" si="0"/>
        <v>15774761.421319798</v>
      </c>
      <c r="O8">
        <f t="shared" si="0"/>
        <v>178253939.39393941</v>
      </c>
      <c r="P8">
        <f t="shared" si="0"/>
        <v>1354309.3429042685</v>
      </c>
      <c r="Q8">
        <f t="shared" si="0"/>
        <v>19734.027606098894</v>
      </c>
      <c r="R8">
        <f t="shared" si="0"/>
        <v>2946128.9847854874</v>
      </c>
      <c r="S8">
        <f>SUM(F8:R8)</f>
        <v>651492867.00002527</v>
      </c>
      <c r="T8" s="4" t="str">
        <f>IF(ABS(E8-S8)&lt;0.01,"ok","err")</f>
        <v>ok</v>
      </c>
    </row>
    <row r="11" spans="1:38" x14ac:dyDescent="0.25">
      <c r="S11">
        <v>651492867</v>
      </c>
    </row>
    <row r="12" spans="1:38" x14ac:dyDescent="0.25">
      <c r="E12">
        <v>651492867</v>
      </c>
    </row>
  </sheetData>
  <dataConsolidate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145"/>
  <sheetViews>
    <sheetView view="pageBreakPreview" topLeftCell="A84" zoomScale="60" zoomScaleNormal="100" workbookViewId="0">
      <selection activeCell="U130" sqref="U130"/>
    </sheetView>
  </sheetViews>
  <sheetFormatPr defaultColWidth="9.140625" defaultRowHeight="12.75" x14ac:dyDescent="0.2"/>
  <cols>
    <col min="1" max="1" width="3.140625" style="14" customWidth="1"/>
    <col min="2" max="2" width="37.28515625" style="14" customWidth="1"/>
    <col min="3" max="3" width="10.42578125" style="14" bestFit="1" customWidth="1"/>
    <col min="4" max="4" width="16.85546875" style="14" bestFit="1" customWidth="1"/>
    <col min="5" max="5" width="12.7109375" style="14" bestFit="1" customWidth="1"/>
    <col min="6" max="6" width="13.28515625" style="14" customWidth="1"/>
    <col min="7" max="7" width="3.7109375" style="14" customWidth="1"/>
    <col min="8" max="8" width="14.5703125" style="14" customWidth="1"/>
    <col min="9" max="9" width="18.42578125" style="14" customWidth="1"/>
    <col min="10" max="10" width="11.28515625" style="14" customWidth="1"/>
    <col min="11" max="11" width="2.28515625" style="14" customWidth="1"/>
    <col min="12" max="12" width="6.28515625" style="30" customWidth="1"/>
    <col min="13" max="13" width="8.7109375" style="14" bestFit="1" customWidth="1"/>
    <col min="14" max="16384" width="9.140625" style="14"/>
  </cols>
  <sheetData>
    <row r="1" spans="1:13" x14ac:dyDescent="0.2">
      <c r="A1" s="13" t="s">
        <v>1053</v>
      </c>
    </row>
    <row r="2" spans="1:13" x14ac:dyDescent="0.2">
      <c r="A2" s="13" t="s">
        <v>1013</v>
      </c>
    </row>
    <row r="4" spans="1:13" x14ac:dyDescent="0.2">
      <c r="A4" s="13" t="s">
        <v>1001</v>
      </c>
      <c r="B4" s="15"/>
      <c r="D4" s="34"/>
      <c r="E4" s="34"/>
      <c r="F4" s="34"/>
      <c r="G4" s="34"/>
      <c r="H4" s="34"/>
      <c r="I4" s="34"/>
      <c r="J4" s="34"/>
      <c r="K4" s="34"/>
      <c r="L4" s="35"/>
      <c r="M4" s="34"/>
    </row>
    <row r="5" spans="1:13" x14ac:dyDescent="0.2">
      <c r="C5" s="253"/>
      <c r="F5" s="16" t="s">
        <v>976</v>
      </c>
      <c r="I5" s="16" t="s">
        <v>977</v>
      </c>
    </row>
    <row r="6" spans="1:13" x14ac:dyDescent="0.2">
      <c r="C6" s="17"/>
      <c r="D6" s="16"/>
      <c r="E6" s="18"/>
      <c r="F6" s="16" t="s">
        <v>978</v>
      </c>
      <c r="H6" s="16"/>
      <c r="I6" s="16"/>
      <c r="J6" s="16"/>
      <c r="K6" s="16"/>
    </row>
    <row r="7" spans="1:13" x14ac:dyDescent="0.2">
      <c r="B7" s="19" t="s">
        <v>6</v>
      </c>
      <c r="C7" s="20" t="s">
        <v>979</v>
      </c>
      <c r="D7" s="21" t="s">
        <v>980</v>
      </c>
      <c r="E7" s="22" t="s">
        <v>981</v>
      </c>
      <c r="F7" s="21" t="s">
        <v>982</v>
      </c>
      <c r="H7" s="23" t="s">
        <v>983</v>
      </c>
      <c r="I7" s="23" t="s">
        <v>984</v>
      </c>
      <c r="J7" s="23" t="s">
        <v>985</v>
      </c>
      <c r="K7" s="24"/>
    </row>
    <row r="8" spans="1:13" x14ac:dyDescent="0.2">
      <c r="B8" s="14" t="s">
        <v>1124</v>
      </c>
      <c r="C8" s="26">
        <v>26.251000000000001</v>
      </c>
      <c r="D8" s="26">
        <v>4981.09</v>
      </c>
      <c r="E8" s="25">
        <v>13199</v>
      </c>
      <c r="F8" s="26">
        <f t="shared" ref="F8:F20" si="0">D8/E8</f>
        <v>0.37738389271914541</v>
      </c>
      <c r="G8" s="36"/>
      <c r="H8" s="26">
        <f t="shared" ref="H8:H20" si="1">F8*E8^0.5</f>
        <v>43.356465886698004</v>
      </c>
      <c r="I8" s="26">
        <f t="shared" ref="I8:I20" si="2">E8^0.5</f>
        <v>114.88690090693542</v>
      </c>
      <c r="J8" s="26">
        <f t="shared" ref="J8:J20" si="3">C8*E8^0.5</f>
        <v>3015.8960357079618</v>
      </c>
      <c r="K8" s="26"/>
    </row>
    <row r="9" spans="1:13" x14ac:dyDescent="0.2">
      <c r="B9" s="14" t="s">
        <v>1125</v>
      </c>
      <c r="C9" s="26">
        <v>16.509</v>
      </c>
      <c r="D9" s="26">
        <v>4204.84</v>
      </c>
      <c r="E9" s="25">
        <v>73330</v>
      </c>
      <c r="F9" s="26">
        <f t="shared" ref="F9:F10" si="4">D9/E9</f>
        <v>5.7341333696986227E-2</v>
      </c>
      <c r="G9" s="36"/>
      <c r="H9" s="26">
        <f t="shared" ref="H9:H10" si="5">F9*E9^0.5</f>
        <v>15.527753655388651</v>
      </c>
      <c r="I9" s="26">
        <f t="shared" ref="I9:I10" si="6">E9^0.5</f>
        <v>270.79512551004314</v>
      </c>
      <c r="J9" s="26">
        <f t="shared" ref="J9:J10" si="7">C9*E9^0.5</f>
        <v>4470.5567270453021</v>
      </c>
      <c r="K9" s="26"/>
    </row>
    <row r="10" spans="1:13" x14ac:dyDescent="0.2">
      <c r="B10" s="14" t="s">
        <v>1126</v>
      </c>
      <c r="C10" s="26">
        <v>41.74</v>
      </c>
      <c r="D10" s="26">
        <v>22934.89</v>
      </c>
      <c r="E10" s="25">
        <v>206906</v>
      </c>
      <c r="F10" s="26">
        <f t="shared" si="4"/>
        <v>0.11084690632461118</v>
      </c>
      <c r="G10" s="36"/>
      <c r="H10" s="26">
        <f t="shared" si="5"/>
        <v>50.420844929406549</v>
      </c>
      <c r="I10" s="26">
        <f t="shared" si="6"/>
        <v>454.86921197196892</v>
      </c>
      <c r="J10" s="26">
        <f t="shared" si="7"/>
        <v>18986.240907709984</v>
      </c>
      <c r="K10" s="26"/>
    </row>
    <row r="11" spans="1:13" x14ac:dyDescent="0.2">
      <c r="B11" s="14" t="s">
        <v>1127</v>
      </c>
      <c r="C11" s="26">
        <v>26.251000000000001</v>
      </c>
      <c r="D11" s="26">
        <v>8732.77</v>
      </c>
      <c r="E11" s="25">
        <v>106191</v>
      </c>
      <c r="F11" s="26">
        <f t="shared" ref="F11:F13" si="8">D11/E11</f>
        <v>8.2236441883022107E-2</v>
      </c>
      <c r="G11" s="36"/>
      <c r="H11" s="26">
        <f t="shared" ref="H11:H13" si="9">F11*E11^0.5</f>
        <v>26.798356900802688</v>
      </c>
      <c r="I11" s="26">
        <f t="shared" ref="I11:I13" si="10">E11^0.5</f>
        <v>325.86960582417009</v>
      </c>
      <c r="J11" s="26">
        <f t="shared" ref="J11:J13" si="11">C11*E11^0.5</f>
        <v>8554.403022490289</v>
      </c>
      <c r="K11" s="26"/>
    </row>
    <row r="12" spans="1:13" x14ac:dyDescent="0.2">
      <c r="B12" s="14" t="s">
        <v>1128</v>
      </c>
      <c r="C12" s="26">
        <v>66.37</v>
      </c>
      <c r="D12" s="26">
        <v>7672550.9400000004</v>
      </c>
      <c r="E12" s="25">
        <v>14366912</v>
      </c>
      <c r="F12" s="26">
        <f t="shared" si="8"/>
        <v>0.53404314998240399</v>
      </c>
      <c r="G12" s="36"/>
      <c r="H12" s="26">
        <f t="shared" si="9"/>
        <v>2024.221646064989</v>
      </c>
      <c r="I12" s="26">
        <f t="shared" si="10"/>
        <v>3790.3709580989562</v>
      </c>
      <c r="J12" s="26">
        <f t="shared" si="11"/>
        <v>251566.92048902775</v>
      </c>
      <c r="K12" s="26"/>
    </row>
    <row r="13" spans="1:13" x14ac:dyDescent="0.2">
      <c r="B13" s="14" t="s">
        <v>1129</v>
      </c>
      <c r="C13" s="26">
        <v>41.74</v>
      </c>
      <c r="D13" s="26">
        <v>649064.44999999995</v>
      </c>
      <c r="E13" s="25">
        <v>2256571</v>
      </c>
      <c r="F13" s="26">
        <f t="shared" si="8"/>
        <v>0.28763307248032521</v>
      </c>
      <c r="G13" s="36"/>
      <c r="H13" s="26">
        <f t="shared" si="9"/>
        <v>432.07916171837354</v>
      </c>
      <c r="I13" s="26">
        <f t="shared" si="10"/>
        <v>1502.1887364775439</v>
      </c>
      <c r="J13" s="26">
        <f t="shared" si="11"/>
        <v>62701.357860572687</v>
      </c>
      <c r="K13" s="26"/>
    </row>
    <row r="14" spans="1:13" x14ac:dyDescent="0.2">
      <c r="B14" s="14" t="s">
        <v>1036</v>
      </c>
      <c r="C14" s="26">
        <v>105.53</v>
      </c>
      <c r="D14" s="26">
        <v>2169561.65</v>
      </c>
      <c r="E14" s="25">
        <v>4533365</v>
      </c>
      <c r="F14" s="26">
        <f t="shared" ref="F14" si="12">D14/E14</f>
        <v>0.47857643273815365</v>
      </c>
      <c r="G14" s="36"/>
      <c r="H14" s="26">
        <f t="shared" ref="H14" si="13">F14*E14^0.5</f>
        <v>1018.9705957791434</v>
      </c>
      <c r="I14" s="26">
        <f t="shared" ref="I14" si="14">E14^0.5</f>
        <v>2129.1700260899784</v>
      </c>
      <c r="J14" s="26">
        <f t="shared" ref="J14" si="15">C14*E14^0.5</f>
        <v>224691.31285327542</v>
      </c>
      <c r="K14" s="26"/>
    </row>
    <row r="15" spans="1:13" x14ac:dyDescent="0.2">
      <c r="B15" s="14" t="s">
        <v>1073</v>
      </c>
      <c r="C15" s="26">
        <v>133.072</v>
      </c>
      <c r="D15" s="26">
        <v>117654.22</v>
      </c>
      <c r="E15" s="25">
        <v>527534</v>
      </c>
      <c r="F15" s="26">
        <f t="shared" si="0"/>
        <v>0.22302680016833037</v>
      </c>
      <c r="G15" s="36"/>
      <c r="H15" s="26">
        <f t="shared" si="1"/>
        <v>161.98779032044601</v>
      </c>
      <c r="I15" s="26">
        <f t="shared" si="2"/>
        <v>726.31535850483021</v>
      </c>
      <c r="J15" s="26">
        <f t="shared" si="3"/>
        <v>96652.237386954774</v>
      </c>
      <c r="K15" s="26"/>
    </row>
    <row r="16" spans="1:13" x14ac:dyDescent="0.2">
      <c r="B16" s="14" t="s">
        <v>1035</v>
      </c>
      <c r="C16" s="26">
        <v>167.8</v>
      </c>
      <c r="D16" s="26">
        <v>23425.39</v>
      </c>
      <c r="E16" s="25">
        <v>104188</v>
      </c>
      <c r="F16" s="26">
        <f t="shared" si="0"/>
        <v>0.22483769723960531</v>
      </c>
      <c r="G16" s="36"/>
      <c r="H16" s="26">
        <f t="shared" si="1"/>
        <v>72.57348513430837</v>
      </c>
      <c r="I16" s="26">
        <f t="shared" si="2"/>
        <v>322.78165994988007</v>
      </c>
      <c r="J16" s="26">
        <f t="shared" si="3"/>
        <v>54162.762539589879</v>
      </c>
      <c r="K16" s="26"/>
    </row>
    <row r="17" spans="2:11" x14ac:dyDescent="0.2">
      <c r="B17" s="14" t="s">
        <v>1034</v>
      </c>
      <c r="C17" s="26">
        <v>211.6</v>
      </c>
      <c r="D17" s="26">
        <v>1643068.56</v>
      </c>
      <c r="E17" s="25">
        <v>2185829</v>
      </c>
      <c r="F17" s="26">
        <f t="shared" si="0"/>
        <v>0.75169126221676086</v>
      </c>
      <c r="G17" s="36"/>
      <c r="H17" s="26">
        <f t="shared" si="1"/>
        <v>1111.3416575360952</v>
      </c>
      <c r="I17" s="26">
        <f t="shared" si="2"/>
        <v>1478.4549367498489</v>
      </c>
      <c r="J17" s="26">
        <f t="shared" si="3"/>
        <v>312841.06461626804</v>
      </c>
      <c r="K17" s="26"/>
    </row>
    <row r="18" spans="2:11" x14ac:dyDescent="0.2">
      <c r="B18" s="14" t="s">
        <v>1074</v>
      </c>
      <c r="C18" s="26">
        <v>266.8</v>
      </c>
      <c r="D18" s="26">
        <v>9350.82</v>
      </c>
      <c r="E18" s="25">
        <v>44109</v>
      </c>
      <c r="F18" s="26">
        <f t="shared" si="0"/>
        <v>0.21199347072026117</v>
      </c>
      <c r="G18" s="36"/>
      <c r="H18" s="26">
        <f t="shared" si="1"/>
        <v>44.52317133673693</v>
      </c>
      <c r="I18" s="26">
        <f t="shared" si="2"/>
        <v>210.02142747824567</v>
      </c>
      <c r="J18" s="26">
        <f t="shared" si="3"/>
        <v>56033.716851195946</v>
      </c>
      <c r="K18" s="26"/>
    </row>
    <row r="19" spans="2:11" x14ac:dyDescent="0.2">
      <c r="B19" s="14" t="s">
        <v>1075</v>
      </c>
      <c r="C19" s="26">
        <v>336.4</v>
      </c>
      <c r="D19" s="26">
        <v>4052369.19</v>
      </c>
      <c r="E19" s="25">
        <v>2087731</v>
      </c>
      <c r="F19" s="26">
        <f t="shared" si="0"/>
        <v>1.9410399088771493</v>
      </c>
      <c r="G19" s="36"/>
      <c r="H19" s="26">
        <f t="shared" si="1"/>
        <v>2804.6051991847562</v>
      </c>
      <c r="I19" s="26">
        <f t="shared" si="2"/>
        <v>1444.8982663149679</v>
      </c>
      <c r="J19" s="26">
        <f t="shared" si="3"/>
        <v>486063.7767883552</v>
      </c>
      <c r="K19" s="26"/>
    </row>
    <row r="20" spans="2:11" x14ac:dyDescent="0.2">
      <c r="B20" s="14" t="s">
        <v>1076</v>
      </c>
      <c r="C20" s="26">
        <v>397.5</v>
      </c>
      <c r="D20" s="26">
        <v>109.84</v>
      </c>
      <c r="E20" s="25">
        <v>267</v>
      </c>
      <c r="F20" s="26">
        <f t="shared" si="0"/>
        <v>0.4113857677902622</v>
      </c>
      <c r="G20" s="36"/>
      <c r="H20" s="26">
        <f t="shared" si="1"/>
        <v>6.7220988340013568</v>
      </c>
      <c r="I20" s="26">
        <f t="shared" si="2"/>
        <v>16.340134638368191</v>
      </c>
      <c r="J20" s="26">
        <f t="shared" si="3"/>
        <v>6495.2035187513557</v>
      </c>
      <c r="K20" s="26"/>
    </row>
    <row r="21" spans="2:11" x14ac:dyDescent="0.2">
      <c r="B21" s="14" t="s">
        <v>1077</v>
      </c>
      <c r="C21" s="26">
        <v>105.53</v>
      </c>
      <c r="D21" s="26">
        <v>116978.91</v>
      </c>
      <c r="E21" s="25">
        <v>84720</v>
      </c>
      <c r="F21" s="26">
        <f t="shared" ref="F21:F22" si="16">D21/E21</f>
        <v>1.3807708923512749</v>
      </c>
      <c r="G21" s="36"/>
      <c r="H21" s="26">
        <f t="shared" ref="H21:H22" si="17">F21*E21^0.5</f>
        <v>401.89684490796822</v>
      </c>
      <c r="I21" s="26">
        <f t="shared" ref="I21:I22" si="18">E21^0.5</f>
        <v>291.06700259562228</v>
      </c>
      <c r="J21" s="26">
        <f t="shared" ref="J21:J22" si="19">C21*E21^0.5</f>
        <v>30716.30078391602</v>
      </c>
      <c r="K21" s="26"/>
    </row>
    <row r="22" spans="2:11" x14ac:dyDescent="0.2">
      <c r="B22" s="14" t="s">
        <v>1078</v>
      </c>
      <c r="C22" s="26">
        <v>211.6</v>
      </c>
      <c r="D22" s="26">
        <v>4242.37</v>
      </c>
      <c r="E22" s="25">
        <v>7885</v>
      </c>
      <c r="F22" s="26">
        <f t="shared" si="16"/>
        <v>0.5380304375396322</v>
      </c>
      <c r="G22" s="36"/>
      <c r="H22" s="26">
        <f t="shared" si="17"/>
        <v>47.77576987663317</v>
      </c>
      <c r="I22" s="26">
        <f t="shared" si="18"/>
        <v>88.797522487961345</v>
      </c>
      <c r="J22" s="26">
        <f t="shared" si="19"/>
        <v>18789.555758452621</v>
      </c>
      <c r="K22" s="26"/>
    </row>
    <row r="23" spans="2:11" x14ac:dyDescent="0.2">
      <c r="B23" s="14" t="s">
        <v>1079</v>
      </c>
      <c r="C23" s="26">
        <v>66.37</v>
      </c>
      <c r="D23" s="26">
        <v>9110.75</v>
      </c>
      <c r="E23" s="25">
        <v>1695</v>
      </c>
      <c r="F23" s="26">
        <f t="shared" ref="F23:F24" si="20">D23/E23</f>
        <v>5.3750737463126841</v>
      </c>
      <c r="G23" s="36"/>
      <c r="H23" s="26">
        <f t="shared" ref="H23:H24" si="21">F23*E23^0.5</f>
        <v>221.29381630361539</v>
      </c>
      <c r="I23" s="26">
        <f t="shared" ref="I23:I24" si="22">E23^0.5</f>
        <v>41.1703777004778</v>
      </c>
      <c r="J23" s="26">
        <f t="shared" ref="J23:J24" si="23">C23*E23^0.5</f>
        <v>2732.4779679807116</v>
      </c>
      <c r="K23" s="26"/>
    </row>
    <row r="24" spans="2:11" x14ac:dyDescent="0.2">
      <c r="B24" s="14" t="s">
        <v>1080</v>
      </c>
      <c r="C24" s="26">
        <v>66.37</v>
      </c>
      <c r="D24" s="26">
        <v>3049.38</v>
      </c>
      <c r="E24" s="25">
        <v>747</v>
      </c>
      <c r="F24" s="26">
        <f t="shared" si="20"/>
        <v>4.0821686746987957</v>
      </c>
      <c r="G24" s="36"/>
      <c r="H24" s="26">
        <f t="shared" si="21"/>
        <v>111.57097970912066</v>
      </c>
      <c r="I24" s="26">
        <f t="shared" si="22"/>
        <v>27.331300737432898</v>
      </c>
      <c r="J24" s="26">
        <f t="shared" si="23"/>
        <v>1813.9784299434216</v>
      </c>
      <c r="K24" s="26"/>
    </row>
    <row r="25" spans="2:11" x14ac:dyDescent="0.2">
      <c r="B25" s="14" t="s">
        <v>1081</v>
      </c>
      <c r="C25" s="26">
        <v>105.53</v>
      </c>
      <c r="D25" s="26">
        <v>7470</v>
      </c>
      <c r="E25" s="25">
        <v>950</v>
      </c>
      <c r="F25" s="26">
        <f t="shared" ref="F25:F26" si="24">D25/E25</f>
        <v>7.8631578947368421</v>
      </c>
      <c r="G25" s="36"/>
      <c r="H25" s="26">
        <f t="shared" ref="H25:H26" si="25">F25*E25^0.5</f>
        <v>242.35880316935925</v>
      </c>
      <c r="I25" s="26">
        <f t="shared" ref="I25:I26" si="26">E25^0.5</f>
        <v>30.822070014844883</v>
      </c>
      <c r="J25" s="26">
        <f t="shared" ref="J25:J26" si="27">C25*E25^0.5</f>
        <v>3252.6530486665806</v>
      </c>
      <c r="K25" s="26"/>
    </row>
    <row r="26" spans="2:11" x14ac:dyDescent="0.2">
      <c r="B26" s="14" t="s">
        <v>1082</v>
      </c>
      <c r="C26" s="26">
        <v>211.6</v>
      </c>
      <c r="D26" s="26">
        <v>70292.09</v>
      </c>
      <c r="E26" s="25">
        <v>23880</v>
      </c>
      <c r="F26" s="26">
        <f t="shared" si="24"/>
        <v>2.9435548576214403</v>
      </c>
      <c r="G26" s="36"/>
      <c r="H26" s="26">
        <f t="shared" si="25"/>
        <v>454.87209517826375</v>
      </c>
      <c r="I26" s="26">
        <f t="shared" si="26"/>
        <v>154.53155017665486</v>
      </c>
      <c r="J26" s="26">
        <f t="shared" si="27"/>
        <v>32698.876017380167</v>
      </c>
      <c r="K26" s="26"/>
    </row>
    <row r="27" spans="2:11" x14ac:dyDescent="0.2">
      <c r="B27" s="27" t="s">
        <v>861</v>
      </c>
      <c r="D27" s="37">
        <f>SUM(D8:D26)</f>
        <v>16589152.150000002</v>
      </c>
      <c r="E27" s="38">
        <f>SUM(E8:E26)</f>
        <v>26626009</v>
      </c>
    </row>
    <row r="29" spans="2:11" x14ac:dyDescent="0.2">
      <c r="B29" s="19" t="s">
        <v>986</v>
      </c>
      <c r="H29" s="250" t="s">
        <v>987</v>
      </c>
      <c r="I29" s="250"/>
    </row>
    <row r="31" spans="2:11" x14ac:dyDescent="0.2">
      <c r="B31" s="14" t="s">
        <v>988</v>
      </c>
      <c r="D31" s="39">
        <f>H31</f>
        <v>4.5035585044309462E-3</v>
      </c>
      <c r="H31" s="39">
        <f t="array" ref="H31:I33">LINEST(H8:H26,I8:J26,FALSE,TRUE)</f>
        <v>4.5035585044309462E-3</v>
      </c>
      <c r="I31" s="39">
        <v>0.14616205328430329</v>
      </c>
    </row>
    <row r="32" spans="2:11" x14ac:dyDescent="0.2">
      <c r="B32" s="14" t="s">
        <v>989</v>
      </c>
      <c r="D32" s="39">
        <f>I31</f>
        <v>0.14616205328430329</v>
      </c>
      <c r="H32" s="39">
        <v>6.2437711026713132E-4</v>
      </c>
      <c r="I32" s="39">
        <v>8.2967246963020075E-2</v>
      </c>
    </row>
    <row r="33" spans="1:13" x14ac:dyDescent="0.2">
      <c r="B33" s="14" t="s">
        <v>990</v>
      </c>
      <c r="D33" s="40">
        <f>H33</f>
        <v>0.92394952978269251</v>
      </c>
      <c r="H33" s="39">
        <v>0.92394952978269251</v>
      </c>
      <c r="I33" s="39">
        <v>258.63823163086101</v>
      </c>
    </row>
    <row r="34" spans="1:13" x14ac:dyDescent="0.2">
      <c r="H34" s="39"/>
      <c r="I34" s="39"/>
    </row>
    <row r="35" spans="1:13" x14ac:dyDescent="0.2">
      <c r="B35" s="28" t="s">
        <v>991</v>
      </c>
      <c r="C35" s="41"/>
    </row>
    <row r="36" spans="1:13" x14ac:dyDescent="0.2">
      <c r="C36" s="41"/>
    </row>
    <row r="37" spans="1:13" x14ac:dyDescent="0.2">
      <c r="B37" s="14" t="s">
        <v>992</v>
      </c>
      <c r="C37" s="41"/>
      <c r="D37" s="36">
        <f>E27</f>
        <v>26626009</v>
      </c>
    </row>
    <row r="38" spans="1:13" x14ac:dyDescent="0.2">
      <c r="B38" s="14" t="s">
        <v>993</v>
      </c>
      <c r="C38" s="41"/>
      <c r="D38" s="42">
        <f>D32</f>
        <v>0.14616205328430329</v>
      </c>
      <c r="E38" s="29"/>
      <c r="F38" s="30"/>
    </row>
    <row r="39" spans="1:13" x14ac:dyDescent="0.2">
      <c r="B39" s="14" t="s">
        <v>994</v>
      </c>
      <c r="C39" s="41"/>
      <c r="D39" s="42">
        <f>MIN(F8:F26)</f>
        <v>5.7341333696986227E-2</v>
      </c>
    </row>
    <row r="40" spans="1:13" x14ac:dyDescent="0.2">
      <c r="B40" s="14" t="s">
        <v>995</v>
      </c>
      <c r="C40" s="41"/>
      <c r="D40" s="199" t="s">
        <v>1002</v>
      </c>
    </row>
    <row r="41" spans="1:13" x14ac:dyDescent="0.2">
      <c r="B41" s="14" t="s">
        <v>996</v>
      </c>
      <c r="C41" s="41"/>
      <c r="D41" s="43">
        <f>IF(D40="Z",D37*D38,D37*D39)</f>
        <v>3891712.1462063389</v>
      </c>
    </row>
    <row r="42" spans="1:13" x14ac:dyDescent="0.2">
      <c r="B42" s="14" t="s">
        <v>997</v>
      </c>
      <c r="C42" s="41"/>
      <c r="D42" s="43">
        <f>D27</f>
        <v>16589152.150000002</v>
      </c>
    </row>
    <row r="43" spans="1:13" x14ac:dyDescent="0.2">
      <c r="B43" s="14" t="s">
        <v>998</v>
      </c>
      <c r="C43" s="41"/>
      <c r="D43" s="44">
        <f>D41/D42</f>
        <v>0.23459379424682281</v>
      </c>
    </row>
    <row r="44" spans="1:13" x14ac:dyDescent="0.2">
      <c r="B44" s="14" t="s">
        <v>999</v>
      </c>
      <c r="C44" s="41"/>
      <c r="D44" s="45">
        <f>D43</f>
        <v>0.23459379424682281</v>
      </c>
    </row>
    <row r="45" spans="1:13" x14ac:dyDescent="0.2">
      <c r="B45" s="14" t="s">
        <v>1000</v>
      </c>
      <c r="C45" s="41"/>
      <c r="D45" s="46">
        <f>1-D44</f>
        <v>0.76540620575317719</v>
      </c>
    </row>
    <row r="48" spans="1:13" x14ac:dyDescent="0.2">
      <c r="A48" s="13" t="s">
        <v>1003</v>
      </c>
      <c r="B48" s="15"/>
      <c r="D48" s="34"/>
      <c r="E48" s="34"/>
      <c r="F48" s="34"/>
      <c r="G48" s="34"/>
      <c r="H48" s="34"/>
      <c r="I48" s="34"/>
      <c r="J48" s="34"/>
      <c r="K48" s="34"/>
      <c r="L48" s="35"/>
      <c r="M48" s="34"/>
    </row>
    <row r="49" spans="2:11" x14ac:dyDescent="0.2">
      <c r="C49" s="253"/>
      <c r="F49" s="16" t="s">
        <v>976</v>
      </c>
      <c r="I49" s="16" t="s">
        <v>977</v>
      </c>
    </row>
    <row r="50" spans="2:11" x14ac:dyDescent="0.2">
      <c r="C50" s="17"/>
      <c r="D50" s="16"/>
      <c r="E50" s="18"/>
      <c r="F50" s="16" t="s">
        <v>978</v>
      </c>
      <c r="H50" s="16"/>
      <c r="I50" s="16"/>
      <c r="J50" s="16"/>
      <c r="K50" s="16"/>
    </row>
    <row r="51" spans="2:11" x14ac:dyDescent="0.2">
      <c r="B51" s="19" t="s">
        <v>6</v>
      </c>
      <c r="C51" s="20" t="s">
        <v>979</v>
      </c>
      <c r="D51" s="21" t="s">
        <v>980</v>
      </c>
      <c r="E51" s="22" t="s">
        <v>981</v>
      </c>
      <c r="F51" s="21" t="s">
        <v>982</v>
      </c>
      <c r="H51" s="23" t="s">
        <v>983</v>
      </c>
      <c r="I51" s="23" t="s">
        <v>984</v>
      </c>
      <c r="J51" s="23" t="s">
        <v>985</v>
      </c>
      <c r="K51" s="24"/>
    </row>
    <row r="52" spans="2:11" x14ac:dyDescent="0.2">
      <c r="B52" s="14" t="s">
        <v>1083</v>
      </c>
      <c r="C52" s="26">
        <f>66.37</f>
        <v>66.37</v>
      </c>
      <c r="D52" s="26">
        <v>290710.75</v>
      </c>
      <c r="E52" s="25">
        <v>93912</v>
      </c>
      <c r="F52" s="26">
        <f t="shared" ref="F52:F54" si="28">D52/E52</f>
        <v>3.0955655294318083</v>
      </c>
      <c r="G52" s="36"/>
      <c r="H52" s="26">
        <f t="shared" ref="H52:H54" si="29">F52*E52^0.5</f>
        <v>948.63806413999009</v>
      </c>
      <c r="I52" s="26">
        <f t="shared" ref="I52:I54" si="30">E52^0.5</f>
        <v>306.45064855535873</v>
      </c>
      <c r="J52" s="26">
        <f t="shared" ref="J52:J54" si="31">C52*E52^0.5</f>
        <v>20339.129544619162</v>
      </c>
      <c r="K52" s="26"/>
    </row>
    <row r="53" spans="2:11" x14ac:dyDescent="0.2">
      <c r="B53" s="14" t="s">
        <v>1084</v>
      </c>
      <c r="C53" s="26">
        <f>41.74</f>
        <v>41.74</v>
      </c>
      <c r="D53" s="26">
        <v>12928.16</v>
      </c>
      <c r="E53" s="25">
        <v>1438</v>
      </c>
      <c r="F53" s="26">
        <f t="shared" si="28"/>
        <v>8.9903755215577181</v>
      </c>
      <c r="G53" s="36"/>
      <c r="H53" s="26">
        <f t="shared" si="29"/>
        <v>340.92376450283081</v>
      </c>
      <c r="I53" s="26">
        <f t="shared" si="30"/>
        <v>37.920970451717082</v>
      </c>
      <c r="J53" s="26">
        <f t="shared" si="31"/>
        <v>1582.8213066546712</v>
      </c>
      <c r="K53" s="26"/>
    </row>
    <row r="54" spans="2:11" x14ac:dyDescent="0.2">
      <c r="B54" s="14" t="s">
        <v>1085</v>
      </c>
      <c r="C54" s="26">
        <v>350</v>
      </c>
      <c r="D54" s="26">
        <v>279571.8</v>
      </c>
      <c r="E54" s="25">
        <v>46442</v>
      </c>
      <c r="F54" s="26">
        <f t="shared" si="28"/>
        <v>6.0198053486068641</v>
      </c>
      <c r="G54" s="36"/>
      <c r="H54" s="26">
        <f t="shared" si="29"/>
        <v>1297.2924947596237</v>
      </c>
      <c r="I54" s="26">
        <f t="shared" si="30"/>
        <v>215.50406028657557</v>
      </c>
      <c r="J54" s="26">
        <f t="shared" si="31"/>
        <v>75426.42110030145</v>
      </c>
      <c r="K54" s="26"/>
    </row>
    <row r="55" spans="2:11" x14ac:dyDescent="0.2">
      <c r="B55" s="14" t="s">
        <v>1086</v>
      </c>
      <c r="C55" s="26">
        <v>105.53</v>
      </c>
      <c r="D55" s="26">
        <v>188593.03</v>
      </c>
      <c r="E55" s="25">
        <v>42196</v>
      </c>
      <c r="F55" s="26">
        <f t="shared" ref="F55:F61" si="32">D55/E55</f>
        <v>4.469452791733814</v>
      </c>
      <c r="G55" s="36"/>
      <c r="H55" s="26">
        <f t="shared" ref="H55:H61" si="33">F55*E55^0.5</f>
        <v>918.10001875342482</v>
      </c>
      <c r="I55" s="26">
        <f t="shared" ref="I55:I61" si="34">E55^0.5</f>
        <v>205.41664976335292</v>
      </c>
      <c r="J55" s="26">
        <f t="shared" ref="J55:J61" si="35">C55*E55^0.5</f>
        <v>21677.619049526635</v>
      </c>
      <c r="K55" s="26"/>
    </row>
    <row r="56" spans="2:11" x14ac:dyDescent="0.2">
      <c r="B56" s="14" t="s">
        <v>1087</v>
      </c>
      <c r="C56" s="26">
        <v>211.59200000000001</v>
      </c>
      <c r="D56" s="26">
        <v>48889.05</v>
      </c>
      <c r="E56" s="25">
        <v>13873</v>
      </c>
      <c r="F56" s="26">
        <f t="shared" si="32"/>
        <v>3.5240431053124777</v>
      </c>
      <c r="G56" s="36"/>
      <c r="H56" s="26">
        <f t="shared" si="33"/>
        <v>415.07483611726815</v>
      </c>
      <c r="I56" s="26">
        <f t="shared" si="34"/>
        <v>117.78370006074695</v>
      </c>
      <c r="J56" s="26">
        <f t="shared" si="35"/>
        <v>24922.088663253569</v>
      </c>
      <c r="K56" s="26"/>
    </row>
    <row r="57" spans="2:11" x14ac:dyDescent="0.2">
      <c r="B57" s="14" t="s">
        <v>1089</v>
      </c>
      <c r="C57" s="26">
        <v>133.072</v>
      </c>
      <c r="D57" s="26">
        <v>1447054.58</v>
      </c>
      <c r="E57" s="25">
        <v>342209</v>
      </c>
      <c r="F57" s="26">
        <f t="shared" ref="F57:F58" si="36">D57/E57</f>
        <v>4.2285696168131173</v>
      </c>
      <c r="G57" s="36"/>
      <c r="H57" s="26">
        <f t="shared" ref="H57:H58" si="37">F57*E57^0.5</f>
        <v>2473.6553985667178</v>
      </c>
      <c r="I57" s="26">
        <f t="shared" ref="I57:I58" si="38">E57^0.5</f>
        <v>584.9863246264822</v>
      </c>
      <c r="J57" s="26">
        <f t="shared" ref="J57:J58" si="39">C57*E57^0.5</f>
        <v>77845.300190695241</v>
      </c>
      <c r="K57" s="26"/>
    </row>
    <row r="58" spans="2:11" x14ac:dyDescent="0.2">
      <c r="B58" s="14" t="s">
        <v>1088</v>
      </c>
      <c r="C58" s="26">
        <v>211.59200000000001</v>
      </c>
      <c r="D58" s="26">
        <v>1187991.08</v>
      </c>
      <c r="E58" s="25">
        <v>332449</v>
      </c>
      <c r="F58" s="26">
        <f t="shared" si="36"/>
        <v>3.573453612433787</v>
      </c>
      <c r="G58" s="36"/>
      <c r="H58" s="26">
        <f t="shared" si="37"/>
        <v>2060.3958397271908</v>
      </c>
      <c r="I58" s="26">
        <f t="shared" si="38"/>
        <v>576.58390542920984</v>
      </c>
      <c r="J58" s="26">
        <f t="shared" si="39"/>
        <v>122000.54171757738</v>
      </c>
      <c r="K58" s="26"/>
    </row>
    <row r="59" spans="2:11" x14ac:dyDescent="0.2">
      <c r="B59" s="14" t="s">
        <v>1090</v>
      </c>
      <c r="C59" s="26">
        <v>350</v>
      </c>
      <c r="D59" s="26">
        <v>45655.93</v>
      </c>
      <c r="E59" s="25">
        <v>4506</v>
      </c>
      <c r="F59" s="26">
        <f t="shared" ref="F59:F60" si="40">D59/E59</f>
        <v>10.132252552152686</v>
      </c>
      <c r="G59" s="36"/>
      <c r="H59" s="26">
        <f t="shared" ref="H59:H60" si="41">F59*E59^0.5</f>
        <v>680.14514132161844</v>
      </c>
      <c r="I59" s="26">
        <f t="shared" ref="I59:I60" si="42">E59^0.5</f>
        <v>67.126745787353642</v>
      </c>
      <c r="J59" s="26">
        <f t="shared" ref="J59:J60" si="43">C59*E59^0.5</f>
        <v>23494.361025573773</v>
      </c>
      <c r="K59" s="26"/>
    </row>
    <row r="60" spans="2:11" x14ac:dyDescent="0.2">
      <c r="B60" s="14" t="s">
        <v>1091</v>
      </c>
      <c r="C60" s="26">
        <v>66.37</v>
      </c>
      <c r="D60" s="26">
        <v>906359.12</v>
      </c>
      <c r="E60" s="25">
        <v>215306</v>
      </c>
      <c r="F60" s="26">
        <f t="shared" si="40"/>
        <v>4.209632430122709</v>
      </c>
      <c r="G60" s="36"/>
      <c r="H60" s="26">
        <f t="shared" si="41"/>
        <v>1953.3148094686323</v>
      </c>
      <c r="I60" s="26">
        <f t="shared" si="42"/>
        <v>464.0107757369434</v>
      </c>
      <c r="J60" s="26">
        <f t="shared" si="43"/>
        <v>30796.395185660935</v>
      </c>
      <c r="K60" s="26"/>
    </row>
    <row r="61" spans="2:11" x14ac:dyDescent="0.2">
      <c r="B61" s="14" t="s">
        <v>1092</v>
      </c>
      <c r="C61" s="26">
        <v>66.37</v>
      </c>
      <c r="D61" s="26">
        <v>65261.08</v>
      </c>
      <c r="E61" s="25">
        <v>30710</v>
      </c>
      <c r="F61" s="26">
        <f t="shared" si="32"/>
        <v>2.1250758710517745</v>
      </c>
      <c r="G61" s="36"/>
      <c r="H61" s="26">
        <f t="shared" si="33"/>
        <v>372.40400968139369</v>
      </c>
      <c r="I61" s="26">
        <f t="shared" si="34"/>
        <v>175.24268886318768</v>
      </c>
      <c r="J61" s="26">
        <f t="shared" si="35"/>
        <v>11630.857259849767</v>
      </c>
      <c r="K61" s="26"/>
    </row>
    <row r="62" spans="2:11" x14ac:dyDescent="0.2">
      <c r="B62" s="27" t="s">
        <v>861</v>
      </c>
      <c r="D62" s="37">
        <f>SUM(D52:D61)</f>
        <v>4473014.58</v>
      </c>
      <c r="E62" s="38">
        <f>SUM(E52:E61)</f>
        <v>1123041</v>
      </c>
    </row>
    <row r="64" spans="2:11" x14ac:dyDescent="0.2">
      <c r="B64" s="19" t="s">
        <v>986</v>
      </c>
      <c r="H64" s="250" t="s">
        <v>987</v>
      </c>
      <c r="I64" s="250"/>
    </row>
    <row r="66" spans="2:9" x14ac:dyDescent="0.2">
      <c r="B66" s="14" t="s">
        <v>988</v>
      </c>
      <c r="D66" s="39">
        <f>H66</f>
        <v>3.4240401772633769E-3</v>
      </c>
      <c r="H66" s="39">
        <f t="array" ref="H66:I68">LINEST(H52:H61,I52:J61,FALSE,TRUE)</f>
        <v>3.4240401772633769E-3</v>
      </c>
      <c r="I66" s="39">
        <v>3.4837729043096268</v>
      </c>
    </row>
    <row r="67" spans="2:9" x14ac:dyDescent="0.2">
      <c r="B67" s="14" t="s">
        <v>989</v>
      </c>
      <c r="D67" s="39">
        <f>I66</f>
        <v>3.4837729043096268</v>
      </c>
      <c r="H67" s="39">
        <v>3.5931832762409323E-3</v>
      </c>
      <c r="I67" s="39">
        <v>0.58507992972661194</v>
      </c>
    </row>
    <row r="68" spans="2:9" x14ac:dyDescent="0.2">
      <c r="B68" s="14" t="s">
        <v>990</v>
      </c>
      <c r="D68" s="40">
        <f>H68</f>
        <v>0.96700874749973953</v>
      </c>
      <c r="H68" s="39">
        <v>0.96700874749973953</v>
      </c>
      <c r="I68" s="39">
        <v>276.17493569319225</v>
      </c>
    </row>
    <row r="69" spans="2:9" x14ac:dyDescent="0.2">
      <c r="H69" s="39"/>
      <c r="I69" s="39"/>
    </row>
    <row r="70" spans="2:9" x14ac:dyDescent="0.2">
      <c r="B70" s="28" t="s">
        <v>991</v>
      </c>
      <c r="C70" s="41"/>
    </row>
    <row r="71" spans="2:9" x14ac:dyDescent="0.2">
      <c r="C71" s="41"/>
    </row>
    <row r="72" spans="2:9" x14ac:dyDescent="0.2">
      <c r="B72" s="14" t="s">
        <v>992</v>
      </c>
      <c r="C72" s="41"/>
      <c r="D72" s="36">
        <f>E62</f>
        <v>1123041</v>
      </c>
    </row>
    <row r="73" spans="2:9" x14ac:dyDescent="0.2">
      <c r="B73" s="14" t="s">
        <v>993</v>
      </c>
      <c r="C73" s="41"/>
      <c r="D73" s="42">
        <f>D67</f>
        <v>3.4837729043096268</v>
      </c>
      <c r="E73" s="29"/>
      <c r="F73" s="30"/>
    </row>
    <row r="74" spans="2:9" x14ac:dyDescent="0.2">
      <c r="B74" s="14" t="s">
        <v>994</v>
      </c>
      <c r="C74" s="41"/>
      <c r="D74" s="42">
        <f>MIN(F52:F61)</f>
        <v>2.1250758710517745</v>
      </c>
    </row>
    <row r="75" spans="2:9" x14ac:dyDescent="0.2">
      <c r="B75" s="14" t="s">
        <v>995</v>
      </c>
      <c r="C75" s="41"/>
      <c r="D75" s="199" t="s">
        <v>1002</v>
      </c>
    </row>
    <row r="76" spans="2:9" x14ac:dyDescent="0.2">
      <c r="B76" s="14" t="s">
        <v>996</v>
      </c>
      <c r="C76" s="41"/>
      <c r="D76" s="43">
        <f>IF(D75="Z",D72*D73,D72*D74)</f>
        <v>3912419.8062287876</v>
      </c>
    </row>
    <row r="77" spans="2:9" x14ac:dyDescent="0.2">
      <c r="B77" s="14" t="s">
        <v>997</v>
      </c>
      <c r="C77" s="41"/>
      <c r="D77" s="43">
        <f>D62</f>
        <v>4473014.58</v>
      </c>
    </row>
    <row r="78" spans="2:9" x14ac:dyDescent="0.2">
      <c r="B78" s="14" t="s">
        <v>998</v>
      </c>
      <c r="C78" s="41"/>
      <c r="D78" s="44">
        <f>D76/D77</f>
        <v>0.8746718205932581</v>
      </c>
    </row>
    <row r="79" spans="2:9" x14ac:dyDescent="0.2">
      <c r="B79" s="14" t="s">
        <v>999</v>
      </c>
      <c r="C79" s="41"/>
      <c r="D79" s="45">
        <f>D78</f>
        <v>0.8746718205932581</v>
      </c>
    </row>
    <row r="80" spans="2:9" x14ac:dyDescent="0.2">
      <c r="B80" s="14" t="s">
        <v>1000</v>
      </c>
      <c r="C80" s="41"/>
      <c r="D80" s="46">
        <f>1-D79</f>
        <v>0.1253281794067419</v>
      </c>
    </row>
    <row r="83" spans="1:13" x14ac:dyDescent="0.2">
      <c r="A83" s="13" t="s">
        <v>1004</v>
      </c>
      <c r="B83" s="15"/>
      <c r="C83" s="34"/>
      <c r="D83" s="34"/>
      <c r="E83" s="34"/>
      <c r="F83" s="34"/>
      <c r="G83" s="34"/>
      <c r="H83" s="34"/>
      <c r="I83" s="34"/>
      <c r="J83" s="34"/>
      <c r="K83" s="34"/>
      <c r="L83" s="35"/>
      <c r="M83" s="34"/>
    </row>
    <row r="84" spans="1:13" x14ac:dyDescent="0.2">
      <c r="C84" s="253"/>
      <c r="F84" s="16" t="s">
        <v>976</v>
      </c>
      <c r="I84" s="16" t="s">
        <v>977</v>
      </c>
      <c r="L84" s="251" t="s">
        <v>1005</v>
      </c>
      <c r="M84" s="251"/>
    </row>
    <row r="85" spans="1:13" x14ac:dyDescent="0.2">
      <c r="C85" s="265"/>
      <c r="D85" s="16"/>
      <c r="E85" s="18"/>
      <c r="F85" s="16" t="s">
        <v>978</v>
      </c>
      <c r="H85" s="16"/>
      <c r="I85" s="16"/>
      <c r="J85" s="16"/>
      <c r="K85" s="16"/>
    </row>
    <row r="86" spans="1:13" x14ac:dyDescent="0.2">
      <c r="B86" s="19" t="s">
        <v>6</v>
      </c>
      <c r="C86" s="20" t="s">
        <v>979</v>
      </c>
      <c r="D86" s="21" t="s">
        <v>980</v>
      </c>
      <c r="E86" s="22" t="s">
        <v>981</v>
      </c>
      <c r="F86" s="21" t="s">
        <v>982</v>
      </c>
      <c r="H86" s="23" t="s">
        <v>983</v>
      </c>
      <c r="I86" s="23" t="s">
        <v>984</v>
      </c>
      <c r="J86" s="23" t="s">
        <v>985</v>
      </c>
      <c r="K86" s="24"/>
      <c r="L86" s="22" t="s">
        <v>1006</v>
      </c>
      <c r="M86" s="31" t="s">
        <v>1007</v>
      </c>
    </row>
    <row r="87" spans="1:13" x14ac:dyDescent="0.2">
      <c r="B87" s="14" t="s">
        <v>1100</v>
      </c>
      <c r="C87" s="26">
        <v>10</v>
      </c>
      <c r="D87" s="26">
        <v>22073.84</v>
      </c>
      <c r="E87" s="25">
        <v>57</v>
      </c>
      <c r="F87" s="26">
        <f t="shared" ref="F87:F113" si="44">D87/E87</f>
        <v>387.26035087719299</v>
      </c>
      <c r="G87" s="36"/>
      <c r="H87" s="26">
        <f t="shared" ref="H87:H107" si="45">F87*E87^0.5</f>
        <v>2923.7515324676647</v>
      </c>
      <c r="I87" s="26">
        <f t="shared" ref="I87:I107" si="46">E87^0.5</f>
        <v>7.5498344352707498</v>
      </c>
      <c r="J87" s="26">
        <f t="shared" ref="J87:J107" si="47">C87*E87^0.5</f>
        <v>75.498344352707505</v>
      </c>
      <c r="K87" s="26"/>
      <c r="L87" s="30">
        <f t="shared" ref="L87:L113" si="48">IF(C87&gt;50,0,1)</f>
        <v>1</v>
      </c>
      <c r="M87" s="36">
        <f t="shared" ref="M87:M107" si="49">L87*E87</f>
        <v>57</v>
      </c>
    </row>
    <row r="88" spans="1:13" x14ac:dyDescent="0.2">
      <c r="B88" s="14" t="s">
        <v>1101</v>
      </c>
      <c r="C88" s="26">
        <v>15</v>
      </c>
      <c r="D88" s="26">
        <v>476995.58</v>
      </c>
      <c r="E88" s="25">
        <v>721</v>
      </c>
      <c r="F88" s="26">
        <f t="shared" si="44"/>
        <v>661.57500693481279</v>
      </c>
      <c r="G88" s="36"/>
      <c r="H88" s="26">
        <f t="shared" si="45"/>
        <v>17764.243697562106</v>
      </c>
      <c r="I88" s="26">
        <f t="shared" si="46"/>
        <v>26.851443164195103</v>
      </c>
      <c r="J88" s="26">
        <f t="shared" si="47"/>
        <v>402.77164746292658</v>
      </c>
      <c r="K88" s="26"/>
      <c r="L88" s="30">
        <f t="shared" si="48"/>
        <v>1</v>
      </c>
      <c r="M88" s="36">
        <f t="shared" si="49"/>
        <v>721</v>
      </c>
    </row>
    <row r="89" spans="1:13" x14ac:dyDescent="0.2">
      <c r="B89" s="14" t="s">
        <v>1102</v>
      </c>
      <c r="C89" s="26">
        <v>25</v>
      </c>
      <c r="D89" s="26">
        <v>288602.71999999997</v>
      </c>
      <c r="E89" s="25">
        <v>377</v>
      </c>
      <c r="F89" s="26">
        <f t="shared" si="44"/>
        <v>765.52445623342169</v>
      </c>
      <c r="G89" s="36"/>
      <c r="H89" s="26">
        <f t="shared" si="45"/>
        <v>14863.796294873206</v>
      </c>
      <c r="I89" s="26">
        <f t="shared" si="46"/>
        <v>19.416487838947599</v>
      </c>
      <c r="J89" s="26">
        <f t="shared" si="47"/>
        <v>485.41219597368996</v>
      </c>
      <c r="K89" s="26"/>
      <c r="L89" s="30">
        <f t="shared" si="48"/>
        <v>1</v>
      </c>
      <c r="M89" s="36">
        <f t="shared" si="49"/>
        <v>377</v>
      </c>
    </row>
    <row r="90" spans="1:13" x14ac:dyDescent="0.2">
      <c r="B90" s="14" t="s">
        <v>1119</v>
      </c>
      <c r="C90" s="26">
        <v>37.5</v>
      </c>
      <c r="D90" s="26">
        <v>21320.561000000002</v>
      </c>
      <c r="E90" s="25">
        <v>45</v>
      </c>
      <c r="F90" s="26">
        <f t="shared" si="44"/>
        <v>473.79024444444445</v>
      </c>
      <c r="G90" s="36"/>
      <c r="H90" s="26">
        <f t="shared" si="45"/>
        <v>3178.2815809620597</v>
      </c>
      <c r="I90" s="26">
        <f t="shared" si="46"/>
        <v>6.7082039324993694</v>
      </c>
      <c r="J90" s="26">
        <f t="shared" si="47"/>
        <v>251.55764746872634</v>
      </c>
      <c r="K90" s="26"/>
      <c r="L90" s="30">
        <f t="shared" si="48"/>
        <v>1</v>
      </c>
      <c r="M90" s="36">
        <f t="shared" si="49"/>
        <v>45</v>
      </c>
    </row>
    <row r="91" spans="1:13" x14ac:dyDescent="0.2">
      <c r="B91" s="14" t="s">
        <v>1103</v>
      </c>
      <c r="C91" s="26">
        <v>50</v>
      </c>
      <c r="D91" s="26">
        <v>329604.15999999997</v>
      </c>
      <c r="E91" s="25">
        <v>411</v>
      </c>
      <c r="F91" s="26">
        <f t="shared" si="44"/>
        <v>801.95659367396593</v>
      </c>
      <c r="G91" s="36"/>
      <c r="H91" s="26">
        <f t="shared" si="45"/>
        <v>16258.174233731439</v>
      </c>
      <c r="I91" s="26">
        <f t="shared" si="46"/>
        <v>20.273134932713294</v>
      </c>
      <c r="J91" s="26">
        <f t="shared" si="47"/>
        <v>1013.6567466356647</v>
      </c>
      <c r="K91" s="26"/>
      <c r="L91" s="30">
        <f t="shared" si="48"/>
        <v>1</v>
      </c>
      <c r="M91" s="36">
        <f t="shared" si="49"/>
        <v>411</v>
      </c>
    </row>
    <row r="92" spans="1:13" x14ac:dyDescent="0.2">
      <c r="B92" s="14" t="s">
        <v>1104</v>
      </c>
      <c r="C92" s="26">
        <v>75</v>
      </c>
      <c r="D92" s="26">
        <v>11499.18</v>
      </c>
      <c r="E92" s="25">
        <v>12</v>
      </c>
      <c r="F92" s="26">
        <f t="shared" si="44"/>
        <v>958.26499999999999</v>
      </c>
      <c r="G92" s="36"/>
      <c r="H92" s="26">
        <f t="shared" si="45"/>
        <v>3319.5273342299802</v>
      </c>
      <c r="I92" s="26">
        <f t="shared" si="46"/>
        <v>3.4641016151377544</v>
      </c>
      <c r="J92" s="26">
        <f t="shared" si="47"/>
        <v>259.8076211353316</v>
      </c>
      <c r="K92" s="26"/>
      <c r="L92" s="30">
        <f t="shared" si="48"/>
        <v>0</v>
      </c>
      <c r="M92" s="36">
        <f t="shared" si="49"/>
        <v>0</v>
      </c>
    </row>
    <row r="93" spans="1:13" x14ac:dyDescent="0.2">
      <c r="B93" s="14" t="s">
        <v>1105</v>
      </c>
      <c r="C93" s="26">
        <v>100</v>
      </c>
      <c r="D93" s="26">
        <v>187697.39</v>
      </c>
      <c r="E93" s="25">
        <v>127</v>
      </c>
      <c r="F93" s="26">
        <f t="shared" si="44"/>
        <v>1477.9322047244095</v>
      </c>
      <c r="G93" s="36"/>
      <c r="H93" s="26">
        <f t="shared" si="45"/>
        <v>16655.450081691499</v>
      </c>
      <c r="I93" s="26">
        <f t="shared" si="46"/>
        <v>11.269427669584644</v>
      </c>
      <c r="J93" s="26">
        <f t="shared" si="47"/>
        <v>1126.9427669584643</v>
      </c>
      <c r="K93" s="26"/>
      <c r="L93" s="30">
        <f t="shared" si="48"/>
        <v>0</v>
      </c>
      <c r="M93" s="36">
        <f t="shared" si="49"/>
        <v>0</v>
      </c>
    </row>
    <row r="94" spans="1:13" x14ac:dyDescent="0.2">
      <c r="B94" s="14" t="s">
        <v>1106</v>
      </c>
      <c r="C94" s="26">
        <v>167</v>
      </c>
      <c r="D94" s="26">
        <v>152737.85</v>
      </c>
      <c r="E94" s="25">
        <v>83</v>
      </c>
      <c r="F94" s="26">
        <f t="shared" si="44"/>
        <v>1840.215060240964</v>
      </c>
      <c r="G94" s="36"/>
      <c r="H94" s="26">
        <f t="shared" si="45"/>
        <v>16765.157077666328</v>
      </c>
      <c r="I94" s="26">
        <f t="shared" si="46"/>
        <v>9.1104335791442992</v>
      </c>
      <c r="J94" s="26">
        <f t="shared" si="47"/>
        <v>1521.4424077170979</v>
      </c>
      <c r="K94" s="26"/>
      <c r="L94" s="30">
        <f t="shared" si="48"/>
        <v>0</v>
      </c>
      <c r="M94" s="36">
        <f t="shared" si="49"/>
        <v>0</v>
      </c>
    </row>
    <row r="95" spans="1:13" x14ac:dyDescent="0.2">
      <c r="B95" s="14" t="s">
        <v>1107</v>
      </c>
      <c r="C95" s="26">
        <v>250</v>
      </c>
      <c r="D95" s="26">
        <v>57538.89</v>
      </c>
      <c r="E95" s="25">
        <v>22</v>
      </c>
      <c r="F95" s="26">
        <f t="shared" ref="F95" si="50">D95/E95</f>
        <v>2615.4040909090909</v>
      </c>
      <c r="G95" s="36"/>
      <c r="H95" s="26">
        <f t="shared" ref="H95" si="51">F95*E95^0.5</f>
        <v>12267.33256630667</v>
      </c>
      <c r="I95" s="26">
        <f t="shared" ref="I95" si="52">E95^0.5</f>
        <v>4.6904157598234297</v>
      </c>
      <c r="J95" s="26">
        <f t="shared" ref="J95" si="53">C95*E95^0.5</f>
        <v>1172.6039399558574</v>
      </c>
      <c r="K95" s="26"/>
      <c r="L95" s="30">
        <f t="shared" ref="L95" si="54">IF(C95&gt;50,0,1)</f>
        <v>0</v>
      </c>
      <c r="M95" s="36">
        <f t="shared" ref="M95" si="55">L95*E95</f>
        <v>0</v>
      </c>
    </row>
    <row r="96" spans="1:13" x14ac:dyDescent="0.2">
      <c r="B96" s="14" t="s">
        <v>1108</v>
      </c>
      <c r="C96" s="26">
        <v>333</v>
      </c>
      <c r="D96" s="26">
        <v>169020.61</v>
      </c>
      <c r="E96" s="25">
        <v>49</v>
      </c>
      <c r="F96" s="26">
        <f t="shared" si="44"/>
        <v>3449.4002040816322</v>
      </c>
      <c r="G96" s="36"/>
      <c r="H96" s="26">
        <f t="shared" si="45"/>
        <v>24145.801428571423</v>
      </c>
      <c r="I96" s="26">
        <f t="shared" si="46"/>
        <v>7</v>
      </c>
      <c r="J96" s="26">
        <f t="shared" si="47"/>
        <v>2331</v>
      </c>
      <c r="K96" s="26"/>
      <c r="L96" s="30">
        <f t="shared" si="48"/>
        <v>0</v>
      </c>
      <c r="M96" s="36">
        <f t="shared" si="49"/>
        <v>0</v>
      </c>
    </row>
    <row r="97" spans="2:13" x14ac:dyDescent="0.2">
      <c r="B97" s="14" t="s">
        <v>1109</v>
      </c>
      <c r="C97" s="26">
        <v>500</v>
      </c>
      <c r="D97" s="26">
        <v>21705.96</v>
      </c>
      <c r="E97" s="25">
        <v>3</v>
      </c>
      <c r="F97" s="26">
        <f t="shared" si="44"/>
        <v>7235.32</v>
      </c>
      <c r="G97" s="36"/>
      <c r="H97" s="26">
        <f t="shared" si="45"/>
        <v>12531.941849019247</v>
      </c>
      <c r="I97" s="26">
        <f t="shared" si="46"/>
        <v>1.7320508075688772</v>
      </c>
      <c r="J97" s="26">
        <f t="shared" si="47"/>
        <v>866.02540378443859</v>
      </c>
      <c r="K97" s="26"/>
      <c r="L97" s="30">
        <f t="shared" si="48"/>
        <v>0</v>
      </c>
      <c r="M97" s="36">
        <f t="shared" si="49"/>
        <v>0</v>
      </c>
    </row>
    <row r="98" spans="2:13" x14ac:dyDescent="0.2">
      <c r="B98" s="14" t="s">
        <v>1093</v>
      </c>
      <c r="C98" s="26">
        <v>500</v>
      </c>
      <c r="D98" s="26">
        <v>88615.24</v>
      </c>
      <c r="E98" s="25">
        <v>12</v>
      </c>
      <c r="F98" s="26">
        <f t="shared" si="44"/>
        <v>7384.6033333333335</v>
      </c>
      <c r="G98" s="36"/>
      <c r="H98" s="26">
        <f t="shared" si="45"/>
        <v>25581.016334151645</v>
      </c>
      <c r="I98" s="26">
        <f t="shared" si="46"/>
        <v>3.4641016151377544</v>
      </c>
      <c r="J98" s="26">
        <f t="shared" si="47"/>
        <v>1732.0508075688772</v>
      </c>
      <c r="K98" s="26"/>
      <c r="L98" s="30">
        <f t="shared" si="48"/>
        <v>0</v>
      </c>
      <c r="M98" s="36">
        <f t="shared" si="49"/>
        <v>0</v>
      </c>
    </row>
    <row r="99" spans="2:13" x14ac:dyDescent="0.2">
      <c r="B99" s="14" t="s">
        <v>1094</v>
      </c>
      <c r="C99" s="26">
        <v>750</v>
      </c>
      <c r="D99" s="26">
        <v>69220.75</v>
      </c>
      <c r="E99" s="25">
        <v>7</v>
      </c>
      <c r="F99" s="26">
        <f t="shared" si="44"/>
        <v>9888.6785714285706</v>
      </c>
      <c r="G99" s="36"/>
      <c r="H99" s="26">
        <f t="shared" si="45"/>
        <v>26162.984295053466</v>
      </c>
      <c r="I99" s="26">
        <f t="shared" si="46"/>
        <v>2.6457513110645907</v>
      </c>
      <c r="J99" s="26">
        <f t="shared" si="47"/>
        <v>1984.3134832984431</v>
      </c>
      <c r="K99" s="26"/>
      <c r="L99" s="30">
        <f t="shared" si="48"/>
        <v>0</v>
      </c>
      <c r="M99" s="36">
        <f t="shared" si="49"/>
        <v>0</v>
      </c>
    </row>
    <row r="100" spans="2:13" x14ac:dyDescent="0.2">
      <c r="B100" s="14" t="s">
        <v>1095</v>
      </c>
      <c r="C100" s="26">
        <v>1500</v>
      </c>
      <c r="D100" s="26">
        <v>9265</v>
      </c>
      <c r="E100" s="25">
        <v>1</v>
      </c>
      <c r="F100" s="26">
        <f t="shared" ref="F100:F103" si="56">D100/E100</f>
        <v>9265</v>
      </c>
      <c r="G100" s="36"/>
      <c r="H100" s="26">
        <f t="shared" ref="H100:H103" si="57">F100*E100^0.5</f>
        <v>9265</v>
      </c>
      <c r="I100" s="26">
        <f t="shared" ref="I100:I103" si="58">E100^0.5</f>
        <v>1</v>
      </c>
      <c r="J100" s="26">
        <f t="shared" ref="J100:J103" si="59">C100*E100^0.5</f>
        <v>1500</v>
      </c>
      <c r="K100" s="26"/>
      <c r="L100" s="30">
        <f t="shared" ref="L100:L103" si="60">IF(C100&gt;50,0,1)</f>
        <v>0</v>
      </c>
      <c r="M100" s="36">
        <f t="shared" ref="M100:M103" si="61">L100*E100</f>
        <v>0</v>
      </c>
    </row>
    <row r="101" spans="2:13" x14ac:dyDescent="0.2">
      <c r="B101" s="14" t="s">
        <v>1110</v>
      </c>
      <c r="C101" s="26">
        <v>1.5</v>
      </c>
      <c r="D101" s="26">
        <v>28656.93</v>
      </c>
      <c r="E101" s="25">
        <v>221</v>
      </c>
      <c r="F101" s="26">
        <f t="shared" ref="F101:F102" si="62">D101/E101</f>
        <v>129.66936651583711</v>
      </c>
      <c r="G101" s="36"/>
      <c r="H101" s="26">
        <f t="shared" ref="H101:H102" si="63">F101*E101^0.5</f>
        <v>1927.6737170456749</v>
      </c>
      <c r="I101" s="26">
        <f t="shared" ref="I101:I102" si="64">E101^0.5</f>
        <v>14.866068747318506</v>
      </c>
      <c r="J101" s="26">
        <f t="shared" ref="J101:J102" si="65">C101*E101^0.5</f>
        <v>22.299103120977758</v>
      </c>
      <c r="K101" s="26"/>
      <c r="L101" s="30">
        <f t="shared" ref="L101:L102" si="66">IF(C101&gt;50,0,1)</f>
        <v>1</v>
      </c>
      <c r="M101" s="36">
        <f t="shared" ref="M101:M102" si="67">L101*E101</f>
        <v>221</v>
      </c>
    </row>
    <row r="102" spans="2:13" x14ac:dyDescent="0.2">
      <c r="B102" s="14" t="s">
        <v>1116</v>
      </c>
      <c r="C102" s="26">
        <v>3</v>
      </c>
      <c r="D102" s="26">
        <v>72479.61</v>
      </c>
      <c r="E102" s="25">
        <v>538</v>
      </c>
      <c r="F102" s="26">
        <f t="shared" si="62"/>
        <v>134.72046468401487</v>
      </c>
      <c r="G102" s="36"/>
      <c r="H102" s="26">
        <f t="shared" si="63"/>
        <v>3124.8178729833471</v>
      </c>
      <c r="I102" s="26">
        <f t="shared" si="64"/>
        <v>23.194827009486403</v>
      </c>
      <c r="J102" s="26">
        <f t="shared" si="65"/>
        <v>69.584481028459209</v>
      </c>
      <c r="K102" s="26"/>
      <c r="L102" s="30">
        <f t="shared" si="66"/>
        <v>1</v>
      </c>
      <c r="M102" s="36">
        <f t="shared" si="67"/>
        <v>538</v>
      </c>
    </row>
    <row r="103" spans="2:13" x14ac:dyDescent="0.2">
      <c r="B103" s="14" t="s">
        <v>1117</v>
      </c>
      <c r="C103" s="26">
        <v>5</v>
      </c>
      <c r="D103" s="26">
        <v>142404</v>
      </c>
      <c r="E103" s="25">
        <v>835</v>
      </c>
      <c r="F103" s="26">
        <f t="shared" si="56"/>
        <v>170.5437125748503</v>
      </c>
      <c r="G103" s="36"/>
      <c r="H103" s="26">
        <f t="shared" si="57"/>
        <v>4928.0936319746388</v>
      </c>
      <c r="I103" s="26">
        <f t="shared" si="58"/>
        <v>28.89636655359978</v>
      </c>
      <c r="J103" s="26">
        <f t="shared" si="59"/>
        <v>144.4818327679989</v>
      </c>
      <c r="K103" s="26"/>
      <c r="L103" s="30">
        <f t="shared" si="60"/>
        <v>1</v>
      </c>
      <c r="M103" s="36">
        <f t="shared" si="61"/>
        <v>835</v>
      </c>
    </row>
    <row r="104" spans="2:13" x14ac:dyDescent="0.2">
      <c r="B104" s="14" t="s">
        <v>1118</v>
      </c>
      <c r="C104" s="26">
        <v>7.5</v>
      </c>
      <c r="D104" s="26">
        <v>6909.14</v>
      </c>
      <c r="E104" s="25">
        <v>31</v>
      </c>
      <c r="F104" s="26">
        <f t="shared" si="44"/>
        <v>222.87548387096774</v>
      </c>
      <c r="G104" s="36"/>
      <c r="H104" s="26">
        <f t="shared" si="45"/>
        <v>1240.9181764452715</v>
      </c>
      <c r="I104" s="26">
        <f t="shared" si="46"/>
        <v>5.5677643628300215</v>
      </c>
      <c r="J104" s="26">
        <f t="shared" si="47"/>
        <v>41.758232721225163</v>
      </c>
      <c r="K104" s="26"/>
      <c r="L104" s="30">
        <f t="shared" si="48"/>
        <v>1</v>
      </c>
      <c r="M104" s="36">
        <f t="shared" si="49"/>
        <v>31</v>
      </c>
    </row>
    <row r="105" spans="2:13" x14ac:dyDescent="0.2">
      <c r="B105" s="14" t="s">
        <v>1111</v>
      </c>
      <c r="C105" s="26">
        <v>10</v>
      </c>
      <c r="D105" s="26">
        <v>898422.47</v>
      </c>
      <c r="E105" s="25">
        <v>3960</v>
      </c>
      <c r="F105" s="26">
        <f t="shared" si="44"/>
        <v>226.87436111111111</v>
      </c>
      <c r="G105" s="36"/>
      <c r="H105" s="26">
        <f t="shared" si="45"/>
        <v>14276.87024137701</v>
      </c>
      <c r="I105" s="26">
        <f t="shared" si="46"/>
        <v>62.928530890209096</v>
      </c>
      <c r="J105" s="26">
        <f t="shared" si="47"/>
        <v>629.28530890209095</v>
      </c>
      <c r="K105" s="26"/>
      <c r="L105" s="30">
        <f t="shared" si="48"/>
        <v>1</v>
      </c>
      <c r="M105" s="36">
        <f t="shared" si="49"/>
        <v>3960</v>
      </c>
    </row>
    <row r="106" spans="2:13" x14ac:dyDescent="0.2">
      <c r="B106" s="14" t="s">
        <v>1112</v>
      </c>
      <c r="C106" s="26">
        <v>15</v>
      </c>
      <c r="D106" s="26">
        <v>4248784.03</v>
      </c>
      <c r="E106" s="25">
        <v>9125</v>
      </c>
      <c r="F106" s="26">
        <f t="shared" si="44"/>
        <v>465.62016767123288</v>
      </c>
      <c r="G106" s="36"/>
      <c r="H106" s="26">
        <f t="shared" si="45"/>
        <v>44478.304064425123</v>
      </c>
      <c r="I106" s="26">
        <f t="shared" si="46"/>
        <v>95.524865872714003</v>
      </c>
      <c r="J106" s="26">
        <f t="shared" si="47"/>
        <v>1432.8729880907101</v>
      </c>
      <c r="K106" s="26"/>
      <c r="L106" s="30">
        <f t="shared" si="48"/>
        <v>1</v>
      </c>
      <c r="M106" s="36">
        <f t="shared" si="49"/>
        <v>9125</v>
      </c>
    </row>
    <row r="107" spans="2:13" x14ac:dyDescent="0.2">
      <c r="B107" s="14" t="s">
        <v>1113</v>
      </c>
      <c r="C107" s="26">
        <v>25</v>
      </c>
      <c r="D107" s="26">
        <v>2394646.0699999998</v>
      </c>
      <c r="E107" s="25">
        <v>4169</v>
      </c>
      <c r="F107" s="26">
        <f t="shared" si="44"/>
        <v>574.39339649796113</v>
      </c>
      <c r="G107" s="36"/>
      <c r="H107" s="26">
        <f t="shared" si="45"/>
        <v>37087.314402067372</v>
      </c>
      <c r="I107" s="26">
        <f t="shared" si="46"/>
        <v>64.567793829431707</v>
      </c>
      <c r="J107" s="26">
        <f t="shared" si="47"/>
        <v>1614.1948457357926</v>
      </c>
      <c r="K107" s="26"/>
      <c r="L107" s="30">
        <f t="shared" si="48"/>
        <v>1</v>
      </c>
      <c r="M107" s="36">
        <f t="shared" si="49"/>
        <v>4169</v>
      </c>
    </row>
    <row r="108" spans="2:13" x14ac:dyDescent="0.2">
      <c r="B108" s="14" t="s">
        <v>1114</v>
      </c>
      <c r="C108" s="26">
        <v>50</v>
      </c>
      <c r="D108" s="26">
        <v>319384.69</v>
      </c>
      <c r="E108" s="25">
        <v>350</v>
      </c>
      <c r="F108" s="26">
        <f t="shared" si="44"/>
        <v>912.52768571428567</v>
      </c>
      <c r="G108" s="36"/>
      <c r="H108" s="26">
        <f t="shared" ref="H108:H113" si="68">F108*E108^0.5</f>
        <v>17071.829779442935</v>
      </c>
      <c r="I108" s="26">
        <f t="shared" ref="I108:I113" si="69">E108^0.5</f>
        <v>18.708286933869708</v>
      </c>
      <c r="J108" s="26">
        <f t="shared" ref="J108:J113" si="70">C108*E108^0.5</f>
        <v>935.41434669348541</v>
      </c>
      <c r="K108" s="26"/>
      <c r="L108" s="30">
        <f t="shared" si="48"/>
        <v>1</v>
      </c>
      <c r="M108" s="36">
        <f t="shared" ref="M108:M113" si="71">L108*E108</f>
        <v>350</v>
      </c>
    </row>
    <row r="109" spans="2:13" x14ac:dyDescent="0.2">
      <c r="B109" s="14" t="s">
        <v>1115</v>
      </c>
      <c r="C109" s="26">
        <v>75</v>
      </c>
      <c r="D109" s="26">
        <v>1645.42</v>
      </c>
      <c r="E109" s="25">
        <v>2</v>
      </c>
      <c r="F109" s="26">
        <f t="shared" si="44"/>
        <v>822.71</v>
      </c>
      <c r="G109" s="36"/>
      <c r="H109" s="26">
        <f t="shared" si="68"/>
        <v>1163.4876398999691</v>
      </c>
      <c r="I109" s="26">
        <f t="shared" si="69"/>
        <v>1.4142135623730951</v>
      </c>
      <c r="J109" s="26">
        <f t="shared" si="70"/>
        <v>106.06601717798213</v>
      </c>
      <c r="K109" s="26"/>
      <c r="L109" s="30">
        <f t="shared" si="48"/>
        <v>0</v>
      </c>
      <c r="M109" s="36">
        <f t="shared" si="71"/>
        <v>0</v>
      </c>
    </row>
    <row r="110" spans="2:13" x14ac:dyDescent="0.2">
      <c r="B110" s="14" t="s">
        <v>1096</v>
      </c>
      <c r="C110" s="26">
        <v>500</v>
      </c>
      <c r="D110" s="26">
        <v>40445.31</v>
      </c>
      <c r="E110" s="25">
        <v>8</v>
      </c>
      <c r="F110" s="26">
        <f t="shared" si="44"/>
        <v>5055.6637499999997</v>
      </c>
      <c r="G110" s="36"/>
      <c r="H110" s="26">
        <f t="shared" si="68"/>
        <v>14299.576484096042</v>
      </c>
      <c r="I110" s="26">
        <f t="shared" si="69"/>
        <v>2.8284271247461903</v>
      </c>
      <c r="J110" s="26">
        <f t="shared" si="70"/>
        <v>1414.2135623730951</v>
      </c>
      <c r="K110" s="26"/>
      <c r="L110" s="30">
        <f t="shared" si="48"/>
        <v>0</v>
      </c>
      <c r="M110" s="36">
        <f t="shared" si="71"/>
        <v>0</v>
      </c>
    </row>
    <row r="111" spans="2:13" x14ac:dyDescent="0.2">
      <c r="B111" s="14" t="s">
        <v>1097</v>
      </c>
      <c r="C111" s="26">
        <v>300</v>
      </c>
      <c r="D111" s="26">
        <v>15475.28</v>
      </c>
      <c r="E111" s="25">
        <v>4</v>
      </c>
      <c r="F111" s="26">
        <f t="shared" si="44"/>
        <v>3868.82</v>
      </c>
      <c r="G111" s="36"/>
      <c r="H111" s="26">
        <f t="shared" si="68"/>
        <v>7737.64</v>
      </c>
      <c r="I111" s="26">
        <f t="shared" si="69"/>
        <v>2</v>
      </c>
      <c r="J111" s="26">
        <f t="shared" si="70"/>
        <v>600</v>
      </c>
      <c r="K111" s="26"/>
      <c r="L111" s="30">
        <f t="shared" si="48"/>
        <v>0</v>
      </c>
      <c r="M111" s="36">
        <f t="shared" si="71"/>
        <v>0</v>
      </c>
    </row>
    <row r="112" spans="2:13" x14ac:dyDescent="0.2">
      <c r="B112" s="14" t="s">
        <v>1098</v>
      </c>
      <c r="C112" s="26">
        <v>1667</v>
      </c>
      <c r="D112" s="26">
        <v>4158.51</v>
      </c>
      <c r="E112" s="25">
        <v>3</v>
      </c>
      <c r="F112" s="26">
        <f t="shared" si="44"/>
        <v>1386.17</v>
      </c>
      <c r="G112" s="36"/>
      <c r="H112" s="26">
        <f t="shared" si="68"/>
        <v>2400.9168679277504</v>
      </c>
      <c r="I112" s="26">
        <f t="shared" si="69"/>
        <v>1.7320508075688772</v>
      </c>
      <c r="J112" s="26">
        <f t="shared" si="70"/>
        <v>2887.3286962173183</v>
      </c>
      <c r="K112" s="26"/>
      <c r="L112" s="30">
        <f t="shared" si="48"/>
        <v>0</v>
      </c>
      <c r="M112" s="36">
        <f t="shared" si="71"/>
        <v>0</v>
      </c>
    </row>
    <row r="113" spans="2:13" x14ac:dyDescent="0.2">
      <c r="B113" s="14" t="s">
        <v>1099</v>
      </c>
      <c r="C113" s="26">
        <v>2000</v>
      </c>
      <c r="D113" s="26">
        <v>16503.849999999999</v>
      </c>
      <c r="E113" s="25">
        <v>4</v>
      </c>
      <c r="F113" s="26">
        <f t="shared" si="44"/>
        <v>4125.9624999999996</v>
      </c>
      <c r="G113" s="36"/>
      <c r="H113" s="26">
        <f t="shared" si="68"/>
        <v>8251.9249999999993</v>
      </c>
      <c r="I113" s="26">
        <f t="shared" si="69"/>
        <v>2</v>
      </c>
      <c r="J113" s="26">
        <f t="shared" si="70"/>
        <v>4000</v>
      </c>
      <c r="K113" s="26"/>
      <c r="L113" s="30">
        <f t="shared" si="48"/>
        <v>0</v>
      </c>
      <c r="M113" s="36">
        <f t="shared" si="71"/>
        <v>0</v>
      </c>
    </row>
    <row r="114" spans="2:13" x14ac:dyDescent="0.2">
      <c r="B114" s="27" t="s">
        <v>861</v>
      </c>
      <c r="D114" s="37">
        <f>SUM(D87:D113)</f>
        <v>10095813.040999999</v>
      </c>
      <c r="E114" s="38">
        <f>SUM(E87:E113)</f>
        <v>21177</v>
      </c>
      <c r="M114" s="38">
        <f>SUM(M87:M113)</f>
        <v>20840</v>
      </c>
    </row>
    <row r="116" spans="2:13" x14ac:dyDescent="0.2">
      <c r="B116" s="19" t="s">
        <v>986</v>
      </c>
      <c r="H116" s="250" t="s">
        <v>987</v>
      </c>
      <c r="I116" s="250"/>
    </row>
    <row r="118" spans="2:13" x14ac:dyDescent="0.2">
      <c r="B118" s="14" t="s">
        <v>988</v>
      </c>
      <c r="D118" s="39">
        <f>H118</f>
        <v>6.0723899674684683</v>
      </c>
      <c r="H118" s="39">
        <f t="array" ref="H118:I120">LINEST(H87:H113,I87:J113,FALSE,TRUE)</f>
        <v>6.0723899674684683</v>
      </c>
      <c r="I118" s="39">
        <v>353.58388978451273</v>
      </c>
    </row>
    <row r="119" spans="2:13" x14ac:dyDescent="0.2">
      <c r="B119" s="14" t="s">
        <v>989</v>
      </c>
      <c r="D119" s="39">
        <f>I118</f>
        <v>353.58388978451273</v>
      </c>
      <c r="H119" s="39">
        <v>1.1163955118703435</v>
      </c>
      <c r="I119" s="39">
        <v>56.665182946189518</v>
      </c>
    </row>
    <row r="120" spans="2:13" x14ac:dyDescent="0.2">
      <c r="B120" s="14" t="s">
        <v>990</v>
      </c>
      <c r="D120" s="40">
        <f>H120</f>
        <v>0.81990328797943979</v>
      </c>
      <c r="H120" s="39">
        <v>0.81990328797943979</v>
      </c>
      <c r="I120" s="39">
        <v>7559.2638350861162</v>
      </c>
    </row>
    <row r="121" spans="2:13" x14ac:dyDescent="0.2">
      <c r="H121" s="39"/>
      <c r="I121" s="39"/>
    </row>
    <row r="122" spans="2:13" x14ac:dyDescent="0.2">
      <c r="B122" s="28" t="s">
        <v>991</v>
      </c>
      <c r="C122" s="41"/>
    </row>
    <row r="123" spans="2:13" x14ac:dyDescent="0.2">
      <c r="C123" s="41"/>
      <c r="F123" s="33"/>
    </row>
    <row r="124" spans="2:13" x14ac:dyDescent="0.2">
      <c r="B124" s="14" t="s">
        <v>992</v>
      </c>
      <c r="C124" s="32" t="s">
        <v>1008</v>
      </c>
      <c r="D124" s="36">
        <f>M114</f>
        <v>20840</v>
      </c>
      <c r="F124" s="33" t="s">
        <v>1009</v>
      </c>
    </row>
    <row r="125" spans="2:13" x14ac:dyDescent="0.2">
      <c r="B125" s="14" t="s">
        <v>993</v>
      </c>
      <c r="C125" s="41"/>
      <c r="D125" s="42">
        <f>D119</f>
        <v>353.58388978451273</v>
      </c>
      <c r="E125" s="29"/>
      <c r="F125" s="33" t="s">
        <v>1010</v>
      </c>
    </row>
    <row r="126" spans="2:13" x14ac:dyDescent="0.2">
      <c r="B126" s="14" t="s">
        <v>994</v>
      </c>
      <c r="C126" s="41"/>
      <c r="D126" s="42">
        <f>MIN(F87:F113)</f>
        <v>129.66936651583711</v>
      </c>
    </row>
    <row r="127" spans="2:13" x14ac:dyDescent="0.2">
      <c r="B127" s="14" t="s">
        <v>995</v>
      </c>
      <c r="C127" s="41"/>
      <c r="D127" s="199" t="s">
        <v>1002</v>
      </c>
    </row>
    <row r="128" spans="2:13" x14ac:dyDescent="0.2">
      <c r="B128" s="14" t="s">
        <v>996</v>
      </c>
      <c r="C128" s="41"/>
      <c r="D128" s="43">
        <f>IF(D127="Z",D124*D125,D124*D126)</f>
        <v>7368688.2631092453</v>
      </c>
    </row>
    <row r="129" spans="1:17" x14ac:dyDescent="0.2">
      <c r="B129" s="14" t="s">
        <v>997</v>
      </c>
      <c r="C129" s="41"/>
      <c r="D129" s="43">
        <f>D114</f>
        <v>10095813.040999999</v>
      </c>
    </row>
    <row r="130" spans="1:17" x14ac:dyDescent="0.2">
      <c r="B130" s="14" t="s">
        <v>998</v>
      </c>
      <c r="C130" s="41"/>
      <c r="D130" s="44">
        <f>D128/D129</f>
        <v>0.72987566560358674</v>
      </c>
    </row>
    <row r="131" spans="1:17" x14ac:dyDescent="0.2">
      <c r="B131" s="14" t="s">
        <v>999</v>
      </c>
      <c r="C131" s="41"/>
      <c r="D131" s="45">
        <f>D130</f>
        <v>0.72987566560358674</v>
      </c>
    </row>
    <row r="132" spans="1:17" x14ac:dyDescent="0.2">
      <c r="B132" s="14" t="s">
        <v>1000</v>
      </c>
      <c r="C132" s="41"/>
      <c r="D132" s="46">
        <f>1-D131</f>
        <v>0.27012433439641326</v>
      </c>
    </row>
    <row r="136" spans="1:17" x14ac:dyDescent="0.2">
      <c r="A136" s="13"/>
      <c r="H136" s="30"/>
    </row>
    <row r="137" spans="1:17" x14ac:dyDescent="0.2">
      <c r="A137" s="13"/>
      <c r="B137" s="168" t="s">
        <v>1011</v>
      </c>
      <c r="C137" s="62" t="s">
        <v>1012</v>
      </c>
      <c r="D137" s="169" t="s">
        <v>10</v>
      </c>
      <c r="E137" s="169" t="s">
        <v>12</v>
      </c>
      <c r="H137" s="62" t="s">
        <v>1120</v>
      </c>
    </row>
    <row r="138" spans="1:17" x14ac:dyDescent="0.2">
      <c r="B138" s="14" t="s">
        <v>201</v>
      </c>
      <c r="C138" s="30">
        <v>365</v>
      </c>
      <c r="D138" s="40">
        <f>D45</f>
        <v>0.76540620575317719</v>
      </c>
      <c r="E138" s="40">
        <f>D44</f>
        <v>0.23459379424682281</v>
      </c>
      <c r="H138" s="202" t="str">
        <f>D40</f>
        <v>Z</v>
      </c>
      <c r="J138" s="210"/>
      <c r="P138" s="148"/>
      <c r="Q138" s="148"/>
    </row>
    <row r="139" spans="1:17" x14ac:dyDescent="0.2">
      <c r="B139" s="14" t="s">
        <v>202</v>
      </c>
      <c r="C139" s="30">
        <v>367</v>
      </c>
      <c r="D139" s="40">
        <f>D80</f>
        <v>0.1253281794067419</v>
      </c>
      <c r="E139" s="40">
        <f>D79</f>
        <v>0.8746718205932581</v>
      </c>
      <c r="H139" s="202" t="str">
        <f>D75</f>
        <v>Z</v>
      </c>
      <c r="J139" s="210"/>
      <c r="P139" s="148"/>
      <c r="Q139" s="148"/>
    </row>
    <row r="140" spans="1:17" x14ac:dyDescent="0.2">
      <c r="B140" s="14" t="s">
        <v>203</v>
      </c>
      <c r="C140" s="30">
        <v>368</v>
      </c>
      <c r="D140" s="170">
        <f>D132</f>
        <v>0.27012433439641326</v>
      </c>
      <c r="E140" s="170">
        <f>D131</f>
        <v>0.72987566560358674</v>
      </c>
      <c r="H140" s="202" t="str">
        <f>D127</f>
        <v>Z</v>
      </c>
      <c r="J140" s="210"/>
      <c r="P140" s="148"/>
      <c r="Q140" s="148"/>
    </row>
    <row r="142" spans="1:17" x14ac:dyDescent="0.2">
      <c r="D142" s="40"/>
      <c r="E142" s="40"/>
    </row>
    <row r="143" spans="1:17" x14ac:dyDescent="0.2">
      <c r="D143" s="40"/>
      <c r="E143" s="40"/>
    </row>
    <row r="144" spans="1:17" x14ac:dyDescent="0.2">
      <c r="D144" s="40"/>
      <c r="E144" s="40"/>
    </row>
    <row r="145" spans="4:5" x14ac:dyDescent="0.2">
      <c r="D145" s="170"/>
      <c r="E145" s="170"/>
    </row>
  </sheetData>
  <mergeCells count="4">
    <mergeCell ref="H29:I29"/>
    <mergeCell ref="H64:I64"/>
    <mergeCell ref="L84:M84"/>
    <mergeCell ref="H116:I116"/>
  </mergeCells>
  <pageMargins left="0.7" right="0.7" top="0.75" bottom="0.75" header="0.3" footer="0.3"/>
  <pageSetup scale="74" fitToHeight="3" orientation="landscape" r:id="rId1"/>
  <headerFooter>
    <oddFooter>&amp;RExhibit JW-8
Page &amp;P of &amp;N</oddFooter>
  </headerFooter>
  <rowBreaks count="3" manualBreakCount="3">
    <brk id="46" max="16383" man="1"/>
    <brk id="81" max="16383" man="1"/>
    <brk id="134" max="16383" man="1"/>
  </rowBreaks>
  <ignoredErrors>
    <ignoredError sqref="D119 D67 D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13</vt:i4>
      </vt:variant>
    </vt:vector>
  </HeadingPairs>
  <TitlesOfParts>
    <vt:vector size="23" baseType="lpstr">
      <vt:lpstr>Summary of Returns</vt:lpstr>
      <vt:lpstr>Summary of Rates</vt:lpstr>
      <vt:lpstr>Func &amp; Classif</vt:lpstr>
      <vt:lpstr>Alloc &amp; Returns</vt:lpstr>
      <vt:lpstr>Billing Det</vt:lpstr>
      <vt:lpstr>Purchased Power</vt:lpstr>
      <vt:lpstr>Meters</vt:lpstr>
      <vt:lpstr>Services</vt:lpstr>
      <vt:lpstr>Line Loss Calculation</vt:lpstr>
      <vt:lpstr>ZeroInt</vt:lpstr>
      <vt:lpstr>'Alloc &amp; Returns'!Print_Area</vt:lpstr>
      <vt:lpstr>'Billing Det'!Print_Area</vt:lpstr>
      <vt:lpstr>'Func &amp; Classif'!Print_Area</vt:lpstr>
      <vt:lpstr>Meters!Print_Area</vt:lpstr>
      <vt:lpstr>'Purchased Power'!Print_Area</vt:lpstr>
      <vt:lpstr>Services!Print_Area</vt:lpstr>
      <vt:lpstr>'Summary of Rates'!Print_Area</vt:lpstr>
      <vt:lpstr>'Summary of Returns'!Print_Area</vt:lpstr>
      <vt:lpstr>'Alloc &amp; Returns'!Print_Titles</vt:lpstr>
      <vt:lpstr>'Billing Det'!Print_Titles</vt:lpstr>
      <vt:lpstr>'Func &amp; Classif'!Print_Titles</vt:lpstr>
      <vt:lpstr>'Purchased Power'!Print_Titles</vt:lpstr>
      <vt:lpstr>ZeroInt!Print_Titles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 Wolfram</cp:lastModifiedBy>
  <cp:lastPrinted>2025-03-23T22:18:41Z</cp:lastPrinted>
  <dcterms:created xsi:type="dcterms:W3CDTF">1999-02-10T22:20:33Z</dcterms:created>
  <dcterms:modified xsi:type="dcterms:W3CDTF">2025-03-23T22:27:24Z</dcterms:modified>
</cp:coreProperties>
</file>