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nvision\CPCN\"/>
    </mc:Choice>
  </mc:AlternateContent>
  <xr:revisionPtr revIDLastSave="0" documentId="13_ncr:1_{450443CC-2C25-40EB-BE66-0E587D37781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gets" sheetId="22" r:id="rId1"/>
  </sheets>
  <definedNames>
    <definedName name="February">#REF!</definedName>
    <definedName name="Janu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2" l="1"/>
  <c r="G33" i="22"/>
  <c r="F33" i="22"/>
  <c r="E33" i="22"/>
  <c r="F31" i="22"/>
  <c r="G31" i="22" s="1"/>
  <c r="H31" i="22" s="1"/>
  <c r="H30" i="22"/>
  <c r="G30" i="22"/>
  <c r="F30" i="22"/>
  <c r="E30" i="22"/>
  <c r="H29" i="22"/>
  <c r="G29" i="22"/>
  <c r="F29" i="22"/>
  <c r="E29" i="22"/>
  <c r="H28" i="22"/>
  <c r="G28" i="22"/>
  <c r="F28" i="22"/>
  <c r="E28" i="22"/>
  <c r="H27" i="22"/>
  <c r="G27" i="22"/>
  <c r="F27" i="22"/>
  <c r="E27" i="22"/>
  <c r="H25" i="22"/>
  <c r="G25" i="22"/>
  <c r="F25" i="22"/>
  <c r="E25" i="22"/>
  <c r="H24" i="22"/>
  <c r="G24" i="22"/>
  <c r="F24" i="22"/>
  <c r="E24" i="22"/>
  <c r="E22" i="22"/>
  <c r="F22" i="22" s="1"/>
  <c r="G22" i="22" s="1"/>
  <c r="H22" i="22" s="1"/>
  <c r="E21" i="22"/>
  <c r="F21" i="22" s="1"/>
  <c r="G21" i="22" s="1"/>
  <c r="H21" i="22" s="1"/>
  <c r="E19" i="22"/>
  <c r="F19" i="22" s="1"/>
  <c r="G19" i="22" s="1"/>
  <c r="H19" i="22" s="1"/>
  <c r="E18" i="22"/>
  <c r="F18" i="22" s="1"/>
  <c r="G18" i="22" s="1"/>
  <c r="H18" i="22" s="1"/>
  <c r="G16" i="22"/>
  <c r="H16" i="22" s="1"/>
  <c r="F16" i="22"/>
  <c r="E16" i="22"/>
  <c r="E15" i="22"/>
  <c r="F15" i="22" s="1"/>
  <c r="G15" i="22" s="1"/>
  <c r="H15" i="22" s="1"/>
  <c r="E14" i="22"/>
  <c r="F14" i="22" s="1"/>
  <c r="G14" i="22" s="1"/>
  <c r="H14" i="22" s="1"/>
  <c r="G13" i="22"/>
  <c r="H13" i="22" s="1"/>
  <c r="F13" i="22"/>
  <c r="E13" i="22"/>
  <c r="E12" i="22"/>
  <c r="F12" i="22" s="1"/>
  <c r="G12" i="22" s="1"/>
  <c r="H12" i="22" s="1"/>
  <c r="E11" i="22"/>
  <c r="F11" i="22" s="1"/>
  <c r="G11" i="22" s="1"/>
  <c r="H11" i="22" s="1"/>
  <c r="G10" i="22"/>
  <c r="H10" i="22" s="1"/>
  <c r="F10" i="22"/>
  <c r="E10" i="22"/>
  <c r="E9" i="22"/>
  <c r="F9" i="22" s="1"/>
  <c r="G9" i="22" s="1"/>
  <c r="H9" i="22" s="1"/>
  <c r="E7" i="22"/>
  <c r="F7" i="22" s="1"/>
  <c r="G7" i="22" s="1"/>
  <c r="H7" i="22" s="1"/>
  <c r="G6" i="22"/>
  <c r="H6" i="22" s="1"/>
  <c r="F6" i="22"/>
  <c r="E6" i="22"/>
  <c r="E5" i="22"/>
  <c r="E34" i="22" s="1"/>
  <c r="F5" i="22" l="1"/>
  <c r="F34" i="22" l="1"/>
  <c r="G5" i="22"/>
  <c r="G34" i="22" l="1"/>
  <c r="H5" i="22"/>
  <c r="H34" i="22" s="1"/>
</calcChain>
</file>

<file path=xl/sharedStrings.xml><?xml version="1.0" encoding="utf-8"?>
<sst xmlns="http://schemas.openxmlformats.org/spreadsheetml/2006/main" count="39" uniqueCount="39">
  <si>
    <t>Residential Weatherization</t>
  </si>
  <si>
    <t>Residential HVAC Equipment</t>
  </si>
  <si>
    <t>Residential Home New Construction</t>
  </si>
  <si>
    <t>Heat Pump Retrofit Program (Mini Split-1 Indoor Head Unit)</t>
  </si>
  <si>
    <t>Heat Pump Retrofit Program (Mini Split-2 Indoor Head Units)</t>
  </si>
  <si>
    <t>Heat Pump Retrofit Program (Mini Split-3 Indoor Head Units)</t>
  </si>
  <si>
    <t>TSE Home (HERS Rating of 75 or lower)</t>
  </si>
  <si>
    <t>TSE Home (Prescriptive Path)</t>
  </si>
  <si>
    <t>Heat Pump Retrofit Program (Federal Minimum Standard):</t>
  </si>
  <si>
    <t>Heat Pump Retrofit Program (Energy Star Level):</t>
  </si>
  <si>
    <t>Direct Load Control</t>
  </si>
  <si>
    <t>Residential Electric Vehicle Off-peak Charging Program</t>
  </si>
  <si>
    <t>1st Year Estimated Participation Levels</t>
  </si>
  <si>
    <t>Button Up (HVAC Duct Seal)</t>
  </si>
  <si>
    <t>Commercial &amp; Industrial</t>
  </si>
  <si>
    <t>Totals</t>
  </si>
  <si>
    <t>Residential DR Other</t>
  </si>
  <si>
    <t>Existing Air Conditioner Switches</t>
  </si>
  <si>
    <t>Existing Water Heater Switches</t>
  </si>
  <si>
    <t>UPA 3rd Party Installer, Mainentance, Call Center, Database</t>
  </si>
  <si>
    <t>Total Annual Spend 2026</t>
  </si>
  <si>
    <t>Total Annual Spend 2027</t>
  </si>
  <si>
    <t>Total Annual Spend 2028</t>
  </si>
  <si>
    <t>Total Annual Spend 2029</t>
  </si>
  <si>
    <t>Escalation</t>
  </si>
  <si>
    <t>DSM Budget</t>
  </si>
  <si>
    <t>Total EKPC Expenses</t>
  </si>
  <si>
    <t>Button Up (Building Shell)</t>
  </si>
  <si>
    <t>CARES Low-Income Program</t>
  </si>
  <si>
    <t>High Efficency Heat Pump Program (HEHP) - Energy Star</t>
  </si>
  <si>
    <t>HEHP - Cold Climate</t>
  </si>
  <si>
    <t>HEHP - Heat Pump Water Heater</t>
  </si>
  <si>
    <t xml:space="preserve">C&amp;I Lighting </t>
  </si>
  <si>
    <t>C&amp;I TSTAT Self-Learning</t>
  </si>
  <si>
    <t>EV Per kwh Incentives</t>
  </si>
  <si>
    <t>EV Annual Admin</t>
  </si>
  <si>
    <t>Bring Your Own Thermostat (BYOT) New Installs</t>
  </si>
  <si>
    <t>Existing BYOTs Annual Incentive and Admin</t>
  </si>
  <si>
    <t>Backup Generator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</si>
</sst>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4" fontId="5" fillId="3" borderId="3" xfId="1" applyFont="1" applyFill="1" applyBorder="1" applyAlignment="1">
      <alignment horizontal="right"/>
    </xf>
    <xf numFmtId="0" fontId="0" fillId="3" borderId="3" xfId="0" applyFill="1" applyBorder="1"/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vertical="top" wrapText="1"/>
    </xf>
    <xf numFmtId="0" fontId="0" fillId="0" borderId="10" xfId="0" applyBorder="1"/>
    <xf numFmtId="9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5" fillId="0" borderId="3" xfId="1" applyNumberFormat="1" applyFont="1" applyBorder="1"/>
    <xf numFmtId="165" fontId="0" fillId="0" borderId="3" xfId="0" applyNumberFormat="1" applyBorder="1"/>
    <xf numFmtId="165" fontId="5" fillId="3" borderId="3" xfId="1" applyNumberFormat="1" applyFont="1" applyFill="1" applyBorder="1" applyAlignment="1">
      <alignment horizontal="right"/>
    </xf>
    <xf numFmtId="165" fontId="0" fillId="3" borderId="3" xfId="0" applyNumberFormat="1" applyFill="1" applyBorder="1"/>
    <xf numFmtId="0" fontId="5" fillId="0" borderId="3" xfId="0" applyFont="1" applyBorder="1" applyAlignment="1">
      <alignment vertical="center" wrapText="1"/>
    </xf>
    <xf numFmtId="165" fontId="5" fillId="0" borderId="3" xfId="1" applyNumberFormat="1" applyFont="1" applyFill="1" applyBorder="1" applyAlignment="1">
      <alignment horizontal="right"/>
    </xf>
    <xf numFmtId="165" fontId="0" fillId="0" borderId="3" xfId="3" applyNumberFormat="1" applyFont="1" applyBorder="1"/>
    <xf numFmtId="165" fontId="5" fillId="0" borderId="7" xfId="1" applyNumberFormat="1" applyFont="1" applyFill="1" applyBorder="1" applyAlignment="1">
      <alignment horizontal="right"/>
    </xf>
    <xf numFmtId="165" fontId="0" fillId="0" borderId="7" xfId="0" applyNumberFormat="1" applyBorder="1"/>
    <xf numFmtId="165" fontId="0" fillId="0" borderId="7" xfId="1" applyNumberFormat="1" applyFont="1" applyBorder="1"/>
    <xf numFmtId="0" fontId="11" fillId="0" borderId="2" xfId="0" applyFont="1" applyBorder="1"/>
    <xf numFmtId="165" fontId="0" fillId="4" borderId="8" xfId="0" applyNumberFormat="1" applyFill="1" applyBorder="1"/>
    <xf numFmtId="165" fontId="0" fillId="4" borderId="9" xfId="0" applyNumberFormat="1" applyFill="1" applyBorder="1"/>
    <xf numFmtId="165" fontId="0" fillId="0" borderId="6" xfId="0" applyNumberFormat="1" applyBorder="1"/>
    <xf numFmtId="0" fontId="5" fillId="0" borderId="0" xfId="0" applyFont="1"/>
    <xf numFmtId="0" fontId="12" fillId="0" borderId="0" xfId="0" applyFont="1"/>
  </cellXfs>
  <cellStyles count="4">
    <cellStyle name="Comma" xfId="3" builtinId="3"/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calcChain" Target="calcChain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Farley" id="{AEEEEE62-9F81-480D-A54C-4BFEBD66087F}" userId="John Farle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4C03-B398-4286-B94F-673CCDA01F28}">
  <dimension ref="A1:H39"/>
  <sheetViews>
    <sheetView tabSelected="1" workbookViewId="0">
      <selection activeCell="I10" sqref="I10"/>
    </sheetView>
  </sheetViews>
  <sheetFormatPr defaultRowHeight="15" x14ac:dyDescent="0.25"/>
  <cols>
    <col min="1" max="1" width="4" customWidth="1"/>
    <col min="2" max="2" width="54.140625" customWidth="1"/>
    <col min="3" max="3" width="14" bestFit="1" customWidth="1"/>
    <col min="4" max="4" width="15.28515625" customWidth="1"/>
    <col min="5" max="8" width="15" bestFit="1" customWidth="1"/>
  </cols>
  <sheetData>
    <row r="1" spans="1:8" ht="20.25" x14ac:dyDescent="0.3">
      <c r="A1" s="15" t="s">
        <v>25</v>
      </c>
      <c r="B1" s="15"/>
      <c r="C1" s="15"/>
      <c r="D1" s="15"/>
      <c r="E1" s="15"/>
      <c r="F1" s="15"/>
      <c r="G1" s="15"/>
      <c r="H1" s="15"/>
    </row>
    <row r="2" spans="1:8" ht="16.5" thickBot="1" x14ac:dyDescent="0.3">
      <c r="B2" s="5"/>
      <c r="C2" s="16"/>
      <c r="D2" t="s">
        <v>24</v>
      </c>
      <c r="E2" s="14">
        <v>0.02</v>
      </c>
      <c r="F2" s="14">
        <v>0.02</v>
      </c>
      <c r="G2" s="14">
        <v>0.02</v>
      </c>
      <c r="H2" s="14">
        <v>0.02</v>
      </c>
    </row>
    <row r="3" spans="1:8" ht="51.75" thickBot="1" x14ac:dyDescent="0.3">
      <c r="A3" s="2"/>
      <c r="B3" s="3"/>
      <c r="C3" s="10" t="s">
        <v>26</v>
      </c>
      <c r="D3" s="10" t="s">
        <v>12</v>
      </c>
      <c r="E3" s="10" t="s">
        <v>20</v>
      </c>
      <c r="F3" s="10" t="s">
        <v>21</v>
      </c>
      <c r="G3" s="10" t="s">
        <v>22</v>
      </c>
      <c r="H3" s="10" t="s">
        <v>23</v>
      </c>
    </row>
    <row r="4" spans="1:8" x14ac:dyDescent="0.25">
      <c r="A4" s="11" t="s">
        <v>0</v>
      </c>
      <c r="B4" s="11"/>
      <c r="C4" s="8"/>
      <c r="D4" s="9"/>
      <c r="E4" s="13"/>
      <c r="F4" s="13"/>
      <c r="G4" s="13"/>
      <c r="H4" s="13"/>
    </row>
    <row r="5" spans="1:8" x14ac:dyDescent="0.25">
      <c r="B5" s="7" t="s">
        <v>27</v>
      </c>
      <c r="C5" s="17">
        <v>2670</v>
      </c>
      <c r="D5" s="18">
        <v>560</v>
      </c>
      <c r="E5" s="18">
        <f>C5*D5</f>
        <v>1495200</v>
      </c>
      <c r="F5" s="18">
        <f>E5*(1+$F$2)</f>
        <v>1525104</v>
      </c>
      <c r="G5" s="18">
        <f>F5*(1+$G$2)</f>
        <v>1555606.08</v>
      </c>
      <c r="H5" s="18">
        <f>G5*(1+$H$2)</f>
        <v>1586718.2016</v>
      </c>
    </row>
    <row r="6" spans="1:8" x14ac:dyDescent="0.25">
      <c r="B6" s="7" t="s">
        <v>13</v>
      </c>
      <c r="C6" s="17">
        <v>750</v>
      </c>
      <c r="D6" s="18">
        <v>37</v>
      </c>
      <c r="E6" s="18">
        <f>C6*D6</f>
        <v>27750</v>
      </c>
      <c r="F6" s="18">
        <f>E6*(1+$F$2)</f>
        <v>28305</v>
      </c>
      <c r="G6" s="18">
        <f>F6*(1+$G$2)</f>
        <v>28871.100000000002</v>
      </c>
      <c r="H6" s="18">
        <f>G6*(1+$H$2)</f>
        <v>29448.522000000004</v>
      </c>
    </row>
    <row r="7" spans="1:8" x14ac:dyDescent="0.25">
      <c r="B7" s="7" t="s">
        <v>28</v>
      </c>
      <c r="C7" s="17">
        <v>3700</v>
      </c>
      <c r="D7" s="18">
        <v>120</v>
      </c>
      <c r="E7" s="18">
        <f>C7*D7</f>
        <v>444000</v>
      </c>
      <c r="F7" s="18">
        <f>E7*(1+$F$2)</f>
        <v>452880</v>
      </c>
      <c r="G7" s="18">
        <f>F7*(1+$G$2)</f>
        <v>461937.60000000003</v>
      </c>
      <c r="H7" s="18">
        <f>G7*(1+$H$2)</f>
        <v>471176.35200000007</v>
      </c>
    </row>
    <row r="8" spans="1:8" x14ac:dyDescent="0.25">
      <c r="A8" s="11" t="s">
        <v>1</v>
      </c>
      <c r="B8" s="11"/>
      <c r="C8" s="19"/>
      <c r="D8" s="20"/>
      <c r="E8" s="18"/>
      <c r="F8" s="18"/>
      <c r="G8" s="18"/>
      <c r="H8" s="18"/>
    </row>
    <row r="9" spans="1:8" x14ac:dyDescent="0.25">
      <c r="A9" s="4"/>
      <c r="B9" s="21" t="s">
        <v>8</v>
      </c>
      <c r="C9" s="22">
        <v>1945</v>
      </c>
      <c r="D9" s="18">
        <v>252</v>
      </c>
      <c r="E9" s="18">
        <f>C9*D9</f>
        <v>490140</v>
      </c>
      <c r="F9" s="18">
        <f>E9*(1+$F$2)</f>
        <v>499942.8</v>
      </c>
      <c r="G9" s="18">
        <f>F9*(1+$G$2)</f>
        <v>509941.65600000002</v>
      </c>
      <c r="H9" s="18">
        <f>G9*(1+$H$2)</f>
        <v>520140.48912000004</v>
      </c>
    </row>
    <row r="10" spans="1:8" x14ac:dyDescent="0.25">
      <c r="A10" s="4"/>
      <c r="B10" s="21" t="s">
        <v>9</v>
      </c>
      <c r="C10" s="22">
        <v>2241</v>
      </c>
      <c r="D10" s="18">
        <v>131</v>
      </c>
      <c r="E10" s="18">
        <f>C10*D10</f>
        <v>293571</v>
      </c>
      <c r="F10" s="18">
        <f>E10*(1+$F$2)</f>
        <v>299442.42</v>
      </c>
      <c r="G10" s="18">
        <f>F10*(1+$G$2)</f>
        <v>305431.2684</v>
      </c>
      <c r="H10" s="18">
        <f>G10*(1+$H$2)</f>
        <v>311539.89376800001</v>
      </c>
    </row>
    <row r="11" spans="1:8" x14ac:dyDescent="0.25">
      <c r="B11" s="21" t="s">
        <v>3</v>
      </c>
      <c r="C11" s="22">
        <v>1025</v>
      </c>
      <c r="D11" s="18">
        <v>44</v>
      </c>
      <c r="E11" s="18">
        <f>C11*D11</f>
        <v>45100</v>
      </c>
      <c r="F11" s="18">
        <f>E11*(1+$F$2)</f>
        <v>46002</v>
      </c>
      <c r="G11" s="18">
        <f>F11*(1+$G$2)</f>
        <v>46922.04</v>
      </c>
      <c r="H11" s="18">
        <f>G11*(1+$H$2)</f>
        <v>47860.480800000005</v>
      </c>
    </row>
    <row r="12" spans="1:8" x14ac:dyDescent="0.25">
      <c r="B12" s="21" t="s">
        <v>4</v>
      </c>
      <c r="C12" s="22">
        <v>1960</v>
      </c>
      <c r="D12" s="18">
        <v>44</v>
      </c>
      <c r="E12" s="18">
        <f>C12*D12</f>
        <v>86240</v>
      </c>
      <c r="F12" s="18">
        <f>E12*(1+$F$2)</f>
        <v>87964.800000000003</v>
      </c>
      <c r="G12" s="18">
        <f>F12*(1+$G$2)</f>
        <v>89724.096000000005</v>
      </c>
      <c r="H12" s="18">
        <f>G12*(1+$H$2)</f>
        <v>91518.577920000011</v>
      </c>
    </row>
    <row r="13" spans="1:8" x14ac:dyDescent="0.25">
      <c r="B13" s="21" t="s">
        <v>5</v>
      </c>
      <c r="C13" s="22">
        <v>2895</v>
      </c>
      <c r="D13" s="18">
        <v>43</v>
      </c>
      <c r="E13" s="18">
        <f>C13*D13</f>
        <v>124485</v>
      </c>
      <c r="F13" s="18">
        <f>E13*(1+$F$2)</f>
        <v>126974.7</v>
      </c>
      <c r="G13" s="18">
        <f>F13*(1+$G$2)</f>
        <v>129514.194</v>
      </c>
      <c r="H13" s="18">
        <f>G13*(1+$H$2)</f>
        <v>132104.47787999999</v>
      </c>
    </row>
    <row r="14" spans="1:8" x14ac:dyDescent="0.25">
      <c r="B14" s="21" t="s">
        <v>29</v>
      </c>
      <c r="C14" s="22">
        <v>641</v>
      </c>
      <c r="D14" s="18">
        <v>1249</v>
      </c>
      <c r="E14" s="18">
        <f>C14*D14</f>
        <v>800609</v>
      </c>
      <c r="F14" s="18">
        <f>E14*(1+$F$2)</f>
        <v>816621.18</v>
      </c>
      <c r="G14" s="18">
        <f>F14*(1+$G$2)</f>
        <v>832953.60360000003</v>
      </c>
      <c r="H14" s="18">
        <f>G14*(1+$H$2)</f>
        <v>849612.67567200004</v>
      </c>
    </row>
    <row r="15" spans="1:8" x14ac:dyDescent="0.25">
      <c r="A15" s="4"/>
      <c r="B15" s="21" t="s">
        <v>30</v>
      </c>
      <c r="C15" s="19">
        <v>1248</v>
      </c>
      <c r="D15" s="20">
        <v>416</v>
      </c>
      <c r="E15" s="18">
        <f>C15*D15</f>
        <v>519168</v>
      </c>
      <c r="F15" s="18">
        <f>E15*(1+$F$2)</f>
        <v>529551.35999999999</v>
      </c>
      <c r="G15" s="18">
        <f>F15*(1+$G$2)</f>
        <v>540142.3872</v>
      </c>
      <c r="H15" s="18">
        <f>G15*(1+$H$2)</f>
        <v>550945.23494400003</v>
      </c>
    </row>
    <row r="16" spans="1:8" x14ac:dyDescent="0.25">
      <c r="A16" s="4"/>
      <c r="B16" s="21" t="s">
        <v>31</v>
      </c>
      <c r="C16" s="19">
        <v>553</v>
      </c>
      <c r="D16" s="20">
        <v>245</v>
      </c>
      <c r="E16" s="18">
        <f>C16*D16</f>
        <v>135485</v>
      </c>
      <c r="F16" s="18">
        <f>E16*(1+$F$2)</f>
        <v>138194.70000000001</v>
      </c>
      <c r="G16" s="18">
        <f>F16*(1+$G$2)</f>
        <v>140958.59400000001</v>
      </c>
      <c r="H16" s="18">
        <f>G16*(1+$H$2)</f>
        <v>143777.76588000002</v>
      </c>
    </row>
    <row r="17" spans="1:8" x14ac:dyDescent="0.25">
      <c r="A17" s="11" t="s">
        <v>2</v>
      </c>
      <c r="B17" s="12"/>
      <c r="C17" s="19"/>
      <c r="D17" s="20"/>
      <c r="E17" s="18"/>
      <c r="F17" s="18"/>
      <c r="G17" s="18"/>
      <c r="H17" s="18"/>
    </row>
    <row r="18" spans="1:8" x14ac:dyDescent="0.25">
      <c r="A18" s="1"/>
      <c r="B18" s="7" t="s">
        <v>6</v>
      </c>
      <c r="C18" s="22">
        <v>1450</v>
      </c>
      <c r="D18" s="18">
        <v>470</v>
      </c>
      <c r="E18" s="18">
        <f>C18*D18</f>
        <v>681500</v>
      </c>
      <c r="F18" s="18">
        <f>E18*(1+$F$2)</f>
        <v>695130</v>
      </c>
      <c r="G18" s="18">
        <f>F18*(1+$G$2)</f>
        <v>709032.6</v>
      </c>
      <c r="H18" s="18">
        <f>G18*(1+$H$2)</f>
        <v>723213.25199999998</v>
      </c>
    </row>
    <row r="19" spans="1:8" x14ac:dyDescent="0.25">
      <c r="B19" s="7" t="s">
        <v>7</v>
      </c>
      <c r="C19" s="19">
        <v>1450</v>
      </c>
      <c r="D19" s="20">
        <v>24</v>
      </c>
      <c r="E19" s="18">
        <f>C19*D19</f>
        <v>34800</v>
      </c>
      <c r="F19" s="18">
        <f>E19*(1+$F$2)</f>
        <v>35496</v>
      </c>
      <c r="G19" s="18">
        <f>F19*(1+$G$2)</f>
        <v>36205.919999999998</v>
      </c>
      <c r="H19" s="18">
        <f>G19*(1+$H$2)</f>
        <v>36930.038399999998</v>
      </c>
    </row>
    <row r="20" spans="1:8" x14ac:dyDescent="0.25">
      <c r="A20" s="11" t="s">
        <v>14</v>
      </c>
      <c r="B20" s="12"/>
      <c r="C20" s="19"/>
      <c r="D20" s="20"/>
      <c r="E20" s="18"/>
      <c r="F20" s="18"/>
      <c r="G20" s="18"/>
      <c r="H20" s="18"/>
    </row>
    <row r="21" spans="1:8" x14ac:dyDescent="0.25">
      <c r="A21" s="1"/>
      <c r="B21" s="7" t="s">
        <v>32</v>
      </c>
      <c r="C21" s="19">
        <v>610</v>
      </c>
      <c r="D21" s="20">
        <v>1000</v>
      </c>
      <c r="E21" s="18">
        <f>C21*D21</f>
        <v>610000</v>
      </c>
      <c r="F21" s="18">
        <f>E21*(1+$F$2)</f>
        <v>622200</v>
      </c>
      <c r="G21" s="18">
        <f>F21*(1+$G$2)</f>
        <v>634644</v>
      </c>
      <c r="H21" s="18">
        <f>G21*(1+$H$2)</f>
        <v>647336.88</v>
      </c>
    </row>
    <row r="22" spans="1:8" x14ac:dyDescent="0.25">
      <c r="B22" s="7" t="s">
        <v>33</v>
      </c>
      <c r="C22" s="19">
        <v>194</v>
      </c>
      <c r="D22" s="20">
        <v>25</v>
      </c>
      <c r="E22" s="18">
        <f>C22*D22</f>
        <v>4850</v>
      </c>
      <c r="F22" s="18">
        <f>E22*(1+$F$2)</f>
        <v>4947</v>
      </c>
      <c r="G22" s="18">
        <f>F22*(1+$G$2)</f>
        <v>5045.9400000000005</v>
      </c>
      <c r="H22" s="18">
        <f>G22*(1+$H$2)</f>
        <v>5146.8588000000009</v>
      </c>
    </row>
    <row r="23" spans="1:8" x14ac:dyDescent="0.25">
      <c r="A23" s="11" t="s">
        <v>11</v>
      </c>
      <c r="B23" s="12"/>
      <c r="C23" s="19"/>
      <c r="D23" s="20"/>
      <c r="E23" s="18"/>
      <c r="F23" s="18"/>
      <c r="G23" s="18"/>
      <c r="H23" s="18"/>
    </row>
    <row r="24" spans="1:8" x14ac:dyDescent="0.25">
      <c r="A24" s="1"/>
      <c r="B24" s="7" t="s">
        <v>34</v>
      </c>
      <c r="C24" s="19">
        <v>70</v>
      </c>
      <c r="D24" s="20">
        <v>500</v>
      </c>
      <c r="E24" s="23">
        <f>C24*D24</f>
        <v>35000</v>
      </c>
      <c r="F24" s="23">
        <f>(C24*(D24+D25))</f>
        <v>70000</v>
      </c>
      <c r="G24" s="23">
        <f>C24*1500</f>
        <v>105000</v>
      </c>
      <c r="H24" s="23">
        <f>C24*2000</f>
        <v>140000</v>
      </c>
    </row>
    <row r="25" spans="1:8" x14ac:dyDescent="0.25">
      <c r="A25" s="1"/>
      <c r="B25" s="21" t="s">
        <v>35</v>
      </c>
      <c r="C25" s="19">
        <v>108</v>
      </c>
      <c r="D25" s="20">
        <v>500</v>
      </c>
      <c r="E25" s="23">
        <f>C25*D25*(1+E2)</f>
        <v>55080</v>
      </c>
      <c r="F25" s="23">
        <f>(C25*(D25+D24))*(1+E2)*(1+F2)</f>
        <v>112363.2</v>
      </c>
      <c r="G25" s="23">
        <f>C25*1500*(1+E2)*(1+F2)*(1+G2)</f>
        <v>171915.69600000003</v>
      </c>
      <c r="H25" s="23">
        <f>C25*2000*(1+F2)*(1+G2)*(1+H2)*(1+E2)</f>
        <v>233805.34655999998</v>
      </c>
    </row>
    <row r="26" spans="1:8" x14ac:dyDescent="0.25">
      <c r="A26" s="11" t="s">
        <v>10</v>
      </c>
      <c r="B26" s="12"/>
      <c r="C26" s="22"/>
      <c r="D26" s="18"/>
      <c r="E26" s="18"/>
      <c r="F26" s="18"/>
      <c r="G26" s="18"/>
      <c r="H26" s="18"/>
    </row>
    <row r="27" spans="1:8" x14ac:dyDescent="0.25">
      <c r="A27" s="1"/>
      <c r="B27" s="7" t="s">
        <v>36</v>
      </c>
      <c r="C27" s="22">
        <v>110</v>
      </c>
      <c r="D27" s="18">
        <v>1000</v>
      </c>
      <c r="E27" s="23">
        <f>$C$27*$D$27*(1+E2)</f>
        <v>112200</v>
      </c>
      <c r="F27" s="23">
        <f>$C$27*$D$27*(1+F2)*(1+E2)</f>
        <v>114444</v>
      </c>
      <c r="G27" s="23">
        <f>$C$27*$D$27*(1+G2)*(1+F2)*(1+E2)</f>
        <v>116732.88</v>
      </c>
      <c r="H27" s="23">
        <f>$C$27*$D$27*(1+H2)*(1+G2)*(1+F2)*(1+E2)</f>
        <v>119067.53760000001</v>
      </c>
    </row>
    <row r="28" spans="1:8" x14ac:dyDescent="0.25">
      <c r="A28" s="1"/>
      <c r="B28" s="6" t="s">
        <v>37</v>
      </c>
      <c r="C28" s="22">
        <v>44</v>
      </c>
      <c r="D28" s="18">
        <v>9000</v>
      </c>
      <c r="E28" s="23">
        <f>$C$28*D28*(1+E2)</f>
        <v>403920</v>
      </c>
      <c r="F28" s="23">
        <f>$C$28*10000*(1+F2)*(1+E2)</f>
        <v>457776</v>
      </c>
      <c r="G28" s="23">
        <f>$C$28*11000*(1+G2)*(1+F2)*(1+E2)</f>
        <v>513624.67200000002</v>
      </c>
      <c r="H28" s="23">
        <f>$C$28*12000*(1+H2)*(1+G2)*(1+F2)*(1+E2)</f>
        <v>571524.18047999986</v>
      </c>
    </row>
    <row r="29" spans="1:8" x14ac:dyDescent="0.25">
      <c r="A29" s="1"/>
      <c r="B29" s="6" t="s">
        <v>17</v>
      </c>
      <c r="C29" s="22">
        <v>20</v>
      </c>
      <c r="D29" s="18">
        <v>12044</v>
      </c>
      <c r="E29" s="23">
        <f>$C$29*$D$29*(1+E2)</f>
        <v>245697.6</v>
      </c>
      <c r="F29" s="23">
        <f>$C$29*$D$29*(1+F2)*(1+E2)</f>
        <v>250611.552</v>
      </c>
      <c r="G29" s="23">
        <f>$C$29*$D$29*(1+G2)*(1+F2)*(1+E2)</f>
        <v>255623.78304000001</v>
      </c>
      <c r="H29" s="23">
        <f>$C$29*$D$29*(1+H2)*(1+G2)*(1+F2)*(1+E2)</f>
        <v>260736.25870080001</v>
      </c>
    </row>
    <row r="30" spans="1:8" x14ac:dyDescent="0.25">
      <c r="A30" s="1"/>
      <c r="B30" s="6" t="s">
        <v>18</v>
      </c>
      <c r="C30" s="22">
        <v>10</v>
      </c>
      <c r="D30" s="18">
        <v>9020</v>
      </c>
      <c r="E30" s="23">
        <f>$C$30*$D$30*(1+E2)</f>
        <v>92004</v>
      </c>
      <c r="F30" s="23">
        <f>$C$30*$D$30*(1+F2)*(1+E2)</f>
        <v>93844.08</v>
      </c>
      <c r="G30" s="23">
        <f>$C$30*$D$30*(1+G2)*(1+F2)*(1+E2)</f>
        <v>95720.96160000001</v>
      </c>
      <c r="H30" s="23">
        <f>$C$30*$D$30*(1+H2)*(1+G2)*(1+F2)*(1+E2)</f>
        <v>97635.38083200001</v>
      </c>
    </row>
    <row r="31" spans="1:8" x14ac:dyDescent="0.25">
      <c r="A31" s="1"/>
      <c r="B31" s="21" t="s">
        <v>19</v>
      </c>
      <c r="C31" s="22"/>
      <c r="D31" s="18"/>
      <c r="E31" s="18">
        <v>1000000</v>
      </c>
      <c r="F31" s="18">
        <f>E31*(1+$F$2)</f>
        <v>1020000</v>
      </c>
      <c r="G31" s="18">
        <f>F31*(1+$G$2)</f>
        <v>1040400</v>
      </c>
      <c r="H31" s="18">
        <f>G31*(1+$H$2)</f>
        <v>1061208</v>
      </c>
    </row>
    <row r="32" spans="1:8" x14ac:dyDescent="0.25">
      <c r="A32" s="11" t="s">
        <v>16</v>
      </c>
      <c r="B32" s="12"/>
      <c r="C32" s="22"/>
      <c r="D32" s="18"/>
      <c r="E32" s="18"/>
      <c r="F32" s="18"/>
      <c r="G32" s="18"/>
      <c r="H32" s="18"/>
    </row>
    <row r="33" spans="1:8" ht="15.75" thickBot="1" x14ac:dyDescent="0.3">
      <c r="A33" s="1"/>
      <c r="B33" s="7" t="s">
        <v>38</v>
      </c>
      <c r="C33" s="24">
        <v>624</v>
      </c>
      <c r="D33" s="25">
        <v>50</v>
      </c>
      <c r="E33" s="26">
        <f>(($C$33*D33)+2000)*(1+E2)+5000</f>
        <v>38864</v>
      </c>
      <c r="F33" s="26">
        <f>(($C$33*100)+2000)*(1+F2)*(1+E2)</f>
        <v>67001.759999999995</v>
      </c>
      <c r="G33" s="26">
        <f>(($C$33*150)+2000)*(1+G2)*(1+F2)*(1+E2)</f>
        <v>101451.48480000001</v>
      </c>
      <c r="H33" s="26">
        <f>(($C$33*200)+2000)*(1+H2)*(1+G2)*(1+F2)*(1+E2)</f>
        <v>137252.39788800001</v>
      </c>
    </row>
    <row r="34" spans="1:8" ht="15.75" thickBot="1" x14ac:dyDescent="0.3">
      <c r="B34" s="27" t="s">
        <v>15</v>
      </c>
      <c r="C34" s="28"/>
      <c r="D34" s="29"/>
      <c r="E34" s="30">
        <f>SUM(E5:E33)</f>
        <v>7775663.5999999996</v>
      </c>
      <c r="F34" s="30">
        <f>SUM(F5:F33)</f>
        <v>8094796.5520000001</v>
      </c>
      <c r="G34" s="30">
        <f>SUM(G5:G33)</f>
        <v>8427400.556640001</v>
      </c>
      <c r="H34" s="30">
        <f>SUM(H5:H33)</f>
        <v>8768698.8028447982</v>
      </c>
    </row>
    <row r="36" spans="1:8" x14ac:dyDescent="0.25">
      <c r="B36" s="31"/>
    </row>
    <row r="37" spans="1:8" x14ac:dyDescent="0.25">
      <c r="B37" s="31"/>
    </row>
    <row r="39" spans="1:8" x14ac:dyDescent="0.25">
      <c r="B39" s="32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17E24C-CCCF-4A82-ACA7-697EED4187AB}"/>
</file>

<file path=customXml/itemProps2.xml><?xml version="1.0" encoding="utf-8"?>
<ds:datastoreItem xmlns:ds="http://schemas.openxmlformats.org/officeDocument/2006/customXml" ds:itemID="{2C86DE90-9075-47D3-86FC-06469590B99C}"/>
</file>

<file path=customXml/itemProps3.xml><?xml version="1.0" encoding="utf-8"?>
<ds:datastoreItem xmlns:ds="http://schemas.openxmlformats.org/officeDocument/2006/customXml" ds:itemID="{A13E1C02-B59C-4810-A8DD-992B74720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</dc:creator>
  <cp:lastModifiedBy>Scott Drake</cp:lastModifiedBy>
  <cp:lastPrinted>2024-11-06T20:49:34Z</cp:lastPrinted>
  <dcterms:created xsi:type="dcterms:W3CDTF">2010-08-16T18:49:27Z</dcterms:created>
  <dcterms:modified xsi:type="dcterms:W3CDTF">2025-01-21T16:33:20Z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