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Honaker Law Office\Clients\01640 - East Kentucky Power\0032 - Cooper Combined Cycle\Drafts\Responses Joint Intervenor 1\Final for Filing\"/>
    </mc:Choice>
  </mc:AlternateContent>
  <xr:revisionPtr revIDLastSave="0" documentId="8_{EA36A570-9D0F-4660-B4A9-3F5BB83C7BA3}" xr6:coauthVersionLast="47" xr6:coauthVersionMax="47" xr10:uidLastSave="{00000000-0000-0000-0000-000000000000}"/>
  <bookViews>
    <workbookView xWindow="2240" yWindow="2240" windowWidth="17670" windowHeight="121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G54" i="1" l="1"/>
  <c r="G58" i="1" l="1"/>
  <c r="G61" i="1"/>
  <c r="G73" i="1" l="1"/>
  <c r="E74" i="1" s="1"/>
  <c r="G40" i="1"/>
  <c r="G39" i="1"/>
  <c r="G38" i="1"/>
  <c r="G33" i="1"/>
  <c r="G31" i="1"/>
  <c r="G30" i="1"/>
  <c r="E29" i="1" l="1"/>
  <c r="E28" i="1"/>
  <c r="E34" i="1"/>
  <c r="G34" i="1" s="1"/>
  <c r="E32" i="1"/>
  <c r="G32" i="1" s="1"/>
  <c r="G28" i="1" l="1"/>
  <c r="G42" i="1" s="1"/>
  <c r="E17" i="1"/>
  <c r="E42" i="1" l="1"/>
  <c r="E75" i="1" s="1"/>
  <c r="G75" i="1"/>
  <c r="E18" i="1"/>
  <c r="E20" i="1"/>
  <c r="E19" i="1"/>
  <c r="E21" i="1"/>
  <c r="E22" i="1"/>
  <c r="E23" i="1"/>
  <c r="E43" i="1" l="1"/>
</calcChain>
</file>

<file path=xl/sharedStrings.xml><?xml version="1.0" encoding="utf-8"?>
<sst xmlns="http://schemas.openxmlformats.org/spreadsheetml/2006/main" count="153" uniqueCount="106">
  <si>
    <t>Spurlock Station</t>
  </si>
  <si>
    <t>Review of O&amp;M Costs for CoFiring Natural Gas Conversion</t>
  </si>
  <si>
    <t>Updated as of 10/03/2024</t>
  </si>
  <si>
    <t>Estimated Changes</t>
  </si>
  <si>
    <t>2023 Estimate</t>
  </si>
  <si>
    <t>Estimated Change</t>
  </si>
  <si>
    <t>Labor Changes</t>
  </si>
  <si>
    <t>Unit 1</t>
  </si>
  <si>
    <t>Station</t>
  </si>
  <si>
    <t>Head Counts</t>
  </si>
  <si>
    <t>no changes</t>
  </si>
  <si>
    <t>Operations</t>
  </si>
  <si>
    <t>Env Ops</t>
  </si>
  <si>
    <t>Env Ops Maint</t>
  </si>
  <si>
    <t>Maintenance</t>
  </si>
  <si>
    <t>Mgt &amp; Engineering</t>
  </si>
  <si>
    <t>2023 Est</t>
  </si>
  <si>
    <t>Est Change</t>
  </si>
  <si>
    <t>General Administrative Costs</t>
  </si>
  <si>
    <t>Travel/Training</t>
  </si>
  <si>
    <t>no change</t>
  </si>
  <si>
    <t>Operating Supplies</t>
  </si>
  <si>
    <t>Lab Supplies / Chemicals</t>
  </si>
  <si>
    <t>* 75% of capacity drop; no change on coal usage</t>
  </si>
  <si>
    <t>Utilities</t>
  </si>
  <si>
    <t>Equipment Rental/Service Agreements</t>
  </si>
  <si>
    <t>Outside Consultants</t>
  </si>
  <si>
    <t>Other Misc Operations</t>
  </si>
  <si>
    <t>Explaination</t>
  </si>
  <si>
    <t>Generation Driven</t>
  </si>
  <si>
    <t>Diesel Fuel - Fuel Handling Equip</t>
  </si>
  <si>
    <t>25% drop, with 50% coal usage</t>
  </si>
  <si>
    <t>Hydrogen and Carbon Dioxide</t>
  </si>
  <si>
    <t>Ash Storage Operations</t>
  </si>
  <si>
    <t>Plan at current rates no discount; 50% tonnage decrease because of less coal</t>
  </si>
  <si>
    <t>Ammonia</t>
  </si>
  <si>
    <t>25% decrease due to coal decrease; one to one decrease due to capacity</t>
  </si>
  <si>
    <t>Lime</t>
  </si>
  <si>
    <t>50% decrease due to coal usage; one to one decrease due to capacity</t>
  </si>
  <si>
    <t>Limestone</t>
  </si>
  <si>
    <t>Mag Ox</t>
  </si>
  <si>
    <t>Chemicals-Environmental</t>
  </si>
  <si>
    <t>Calcium Bromide</t>
  </si>
  <si>
    <t>Reimission</t>
  </si>
  <si>
    <t>will decrease if planned offline increases; change unkown</t>
  </si>
  <si>
    <t>DSI-Hyd Lime</t>
  </si>
  <si>
    <t>WWT-Hyd Lime</t>
  </si>
  <si>
    <t>Other Chemicals</t>
  </si>
  <si>
    <t>Water Mass Balance Pond</t>
  </si>
  <si>
    <t xml:space="preserve"> </t>
  </si>
  <si>
    <t>2023 Actual</t>
  </si>
  <si>
    <t>Maintenance (Bdgt Code 3000 only)</t>
  </si>
  <si>
    <t>511000 - Maintenance of Structures</t>
  </si>
  <si>
    <t>03100</t>
  </si>
  <si>
    <t>Routine Structure Maintenance</t>
  </si>
  <si>
    <t>No changes</t>
  </si>
  <si>
    <t>03110</t>
  </si>
  <si>
    <t>Plant Water Supply/Drain Systems</t>
  </si>
  <si>
    <t>03115</t>
  </si>
  <si>
    <t>Fire Protection Systems</t>
  </si>
  <si>
    <t>03135</t>
  </si>
  <si>
    <t>Elevators and Cranes</t>
  </si>
  <si>
    <t>512000 - Maintenance of Boiler</t>
  </si>
  <si>
    <t>03200</t>
  </si>
  <si>
    <t xml:space="preserve">Boiler Plant Maintenance </t>
  </si>
  <si>
    <t>Some Annual Outage Savings - All 4 Units</t>
  </si>
  <si>
    <t>03206</t>
  </si>
  <si>
    <t>Boiler Pollution Cntrl Equip</t>
  </si>
  <si>
    <t>Some Annual Outage Savings; Major Maint- U3/U4 Limestone Mill Rebuild</t>
  </si>
  <si>
    <t>03330</t>
  </si>
  <si>
    <t>Electricostatic Precipitator</t>
  </si>
  <si>
    <t>03350</t>
  </si>
  <si>
    <t>Bag House, SNCR, &amp; FDA</t>
  </si>
  <si>
    <t>03351</t>
  </si>
  <si>
    <t>Ammonia Handling System</t>
  </si>
  <si>
    <t>03470</t>
  </si>
  <si>
    <t>Rtn Misc Coal Handling</t>
  </si>
  <si>
    <t>Some Annual Outage Savings; Major Maint - Digging Ladder Chains and Buckets</t>
  </si>
  <si>
    <t>03471</t>
  </si>
  <si>
    <t>Material Handling System</t>
  </si>
  <si>
    <t>Some Annual Savings</t>
  </si>
  <si>
    <t>03477</t>
  </si>
  <si>
    <t>Mobile Equipment</t>
  </si>
  <si>
    <t>03501</t>
  </si>
  <si>
    <t>SCR Mainteanance</t>
  </si>
  <si>
    <t>Major Maint - SCR Catalyst Layer Replacement for U1/U2</t>
  </si>
  <si>
    <t>03505</t>
  </si>
  <si>
    <t>Landfill Maintenance</t>
  </si>
  <si>
    <t>03510</t>
  </si>
  <si>
    <t>Ash System Maintenance</t>
  </si>
  <si>
    <t>03515</t>
  </si>
  <si>
    <t>CCR/ELG Ash System Maint</t>
  </si>
  <si>
    <t>03521</t>
  </si>
  <si>
    <t>Scrubber Maint</t>
  </si>
  <si>
    <t>Some Annual Outage Savings - U1/U2</t>
  </si>
  <si>
    <t>03525</t>
  </si>
  <si>
    <t>Waste Water Treatment Maint</t>
  </si>
  <si>
    <t>03540</t>
  </si>
  <si>
    <t>DSI System</t>
  </si>
  <si>
    <t>03550</t>
  </si>
  <si>
    <t>Reboilers and Auxiliaries</t>
  </si>
  <si>
    <t>513000 - Maint of Electric Plant/Steam Generation</t>
  </si>
  <si>
    <t>03700</t>
  </si>
  <si>
    <t>Turbine/Cooling Tower  Maint</t>
  </si>
  <si>
    <t>03725</t>
  </si>
  <si>
    <t>Turbine Overhaul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</si>
</sst>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left" indent="3"/>
    </xf>
    <xf numFmtId="164" fontId="3" fillId="0" borderId="0" xfId="1" applyNumberFormat="1" applyFont="1"/>
    <xf numFmtId="164" fontId="3" fillId="2" borderId="1" xfId="1" applyNumberFormat="1" applyFont="1" applyFill="1" applyBorder="1" applyAlignment="1">
      <alignment horizontal="center"/>
    </xf>
    <xf numFmtId="164" fontId="3" fillId="2" borderId="0" xfId="1" applyNumberFormat="1" applyFont="1" applyFill="1"/>
    <xf numFmtId="0" fontId="0" fillId="0" borderId="0" xfId="0" quotePrefix="1" applyAlignment="1">
      <alignment horizontal="right" indent="1"/>
    </xf>
    <xf numFmtId="0" fontId="0" fillId="0" borderId="0" xfId="0" applyAlignment="1">
      <alignment horizontal="right" indent="1"/>
    </xf>
    <xf numFmtId="164" fontId="3" fillId="2" borderId="0" xfId="1" quotePrefix="1" applyNumberFormat="1" applyFont="1" applyFill="1" applyAlignment="1">
      <alignment horizontal="center"/>
    </xf>
    <xf numFmtId="164" fontId="3" fillId="0" borderId="0" xfId="1" applyNumberFormat="1" applyFont="1" applyFill="1"/>
    <xf numFmtId="16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5" fillId="4" borderId="0" xfId="1" applyNumberFormat="1" applyFont="1" applyFill="1"/>
    <xf numFmtId="164" fontId="5" fillId="4" borderId="1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4" fontId="5" fillId="4" borderId="0" xfId="1" applyFont="1" applyFill="1"/>
    <xf numFmtId="165" fontId="3" fillId="0" borderId="0" xfId="1" applyNumberFormat="1" applyFont="1"/>
    <xf numFmtId="9" fontId="3" fillId="5" borderId="0" xfId="2" applyFont="1" applyFill="1"/>
    <xf numFmtId="166" fontId="3" fillId="5" borderId="0" xfId="2" applyNumberFormat="1" applyFont="1" applyFill="1"/>
    <xf numFmtId="164" fontId="3" fillId="2" borderId="0" xfId="1" applyNumberFormat="1" applyFont="1" applyFill="1" applyAlignment="1">
      <alignment horizontal="center"/>
    </xf>
    <xf numFmtId="164" fontId="5" fillId="5" borderId="0" xfId="1" applyNumberFormat="1" applyFont="1" applyFill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48" sqref="J48"/>
    </sheetView>
  </sheetViews>
  <sheetFormatPr defaultRowHeight="14.5" outlineLevelRow="1" x14ac:dyDescent="0.35"/>
  <cols>
    <col min="1" max="1" width="10.7265625" customWidth="1"/>
    <col min="2" max="2" width="33" customWidth="1"/>
    <col min="3" max="3" width="69.453125" bestFit="1" customWidth="1"/>
    <col min="4" max="4" width="7.81640625" customWidth="1"/>
    <col min="5" max="5" width="18.54296875" style="9" customWidth="1"/>
    <col min="7" max="7" width="18.81640625" style="18" customWidth="1"/>
    <col min="8" max="8" width="13.26953125" style="15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4" t="s">
        <v>2</v>
      </c>
    </row>
    <row r="5" spans="1:8" x14ac:dyDescent="0.35">
      <c r="A5" s="1" t="s">
        <v>3</v>
      </c>
      <c r="E5" s="25" t="s">
        <v>4</v>
      </c>
      <c r="G5" s="20" t="s">
        <v>5</v>
      </c>
      <c r="H5"/>
    </row>
    <row r="6" spans="1:8" hidden="1" outlineLevel="1" x14ac:dyDescent="0.35">
      <c r="A6" s="5" t="s">
        <v>6</v>
      </c>
      <c r="B6" s="6"/>
      <c r="C6" s="7" t="s">
        <v>7</v>
      </c>
      <c r="E6" s="10" t="s">
        <v>8</v>
      </c>
      <c r="G6" s="19" t="s">
        <v>8</v>
      </c>
      <c r="H6" s="16"/>
    </row>
    <row r="7" spans="1:8" hidden="1" outlineLevel="1" x14ac:dyDescent="0.35">
      <c r="A7" s="3" t="s">
        <v>9</v>
      </c>
      <c r="C7" t="s">
        <v>10</v>
      </c>
      <c r="E7" s="11">
        <v>0</v>
      </c>
      <c r="G7" s="18">
        <v>0</v>
      </c>
    </row>
    <row r="8" spans="1:8" hidden="1" outlineLevel="1" x14ac:dyDescent="0.35">
      <c r="A8" s="2" t="s">
        <v>11</v>
      </c>
      <c r="C8" t="s">
        <v>10</v>
      </c>
      <c r="E8" s="11">
        <v>0</v>
      </c>
      <c r="G8" s="18">
        <v>0</v>
      </c>
    </row>
    <row r="9" spans="1:8" hidden="1" outlineLevel="1" x14ac:dyDescent="0.35">
      <c r="A9" s="2" t="s">
        <v>12</v>
      </c>
      <c r="C9" t="s">
        <v>10</v>
      </c>
      <c r="E9" s="11">
        <v>0</v>
      </c>
      <c r="G9" s="18">
        <v>0</v>
      </c>
    </row>
    <row r="10" spans="1:8" hidden="1" outlineLevel="1" x14ac:dyDescent="0.35">
      <c r="A10" s="2" t="s">
        <v>13</v>
      </c>
      <c r="C10" t="s">
        <v>10</v>
      </c>
      <c r="E10" s="11">
        <v>0</v>
      </c>
      <c r="G10" s="18">
        <v>0</v>
      </c>
    </row>
    <row r="11" spans="1:8" hidden="1" outlineLevel="1" x14ac:dyDescent="0.35">
      <c r="A11" s="2" t="s">
        <v>14</v>
      </c>
      <c r="C11" t="s">
        <v>10</v>
      </c>
      <c r="E11" s="11">
        <v>0</v>
      </c>
      <c r="G11" s="18">
        <v>0</v>
      </c>
    </row>
    <row r="12" spans="1:8" hidden="1" outlineLevel="1" x14ac:dyDescent="0.35">
      <c r="A12" s="2" t="s">
        <v>15</v>
      </c>
      <c r="C12" t="s">
        <v>10</v>
      </c>
      <c r="E12" s="11">
        <v>0</v>
      </c>
      <c r="G12" s="18">
        <v>0</v>
      </c>
    </row>
    <row r="13" spans="1:8" hidden="1" outlineLevel="1" x14ac:dyDescent="0.35">
      <c r="E13" s="11"/>
    </row>
    <row r="14" spans="1:8" hidden="1" outlineLevel="1" x14ac:dyDescent="0.35">
      <c r="E14" s="14" t="s">
        <v>16</v>
      </c>
      <c r="G14" s="20" t="s">
        <v>17</v>
      </c>
      <c r="H14" s="17"/>
    </row>
    <row r="15" spans="1:8" hidden="1" outlineLevel="1" x14ac:dyDescent="0.35">
      <c r="A15" s="5" t="s">
        <v>11</v>
      </c>
      <c r="B15" s="6"/>
      <c r="C15" s="7" t="s">
        <v>7</v>
      </c>
      <c r="E15" s="10" t="s">
        <v>8</v>
      </c>
      <c r="G15" s="19" t="s">
        <v>8</v>
      </c>
      <c r="H15" s="16"/>
    </row>
    <row r="16" spans="1:8" hidden="1" outlineLevel="1" x14ac:dyDescent="0.35">
      <c r="A16" s="3" t="s">
        <v>18</v>
      </c>
      <c r="E16" s="11"/>
    </row>
    <row r="17" spans="1:8" hidden="1" outlineLevel="1" x14ac:dyDescent="0.35">
      <c r="A17" s="2" t="s">
        <v>19</v>
      </c>
      <c r="C17" t="s">
        <v>20</v>
      </c>
      <c r="E17" s="11" t="e">
        <f>SUM(#REF!)</f>
        <v>#REF!</v>
      </c>
      <c r="G17" s="18">
        <v>0</v>
      </c>
    </row>
    <row r="18" spans="1:8" hidden="1" outlineLevel="1" x14ac:dyDescent="0.35">
      <c r="A18" s="2" t="s">
        <v>21</v>
      </c>
      <c r="C18" t="s">
        <v>20</v>
      </c>
      <c r="E18" s="11" t="e">
        <f>SUM(#REF!)</f>
        <v>#REF!</v>
      </c>
      <c r="G18" s="18">
        <v>0</v>
      </c>
    </row>
    <row r="19" spans="1:8" hidden="1" outlineLevel="1" x14ac:dyDescent="0.35">
      <c r="A19" s="2" t="s">
        <v>22</v>
      </c>
      <c r="C19" t="s">
        <v>23</v>
      </c>
      <c r="E19" s="11" t="e">
        <f>SUM(#REF!)</f>
        <v>#REF!</v>
      </c>
      <c r="G19" s="18">
        <v>0</v>
      </c>
    </row>
    <row r="20" spans="1:8" hidden="1" outlineLevel="1" x14ac:dyDescent="0.35">
      <c r="A20" s="2" t="s">
        <v>24</v>
      </c>
      <c r="C20" t="s">
        <v>20</v>
      </c>
      <c r="E20" s="11" t="e">
        <f>SUM(#REF!)</f>
        <v>#REF!</v>
      </c>
      <c r="G20" s="18">
        <v>0</v>
      </c>
    </row>
    <row r="21" spans="1:8" hidden="1" outlineLevel="1" x14ac:dyDescent="0.35">
      <c r="A21" s="2" t="s">
        <v>25</v>
      </c>
      <c r="C21" t="s">
        <v>20</v>
      </c>
      <c r="E21" s="11" t="e">
        <f>SUM(#REF!)</f>
        <v>#REF!</v>
      </c>
      <c r="G21" s="18">
        <v>0</v>
      </c>
    </row>
    <row r="22" spans="1:8" hidden="1" outlineLevel="1" x14ac:dyDescent="0.35">
      <c r="A22" s="2" t="s">
        <v>26</v>
      </c>
      <c r="C22" t="s">
        <v>20</v>
      </c>
      <c r="E22" s="11" t="e">
        <f>SUM(#REF!)</f>
        <v>#REF!</v>
      </c>
      <c r="G22" s="18">
        <v>0</v>
      </c>
    </row>
    <row r="23" spans="1:8" hidden="1" outlineLevel="1" x14ac:dyDescent="0.35">
      <c r="A23" s="2" t="s">
        <v>27</v>
      </c>
      <c r="C23" t="s">
        <v>20</v>
      </c>
      <c r="E23" s="11" t="e">
        <f>SUM(#REF!)</f>
        <v>#REF!</v>
      </c>
      <c r="G23" s="18">
        <v>0</v>
      </c>
    </row>
    <row r="24" spans="1:8" hidden="1" outlineLevel="1" x14ac:dyDescent="0.35">
      <c r="E24" s="11"/>
    </row>
    <row r="25" spans="1:8" hidden="1" outlineLevel="1" x14ac:dyDescent="0.35">
      <c r="E25" s="14" t="s">
        <v>16</v>
      </c>
      <c r="G25" s="20" t="s">
        <v>17</v>
      </c>
      <c r="H25" s="17"/>
    </row>
    <row r="26" spans="1:8" collapsed="1" x14ac:dyDescent="0.35">
      <c r="A26" s="5" t="s">
        <v>11</v>
      </c>
      <c r="B26" s="6"/>
      <c r="C26" s="7" t="s">
        <v>28</v>
      </c>
      <c r="E26" s="10" t="s">
        <v>8</v>
      </c>
      <c r="G26" s="19" t="s">
        <v>8</v>
      </c>
      <c r="H26" s="27"/>
    </row>
    <row r="27" spans="1:8" x14ac:dyDescent="0.35">
      <c r="A27" s="3" t="s">
        <v>29</v>
      </c>
      <c r="E27" s="11"/>
      <c r="H27" s="27"/>
    </row>
    <row r="28" spans="1:8" x14ac:dyDescent="0.35">
      <c r="A28" s="2" t="s">
        <v>30</v>
      </c>
      <c r="C28" t="s">
        <v>31</v>
      </c>
      <c r="E28" s="11">
        <f>345884*1</f>
        <v>345884</v>
      </c>
      <c r="G28" s="18">
        <f>+-(0.25)*E28</f>
        <v>-86471</v>
      </c>
      <c r="H28" s="27"/>
    </row>
    <row r="29" spans="1:8" x14ac:dyDescent="0.35">
      <c r="A29" s="2" t="s">
        <v>32</v>
      </c>
      <c r="C29" t="s">
        <v>20</v>
      </c>
      <c r="E29" s="11">
        <f>36889*1</f>
        <v>36889</v>
      </c>
      <c r="G29" s="18">
        <v>0</v>
      </c>
      <c r="H29" s="27"/>
    </row>
    <row r="30" spans="1:8" x14ac:dyDescent="0.35">
      <c r="A30" s="2" t="s">
        <v>33</v>
      </c>
      <c r="C30" t="s">
        <v>34</v>
      </c>
      <c r="E30" s="11">
        <v>6530022</v>
      </c>
      <c r="G30" s="18">
        <f>+-(0.5)*E30</f>
        <v>-3265011</v>
      </c>
      <c r="H30" s="27"/>
    </row>
    <row r="31" spans="1:8" x14ac:dyDescent="0.35">
      <c r="A31" s="2" t="s">
        <v>35</v>
      </c>
      <c r="C31" t="s">
        <v>36</v>
      </c>
      <c r="E31" s="11">
        <v>2303976.0191037022</v>
      </c>
      <c r="G31" s="18">
        <f>+-(0.25)*E31</f>
        <v>-575994.00477592554</v>
      </c>
      <c r="H31" s="27"/>
    </row>
    <row r="32" spans="1:8" x14ac:dyDescent="0.35">
      <c r="A32" s="2" t="s">
        <v>37</v>
      </c>
      <c r="C32" t="s">
        <v>38</v>
      </c>
      <c r="E32" s="11">
        <f>91001*1.05</f>
        <v>95551.05</v>
      </c>
      <c r="G32" s="21">
        <f>+-(0.5)*E32</f>
        <v>-47775.525000000001</v>
      </c>
      <c r="H32" s="27"/>
    </row>
    <row r="33" spans="1:8" x14ac:dyDescent="0.35">
      <c r="A33" s="2" t="s">
        <v>39</v>
      </c>
      <c r="C33" t="s">
        <v>38</v>
      </c>
      <c r="E33" s="11">
        <v>11652285</v>
      </c>
      <c r="G33" s="18">
        <f>+-(0.5)*E33</f>
        <v>-5826142.5</v>
      </c>
      <c r="H33" s="27"/>
    </row>
    <row r="34" spans="1:8" x14ac:dyDescent="0.35">
      <c r="A34" s="2" t="s">
        <v>40</v>
      </c>
      <c r="C34" t="s">
        <v>38</v>
      </c>
      <c r="E34" s="11">
        <f>344078*1.05</f>
        <v>361281.9</v>
      </c>
      <c r="G34" s="18">
        <f>+-(0.5)*E34</f>
        <v>-180640.95</v>
      </c>
      <c r="H34" s="27"/>
    </row>
    <row r="35" spans="1:8" x14ac:dyDescent="0.35">
      <c r="A35" s="2" t="s">
        <v>41</v>
      </c>
      <c r="E35" s="11"/>
      <c r="H35" s="27"/>
    </row>
    <row r="36" spans="1:8" x14ac:dyDescent="0.35">
      <c r="A36" s="8" t="s">
        <v>42</v>
      </c>
      <c r="C36" t="s">
        <v>20</v>
      </c>
      <c r="E36" s="11">
        <v>15000</v>
      </c>
      <c r="G36" s="18">
        <v>0</v>
      </c>
      <c r="H36" s="27"/>
    </row>
    <row r="37" spans="1:8" x14ac:dyDescent="0.35">
      <c r="A37" s="8" t="s">
        <v>43</v>
      </c>
      <c r="C37" t="s">
        <v>44</v>
      </c>
      <c r="E37" s="11">
        <v>664700</v>
      </c>
      <c r="G37" s="18">
        <v>0</v>
      </c>
      <c r="H37" s="27"/>
    </row>
    <row r="38" spans="1:8" x14ac:dyDescent="0.35">
      <c r="A38" s="8" t="s">
        <v>45</v>
      </c>
      <c r="C38" t="s">
        <v>38</v>
      </c>
      <c r="E38" s="11">
        <v>1098963.8073519391</v>
      </c>
      <c r="G38" s="18">
        <f>+-(0.5)*E38</f>
        <v>-549481.90367596957</v>
      </c>
      <c r="H38" s="27"/>
    </row>
    <row r="39" spans="1:8" x14ac:dyDescent="0.35">
      <c r="A39" s="8" t="s">
        <v>46</v>
      </c>
      <c r="C39" t="s">
        <v>38</v>
      </c>
      <c r="E39" s="11">
        <v>930285</v>
      </c>
      <c r="G39" s="18">
        <f>+-(0.5)*E39</f>
        <v>-465142.5</v>
      </c>
      <c r="H39" s="27"/>
    </row>
    <row r="40" spans="1:8" x14ac:dyDescent="0.35">
      <c r="A40" s="8" t="s">
        <v>47</v>
      </c>
      <c r="C40" t="s">
        <v>38</v>
      </c>
      <c r="E40" s="11">
        <v>327858.42280783993</v>
      </c>
      <c r="G40" s="18">
        <f>+-(0.5)*E40</f>
        <v>-163929.21140391997</v>
      </c>
      <c r="H40" s="27"/>
    </row>
    <row r="41" spans="1:8" x14ac:dyDescent="0.35">
      <c r="A41" s="8" t="s">
        <v>48</v>
      </c>
      <c r="C41" t="s">
        <v>20</v>
      </c>
      <c r="E41" s="11">
        <v>85000</v>
      </c>
      <c r="G41" s="18">
        <v>0</v>
      </c>
      <c r="H41" s="27"/>
    </row>
    <row r="42" spans="1:8" x14ac:dyDescent="0.35">
      <c r="D42" t="s">
        <v>49</v>
      </c>
      <c r="E42" s="9">
        <f>SUM(E28:E41)</f>
        <v>24447696.19926348</v>
      </c>
      <c r="G42" s="9">
        <f>SUM(G28:G41)</f>
        <v>-11160588.594855813</v>
      </c>
      <c r="H42" s="27"/>
    </row>
    <row r="43" spans="1:8" x14ac:dyDescent="0.35">
      <c r="E43" s="24">
        <f>G42/E42</f>
        <v>-0.45650880573327973</v>
      </c>
      <c r="H43" s="27"/>
    </row>
    <row r="44" spans="1:8" x14ac:dyDescent="0.35">
      <c r="E44" s="14" t="s">
        <v>50</v>
      </c>
      <c r="G44" s="20" t="s">
        <v>5</v>
      </c>
      <c r="H44" s="27"/>
    </row>
    <row r="45" spans="1:8" x14ac:dyDescent="0.35">
      <c r="A45" s="5" t="s">
        <v>51</v>
      </c>
      <c r="B45" s="6"/>
      <c r="C45" s="7" t="s">
        <v>28</v>
      </c>
      <c r="E45" s="10" t="s">
        <v>8</v>
      </c>
      <c r="G45" s="19" t="s">
        <v>8</v>
      </c>
      <c r="H45" s="27"/>
    </row>
    <row r="46" spans="1:8" x14ac:dyDescent="0.35">
      <c r="A46" s="3" t="s">
        <v>52</v>
      </c>
      <c r="E46" s="11"/>
      <c r="H46" s="27"/>
    </row>
    <row r="47" spans="1:8" x14ac:dyDescent="0.35">
      <c r="A47" s="12" t="s">
        <v>53</v>
      </c>
      <c r="B47" t="s">
        <v>54</v>
      </c>
      <c r="C47" t="s">
        <v>55</v>
      </c>
      <c r="E47" s="11">
        <v>2557574</v>
      </c>
      <c r="G47" s="18">
        <v>0</v>
      </c>
      <c r="H47" s="27"/>
    </row>
    <row r="48" spans="1:8" x14ac:dyDescent="0.35">
      <c r="A48" s="12" t="s">
        <v>56</v>
      </c>
      <c r="B48" t="s">
        <v>57</v>
      </c>
      <c r="C48" t="s">
        <v>55</v>
      </c>
      <c r="E48" s="11">
        <v>1065482</v>
      </c>
      <c r="G48" s="18">
        <v>0</v>
      </c>
      <c r="H48" s="27"/>
    </row>
    <row r="49" spans="1:8" x14ac:dyDescent="0.35">
      <c r="A49" s="12" t="s">
        <v>58</v>
      </c>
      <c r="B49" t="s">
        <v>59</v>
      </c>
      <c r="C49" t="s">
        <v>55</v>
      </c>
      <c r="E49" s="11">
        <v>-12092</v>
      </c>
      <c r="G49" s="18">
        <v>0</v>
      </c>
      <c r="H49" s="27"/>
    </row>
    <row r="50" spans="1:8" x14ac:dyDescent="0.35">
      <c r="A50" s="12" t="s">
        <v>60</v>
      </c>
      <c r="B50" t="s">
        <v>61</v>
      </c>
      <c r="C50" t="s">
        <v>55</v>
      </c>
      <c r="E50" s="11">
        <v>421363</v>
      </c>
      <c r="G50" s="18">
        <v>0</v>
      </c>
      <c r="H50" s="27"/>
    </row>
    <row r="51" spans="1:8" x14ac:dyDescent="0.35">
      <c r="A51" s="13"/>
      <c r="E51" s="11"/>
      <c r="H51" s="27"/>
    </row>
    <row r="52" spans="1:8" x14ac:dyDescent="0.35">
      <c r="A52" s="3" t="s">
        <v>62</v>
      </c>
      <c r="E52" s="11"/>
      <c r="H52" s="27"/>
    </row>
    <row r="53" spans="1:8" x14ac:dyDescent="0.35">
      <c r="A53" s="12" t="s">
        <v>63</v>
      </c>
      <c r="B53" t="s">
        <v>64</v>
      </c>
      <c r="C53" t="s">
        <v>65</v>
      </c>
      <c r="E53" s="11">
        <v>25479275.84</v>
      </c>
      <c r="G53" s="18">
        <v>-1438750</v>
      </c>
      <c r="H53" s="27"/>
    </row>
    <row r="54" spans="1:8" x14ac:dyDescent="0.35">
      <c r="A54" s="12" t="s">
        <v>66</v>
      </c>
      <c r="B54" t="s">
        <v>67</v>
      </c>
      <c r="C54" t="s">
        <v>68</v>
      </c>
      <c r="E54" s="11">
        <v>7517115.5599999996</v>
      </c>
      <c r="G54" s="18">
        <f>-150000-(300000/4-300000/6)</f>
        <v>-175000</v>
      </c>
      <c r="H54" s="27"/>
    </row>
    <row r="55" spans="1:8" x14ac:dyDescent="0.35">
      <c r="A55" s="12" t="s">
        <v>69</v>
      </c>
      <c r="B55" t="s">
        <v>70</v>
      </c>
      <c r="C55" t="s">
        <v>55</v>
      </c>
      <c r="E55" s="11">
        <v>1232568.94</v>
      </c>
      <c r="G55" s="18">
        <v>0</v>
      </c>
      <c r="H55" s="27"/>
    </row>
    <row r="56" spans="1:8" x14ac:dyDescent="0.35">
      <c r="A56" s="12" t="s">
        <v>71</v>
      </c>
      <c r="B56" t="s">
        <v>72</v>
      </c>
      <c r="C56" t="s">
        <v>55</v>
      </c>
      <c r="E56" s="11">
        <v>3152201.5500000003</v>
      </c>
      <c r="G56" s="18">
        <v>0</v>
      </c>
      <c r="H56" s="27"/>
    </row>
    <row r="57" spans="1:8" x14ac:dyDescent="0.35">
      <c r="A57" s="12" t="s">
        <v>73</v>
      </c>
      <c r="B57" t="s">
        <v>74</v>
      </c>
      <c r="C57" t="s">
        <v>55</v>
      </c>
      <c r="E57" s="11">
        <v>375087.34</v>
      </c>
      <c r="G57" s="18">
        <v>0</v>
      </c>
      <c r="H57" s="27"/>
    </row>
    <row r="58" spans="1:8" x14ac:dyDescent="0.35">
      <c r="A58" s="12" t="s">
        <v>75</v>
      </c>
      <c r="B58" t="s">
        <v>76</v>
      </c>
      <c r="C58" t="s">
        <v>77</v>
      </c>
      <c r="E58" s="11">
        <v>2234926.4300000006</v>
      </c>
      <c r="G58" s="18">
        <f>-(1200000/4-1200000/6)</f>
        <v>-100000</v>
      </c>
      <c r="H58" s="27"/>
    </row>
    <row r="59" spans="1:8" x14ac:dyDescent="0.35">
      <c r="A59" s="12" t="s">
        <v>78</v>
      </c>
      <c r="B59" t="s">
        <v>79</v>
      </c>
      <c r="C59" t="s">
        <v>80</v>
      </c>
      <c r="E59" s="11">
        <v>797978.0199999999</v>
      </c>
      <c r="G59" s="18">
        <v>-290000</v>
      </c>
      <c r="H59" s="27"/>
    </row>
    <row r="60" spans="1:8" x14ac:dyDescent="0.35">
      <c r="A60" s="12" t="s">
        <v>81</v>
      </c>
      <c r="B60" t="s">
        <v>82</v>
      </c>
      <c r="C60" t="s">
        <v>55</v>
      </c>
      <c r="E60" s="11">
        <v>567218.92000000004</v>
      </c>
      <c r="G60" s="18">
        <v>0</v>
      </c>
      <c r="H60" s="27"/>
    </row>
    <row r="61" spans="1:8" x14ac:dyDescent="0.35">
      <c r="A61" s="12" t="s">
        <v>83</v>
      </c>
      <c r="B61" t="s">
        <v>84</v>
      </c>
      <c r="C61" t="s">
        <v>85</v>
      </c>
      <c r="E61" s="11">
        <v>344519.03</v>
      </c>
      <c r="G61" s="18">
        <f>(1500000/5-1500000/6.67)*-2</f>
        <v>-150224.88755622186</v>
      </c>
      <c r="H61" s="27"/>
    </row>
    <row r="62" spans="1:8" x14ac:dyDescent="0.35">
      <c r="A62" s="12" t="s">
        <v>86</v>
      </c>
      <c r="B62" t="s">
        <v>87</v>
      </c>
      <c r="C62" t="s">
        <v>55</v>
      </c>
      <c r="E62" s="11">
        <v>0</v>
      </c>
      <c r="G62" s="18">
        <v>0</v>
      </c>
      <c r="H62" s="27"/>
    </row>
    <row r="63" spans="1:8" x14ac:dyDescent="0.35">
      <c r="A63" s="12" t="s">
        <v>88</v>
      </c>
      <c r="B63" t="s">
        <v>89</v>
      </c>
      <c r="C63" t="s">
        <v>55</v>
      </c>
      <c r="E63" s="11">
        <v>63475.200000000004</v>
      </c>
      <c r="G63" s="18">
        <v>0</v>
      </c>
      <c r="H63" s="27"/>
    </row>
    <row r="64" spans="1:8" x14ac:dyDescent="0.35">
      <c r="A64" s="12" t="s">
        <v>90</v>
      </c>
      <c r="B64" t="s">
        <v>91</v>
      </c>
      <c r="C64" t="s">
        <v>80</v>
      </c>
      <c r="E64" s="11">
        <v>835450.59999999986</v>
      </c>
      <c r="G64" s="18">
        <v>-390000</v>
      </c>
      <c r="H64" s="27"/>
    </row>
    <row r="65" spans="1:8" x14ac:dyDescent="0.35">
      <c r="A65" s="12" t="s">
        <v>92</v>
      </c>
      <c r="B65" t="s">
        <v>93</v>
      </c>
      <c r="C65" t="s">
        <v>94</v>
      </c>
      <c r="E65" s="11">
        <v>4250860.1900000004</v>
      </c>
      <c r="G65" s="18">
        <v>-65000</v>
      </c>
      <c r="H65" s="27"/>
    </row>
    <row r="66" spans="1:8" x14ac:dyDescent="0.35">
      <c r="A66" s="12" t="s">
        <v>95</v>
      </c>
      <c r="B66" t="s">
        <v>96</v>
      </c>
      <c r="C66" t="s">
        <v>55</v>
      </c>
      <c r="E66" s="11">
        <v>971290.64</v>
      </c>
      <c r="G66" s="18">
        <v>0</v>
      </c>
      <c r="H66" s="27"/>
    </row>
    <row r="67" spans="1:8" x14ac:dyDescent="0.35">
      <c r="A67" s="12" t="s">
        <v>97</v>
      </c>
      <c r="B67" t="s">
        <v>98</v>
      </c>
      <c r="C67" t="s">
        <v>55</v>
      </c>
      <c r="E67" s="11">
        <v>18740.530000000002</v>
      </c>
      <c r="G67" s="18">
        <v>0</v>
      </c>
      <c r="H67" s="27"/>
    </row>
    <row r="68" spans="1:8" x14ac:dyDescent="0.35">
      <c r="A68" s="12" t="s">
        <v>99</v>
      </c>
      <c r="B68" t="s">
        <v>100</v>
      </c>
      <c r="C68" t="s">
        <v>55</v>
      </c>
      <c r="E68" s="11">
        <v>307544.37</v>
      </c>
      <c r="G68" s="18">
        <v>0</v>
      </c>
      <c r="H68" s="27"/>
    </row>
    <row r="69" spans="1:8" x14ac:dyDescent="0.35">
      <c r="A69" s="12"/>
      <c r="E69" s="11"/>
      <c r="H69" s="28"/>
    </row>
    <row r="70" spans="1:8" x14ac:dyDescent="0.35">
      <c r="A70" s="3" t="s">
        <v>101</v>
      </c>
      <c r="E70" s="11"/>
      <c r="H70" s="28"/>
    </row>
    <row r="71" spans="1:8" x14ac:dyDescent="0.35">
      <c r="A71" s="12" t="s">
        <v>102</v>
      </c>
      <c r="B71" t="s">
        <v>103</v>
      </c>
      <c r="C71" t="s">
        <v>55</v>
      </c>
      <c r="E71" s="11">
        <v>18753457.93</v>
      </c>
      <c r="G71" s="18">
        <v>0</v>
      </c>
    </row>
    <row r="72" spans="1:8" x14ac:dyDescent="0.35">
      <c r="A72" s="12" t="s">
        <v>104</v>
      </c>
      <c r="B72" t="s">
        <v>105</v>
      </c>
      <c r="C72" t="s">
        <v>55</v>
      </c>
      <c r="E72" s="11">
        <v>1696806.15</v>
      </c>
      <c r="G72" s="18">
        <v>0</v>
      </c>
    </row>
    <row r="73" spans="1:8" x14ac:dyDescent="0.35">
      <c r="E73" s="9">
        <f>SUM(E47:E72)</f>
        <v>72630844.24000001</v>
      </c>
      <c r="G73" s="9">
        <f>SUM(G47:G72)</f>
        <v>-2608974.8875562218</v>
      </c>
    </row>
    <row r="74" spans="1:8" x14ac:dyDescent="0.35">
      <c r="E74" s="23">
        <f>G73/E73</f>
        <v>-3.5921032102217809E-2</v>
      </c>
    </row>
    <row r="75" spans="1:8" x14ac:dyDescent="0.35">
      <c r="E75" s="18">
        <f>E42+E73</f>
        <v>97078540.439263493</v>
      </c>
      <c r="G75" s="26">
        <f>G42+G73</f>
        <v>-13769563.482412035</v>
      </c>
    </row>
    <row r="77" spans="1:8" x14ac:dyDescent="0.35">
      <c r="E77" s="22"/>
    </row>
  </sheetData>
  <pageMargins left="0.7" right="0.7" top="0.75" bottom="0.75" header="0.3" footer="0.3"/>
  <pageSetup paperSize="1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68D544-7055-40EC-914F-89DE9EBDB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A7A95E-53D8-4978-B31F-03A82C790A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90621-B86B-4899-A432-AE9DDD4BC3F7}">
  <ds:schemaRefs>
    <ds:schemaRef ds:uri="http://schemas.microsoft.com/office/2006/metadata/properties"/>
    <ds:schemaRef ds:uri="http://schemas.microsoft.com/office/infopath/2007/PartnerControls"/>
    <ds:schemaRef ds:uri="daea435f-7073-4c60-9060-e78a3a9f8d50"/>
    <ds:schemaRef ds:uri="ae06fcea-541a-49e3-952a-5eaf56d381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EKPC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Tucker</dc:creator>
  <cp:keywords/>
  <dc:description/>
  <cp:lastModifiedBy>Allyson  Honaker</cp:lastModifiedBy>
  <cp:revision/>
  <dcterms:created xsi:type="dcterms:W3CDTF">2024-09-19T18:24:24Z</dcterms:created>
  <dcterms:modified xsi:type="dcterms:W3CDTF">2025-01-10T18:31:50Z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