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ystrategy.sharepoint.com/sites/EnergyStrategies797/Project Folders/Kroger - Kentucky/Duke Kentucky 2024 Rate Case (2024-00354)/ES Response to Discovery/"/>
    </mc:Choice>
  </mc:AlternateContent>
  <xr:revisionPtr revIDLastSave="0" documentId="8_{3F69F230-5F13-4331-9FC7-B1F6E0162579}" xr6:coauthVersionLast="47" xr6:coauthVersionMax="47" xr10:uidLastSave="{00000000-0000-0000-0000-000000000000}"/>
  <bookViews>
    <workbookView xWindow="-28920" yWindow="-45" windowWidth="29040" windowHeight="15720" activeTab="3" xr2:uid="{8828F0AB-B62E-4615-8E53-86C62E2976EB}"/>
  </bookViews>
  <sheets>
    <sheet name="Attachment JB-2" sheetId="1" r:id="rId1"/>
    <sheet name="Attachment JB-3" sheetId="5" r:id="rId2"/>
    <sheet name="SCH N" sheetId="4" r:id="rId3"/>
    <sheet name="DEK 11" sheetId="3" r:id="rId4"/>
  </sheets>
  <externalReferences>
    <externalReference r:id="rId5"/>
  </externalReferences>
  <definedNames>
    <definedName name="__123Graph_A" localSheetId="1" hidden="1">#REF!</definedName>
    <definedName name="__123Graph_A" localSheetId="2" hidden="1">#REF!</definedName>
    <definedName name="__123Graph_A" hidden="1">#REF!</definedName>
    <definedName name="__123Graph_ACF" localSheetId="1" hidden="1">#REF!</definedName>
    <definedName name="__123Graph_ACF" localSheetId="2" hidden="1">#REF!</definedName>
    <definedName name="__123Graph_ACF" hidden="1">#REF!</definedName>
    <definedName name="__123Graph_AOU" localSheetId="1" hidden="1">#REF!</definedName>
    <definedName name="__123Graph_AOU" localSheetId="2" hidden="1">#REF!</definedName>
    <definedName name="__123Graph_AOU" hidden="1">#REF!</definedName>
    <definedName name="__123Graph_APUR" localSheetId="1" hidden="1">#REF!</definedName>
    <definedName name="__123Graph_APUR" localSheetId="2" hidden="1">#REF!</definedName>
    <definedName name="__123Graph_APUR" hidden="1">#REF!</definedName>
    <definedName name="__123Graph_BPUR" localSheetId="1" hidden="1">#REF!</definedName>
    <definedName name="__123Graph_BPUR" localSheetId="2" hidden="1">#REF!</definedName>
    <definedName name="__123Graph_BPUR" hidden="1">#REF!</definedName>
    <definedName name="__123Graph_C" localSheetId="1" hidden="1">#REF!</definedName>
    <definedName name="__123Graph_C" localSheetId="2" hidden="1">#REF!</definedName>
    <definedName name="__123Graph_C" hidden="1">#REF!</definedName>
    <definedName name="__123Graph_CCF" localSheetId="1" hidden="1">#REF!</definedName>
    <definedName name="__123Graph_CCF" localSheetId="2" hidden="1">#REF!</definedName>
    <definedName name="__123Graph_CCF" hidden="1">#REF!</definedName>
    <definedName name="__123Graph_COU" localSheetId="1" hidden="1">#REF!</definedName>
    <definedName name="__123Graph_COU" localSheetId="2" hidden="1">#REF!</definedName>
    <definedName name="__123Graph_COU" hidden="1">#REF!</definedName>
    <definedName name="__123Graph_D" localSheetId="1" hidden="1">#REF!</definedName>
    <definedName name="__123Graph_D" localSheetId="2" hidden="1">#REF!</definedName>
    <definedName name="__123Graph_D" hidden="1">#REF!</definedName>
    <definedName name="__123Graph_ECURRENT" localSheetId="1" hidden="1">#REF!</definedName>
    <definedName name="__123Graph_ECURRENT" localSheetId="2" hidden="1">#REF!</definedName>
    <definedName name="__123Graph_ECURRENT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CF" localSheetId="1" hidden="1">#REF!</definedName>
    <definedName name="__123Graph_LBL_CCF" localSheetId="2" hidden="1">#REF!</definedName>
    <definedName name="__123Graph_LBL_CCF" hidden="1">#REF!</definedName>
    <definedName name="__123Graph_LBL_COU" localSheetId="1" hidden="1">#REF!</definedName>
    <definedName name="__123Graph_LBL_COU" localSheetId="2" hidden="1">#REF!</definedName>
    <definedName name="__123Graph_LBL_COU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_123Graph_XCF" localSheetId="1" hidden="1">#REF!</definedName>
    <definedName name="__123Graph_XCF" localSheetId="2" hidden="1">#REF!</definedName>
    <definedName name="__123Graph_XCF" hidden="1">#REF!</definedName>
    <definedName name="__123Graph_XOU" localSheetId="1" hidden="1">#REF!</definedName>
    <definedName name="__123Graph_XOU" localSheetId="2" hidden="1">#REF!</definedName>
    <definedName name="__123Graph_XOU" hidden="1">#REF!</definedName>
    <definedName name="__123Graph_XPUR" localSheetId="1" hidden="1">#REF!</definedName>
    <definedName name="__123Graph_XPUR" localSheetId="2" hidden="1">#REF!</definedName>
    <definedName name="__123Graph_XPUR" hidden="1">#REF!</definedName>
    <definedName name="__FDS_HYPERLINK_TOGGLE_STATE__" hidden="1">"ON"</definedName>
    <definedName name="_10__123Graph_ECHART_3" localSheetId="1" hidden="1">#REF!</definedName>
    <definedName name="_10__123Graph_ECHART_3" localSheetId="2" hidden="1">#REF!</definedName>
    <definedName name="_10__123Graph_ECHART_3" hidden="1">#REF!</definedName>
    <definedName name="_2__123Graph_ACHART_3" localSheetId="1" hidden="1">#REF!</definedName>
    <definedName name="_2__123Graph_ACHART_3" localSheetId="2" hidden="1">#REF!</definedName>
    <definedName name="_2__123Graph_ACHART_3" hidden="1">#REF!</definedName>
    <definedName name="_4__123Graph_BCHART_3" localSheetId="1" hidden="1">#REF!</definedName>
    <definedName name="_4__123Graph_BCHART_3" localSheetId="2" hidden="1">#REF!</definedName>
    <definedName name="_4__123Graph_BCHART_3" hidden="1">#REF!</definedName>
    <definedName name="_6__123Graph_CCHART_3" localSheetId="1" hidden="1">#REF!</definedName>
    <definedName name="_6__123Graph_CCHART_3" localSheetId="2" hidden="1">#REF!</definedName>
    <definedName name="_6__123Graph_CCHART_3" hidden="1">#REF!</definedName>
    <definedName name="_8__123Graph_DCHART_3" localSheetId="1" hidden="1">#REF!</definedName>
    <definedName name="_8__123Graph_DCHART_3" localSheetId="2" hidden="1">#REF!</definedName>
    <definedName name="_8__123Graph_DCHART_3" hidden="1">#REF!</definedName>
    <definedName name="_Fill" hidden="1">'SCH N'!$A$221:$A$238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Regression_Out" hidden="1">#N/A</definedName>
    <definedName name="_Sort" localSheetId="1" hidden="1">#REF!</definedName>
    <definedName name="_Sort" localSheetId="2" hidden="1">#REF!</definedName>
    <definedName name="_Sort" hidden="1">#REF!</definedName>
    <definedName name="ALLCOMP" localSheetId="1">#REF!</definedName>
    <definedName name="ALLCOMP" localSheetId="2">#REF!</definedName>
    <definedName name="ALLCOMP">#REF!</definedName>
    <definedName name="ALLCOSTS" localSheetId="1">#REF!</definedName>
    <definedName name="ALLCOSTS" localSheetId="2">#REF!</definedName>
    <definedName name="ALLCOSTS">#REF!</definedName>
    <definedName name="alloc_factors" localSheetId="1">#REF!</definedName>
    <definedName name="alloc_factors" localSheetId="2">#REF!</definedName>
    <definedName name="alloc_factors">#REF!</definedName>
    <definedName name="ALLOCATOR" localSheetId="1">#REF!</definedName>
    <definedName name="ALLOCATOR" localSheetId="2">#REF!</definedName>
    <definedName name="ALLOCATOR">#REF!</definedName>
    <definedName name="Alloctable_Classified_Distribution" localSheetId="1">#REF!</definedName>
    <definedName name="Alloctable_Classified_Distribution" localSheetId="2">#REF!</definedName>
    <definedName name="Alloctable_Classified_Distribution">#REF!</definedName>
    <definedName name="AllocTable_Classified_Production" localSheetId="1">#REF!</definedName>
    <definedName name="AllocTable_Classified_Production" localSheetId="2">#REF!</definedName>
    <definedName name="AllocTable_Classified_Production">#REF!</definedName>
    <definedName name="AllocTable_Classified_Transmission" localSheetId="1">#REF!</definedName>
    <definedName name="AllocTable_Classified_Transmission" localSheetId="2">#REF!</definedName>
    <definedName name="AllocTable_Classified_Transmission">#REF!</definedName>
    <definedName name="ALLOCTABLE_Distr_Customer" localSheetId="1">#REF!</definedName>
    <definedName name="ALLOCTABLE_Distr_Customer" localSheetId="2">#REF!</definedName>
    <definedName name="ALLOCTABLE_Distr_Customer">#REF!</definedName>
    <definedName name="ALLOCTABLE_Distr_Demand" localSheetId="1">#REF!</definedName>
    <definedName name="ALLOCTABLE_Distr_Demand" localSheetId="2">#REF!</definedName>
    <definedName name="ALLOCTABLE_Distr_Demand">#REF!</definedName>
    <definedName name="ALLOCTABLE_Distr_Energy" localSheetId="1">#REF!</definedName>
    <definedName name="ALLOCTABLE_Distr_Energy" localSheetId="2">#REF!</definedName>
    <definedName name="ALLOCTABLE_Distr_Energy">#REF!</definedName>
    <definedName name="ALLOCTABLE_FUNCTIONAL" localSheetId="1">#REF!</definedName>
    <definedName name="ALLOCTABLE_FUNCTIONAL" localSheetId="2">#REF!</definedName>
    <definedName name="ALLOCTABLE_FUNCTIONAL">#REF!</definedName>
    <definedName name="ALLOCTABLE_Prod_Customer" localSheetId="1">#REF!</definedName>
    <definedName name="ALLOCTABLE_Prod_Customer" localSheetId="2">#REF!</definedName>
    <definedName name="ALLOCTABLE_Prod_Customer">#REF!</definedName>
    <definedName name="ALLOCTABLE_Prod_Demand" localSheetId="1">#REF!</definedName>
    <definedName name="ALLOCTABLE_Prod_Demand" localSheetId="2">#REF!</definedName>
    <definedName name="ALLOCTABLE_Prod_Demand">#REF!</definedName>
    <definedName name="ALLOCTABLE_Prod_Energy" localSheetId="1">#REF!</definedName>
    <definedName name="ALLOCTABLE_Prod_Energy" localSheetId="2">#REF!</definedName>
    <definedName name="ALLOCTABLE_Prod_Energy">#REF!</definedName>
    <definedName name="ALLOCTABLE_Trans_Customer" localSheetId="1">#REF!</definedName>
    <definedName name="ALLOCTABLE_Trans_Customer" localSheetId="2">#REF!</definedName>
    <definedName name="ALLOCTABLE_Trans_Customer">#REF!</definedName>
    <definedName name="ALLOCTABLE_Trans_Demand" localSheetId="1">#REF!</definedName>
    <definedName name="ALLOCTABLE_Trans_Demand" localSheetId="2">#REF!</definedName>
    <definedName name="ALLOCTABLE_Trans_Demand">#REF!</definedName>
    <definedName name="ALLOCTABLE_Trans_Energy" localSheetId="1">#REF!</definedName>
    <definedName name="ALLOCTABLE_Trans_Energy" localSheetId="2">#REF!</definedName>
    <definedName name="ALLOCTABLE_Trans_Energy">#REF!</definedName>
    <definedName name="BANCOMP" localSheetId="1">#REF!</definedName>
    <definedName name="BANCOMP" localSheetId="2">#REF!</definedName>
    <definedName name="BANCOMP">#REF!</definedName>
    <definedName name="BANCOSTS" localSheetId="1">#REF!</definedName>
    <definedName name="BANCOSTS" localSheetId="2">#REF!</definedName>
    <definedName name="BANCOSTS">#REF!</definedName>
    <definedName name="Calc2Header" localSheetId="1">#REF!</definedName>
    <definedName name="Calc2Header" localSheetId="2">#REF!</definedName>
    <definedName name="Calc2Header">#REF!</definedName>
    <definedName name="Calc2Table" localSheetId="1">#REF!</definedName>
    <definedName name="Calc2Table" localSheetId="2">#REF!</definedName>
    <definedName name="Calc2Table">#REF!</definedName>
    <definedName name="CalcHeader">#REF!</definedName>
    <definedName name="CalcTable">#REF!</definedName>
    <definedName name="case_name" localSheetId="1">#REF!</definedName>
    <definedName name="case_name" localSheetId="2">#REF!</definedName>
    <definedName name="case_name">#REF!</definedName>
    <definedName name="CASE_NO" localSheetId="1">[1]INPUT!$B$11</definedName>
    <definedName name="CASE_NO" localSheetId="2">#REF!</definedName>
    <definedName name="CASE_NO">#REF!</definedName>
    <definedName name="co_name" localSheetId="1">#REF!</definedName>
    <definedName name="co_name" localSheetId="2">#REF!</definedName>
    <definedName name="co_name">#REF!</definedName>
    <definedName name="CoinPeakTable" localSheetId="1">#REF!</definedName>
    <definedName name="CoinPeakTable" localSheetId="2">#REF!</definedName>
    <definedName name="CoinPeakTable">#REF!</definedName>
    <definedName name="CompositeTaxRate" localSheetId="1">#REF!</definedName>
    <definedName name="CompositeTaxRate" localSheetId="2">#REF!</definedName>
    <definedName name="CompositeTaxRate">#REF!</definedName>
    <definedName name="coss_type" localSheetId="1">#REF!</definedName>
    <definedName name="coss_type" localSheetId="2">#REF!</definedName>
    <definedName name="coss_type">#REF!</definedName>
    <definedName name="CUR_BASE_FUEL" localSheetId="1">[1]INPUT!$C$20</definedName>
    <definedName name="CUR_BASE_FUEL" localSheetId="2">[1]INPUT!$C$20</definedName>
    <definedName name="CUR_BASE_FUEL">#REF!</definedName>
    <definedName name="CUR_DP_CST" localSheetId="1">'[1]Rate DP'!$AC$77</definedName>
    <definedName name="CUR_DP_CST" localSheetId="2">'[1]Rate DP'!$AC$77</definedName>
    <definedName name="CUR_DP_CST">#REF!</definedName>
    <definedName name="CUR_DP_DEMAND" localSheetId="1">'[1]Rate DP'!$AC$81</definedName>
    <definedName name="CUR_DP_DEMAND" localSheetId="2">'[1]Rate DP'!$AC$81</definedName>
    <definedName name="CUR_DP_DEMAND">#REF!</definedName>
    <definedName name="CUR_DP_KWH1" localSheetId="1">'[1]Rate DP'!$AC$85</definedName>
    <definedName name="CUR_DP_KWH1" localSheetId="2">'[1]Rate DP'!$AC$85</definedName>
    <definedName name="CUR_DP_KWH1">#REF!</definedName>
    <definedName name="CUR_DP_KWH2" localSheetId="1">'[1]Rate DP'!$AC$86</definedName>
    <definedName name="CUR_DP_KWH2" localSheetId="2">'[1]Rate DP'!$AC$86</definedName>
    <definedName name="CUR_DP_KWH2">#REF!</definedName>
    <definedName name="CUR_DP_RTP_COM">#REF!</definedName>
    <definedName name="CUR_DP_RTP_CUST">#REF!</definedName>
    <definedName name="CUR_DP_RTP_KWH1">#REF!</definedName>
    <definedName name="CUR_DP_RTP_KWH2">#REF!</definedName>
    <definedName name="CUR_DS_CST_2" localSheetId="1">#REF!</definedName>
    <definedName name="CUR_DS_CST_2" localSheetId="2">#REF!</definedName>
    <definedName name="CUR_DS_CST_2">#REF!</definedName>
    <definedName name="CUR_DS_DEM_1" localSheetId="1">#REF!</definedName>
    <definedName name="CUR_DS_DEM_1" localSheetId="2">#REF!</definedName>
    <definedName name="CUR_DS_DEM_1">#REF!</definedName>
    <definedName name="CUR_DS_DEM_3" localSheetId="1">#REF!</definedName>
    <definedName name="CUR_DS_DEM_3" localSheetId="2">#REF!</definedName>
    <definedName name="CUR_DS_DEM_3">#REF!</definedName>
    <definedName name="CUR_DS_KWH_1" localSheetId="1">#REF!</definedName>
    <definedName name="CUR_DS_KWH_1" localSheetId="2">#REF!</definedName>
    <definedName name="CUR_DS_KWH_1">#REF!</definedName>
    <definedName name="CUR_DS_KWH_2" localSheetId="1">#REF!</definedName>
    <definedName name="CUR_DS_KWH_2" localSheetId="2">#REF!</definedName>
    <definedName name="CUR_DS_KWH_2">#REF!</definedName>
    <definedName name="CUR_DS_KWH_3" localSheetId="1">#REF!</definedName>
    <definedName name="CUR_DS_KWH_3" localSheetId="2">#REF!</definedName>
    <definedName name="CUR_DS_KWH_3">#REF!</definedName>
    <definedName name="CUR_DS_LMR" localSheetId="1">#REF!</definedName>
    <definedName name="CUR_DS_LMR" localSheetId="2">#REF!</definedName>
    <definedName name="CUR_DS_LMR">#REF!</definedName>
    <definedName name="CUR_DS_RTP">#REF!</definedName>
    <definedName name="CUR_DS_RTP_COM">#REF!</definedName>
    <definedName name="CUR_DS_RTP_CUST">#REF!</definedName>
    <definedName name="CUR_DS_RTP_KWH1">#REF!</definedName>
    <definedName name="CUR_DS_RTP_KWH2">#REF!</definedName>
    <definedName name="CUR_DT_RTP_COM">#REF!</definedName>
    <definedName name="CUR_DT_RTP_CUST">#REF!</definedName>
    <definedName name="CUR_DT_RTP_KWH1">#REF!</definedName>
    <definedName name="CUR_DT_RTP_KWH2">#REF!</definedName>
    <definedName name="CUR_DT_RTP_P">#REF!</definedName>
    <definedName name="CUR_DT_RTP_S">#REF!</definedName>
    <definedName name="CUR_DT_SEC_CST3" localSheetId="1">#REF!</definedName>
    <definedName name="CUR_DT_SEC_CST3" localSheetId="2">#REF!</definedName>
    <definedName name="CUR_DT_SEC_CST3">#REF!</definedName>
    <definedName name="CUR_DT_SEC_DEMOFF" localSheetId="1">#REF!</definedName>
    <definedName name="CUR_DT_SEC_DEMOFF" localSheetId="2">#REF!</definedName>
    <definedName name="CUR_DT_SEC_DEMOFF">#REF!</definedName>
    <definedName name="CUR_DT_SEC_DEMON" localSheetId="1">#REF!</definedName>
    <definedName name="CUR_DT_SEC_DEMON" localSheetId="2">#REF!</definedName>
    <definedName name="CUR_DT_SEC_DEMON">#REF!</definedName>
    <definedName name="CUR_DT_SUM_E_OFF" localSheetId="1">#REF!</definedName>
    <definedName name="CUR_DT_SUM_E_OFF" localSheetId="2">#REF!</definedName>
    <definedName name="CUR_DT_SUM_E_OFF">#REF!</definedName>
    <definedName name="CUR_DT_SUM_E_ON" localSheetId="1">#REF!</definedName>
    <definedName name="CUR_DT_SUM_E_ON" localSheetId="2">#REF!</definedName>
    <definedName name="CUR_DT_SUM_E_ON">#REF!</definedName>
    <definedName name="CUR_DT_SUM_PEAK_ON" localSheetId="1">#REF!</definedName>
    <definedName name="CUR_DT_SUM_PEAK_ON" localSheetId="2">#REF!</definedName>
    <definedName name="CUR_DT_SUM_PEAK_ON">#REF!</definedName>
    <definedName name="CUR_DT_SUM_PK_OFF" localSheetId="1">#REF!</definedName>
    <definedName name="CUR_DT_SUM_PK_OFF" localSheetId="2">#REF!</definedName>
    <definedName name="CUR_DT_SUM_PK_OFF">#REF!</definedName>
    <definedName name="CUR_DT_WIN_E_ON" localSheetId="1">#REF!</definedName>
    <definedName name="CUR_DT_WIN_E_ON" localSheetId="2">#REF!</definedName>
    <definedName name="CUR_DT_WIN_E_ON">#REF!</definedName>
    <definedName name="CUR_DT_WIN_PEAK_ON" localSheetId="1">#REF!</definedName>
    <definedName name="CUR_DT_WIN_PEAK_ON" localSheetId="2">#REF!</definedName>
    <definedName name="CUR_DT_WIN_PEAK_ON">#REF!</definedName>
    <definedName name="CUR_DT_WIN_PK_OFF" localSheetId="1">#REF!</definedName>
    <definedName name="CUR_DT_WIN_PK_OFF" localSheetId="2">#REF!</definedName>
    <definedName name="CUR_DT_WIN_PK_OFF">#REF!</definedName>
    <definedName name="CUR_EH_CST_2" localSheetId="1">#REF!</definedName>
    <definedName name="CUR_EH_CST_2" localSheetId="2">#REF!</definedName>
    <definedName name="CUR_EH_CST_2">#REF!</definedName>
    <definedName name="CUR_EH_KWH_1" localSheetId="1">#REF!</definedName>
    <definedName name="CUR_EH_KWH_1" localSheetId="2">#REF!</definedName>
    <definedName name="CUR_EH_KWH_1">#REF!</definedName>
    <definedName name="CUR_ESM" localSheetId="1">[1]INPUT!$C$165</definedName>
    <definedName name="CUR_ESM" localSheetId="2">[1]INPUT!$C$165</definedName>
    <definedName name="CUR_ESM">#REF!</definedName>
    <definedName name="CUR_ESM_NonRes" localSheetId="1">[1]INPUT!$C$166</definedName>
    <definedName name="CUR_ESM_NonRes" localSheetId="2">[1]INPUT!$C$166</definedName>
    <definedName name="CUR_ESM_NonRes">#REF!</definedName>
    <definedName name="CUR_FAC" localSheetId="1">[1]INPUT!$C$19</definedName>
    <definedName name="CUR_FAC" localSheetId="2">[1]INPUT!$C$19</definedName>
    <definedName name="CUR_FAC">#REF!</definedName>
    <definedName name="CUR_RS_CUST" localSheetId="1">'[1]Rate RS'!$AB$64</definedName>
    <definedName name="CUR_RS_CUST" localSheetId="2">'[1]Rate RS'!$AB$64</definedName>
    <definedName name="CUR_RS_CUST">#REF!</definedName>
    <definedName name="CUR_RS_ENERGY" localSheetId="1">'[1]Rate RS'!$AB$67</definedName>
    <definedName name="CUR_RS_ENERGY" localSheetId="2">'[1]Rate RS'!$AB$67</definedName>
    <definedName name="CUR_RS_ENERGY">#REF!</definedName>
    <definedName name="CUR_SUM_TT_ON_KWH" localSheetId="1">[1]INPUT!$C$125</definedName>
    <definedName name="CUR_SUM_TT_ON_KWH" localSheetId="2">[1]INPUT!$C$125</definedName>
    <definedName name="CUR_SUM_TT_ON_KWH">#REF!</definedName>
    <definedName name="CUR_TT_OFF" localSheetId="1">[1]INPUT!$C$127</definedName>
    <definedName name="CUR_TT_OFF" localSheetId="2">[1]INPUT!$C$127</definedName>
    <definedName name="CUR_TT_OFF">#REF!</definedName>
    <definedName name="CUR_TT_RTP">#REF!</definedName>
    <definedName name="CUR_TT_RTP_COM">#REF!</definedName>
    <definedName name="CUR_TT_RTP_CUST">#REF!</definedName>
    <definedName name="CUR_TT_RTP_KWH1">#REF!</definedName>
    <definedName name="CUR_TT_RTP_KWH2">#REF!</definedName>
    <definedName name="CUR_TT_SUM_CST" localSheetId="1">'[1]Rate TT'!$AC$85</definedName>
    <definedName name="CUR_TT_SUM_CST" localSheetId="2">'[1]Rate TT'!$AC$85</definedName>
    <definedName name="CUR_TT_SUM_CST">#REF!</definedName>
    <definedName name="CUR_TT_SUM_PEAK" localSheetId="1">'[1]Rate TT'!$AC$88</definedName>
    <definedName name="CUR_TT_SUM_PEAK" localSheetId="2">'[1]Rate TT'!$AC$88</definedName>
    <definedName name="CUR_TT_SUM_PEAK">#REF!</definedName>
    <definedName name="CUR_TT_SUM_PK_OFF" localSheetId="1">'[1]Rate TT'!$AC$89</definedName>
    <definedName name="CUR_TT_SUM_PK_OFF" localSheetId="2">'[1]Rate TT'!$AC$89</definedName>
    <definedName name="CUR_TT_SUM_PK_OFF">#REF!</definedName>
    <definedName name="CUR_TT_WIN_CST" localSheetId="1">'[1]Rate TT'!$AC$99</definedName>
    <definedName name="CUR_TT_WIN_CST" localSheetId="2">'[1]Rate TT'!$AC$99</definedName>
    <definedName name="CUR_TT_WIN_CST">#REF!</definedName>
    <definedName name="CUR_TT_WIN_PEAK" localSheetId="1">'[1]Rate TT'!$AC$102</definedName>
    <definedName name="CUR_TT_WIN_PEAK" localSheetId="2">'[1]Rate TT'!$AC$102</definedName>
    <definedName name="CUR_TT_WIN_PEAK">#REF!</definedName>
    <definedName name="CUR_TT_WIN_PK_OFF" localSheetId="1">'[1]Rate TT'!$AC$103</definedName>
    <definedName name="CUR_TT_WIN_PK_OFF" localSheetId="2">'[1]Rate TT'!$AC$103</definedName>
    <definedName name="CUR_TT_WIN_PK_OFF">#REF!</definedName>
    <definedName name="CUR_WIN_TT_ON_KWH" localSheetId="1">[1]INPUT!$C$126</definedName>
    <definedName name="CUR_WIN_TT_ON_KWH" localSheetId="2">[1]INPUT!$C$126</definedName>
    <definedName name="CUR_WIN_TT_ON_KWH">#REF!</definedName>
    <definedName name="data_filing" localSheetId="1">#REF!</definedName>
    <definedName name="data_filing" localSheetId="2">#REF!</definedName>
    <definedName name="data_filing">#REF!</definedName>
    <definedName name="DATA_PERIOD" localSheetId="1">[1]INPUT!$B$13</definedName>
    <definedName name="DATA_PERIOD" localSheetId="2">#REF!</definedName>
    <definedName name="DATA_PERIOD">#REF!</definedName>
    <definedName name="DATE" localSheetId="1">[1]INPUT!$B$10</definedName>
    <definedName name="DATE" localSheetId="2">#REF!</definedName>
    <definedName name="DATE">#REF!</definedName>
    <definedName name="DSM_DIST" localSheetId="1">#REF!</definedName>
    <definedName name="DSM_DIST" localSheetId="2">[1]INPUT!$C$30</definedName>
    <definedName name="DSM_DIST">#REF!</definedName>
    <definedName name="DSM_RES" localSheetId="1">#REF!</definedName>
    <definedName name="DSM_RES" localSheetId="2">[1]INPUT!$C$29</definedName>
    <definedName name="DSM_RES">#REF!</definedName>
    <definedName name="DSM_RS_CUST" localSheetId="1">#REF!</definedName>
    <definedName name="DSM_RS_CUST" localSheetId="2">[1]INPUT!$J$29</definedName>
    <definedName name="DSM_RS_CUST">#REF!</definedName>
    <definedName name="DSM_TRANS" localSheetId="1">#REF!</definedName>
    <definedName name="DSM_TRANS" localSheetId="2">[1]INPUT!$C$31</definedName>
    <definedName name="DSM_TRANS">#REF!</definedName>
    <definedName name="DSMR_Name" localSheetId="1">#REF!</definedName>
    <definedName name="DSMR_Name" localSheetId="2">#REF!</definedName>
    <definedName name="DSMR_Name">#REF!</definedName>
    <definedName name="Equity" localSheetId="1">#REF!</definedName>
    <definedName name="Equity" localSheetId="2">#REF!</definedName>
    <definedName name="Equity">#REF!</definedName>
    <definedName name="ESM_Name" localSheetId="1">#REF!</definedName>
    <definedName name="ESM_Name" localSheetId="2">#REF!</definedName>
    <definedName name="ESM_Name">#REF!</definedName>
    <definedName name="FAC_Name" localSheetId="1">#REF!</definedName>
    <definedName name="FAC_Name" localSheetId="2">#REF!</definedName>
    <definedName name="FAC_Name">#REF!</definedName>
    <definedName name="FIT" localSheetId="1">#REF!</definedName>
    <definedName name="FIT" localSheetId="2">#REF!</definedName>
    <definedName name="FIT">#REF!</definedName>
    <definedName name="HEA_Name" localSheetId="1">#REF!</definedName>
    <definedName name="HEA_Name" localSheetId="2">#REF!</definedName>
    <definedName name="HEA_Name">#REF!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FAX" hidden="1">"c2100"</definedName>
    <definedName name="IQ_BOARD_MEMBER_OFFICE" hidden="1">"c2098"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LT_DEBT" hidden="1">"c2086"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UTSTANDING_FILING_DATE_TOTAL" hidden="1">"c2107"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38911.5231944444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LASTCLOSE" hidden="1">"c1855"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T_COS_RATE" localSheetId="1">#REF!</definedName>
    <definedName name="LT_COS_RATE" localSheetId="2">#REF!</definedName>
    <definedName name="LT_COS_RATE">#REF!</definedName>
    <definedName name="Migration_CC" localSheetId="1">#REF!</definedName>
    <definedName name="Migration_CC" localSheetId="2">#REF!</definedName>
    <definedName name="Migration_CC">#REF!</definedName>
    <definedName name="NAME" localSheetId="1">#REF!</definedName>
    <definedName name="NAME" localSheetId="2">#REF!</definedName>
    <definedName name="NAME">#REF!</definedName>
    <definedName name="NPdemand" localSheetId="1">#REF!</definedName>
    <definedName name="NPdemand" localSheetId="2">#REF!</definedName>
    <definedName name="NPdemand">#REF!</definedName>
    <definedName name="OHPRIM" localSheetId="1">#REF!</definedName>
    <definedName name="OHPRIM" localSheetId="2">#REF!</definedName>
    <definedName name="OHPRIM">#REF!</definedName>
    <definedName name="OHSEC" localSheetId="1">#REF!</definedName>
    <definedName name="OHSEC" localSheetId="2">#REF!</definedName>
    <definedName name="OHSEC">#REF!</definedName>
    <definedName name="Page_Num_2.2" localSheetId="1">#REF!</definedName>
    <definedName name="Page_Num_2.2" localSheetId="2">#REF!</definedName>
    <definedName name="Page_Num_2.2">#REF!</definedName>
    <definedName name="Page_Num_2.3" localSheetId="1">#REF!</definedName>
    <definedName name="Page_Num_2.3" localSheetId="2">#REF!</definedName>
    <definedName name="Page_Num_2.3">#REF!</definedName>
    <definedName name="Pages" localSheetId="1">#REF!</definedName>
    <definedName name="Pages" localSheetId="2">#REF!</definedName>
    <definedName name="Pages">#REF!</definedName>
    <definedName name="Pages2" localSheetId="1">#REF!</definedName>
    <definedName name="Pages2" localSheetId="2">#REF!</definedName>
    <definedName name="Pages2">#REF!</definedName>
    <definedName name="PrimaryCM" localSheetId="1">#REF!</definedName>
    <definedName name="PrimaryCM" localSheetId="2">#REF!</definedName>
    <definedName name="PrimaryCM">#REF!</definedName>
    <definedName name="_xlnm.Print_Area" localSheetId="0">'Attachment JB-2'!$A$1:$G$55</definedName>
    <definedName name="_xlnm.Print_Area" localSheetId="1">'Attachment JB-3'!$A$1:$E$27</definedName>
    <definedName name="_xlnm.Print_Area" localSheetId="3">'DEK 11'!$A$1:$D$27</definedName>
    <definedName name="_xlnm.Print_Area" localSheetId="2">'SCH N'!$A$184:$R$247</definedName>
    <definedName name="_xlnm.Print_Titles" localSheetId="0">'Attachment JB-2'!$1:$3</definedName>
    <definedName name="PRO_BASE_FUEL" localSheetId="1">#REF!</definedName>
    <definedName name="PRO_BASE_FUEL" localSheetId="2">[1]INPUT!$D$20</definedName>
    <definedName name="PRO_BASE_FUEL">#REF!</definedName>
    <definedName name="PRO_DP_CST" localSheetId="1">#REF!</definedName>
    <definedName name="PRO_DP_CST" localSheetId="2">'[1]Rate DP'!$J$25</definedName>
    <definedName name="PRO_DP_CST">#REF!</definedName>
    <definedName name="PRO_DP_DEMAND" localSheetId="1">#REF!</definedName>
    <definedName name="PRO_DP_DEMAND" localSheetId="2">'[1]Rate DP'!$J$29</definedName>
    <definedName name="PRO_DP_DEMAND">#REF!</definedName>
    <definedName name="PRO_DP_KWH1" localSheetId="1">#REF!</definedName>
    <definedName name="PRO_DP_KWH1" localSheetId="2">'[1]Rate DP'!$J$33</definedName>
    <definedName name="PRO_DP_KWH1">#REF!</definedName>
    <definedName name="PRO_DP_KWH2" localSheetId="1">#REF!</definedName>
    <definedName name="PRO_DP_KWH2" localSheetId="2">'[1]Rate DP'!$J$34</definedName>
    <definedName name="PRO_DP_KWH2">#REF!</definedName>
    <definedName name="PRO_DP_RTP_COM">#REF!</definedName>
    <definedName name="PRO_DP_RTP_CUST">#REF!</definedName>
    <definedName name="PRO_DP_RTP_KWH1">#REF!</definedName>
    <definedName name="PRO_DP_RTP_KWH2">#REF!</definedName>
    <definedName name="PRO_DS_CST_2" localSheetId="1">#REF!</definedName>
    <definedName name="PRO_DS_CST_2" localSheetId="2">#REF!</definedName>
    <definedName name="PRO_DS_CST_2">#REF!</definedName>
    <definedName name="PRO_DS_DEM_1" localSheetId="1">#REF!</definedName>
    <definedName name="PRO_DS_DEM_1" localSheetId="2">#REF!</definedName>
    <definedName name="PRO_DS_DEM_1">#REF!</definedName>
    <definedName name="PRO_DS_DEM_3" localSheetId="1">#REF!</definedName>
    <definedName name="PRO_DS_DEM_3" localSheetId="2">#REF!</definedName>
    <definedName name="PRO_DS_DEM_3">#REF!</definedName>
    <definedName name="PRO_DS_KWH_1" localSheetId="1">#REF!</definedName>
    <definedName name="PRO_DS_KWH_1" localSheetId="2">#REF!</definedName>
    <definedName name="PRO_DS_KWH_1">#REF!</definedName>
    <definedName name="PRO_DS_KWH_2" localSheetId="1">#REF!</definedName>
    <definedName name="PRO_DS_KWH_2" localSheetId="2">#REF!</definedName>
    <definedName name="PRO_DS_KWH_2">#REF!</definedName>
    <definedName name="PRO_DS_KWH_3" localSheetId="1">#REF!</definedName>
    <definedName name="PRO_DS_KWH_3" localSheetId="2">#REF!</definedName>
    <definedName name="PRO_DS_KWH_3">#REF!</definedName>
    <definedName name="PRO_DS_LMR" localSheetId="1">#REF!</definedName>
    <definedName name="PRO_DS_LMR" localSheetId="2">#REF!</definedName>
    <definedName name="PRO_DS_LMR">#REF!</definedName>
    <definedName name="PRO_DS_RTP_COM">#REF!</definedName>
    <definedName name="PRO_DS_RTP_CUST">#REF!</definedName>
    <definedName name="PRO_DS_RTP_KWH1">#REF!</definedName>
    <definedName name="PRO_DS_RTP_KWH2">#REF!</definedName>
    <definedName name="PRO_DSM_DIST" localSheetId="1">#REF!</definedName>
    <definedName name="PRO_DSM_DIST" localSheetId="2">#REF!</definedName>
    <definedName name="PRO_DSM_DIST">#REF!</definedName>
    <definedName name="PRO_DSM_RES" localSheetId="1">#REF!</definedName>
    <definedName name="PRO_DSM_RES" localSheetId="2">#REF!</definedName>
    <definedName name="PRO_DSM_RES">#REF!</definedName>
    <definedName name="PRO_DSM_TRANS" localSheetId="1">#REF!</definedName>
    <definedName name="PRO_DSM_TRANS" localSheetId="2">#REF!</definedName>
    <definedName name="PRO_DSM_TRANS">#REF!</definedName>
    <definedName name="PRO_DT_RTP_COM">#REF!</definedName>
    <definedName name="PRO_DT_RTP_CUST">#REF!</definedName>
    <definedName name="PRO_DT_RTP_KWH1">#REF!</definedName>
    <definedName name="PRO_DT_RTP_KWH2">#REF!</definedName>
    <definedName name="PRO_DT_SEC_CST3" localSheetId="1">#REF!</definedName>
    <definedName name="PRO_DT_SEC_CST3" localSheetId="2">#REF!</definedName>
    <definedName name="PRO_DT_SEC_CST3">#REF!</definedName>
    <definedName name="PRO_DT_SUM_E_OFF" localSheetId="1">#REF!</definedName>
    <definedName name="PRO_DT_SUM_E_OFF" localSheetId="2">#REF!</definedName>
    <definedName name="PRO_DT_SUM_E_OFF">#REF!</definedName>
    <definedName name="PRO_DT_SUM_E_ON" localSheetId="1">#REF!</definedName>
    <definedName name="PRO_DT_SUM_E_ON" localSheetId="2">#REF!</definedName>
    <definedName name="PRO_DT_SUM_E_ON">#REF!</definedName>
    <definedName name="PRO_DT_SUM_PEAK" localSheetId="1">#REF!</definedName>
    <definedName name="PRO_DT_SUM_PEAK" localSheetId="2">#REF!</definedName>
    <definedName name="PRO_DT_SUM_PEAK">#REF!</definedName>
    <definedName name="PRO_DT_SUM_PK_OFF" localSheetId="1">#REF!</definedName>
    <definedName name="PRO_DT_SUM_PK_OFF" localSheetId="2">#REF!</definedName>
    <definedName name="PRO_DT_SUM_PK_OFF">#REF!</definedName>
    <definedName name="PRO_DT_WIN_E_OFF" localSheetId="1">#REF!</definedName>
    <definedName name="PRO_DT_WIN_E_OFF" localSheetId="2">#REF!</definedName>
    <definedName name="PRO_DT_WIN_E_OFF">#REF!</definedName>
    <definedName name="PRO_DT_WIN_E_ON" localSheetId="1">#REF!</definedName>
    <definedName name="PRO_DT_WIN_E_ON" localSheetId="2">#REF!</definedName>
    <definedName name="PRO_DT_WIN_E_ON">#REF!</definedName>
    <definedName name="PRO_DT_WIN_PEAK" localSheetId="1">#REF!</definedName>
    <definedName name="PRO_DT_WIN_PEAK" localSheetId="2">#REF!</definedName>
    <definedName name="PRO_DT_WIN_PEAK">#REF!</definedName>
    <definedName name="PRO_DT_WIN_PK_OFF" localSheetId="1">#REF!</definedName>
    <definedName name="PRO_DT_WIN_PK_OFF" localSheetId="2">#REF!</definedName>
    <definedName name="PRO_DT_WIN_PK_OFF">#REF!</definedName>
    <definedName name="PRO_EH_CST_2" localSheetId="1">#REF!</definedName>
    <definedName name="PRO_EH_CST_2" localSheetId="2">#REF!</definedName>
    <definedName name="PRO_EH_CST_2">#REF!</definedName>
    <definedName name="PRO_EH_KWH_1" localSheetId="1">#REF!</definedName>
    <definedName name="PRO_EH_KWH_1" localSheetId="2">#REF!</definedName>
    <definedName name="PRO_EH_KWH_1">#REF!</definedName>
    <definedName name="PRO_ESM" localSheetId="1">#REF!</definedName>
    <definedName name="PRO_ESM" localSheetId="2">[1]INPUT!$D$165</definedName>
    <definedName name="PRO_ESM">#REF!</definedName>
    <definedName name="PRO_ESM_NONRES" localSheetId="1">#REF!</definedName>
    <definedName name="PRO_ESM_NONRES" localSheetId="2">[1]INPUT!$D$166</definedName>
    <definedName name="PRO_ESM_NONRES">#REF!</definedName>
    <definedName name="PRO_FAC" localSheetId="1">#REF!</definedName>
    <definedName name="PRO_FAC" localSheetId="2">#REF!</definedName>
    <definedName name="PRO_FAC">#REF!</definedName>
    <definedName name="PRO_PSM" localSheetId="1">#REF!</definedName>
    <definedName name="PRO_PSM" localSheetId="2">#REF!</definedName>
    <definedName name="PRO_PSM">#REF!</definedName>
    <definedName name="PRO_RS_CUST" localSheetId="1">#REF!</definedName>
    <definedName name="PRO_RS_CUST" localSheetId="2">'[1]Rate RS'!$J$23</definedName>
    <definedName name="PRO_RS_CUST">#REF!</definedName>
    <definedName name="PRO_RS_ENERGY" localSheetId="1">#REF!</definedName>
    <definedName name="PRO_RS_ENERGY" localSheetId="2">'[1]Rate RS'!$J$26</definedName>
    <definedName name="PRO_RS_ENERGY">#REF!</definedName>
    <definedName name="PRO_SUM_TT_ON_KWH" localSheetId="1">#REF!</definedName>
    <definedName name="PRO_SUM_TT_ON_KWH" localSheetId="2">[1]INPUT!$D$125</definedName>
    <definedName name="PRO_SUM_TT_ON_KWH">#REF!</definedName>
    <definedName name="PRO_TT_OFF" localSheetId="1">#REF!</definedName>
    <definedName name="PRO_TT_OFF" localSheetId="2">[1]INPUT!$D$127</definedName>
    <definedName name="PRO_TT_OFF">#REF!</definedName>
    <definedName name="PRO_TT_RTP_COM">#REF!</definedName>
    <definedName name="PRO_TT_RTP_CUST">#REF!</definedName>
    <definedName name="PRO_TT_RTP_KWH1">#REF!</definedName>
    <definedName name="PRO_TT_RTP_KWH2">#REF!</definedName>
    <definedName name="PRO_TT_SUM_CST" localSheetId="1">#REF!</definedName>
    <definedName name="PRO_TT_SUM_CST" localSheetId="2">'[1]Rate TT'!$J$21</definedName>
    <definedName name="PRO_TT_SUM_CST">#REF!</definedName>
    <definedName name="PRO_TT_SUM_PEAK" localSheetId="1">#REF!</definedName>
    <definedName name="PRO_TT_SUM_PEAK" localSheetId="2">'[1]Rate TT'!$J$24</definedName>
    <definedName name="PRO_TT_SUM_PEAK">#REF!</definedName>
    <definedName name="PRO_TT_SUM_PK_OFF" localSheetId="1">#REF!</definedName>
    <definedName name="PRO_TT_SUM_PK_OFF" localSheetId="2">'[1]Rate TT'!$J$25</definedName>
    <definedName name="PRO_TT_SUM_PK_OFF">#REF!</definedName>
    <definedName name="PRO_TT_WIN_CST" localSheetId="1">#REF!</definedName>
    <definedName name="PRO_TT_WIN_CST" localSheetId="2">'[1]Rate TT'!$J$35</definedName>
    <definedName name="PRO_TT_WIN_CST">#REF!</definedName>
    <definedName name="PRO_TT_WIN_PEAK" localSheetId="1">#REF!</definedName>
    <definedName name="PRO_TT_WIN_PEAK" localSheetId="2">'[1]Rate TT'!$J$38</definedName>
    <definedName name="PRO_TT_WIN_PEAK">#REF!</definedName>
    <definedName name="PRO_TT_WIN_PK_OFF" localSheetId="1">#REF!</definedName>
    <definedName name="PRO_TT_WIN_PK_OFF" localSheetId="2">'[1]Rate TT'!$J$39</definedName>
    <definedName name="PRO_TT_WIN_PK_OFF">#REF!</definedName>
    <definedName name="PRO_WIN_TT_ON_KWH" localSheetId="1">#REF!</definedName>
    <definedName name="PRO_WIN_TT_ON_KWH" localSheetId="2">[1]INPUT!$D$126</definedName>
    <definedName name="PRO_WIN_TT_ON_KWH">#REF!</definedName>
    <definedName name="PSM_Name" localSheetId="1">#REF!</definedName>
    <definedName name="PSM_Name" localSheetId="2">#REF!</definedName>
    <definedName name="PSM_Name">#REF!</definedName>
    <definedName name="RevTax" localSheetId="1">#REF!</definedName>
    <definedName name="RevTax" localSheetId="2">#REF!</definedName>
    <definedName name="RevTax">#REF!</definedName>
    <definedName name="rngfile2" localSheetId="1">#REF!</definedName>
    <definedName name="rngfile2" localSheetId="2">#REF!</definedName>
    <definedName name="rngfile2">#REF!</definedName>
    <definedName name="rngfile3" localSheetId="1">#REF!</definedName>
    <definedName name="rngfile3" localSheetId="2">#REF!</definedName>
    <definedName name="rngfile3">#REF!</definedName>
    <definedName name="rngfile4" localSheetId="1">#REF!</definedName>
    <definedName name="rngfile4" localSheetId="2">#REF!</definedName>
    <definedName name="rngfile4">#REF!</definedName>
    <definedName name="RofR" localSheetId="1">#REF!</definedName>
    <definedName name="RofR" localSheetId="2">#REF!</definedName>
    <definedName name="RofR">#REF!</definedName>
    <definedName name="RS_PSM" localSheetId="1">#REF!</definedName>
    <definedName name="RS_PSM" localSheetId="2">[1]INPUT!$C$34</definedName>
    <definedName name="RS_PSM">#REF!</definedName>
    <definedName name="SAPBEXrevision" hidden="1">18</definedName>
    <definedName name="SAPBEXsysID" hidden="1">"BWP"</definedName>
    <definedName name="SAPBEXwbID" hidden="1">"3PHPFV8FO7PRQRDHFGKHVVOKV"</definedName>
    <definedName name="SCH_N_1">'SCH N'!$A$1:$R$34</definedName>
    <definedName name="SCH_N_2">'SCH N'!$A$35:$R$86</definedName>
    <definedName name="SCH_N_3">'SCH N'!$A$87:$R$133</definedName>
    <definedName name="SCH_N_4">'SCH N'!$A$134:$R$183</definedName>
    <definedName name="SCH_N_5">'SCH N'!$A$184:$R$247</definedName>
    <definedName name="Secondarycm" localSheetId="1">#REF!</definedName>
    <definedName name="Secondarycm" localSheetId="2">#REF!</definedName>
    <definedName name="Secondarycm">#REF!</definedName>
    <definedName name="SERVICE" localSheetId="1">#REF!</definedName>
    <definedName name="SERVICE" localSheetId="2">#REF!</definedName>
    <definedName name="SERVICE">#REF!</definedName>
    <definedName name="SIT" localSheetId="1">#REF!</definedName>
    <definedName name="SIT" localSheetId="2">#REF!</definedName>
    <definedName name="SIT">#REF!</definedName>
    <definedName name="test_period" localSheetId="1">#REF!</definedName>
    <definedName name="test_period" localSheetId="2">#REF!</definedName>
    <definedName name="test_period">#REF!</definedName>
    <definedName name="TIME" localSheetId="1">#REF!</definedName>
    <definedName name="TIME" localSheetId="2">#REF!</definedName>
    <definedName name="TIME">#REF!</definedName>
    <definedName name="time_period" localSheetId="1">#REF!</definedName>
    <definedName name="time_period" localSheetId="2">#REF!</definedName>
    <definedName name="time_period">#REF!</definedName>
    <definedName name="TITLE" localSheetId="1">#REF!</definedName>
    <definedName name="TITLE" localSheetId="2">#REF!</definedName>
    <definedName name="TITLE">#REF!</definedName>
    <definedName name="TotalCap" localSheetId="1">#REF!</definedName>
    <definedName name="TotalCap" localSheetId="2">#REF!</definedName>
    <definedName name="TotalCap">#REF!</definedName>
    <definedName name="TYPE" localSheetId="1">#REF!</definedName>
    <definedName name="TYPE" localSheetId="2">#REF!</definedName>
    <definedName name="TYPE">#REF!</definedName>
    <definedName name="UGPRIM" localSheetId="1">#REF!</definedName>
    <definedName name="UGPRIM" localSheetId="2">#REF!</definedName>
    <definedName name="UGPRIM">#REF!</definedName>
    <definedName name="UGSEC" localSheetId="1">#REF!</definedName>
    <definedName name="UGSEC" localSheetId="2">#REF!</definedName>
    <definedName name="UGSEC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IT" localSheetId="1">#REF!</definedName>
    <definedName name="WIT" localSheetId="2">#REF!</definedName>
    <definedName name="WIT">#REF!</definedName>
    <definedName name="Witness" localSheetId="1">#REF!</definedName>
    <definedName name="Witness" localSheetId="2">#REF!</definedName>
    <definedName name="Witness">#REF!</definedName>
    <definedName name="Witness1" localSheetId="1">#REF!</definedName>
    <definedName name="Witness1" localSheetId="2">#REF!</definedName>
    <definedName name="Witness1">#REF!</definedName>
    <definedName name="WorkingCap" localSheetId="1">#REF!</definedName>
    <definedName name="WorkingCap" localSheetId="2">#REF!</definedName>
    <definedName name="WorkingCap">#REF!</definedName>
    <definedName name="wrn.Allocation._.Factors." localSheetId="1" hidden="1">{#N/A,#N/A,FALSE,"Alloc Factors";#N/A,#N/A,FALSE,"AverageExcess";#N/A,#N/A,FALSE,"Monthly Data";#N/A,#N/A,FALSE,"HighPressure";#N/A,#N/A,FALSE,"IndustrialM&amp;R";#N/A,#N/A,FALSE,"Mains";#N/A,#N/A,FALSE,"Services"}</definedName>
    <definedName name="wrn.Allocation._.Factors." localSheetId="2" hidden="1">{#N/A,#N/A,FALSE,"Alloc Factors";#N/A,#N/A,FALSE,"AverageExcess";#N/A,#N/A,FALSE,"Monthly Data";#N/A,#N/A,FALSE,"HighPressure";#N/A,#N/A,FALSE,"IndustrialM&amp;R";#N/A,#N/A,FALSE,"Mains";#N/A,#N/A,FALSE,"Services"}</definedName>
    <definedName name="wrn.Allocation._.Factors." hidden="1">{#N/A,#N/A,FALSE,"Alloc Factors";#N/A,#N/A,FALSE,"AverageExcess";#N/A,#N/A,FALSE,"Monthly Data";#N/A,#N/A,FALSE,"HighPressure";#N/A,#N/A,FALSE,"IndustrialM&amp;R";#N/A,#N/A,FALSE,"Mains";#N/A,#N/A,FALSE,"Services"}</definedName>
    <definedName name="wrn.Cashflow." localSheetId="1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Operating_Graphs_Stats." localSheetId="1" hidden="1">{#N/A,#N/A,TRUE,"Operating Graphs";#N/A,#N/A,TRUE,"Stats"}</definedName>
    <definedName name="wrn.Operating_Graphs_Stats." localSheetId="2" hidden="1">{#N/A,#N/A,TRUE,"Operating Graphs";#N/A,#N/A,TRUE,"Stats"}</definedName>
    <definedName name="wrn.Operating_Graphs_Stats." hidden="1">{#N/A,#N/A,TRUE,"Operating Graphs";#N/A,#N/A,TRUE,"Stats"}</definedName>
    <definedName name="Z_0BC1F393_8A13_47D5_BC6C_0C99615B5AB9_.wvu.PrintArea" localSheetId="2" hidden="1">'SCH N'!$A$184:$R$247</definedName>
    <definedName name="Z_0C49E549_011E_46F4_A82E_2CC8951A9C1E_.wvu.PrintArea" localSheetId="2" hidden="1">'SCH N'!$A$184:$R$247</definedName>
    <definedName name="Z_18BDED73_BFA0_442E_87EC_CED86EE4CF94_.wvu.PrintArea" localSheetId="2" hidden="1">'SCH N'!$A$184:$R$247</definedName>
    <definedName name="Z_195DF303_1BBD_4236_94B5_47432850B006_.wvu.PrintArea" localSheetId="2" hidden="1">'SCH N'!$A$184:$R$247</definedName>
    <definedName name="Z_2EA35095_1ADC_4CC7_8C3C_B487D65FA247_.wvu.PrintArea" localSheetId="2" hidden="1">'SCH N'!$A$184:$R$247</definedName>
    <definedName name="Z_35F19056_2E6F_4935_B863_78836FE990BF_.wvu.PrintArea" localSheetId="2" hidden="1">'SCH N'!$A$184:$R$247</definedName>
    <definedName name="Z_4BC93440_BA85_4935_A8C9_66DC6AE5DE5E_.wvu.PrintArea" localSheetId="2" hidden="1">'SCH N'!$A$184:$R$247</definedName>
    <definedName name="Z_6B3D5C27_2FDE_4561_9575_1E98BFB869D0_.wvu.PrintArea" localSheetId="2" hidden="1">'SCH N'!$A$184:$R$247</definedName>
    <definedName name="Z_8FB94551_8874_4095_B8FB_5316E0D2FD2C_.wvu.PrintArea" localSheetId="2" hidden="1">'SCH N'!$A$184:$R$247</definedName>
    <definedName name="Z_8FC77C99_DBF7_40B8_99B8_01B75826CDCB_.wvu.PrintArea" localSheetId="2" hidden="1">'SCH N'!$A$184:$R$247</definedName>
    <definedName name="Z_F562D92E_120C_4AE9_9663_89E64D41DC53_.wvu.PrintArea" localSheetId="2" hidden="1">'SCH N'!$A$184:$R$247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B8" i="3"/>
  <c r="A9" i="3"/>
  <c r="B9" i="3"/>
  <c r="A10" i="3"/>
  <c r="B10" i="3"/>
  <c r="A11" i="3"/>
  <c r="B11" i="3"/>
  <c r="A12" i="3"/>
  <c r="B12" i="3"/>
  <c r="D12" i="3" s="1"/>
  <c r="E12" i="3" s="1"/>
  <c r="A13" i="3"/>
  <c r="B13" i="3"/>
  <c r="D13" i="3" s="1"/>
  <c r="E13" i="3" s="1"/>
  <c r="A14" i="3"/>
  <c r="B14" i="3"/>
  <c r="D14" i="3" s="1"/>
  <c r="E14" i="3" s="1"/>
  <c r="A15" i="3"/>
  <c r="B15" i="3"/>
  <c r="D15" i="3" s="1"/>
  <c r="E15" i="3" s="1"/>
  <c r="A16" i="3"/>
  <c r="B16" i="3"/>
  <c r="D16" i="3" s="1"/>
  <c r="E16" i="3" s="1"/>
  <c r="A17" i="3"/>
  <c r="B17" i="3"/>
  <c r="D17" i="3" s="1"/>
  <c r="E17" i="3" s="1"/>
  <c r="A18" i="3"/>
  <c r="B18" i="3"/>
  <c r="D18" i="3" s="1"/>
  <c r="E18" i="3" s="1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D26" i="3" s="1"/>
  <c r="E26" i="3" s="1"/>
  <c r="A27" i="3"/>
  <c r="B27" i="3"/>
  <c r="D27" i="3" s="1"/>
  <c r="E27" i="3" s="1"/>
  <c r="B7" i="3"/>
  <c r="A7" i="3"/>
  <c r="E8" i="3"/>
  <c r="E9" i="3"/>
  <c r="E19" i="3"/>
  <c r="E20" i="3"/>
  <c r="E21" i="3"/>
  <c r="E22" i="3"/>
  <c r="E23" i="3"/>
  <c r="E24" i="3"/>
  <c r="E25" i="3"/>
  <c r="D8" i="3"/>
  <c r="D9" i="3"/>
  <c r="D10" i="3"/>
  <c r="E10" i="3" s="1"/>
  <c r="D11" i="3"/>
  <c r="E11" i="3" s="1"/>
  <c r="D19" i="3"/>
  <c r="D20" i="3"/>
  <c r="D21" i="3"/>
  <c r="D22" i="3"/>
  <c r="D23" i="3"/>
  <c r="D24" i="3"/>
  <c r="D25" i="3"/>
  <c r="D7" i="3"/>
  <c r="E7" i="3" s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7" i="3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C246" i="4"/>
  <c r="C245" i="4"/>
  <c r="C244" i="4"/>
  <c r="C243" i="4"/>
  <c r="C242" i="4"/>
  <c r="C241" i="4"/>
  <c r="O238" i="4"/>
  <c r="L238" i="4"/>
  <c r="K238" i="4"/>
  <c r="O237" i="4"/>
  <c r="L237" i="4"/>
  <c r="K237" i="4"/>
  <c r="O236" i="4"/>
  <c r="L236" i="4"/>
  <c r="K236" i="4"/>
  <c r="O235" i="4"/>
  <c r="L235" i="4"/>
  <c r="K235" i="4"/>
  <c r="O234" i="4"/>
  <c r="L234" i="4"/>
  <c r="K234" i="4"/>
  <c r="F234" i="4"/>
  <c r="O233" i="4"/>
  <c r="L233" i="4"/>
  <c r="K233" i="4"/>
  <c r="O232" i="4"/>
  <c r="L232" i="4"/>
  <c r="K232" i="4"/>
  <c r="F232" i="4"/>
  <c r="O231" i="4"/>
  <c r="L231" i="4"/>
  <c r="K231" i="4"/>
  <c r="O230" i="4"/>
  <c r="L230" i="4"/>
  <c r="K230" i="4"/>
  <c r="G230" i="4"/>
  <c r="F230" i="4"/>
  <c r="O229" i="4"/>
  <c r="L229" i="4"/>
  <c r="K229" i="4"/>
  <c r="O228" i="4"/>
  <c r="L228" i="4"/>
  <c r="K228" i="4"/>
  <c r="G228" i="4"/>
  <c r="F228" i="4"/>
  <c r="M228" i="4" s="1"/>
  <c r="O227" i="4"/>
  <c r="L227" i="4"/>
  <c r="K227" i="4"/>
  <c r="O226" i="4"/>
  <c r="L226" i="4"/>
  <c r="K226" i="4"/>
  <c r="O225" i="4"/>
  <c r="L225" i="4"/>
  <c r="K225" i="4"/>
  <c r="O224" i="4"/>
  <c r="L224" i="4"/>
  <c r="K224" i="4"/>
  <c r="O223" i="4"/>
  <c r="L223" i="4"/>
  <c r="K223" i="4"/>
  <c r="F223" i="4"/>
  <c r="O222" i="4"/>
  <c r="L222" i="4"/>
  <c r="K222" i="4"/>
  <c r="O221" i="4"/>
  <c r="L221" i="4"/>
  <c r="K221" i="4"/>
  <c r="F221" i="4"/>
  <c r="O219" i="4"/>
  <c r="L219" i="4"/>
  <c r="K219" i="4"/>
  <c r="G219" i="4"/>
  <c r="F219" i="4"/>
  <c r="O218" i="4"/>
  <c r="L218" i="4"/>
  <c r="K218" i="4"/>
  <c r="G218" i="4"/>
  <c r="F218" i="4"/>
  <c r="H218" i="4" s="1"/>
  <c r="I218" i="4" s="1"/>
  <c r="O217" i="4"/>
  <c r="L217" i="4"/>
  <c r="K217" i="4"/>
  <c r="O216" i="4"/>
  <c r="L216" i="4"/>
  <c r="K216" i="4"/>
  <c r="G216" i="4"/>
  <c r="F216" i="4"/>
  <c r="O215" i="4"/>
  <c r="L215" i="4"/>
  <c r="K215" i="4"/>
  <c r="O214" i="4"/>
  <c r="L214" i="4"/>
  <c r="K214" i="4"/>
  <c r="O213" i="4"/>
  <c r="L213" i="4"/>
  <c r="K213" i="4"/>
  <c r="G213" i="4"/>
  <c r="N213" i="4" s="1"/>
  <c r="O212" i="4"/>
  <c r="L212" i="4"/>
  <c r="K212" i="4"/>
  <c r="O211" i="4"/>
  <c r="L211" i="4"/>
  <c r="K211" i="4"/>
  <c r="G211" i="4"/>
  <c r="F211" i="4"/>
  <c r="O210" i="4"/>
  <c r="L210" i="4"/>
  <c r="K210" i="4"/>
  <c r="G210" i="4"/>
  <c r="N210" i="4" s="1"/>
  <c r="Q210" i="4" s="1"/>
  <c r="O209" i="4"/>
  <c r="L209" i="4"/>
  <c r="K209" i="4"/>
  <c r="F209" i="4"/>
  <c r="O208" i="4"/>
  <c r="L208" i="4"/>
  <c r="K208" i="4"/>
  <c r="G208" i="4"/>
  <c r="N208" i="4" s="1"/>
  <c r="Q208" i="4" s="1"/>
  <c r="F208" i="4"/>
  <c r="M208" i="4" s="1"/>
  <c r="P208" i="4" s="1"/>
  <c r="O207" i="4"/>
  <c r="L207" i="4"/>
  <c r="K207" i="4"/>
  <c r="G207" i="4"/>
  <c r="F207" i="4"/>
  <c r="H207" i="4" s="1"/>
  <c r="I207" i="4" s="1"/>
  <c r="O206" i="4"/>
  <c r="L206" i="4"/>
  <c r="K206" i="4"/>
  <c r="O205" i="4"/>
  <c r="L205" i="4"/>
  <c r="K205" i="4"/>
  <c r="G205" i="4"/>
  <c r="F205" i="4"/>
  <c r="M205" i="4" s="1"/>
  <c r="O204" i="4"/>
  <c r="L204" i="4"/>
  <c r="K204" i="4"/>
  <c r="O203" i="4"/>
  <c r="L203" i="4"/>
  <c r="K203" i="4"/>
  <c r="AA202" i="4"/>
  <c r="G237" i="4" s="1"/>
  <c r="Z202" i="4"/>
  <c r="G214" i="4" s="1"/>
  <c r="Y202" i="4"/>
  <c r="G232" i="4" s="1"/>
  <c r="X202" i="4"/>
  <c r="G209" i="4" s="1"/>
  <c r="O202" i="4"/>
  <c r="L202" i="4"/>
  <c r="K202" i="4"/>
  <c r="F202" i="4"/>
  <c r="C183" i="4"/>
  <c r="C182" i="4"/>
  <c r="C181" i="4"/>
  <c r="C180" i="4"/>
  <c r="C179" i="4"/>
  <c r="O175" i="4"/>
  <c r="L175" i="4"/>
  <c r="K175" i="4"/>
  <c r="G175" i="4"/>
  <c r="F175" i="4"/>
  <c r="O174" i="4"/>
  <c r="L174" i="4"/>
  <c r="K174" i="4"/>
  <c r="G174" i="4"/>
  <c r="F174" i="4"/>
  <c r="O173" i="4"/>
  <c r="L173" i="4"/>
  <c r="N173" i="4" s="1"/>
  <c r="K173" i="4"/>
  <c r="G173" i="4"/>
  <c r="F173" i="4"/>
  <c r="O172" i="4"/>
  <c r="L172" i="4"/>
  <c r="K172" i="4"/>
  <c r="G172" i="4"/>
  <c r="F172" i="4"/>
  <c r="O171" i="4"/>
  <c r="L171" i="4"/>
  <c r="K171" i="4"/>
  <c r="G171" i="4"/>
  <c r="N171" i="4" s="1"/>
  <c r="F171" i="4"/>
  <c r="O170" i="4"/>
  <c r="L170" i="4"/>
  <c r="K170" i="4"/>
  <c r="G170" i="4"/>
  <c r="F170" i="4"/>
  <c r="O169" i="4"/>
  <c r="L169" i="4"/>
  <c r="K169" i="4"/>
  <c r="G169" i="4"/>
  <c r="F169" i="4"/>
  <c r="O168" i="4"/>
  <c r="L168" i="4"/>
  <c r="N168" i="4" s="1"/>
  <c r="K168" i="4"/>
  <c r="G168" i="4"/>
  <c r="F168" i="4"/>
  <c r="H168" i="4" s="1"/>
  <c r="I168" i="4" s="1"/>
  <c r="O167" i="4"/>
  <c r="L167" i="4"/>
  <c r="K167" i="4"/>
  <c r="G167" i="4"/>
  <c r="F167" i="4"/>
  <c r="O166" i="4"/>
  <c r="L166" i="4"/>
  <c r="K166" i="4"/>
  <c r="G166" i="4"/>
  <c r="F166" i="4"/>
  <c r="O165" i="4"/>
  <c r="L165" i="4"/>
  <c r="K165" i="4"/>
  <c r="G165" i="4"/>
  <c r="N165" i="4" s="1"/>
  <c r="F165" i="4"/>
  <c r="M165" i="4" s="1"/>
  <c r="O164" i="4"/>
  <c r="L164" i="4"/>
  <c r="K164" i="4"/>
  <c r="G164" i="4"/>
  <c r="F164" i="4"/>
  <c r="M164" i="4" s="1"/>
  <c r="O163" i="4"/>
  <c r="L163" i="4"/>
  <c r="K163" i="4"/>
  <c r="G163" i="4"/>
  <c r="H163" i="4" s="1"/>
  <c r="I163" i="4" s="1"/>
  <c r="F163" i="4"/>
  <c r="O162" i="4"/>
  <c r="L162" i="4"/>
  <c r="K162" i="4"/>
  <c r="G162" i="4"/>
  <c r="N162" i="4" s="1"/>
  <c r="F162" i="4"/>
  <c r="H162" i="4" s="1"/>
  <c r="I162" i="4" s="1"/>
  <c r="O161" i="4"/>
  <c r="L161" i="4"/>
  <c r="K161" i="4"/>
  <c r="G161" i="4"/>
  <c r="N161" i="4" s="1"/>
  <c r="F161" i="4"/>
  <c r="M161" i="4" s="1"/>
  <c r="P161" i="4" s="1"/>
  <c r="O160" i="4"/>
  <c r="L160" i="4"/>
  <c r="K160" i="4"/>
  <c r="G160" i="4"/>
  <c r="F160" i="4"/>
  <c r="O159" i="4"/>
  <c r="L159" i="4"/>
  <c r="K159" i="4"/>
  <c r="G159" i="4"/>
  <c r="F159" i="4"/>
  <c r="O158" i="4"/>
  <c r="L158" i="4"/>
  <c r="K158" i="4"/>
  <c r="G158" i="4"/>
  <c r="N158" i="4" s="1"/>
  <c r="Q158" i="4" s="1"/>
  <c r="F158" i="4"/>
  <c r="O157" i="4"/>
  <c r="L157" i="4"/>
  <c r="K157" i="4"/>
  <c r="G157" i="4"/>
  <c r="F157" i="4"/>
  <c r="M157" i="4" s="1"/>
  <c r="O156" i="4"/>
  <c r="L156" i="4"/>
  <c r="K156" i="4"/>
  <c r="G156" i="4"/>
  <c r="H156" i="4" s="1"/>
  <c r="I156" i="4" s="1"/>
  <c r="F156" i="4"/>
  <c r="O155" i="4"/>
  <c r="L155" i="4"/>
  <c r="K155" i="4"/>
  <c r="G155" i="4"/>
  <c r="F155" i="4"/>
  <c r="O154" i="4"/>
  <c r="L154" i="4"/>
  <c r="M154" i="4" s="1"/>
  <c r="K154" i="4"/>
  <c r="G154" i="4"/>
  <c r="H154" i="4" s="1"/>
  <c r="I154" i="4" s="1"/>
  <c r="F154" i="4"/>
  <c r="O153" i="4"/>
  <c r="L153" i="4"/>
  <c r="K153" i="4"/>
  <c r="G153" i="4"/>
  <c r="F153" i="4"/>
  <c r="M153" i="4" s="1"/>
  <c r="O152" i="4"/>
  <c r="L152" i="4"/>
  <c r="K152" i="4"/>
  <c r="G152" i="4"/>
  <c r="F152" i="4"/>
  <c r="M152" i="4" s="1"/>
  <c r="P152" i="4" s="1"/>
  <c r="C133" i="4"/>
  <c r="C132" i="4"/>
  <c r="C131" i="4"/>
  <c r="C130" i="4"/>
  <c r="C129" i="4"/>
  <c r="C128" i="4"/>
  <c r="O125" i="4"/>
  <c r="L125" i="4"/>
  <c r="K125" i="4"/>
  <c r="O124" i="4"/>
  <c r="L124" i="4"/>
  <c r="N124" i="4" s="1"/>
  <c r="K124" i="4"/>
  <c r="O123" i="4"/>
  <c r="L123" i="4"/>
  <c r="K123" i="4"/>
  <c r="O122" i="4"/>
  <c r="L122" i="4"/>
  <c r="K122" i="4"/>
  <c r="O121" i="4"/>
  <c r="L121" i="4"/>
  <c r="K121" i="4"/>
  <c r="H121" i="4"/>
  <c r="I121" i="4" s="1"/>
  <c r="O120" i="4"/>
  <c r="L120" i="4"/>
  <c r="K120" i="4"/>
  <c r="O119" i="4"/>
  <c r="L119" i="4"/>
  <c r="K119" i="4"/>
  <c r="O118" i="4"/>
  <c r="L118" i="4"/>
  <c r="K118" i="4"/>
  <c r="O117" i="4"/>
  <c r="L117" i="4"/>
  <c r="K117" i="4"/>
  <c r="N117" i="4"/>
  <c r="O116" i="4"/>
  <c r="L116" i="4"/>
  <c r="K116" i="4"/>
  <c r="O114" i="4"/>
  <c r="L114" i="4"/>
  <c r="K114" i="4"/>
  <c r="O113" i="4"/>
  <c r="L113" i="4"/>
  <c r="K113" i="4"/>
  <c r="O112" i="4"/>
  <c r="N112" i="4"/>
  <c r="L112" i="4"/>
  <c r="K112" i="4"/>
  <c r="O111" i="4"/>
  <c r="L111" i="4"/>
  <c r="K111" i="4"/>
  <c r="O110" i="4"/>
  <c r="L110" i="4"/>
  <c r="K110" i="4"/>
  <c r="O109" i="4"/>
  <c r="L109" i="4"/>
  <c r="K109" i="4"/>
  <c r="O108" i="4"/>
  <c r="L108" i="4"/>
  <c r="K108" i="4"/>
  <c r="O107" i="4"/>
  <c r="L107" i="4"/>
  <c r="K107" i="4"/>
  <c r="O106" i="4"/>
  <c r="L106" i="4"/>
  <c r="K106" i="4"/>
  <c r="O105" i="4"/>
  <c r="N105" i="4"/>
  <c r="L105" i="4"/>
  <c r="K105" i="4"/>
  <c r="Q105" i="4"/>
  <c r="C85" i="4"/>
  <c r="C84" i="4"/>
  <c r="C83" i="4"/>
  <c r="C82" i="4"/>
  <c r="C81" i="4"/>
  <c r="O78" i="4"/>
  <c r="L78" i="4"/>
  <c r="M78" i="4" s="1"/>
  <c r="H78" i="4"/>
  <c r="I78" i="4" s="1"/>
  <c r="O77" i="4"/>
  <c r="L77" i="4"/>
  <c r="O76" i="4"/>
  <c r="L76" i="4"/>
  <c r="N76" i="4" s="1"/>
  <c r="Q76" i="4" s="1"/>
  <c r="H76" i="4"/>
  <c r="I76" i="4" s="1"/>
  <c r="O73" i="4"/>
  <c r="L73" i="4"/>
  <c r="N73" i="4" s="1"/>
  <c r="K73" i="4"/>
  <c r="H73" i="4"/>
  <c r="I73" i="4" s="1"/>
  <c r="O72" i="4"/>
  <c r="L72" i="4"/>
  <c r="N72" i="4" s="1"/>
  <c r="K72" i="4"/>
  <c r="Q72" i="4" s="1"/>
  <c r="O71" i="4"/>
  <c r="L71" i="4"/>
  <c r="K71" i="4"/>
  <c r="O70" i="4"/>
  <c r="L70" i="4"/>
  <c r="K70" i="4"/>
  <c r="N70" i="4"/>
  <c r="Q70" i="4" s="1"/>
  <c r="O69" i="4"/>
  <c r="L69" i="4"/>
  <c r="M69" i="4" s="1"/>
  <c r="K69" i="4"/>
  <c r="O68" i="4"/>
  <c r="L68" i="4"/>
  <c r="K68" i="4"/>
  <c r="O67" i="4"/>
  <c r="L67" i="4"/>
  <c r="K67" i="4"/>
  <c r="I67" i="4"/>
  <c r="H67" i="4"/>
  <c r="O66" i="4"/>
  <c r="L66" i="4"/>
  <c r="K66" i="4"/>
  <c r="H66" i="4"/>
  <c r="I66" i="4" s="1"/>
  <c r="M66" i="4"/>
  <c r="O65" i="4"/>
  <c r="L65" i="4"/>
  <c r="K65" i="4"/>
  <c r="H65" i="4"/>
  <c r="I65" i="4" s="1"/>
  <c r="O64" i="4"/>
  <c r="L64" i="4"/>
  <c r="K64" i="4"/>
  <c r="O63" i="4"/>
  <c r="M63" i="4" s="1"/>
  <c r="P63" i="4" s="1"/>
  <c r="N63" i="4"/>
  <c r="Q63" i="4" s="1"/>
  <c r="L63" i="4"/>
  <c r="K63" i="4"/>
  <c r="H63" i="4"/>
  <c r="I63" i="4" s="1"/>
  <c r="O62" i="4"/>
  <c r="L62" i="4"/>
  <c r="N62" i="4" s="1"/>
  <c r="K62" i="4"/>
  <c r="H62" i="4"/>
  <c r="I62" i="4" s="1"/>
  <c r="Q62" i="4"/>
  <c r="M62" i="4"/>
  <c r="O61" i="4"/>
  <c r="L61" i="4"/>
  <c r="K61" i="4"/>
  <c r="N61" i="4"/>
  <c r="Q61" i="4" s="1"/>
  <c r="M61" i="4"/>
  <c r="P61" i="4" s="1"/>
  <c r="O60" i="4"/>
  <c r="L60" i="4"/>
  <c r="K60" i="4"/>
  <c r="O59" i="4"/>
  <c r="L59" i="4"/>
  <c r="K59" i="4"/>
  <c r="N59" i="4"/>
  <c r="Q59" i="4" s="1"/>
  <c r="O58" i="4"/>
  <c r="L58" i="4"/>
  <c r="M58" i="4" s="1"/>
  <c r="K58" i="4"/>
  <c r="O57" i="4"/>
  <c r="L57" i="4"/>
  <c r="K57" i="4"/>
  <c r="O56" i="4"/>
  <c r="L56" i="4"/>
  <c r="K56" i="4"/>
  <c r="H56" i="4"/>
  <c r="I56" i="4" s="1"/>
  <c r="O55" i="4"/>
  <c r="L55" i="4"/>
  <c r="K55" i="4"/>
  <c r="H55" i="4"/>
  <c r="I55" i="4" s="1"/>
  <c r="O54" i="4"/>
  <c r="L54" i="4"/>
  <c r="K54" i="4"/>
  <c r="H54" i="4"/>
  <c r="I54" i="4" s="1"/>
  <c r="O53" i="4"/>
  <c r="L53" i="4"/>
  <c r="N53" i="4" s="1"/>
  <c r="K53" i="4"/>
  <c r="Q53" i="4" s="1"/>
  <c r="H53" i="4"/>
  <c r="I53" i="4" s="1"/>
  <c r="C34" i="4"/>
  <c r="C33" i="4"/>
  <c r="C32" i="4"/>
  <c r="C31" i="4"/>
  <c r="C30" i="4"/>
  <c r="C28" i="4"/>
  <c r="O26" i="4"/>
  <c r="L26" i="4"/>
  <c r="K26" i="4"/>
  <c r="G26" i="4"/>
  <c r="F26" i="4"/>
  <c r="O25" i="4"/>
  <c r="L25" i="4"/>
  <c r="K25" i="4"/>
  <c r="G25" i="4"/>
  <c r="F25" i="4"/>
  <c r="M25" i="4" s="1"/>
  <c r="O24" i="4"/>
  <c r="L24" i="4"/>
  <c r="K24" i="4"/>
  <c r="G24" i="4"/>
  <c r="H24" i="4" s="1"/>
  <c r="I24" i="4" s="1"/>
  <c r="F24" i="4"/>
  <c r="O23" i="4"/>
  <c r="L23" i="4"/>
  <c r="K23" i="4"/>
  <c r="G23" i="4"/>
  <c r="F23" i="4"/>
  <c r="O22" i="4"/>
  <c r="L22" i="4"/>
  <c r="K22" i="4"/>
  <c r="G22" i="4"/>
  <c r="F22" i="4"/>
  <c r="O21" i="4"/>
  <c r="L21" i="4"/>
  <c r="K21" i="4"/>
  <c r="G21" i="4"/>
  <c r="F21" i="4"/>
  <c r="M21" i="4" s="1"/>
  <c r="O20" i="4"/>
  <c r="L20" i="4"/>
  <c r="K20" i="4"/>
  <c r="N20" i="4" s="1"/>
  <c r="Q20" i="4" s="1"/>
  <c r="G20" i="4"/>
  <c r="F20" i="4"/>
  <c r="R158" i="4" l="1"/>
  <c r="N156" i="4"/>
  <c r="Q156" i="4" s="1"/>
  <c r="Q168" i="4"/>
  <c r="H216" i="4"/>
  <c r="I216" i="4" s="1"/>
  <c r="H152" i="4"/>
  <c r="I152" i="4" s="1"/>
  <c r="H205" i="4"/>
  <c r="I205" i="4" s="1"/>
  <c r="P153" i="4"/>
  <c r="H22" i="4"/>
  <c r="I22" i="4" s="1"/>
  <c r="H26" i="4"/>
  <c r="I26" i="4" s="1"/>
  <c r="N78" i="4"/>
  <c r="Q78" i="4" s="1"/>
  <c r="Q124" i="4"/>
  <c r="H165" i="4"/>
  <c r="I165" i="4" s="1"/>
  <c r="M72" i="4"/>
  <c r="P72" i="4" s="1"/>
  <c r="R72" i="4" s="1"/>
  <c r="N157" i="4"/>
  <c r="M173" i="4"/>
  <c r="M22" i="4"/>
  <c r="P22" i="4" s="1"/>
  <c r="H169" i="4"/>
  <c r="I169" i="4" s="1"/>
  <c r="Q173" i="4"/>
  <c r="R173" i="4" s="1"/>
  <c r="H230" i="4"/>
  <c r="I230" i="4" s="1"/>
  <c r="H175" i="4"/>
  <c r="I175" i="4" s="1"/>
  <c r="P164" i="4"/>
  <c r="Q157" i="4"/>
  <c r="R157" i="4" s="1"/>
  <c r="Q161" i="4"/>
  <c r="R161" i="4" s="1"/>
  <c r="H23" i="4"/>
  <c r="I23" i="4" s="1"/>
  <c r="Q73" i="4"/>
  <c r="H155" i="4"/>
  <c r="I155" i="4" s="1"/>
  <c r="M158" i="4"/>
  <c r="P158" i="4" s="1"/>
  <c r="M163" i="4"/>
  <c r="P163" i="4" s="1"/>
  <c r="M219" i="4"/>
  <c r="P219" i="4" s="1"/>
  <c r="N163" i="4"/>
  <c r="Q163" i="4" s="1"/>
  <c r="R163" i="4" s="1"/>
  <c r="H164" i="4"/>
  <c r="I164" i="4" s="1"/>
  <c r="N167" i="4"/>
  <c r="H228" i="4"/>
  <c r="I228" i="4" s="1"/>
  <c r="M216" i="4"/>
  <c r="P216" i="4" s="1"/>
  <c r="H158" i="4"/>
  <c r="I158" i="4" s="1"/>
  <c r="Q167" i="4"/>
  <c r="P205" i="4"/>
  <c r="P228" i="4"/>
  <c r="M76" i="4"/>
  <c r="P76" i="4" s="1"/>
  <c r="R76" i="4" s="1"/>
  <c r="N152" i="4"/>
  <c r="Q152" i="4" s="1"/>
  <c r="Q165" i="4"/>
  <c r="M169" i="4"/>
  <c r="P169" i="4" s="1"/>
  <c r="N169" i="4"/>
  <c r="Q169" i="4" s="1"/>
  <c r="R169" i="4" s="1"/>
  <c r="Q213" i="4"/>
  <c r="M162" i="4"/>
  <c r="M73" i="4"/>
  <c r="H166" i="4"/>
  <c r="I166" i="4" s="1"/>
  <c r="M20" i="4"/>
  <c r="P20" i="4" s="1"/>
  <c r="M53" i="4"/>
  <c r="P53" i="4" s="1"/>
  <c r="R53" i="4" s="1"/>
  <c r="N219" i="4"/>
  <c r="Q219" i="4" s="1"/>
  <c r="H20" i="4"/>
  <c r="I20" i="4" s="1"/>
  <c r="R78" i="4"/>
  <c r="R61" i="4"/>
  <c r="R20" i="4"/>
  <c r="H111" i="4"/>
  <c r="I111" i="4" s="1"/>
  <c r="N111" i="4"/>
  <c r="Q111" i="4" s="1"/>
  <c r="P70" i="4"/>
  <c r="R70" i="4" s="1"/>
  <c r="P69" i="4"/>
  <c r="H210" i="4"/>
  <c r="I210" i="4" s="1"/>
  <c r="M24" i="4"/>
  <c r="P24" i="4" s="1"/>
  <c r="P55" i="4"/>
  <c r="M65" i="4"/>
  <c r="P65" i="4" s="1"/>
  <c r="N69" i="4"/>
  <c r="Q69" i="4" s="1"/>
  <c r="R69" i="4" s="1"/>
  <c r="N65" i="4"/>
  <c r="Q65" i="4" s="1"/>
  <c r="H69" i="4"/>
  <c r="I69" i="4" s="1"/>
  <c r="P78" i="4"/>
  <c r="N119" i="4"/>
  <c r="Q119" i="4" s="1"/>
  <c r="Q109" i="4"/>
  <c r="Q162" i="4"/>
  <c r="P211" i="4"/>
  <c r="P170" i="4"/>
  <c r="Q159" i="4"/>
  <c r="M60" i="4"/>
  <c r="P60" i="4" s="1"/>
  <c r="Q211" i="4"/>
  <c r="R211" i="4" s="1"/>
  <c r="H114" i="4"/>
  <c r="I114" i="4" s="1"/>
  <c r="N114" i="4"/>
  <c r="Q114" i="4"/>
  <c r="R63" i="4"/>
  <c r="H232" i="4"/>
  <c r="I232" i="4" s="1"/>
  <c r="N232" i="4"/>
  <c r="Q232" i="4" s="1"/>
  <c r="N214" i="4"/>
  <c r="Q214" i="4"/>
  <c r="M71" i="4"/>
  <c r="P71" i="4" s="1"/>
  <c r="N237" i="4"/>
  <c r="Q237" i="4"/>
  <c r="N153" i="4"/>
  <c r="Q153" i="4" s="1"/>
  <c r="R153" i="4" s="1"/>
  <c r="H153" i="4"/>
  <c r="I153" i="4" s="1"/>
  <c r="P117" i="4"/>
  <c r="N160" i="4"/>
  <c r="Q160" i="4" s="1"/>
  <c r="M114" i="4"/>
  <c r="P114" i="4" s="1"/>
  <c r="P223" i="4"/>
  <c r="N22" i="4"/>
  <c r="Q22" i="4" s="1"/>
  <c r="N56" i="4"/>
  <c r="Q56" i="4" s="1"/>
  <c r="M56" i="4"/>
  <c r="P56" i="4" s="1"/>
  <c r="H209" i="4"/>
  <c r="I209" i="4" s="1"/>
  <c r="N209" i="4"/>
  <c r="Q209" i="4" s="1"/>
  <c r="R209" i="4" s="1"/>
  <c r="M160" i="4"/>
  <c r="P160" i="4" s="1"/>
  <c r="R208" i="4"/>
  <c r="M26" i="4"/>
  <c r="P26" i="4" s="1"/>
  <c r="N67" i="4"/>
  <c r="Q67" i="4" s="1"/>
  <c r="M67" i="4"/>
  <c r="P67" i="4" s="1"/>
  <c r="H71" i="4"/>
  <c r="I71" i="4" s="1"/>
  <c r="N71" i="4"/>
  <c r="Q71" i="4" s="1"/>
  <c r="N107" i="4"/>
  <c r="Q107" i="4" s="1"/>
  <c r="R219" i="4"/>
  <c r="P58" i="4"/>
  <c r="M77" i="4"/>
  <c r="P77" i="4"/>
  <c r="Q112" i="4"/>
  <c r="Q172" i="4"/>
  <c r="M54" i="4"/>
  <c r="P54" i="4" s="1"/>
  <c r="N58" i="4"/>
  <c r="Q58" i="4" s="1"/>
  <c r="N54" i="4"/>
  <c r="Q54" i="4" s="1"/>
  <c r="R54" i="4" s="1"/>
  <c r="H58" i="4"/>
  <c r="I58" i="4" s="1"/>
  <c r="N26" i="4"/>
  <c r="Q26" i="4" s="1"/>
  <c r="H60" i="4"/>
  <c r="I60" i="4" s="1"/>
  <c r="N60" i="4"/>
  <c r="Q60" i="4"/>
  <c r="P175" i="4"/>
  <c r="R152" i="4"/>
  <c r="M64" i="4"/>
  <c r="P64" i="4" s="1"/>
  <c r="H160" i="4"/>
  <c r="I160" i="4" s="1"/>
  <c r="Q64" i="4"/>
  <c r="N24" i="4"/>
  <c r="Q24" i="4" s="1"/>
  <c r="P221" i="4"/>
  <c r="P166" i="4"/>
  <c r="H123" i="4"/>
  <c r="I123" i="4" s="1"/>
  <c r="N123" i="4"/>
  <c r="Q123" i="4" s="1"/>
  <c r="N21" i="4"/>
  <c r="Q21" i="4" s="1"/>
  <c r="H21" i="4"/>
  <c r="I21" i="4" s="1"/>
  <c r="Q171" i="4"/>
  <c r="M175" i="4"/>
  <c r="N205" i="4"/>
  <c r="Q205" i="4" s="1"/>
  <c r="N216" i="4"/>
  <c r="Q216" i="4" s="1"/>
  <c r="R216" i="4" s="1"/>
  <c r="G223" i="4"/>
  <c r="N228" i="4"/>
  <c r="G234" i="4"/>
  <c r="P162" i="4"/>
  <c r="N164" i="4"/>
  <c r="Q164" i="4" s="1"/>
  <c r="R164" i="4" s="1"/>
  <c r="P173" i="4"/>
  <c r="N175" i="4"/>
  <c r="M207" i="4"/>
  <c r="P207" i="4" s="1"/>
  <c r="H211" i="4"/>
  <c r="I211" i="4" s="1"/>
  <c r="F213" i="4"/>
  <c r="H213" i="4" s="1"/>
  <c r="I213" i="4" s="1"/>
  <c r="M218" i="4"/>
  <c r="P218" i="4" s="1"/>
  <c r="F225" i="4"/>
  <c r="M230" i="4"/>
  <c r="P230" i="4" s="1"/>
  <c r="F236" i="4"/>
  <c r="H77" i="4"/>
  <c r="I77" i="4" s="1"/>
  <c r="M117" i="4"/>
  <c r="H57" i="4"/>
  <c r="I57" i="4" s="1"/>
  <c r="P62" i="4"/>
  <c r="R62" i="4" s="1"/>
  <c r="N64" i="4"/>
  <c r="P73" i="4"/>
  <c r="R73" i="4" s="1"/>
  <c r="N77" i="4"/>
  <c r="Q77" i="4" s="1"/>
  <c r="R77" i="4" s="1"/>
  <c r="M109" i="4"/>
  <c r="P109" i="4" s="1"/>
  <c r="Q117" i="4"/>
  <c r="M121" i="4"/>
  <c r="P121" i="4" s="1"/>
  <c r="H125" i="4"/>
  <c r="I125" i="4" s="1"/>
  <c r="M155" i="4"/>
  <c r="P155" i="4" s="1"/>
  <c r="H159" i="4"/>
  <c r="I159" i="4" s="1"/>
  <c r="M166" i="4"/>
  <c r="H170" i="4"/>
  <c r="I170" i="4" s="1"/>
  <c r="N207" i="4"/>
  <c r="Q207" i="4" s="1"/>
  <c r="N218" i="4"/>
  <c r="Q218" i="4" s="1"/>
  <c r="R218" i="4" s="1"/>
  <c r="G225" i="4"/>
  <c r="N230" i="4"/>
  <c r="Q230" i="4" s="1"/>
  <c r="G236" i="4"/>
  <c r="H64" i="4"/>
  <c r="I64" i="4" s="1"/>
  <c r="H70" i="4"/>
  <c r="I70" i="4" s="1"/>
  <c r="N109" i="4"/>
  <c r="N121" i="4"/>
  <c r="N155" i="4"/>
  <c r="N166" i="4"/>
  <c r="Q166" i="4" s="1"/>
  <c r="M202" i="4"/>
  <c r="P202" i="4" s="1"/>
  <c r="F204" i="4"/>
  <c r="M209" i="4"/>
  <c r="P209" i="4" s="1"/>
  <c r="F215" i="4"/>
  <c r="M221" i="4"/>
  <c r="F227" i="4"/>
  <c r="Q228" i="4"/>
  <c r="M232" i="4"/>
  <c r="P232" i="4" s="1"/>
  <c r="F238" i="4"/>
  <c r="Q175" i="4"/>
  <c r="R175" i="4" s="1"/>
  <c r="G204" i="4"/>
  <c r="G215" i="4"/>
  <c r="G227" i="4"/>
  <c r="G238" i="4"/>
  <c r="F206" i="4"/>
  <c r="M211" i="4"/>
  <c r="F217" i="4"/>
  <c r="M223" i="4"/>
  <c r="F229" i="4"/>
  <c r="M234" i="4"/>
  <c r="P234" i="4" s="1"/>
  <c r="H109" i="4"/>
  <c r="I109" i="4" s="1"/>
  <c r="M55" i="4"/>
  <c r="N55" i="4"/>
  <c r="Q55" i="4" s="1"/>
  <c r="M111" i="4"/>
  <c r="P111" i="4" s="1"/>
  <c r="M123" i="4"/>
  <c r="P123" i="4" s="1"/>
  <c r="H161" i="4"/>
  <c r="I161" i="4" s="1"/>
  <c r="M68" i="4"/>
  <c r="P68" i="4" s="1"/>
  <c r="H72" i="4"/>
  <c r="I72" i="4" s="1"/>
  <c r="N25" i="4"/>
  <c r="Q25" i="4" s="1"/>
  <c r="N57" i="4"/>
  <c r="Q57" i="4" s="1"/>
  <c r="P66" i="4"/>
  <c r="N68" i="4"/>
  <c r="Q68" i="4" s="1"/>
  <c r="Q121" i="4"/>
  <c r="M125" i="4"/>
  <c r="P125" i="4" s="1"/>
  <c r="Q155" i="4"/>
  <c r="M159" i="4"/>
  <c r="P159" i="4" s="1"/>
  <c r="M170" i="4"/>
  <c r="H174" i="4"/>
  <c r="I174" i="4" s="1"/>
  <c r="G206" i="4"/>
  <c r="N211" i="4"/>
  <c r="G217" i="4"/>
  <c r="G229" i="4"/>
  <c r="P21" i="4"/>
  <c r="M168" i="4"/>
  <c r="P168" i="4" s="1"/>
  <c r="M57" i="4"/>
  <c r="P57" i="4" s="1"/>
  <c r="M70" i="4"/>
  <c r="N125" i="4"/>
  <c r="Q125" i="4" s="1"/>
  <c r="P157" i="4"/>
  <c r="N159" i="4"/>
  <c r="N170" i="4"/>
  <c r="Q170" i="4" s="1"/>
  <c r="R170" i="4" s="1"/>
  <c r="F231" i="4"/>
  <c r="H61" i="4"/>
  <c r="I61" i="4" s="1"/>
  <c r="M59" i="4"/>
  <c r="P59" i="4" s="1"/>
  <c r="R59" i="4" s="1"/>
  <c r="Q66" i="4"/>
  <c r="P25" i="4"/>
  <c r="M172" i="4"/>
  <c r="P172" i="4" s="1"/>
  <c r="G231" i="4"/>
  <c r="H157" i="4"/>
  <c r="I157" i="4" s="1"/>
  <c r="H25" i="4"/>
  <c r="I25" i="4" s="1"/>
  <c r="H68" i="4"/>
  <c r="I68" i="4" s="1"/>
  <c r="M23" i="4"/>
  <c r="P23" i="4" s="1"/>
  <c r="N23" i="4"/>
  <c r="Q23" i="4" s="1"/>
  <c r="N66" i="4"/>
  <c r="H172" i="4"/>
  <c r="I172" i="4" s="1"/>
  <c r="N172" i="4"/>
  <c r="H208" i="4"/>
  <c r="I208" i="4" s="1"/>
  <c r="F210" i="4"/>
  <c r="H219" i="4"/>
  <c r="I219" i="4" s="1"/>
  <c r="F222" i="4"/>
  <c r="F233" i="4"/>
  <c r="H59" i="4"/>
  <c r="I59" i="4" s="1"/>
  <c r="H167" i="4"/>
  <c r="I167" i="4" s="1"/>
  <c r="M174" i="4"/>
  <c r="P174" i="4" s="1"/>
  <c r="G222" i="4"/>
  <c r="G233" i="4"/>
  <c r="N174" i="4"/>
  <c r="Q174" i="4" s="1"/>
  <c r="F212" i="4"/>
  <c r="F224" i="4"/>
  <c r="F235" i="4"/>
  <c r="G212" i="4"/>
  <c r="G224" i="4"/>
  <c r="G235" i="4"/>
  <c r="N154" i="4"/>
  <c r="Q154" i="4" s="1"/>
  <c r="R154" i="4" s="1"/>
  <c r="F203" i="4"/>
  <c r="F214" i="4"/>
  <c r="H214" i="4" s="1"/>
  <c r="I214" i="4" s="1"/>
  <c r="F226" i="4"/>
  <c r="F237" i="4"/>
  <c r="M156" i="4"/>
  <c r="P156" i="4" s="1"/>
  <c r="M167" i="4"/>
  <c r="P167" i="4" s="1"/>
  <c r="H171" i="4"/>
  <c r="I171" i="4" s="1"/>
  <c r="G203" i="4"/>
  <c r="G226" i="4"/>
  <c r="P154" i="4"/>
  <c r="P165" i="4"/>
  <c r="R165" i="4" s="1"/>
  <c r="H107" i="4"/>
  <c r="I107" i="4" s="1"/>
  <c r="H117" i="4"/>
  <c r="I117" i="4" s="1"/>
  <c r="H173" i="4"/>
  <c r="I173" i="4" s="1"/>
  <c r="M171" i="4"/>
  <c r="P171" i="4" s="1"/>
  <c r="G202" i="4"/>
  <c r="G221" i="4"/>
  <c r="R207" i="4" l="1"/>
  <c r="R167" i="4"/>
  <c r="R117" i="4"/>
  <c r="R168" i="4"/>
  <c r="R21" i="4"/>
  <c r="R58" i="4"/>
  <c r="R232" i="4"/>
  <c r="R64" i="4"/>
  <c r="R228" i="4"/>
  <c r="R67" i="4"/>
  <c r="R162" i="4"/>
  <c r="R156" i="4"/>
  <c r="R55" i="4"/>
  <c r="R205" i="4"/>
  <c r="R23" i="4"/>
  <c r="R65" i="4"/>
  <c r="R123" i="4"/>
  <c r="R230" i="4"/>
  <c r="R66" i="4"/>
  <c r="R26" i="4"/>
  <c r="R56" i="4"/>
  <c r="R71" i="4"/>
  <c r="R111" i="4"/>
  <c r="M119" i="4"/>
  <c r="P119" i="4" s="1"/>
  <c r="R119" i="4" s="1"/>
  <c r="N222" i="4"/>
  <c r="Q222" i="4" s="1"/>
  <c r="H222" i="4"/>
  <c r="I222" i="4" s="1"/>
  <c r="M113" i="4"/>
  <c r="P113" i="4" s="1"/>
  <c r="N217" i="4"/>
  <c r="Q217" i="4" s="1"/>
  <c r="H217" i="4"/>
  <c r="I217" i="4" s="1"/>
  <c r="M112" i="4"/>
  <c r="P112" i="4" s="1"/>
  <c r="R112" i="4" s="1"/>
  <c r="H112" i="4"/>
  <c r="I112" i="4" s="1"/>
  <c r="M122" i="4"/>
  <c r="P122" i="4" s="1"/>
  <c r="M227" i="4"/>
  <c r="P227" i="4" s="1"/>
  <c r="S24" i="4"/>
  <c r="R24" i="4"/>
  <c r="R172" i="4"/>
  <c r="M222" i="4"/>
  <c r="P222" i="4" s="1"/>
  <c r="R166" i="4"/>
  <c r="M237" i="4"/>
  <c r="P237" i="4"/>
  <c r="R237" i="4" s="1"/>
  <c r="M226" i="4"/>
  <c r="P226" i="4"/>
  <c r="M210" i="4"/>
  <c r="P210" i="4" s="1"/>
  <c r="R210" i="4" s="1"/>
  <c r="R155" i="4"/>
  <c r="N234" i="4"/>
  <c r="Q234" i="4" s="1"/>
  <c r="R234" i="4" s="1"/>
  <c r="H234" i="4"/>
  <c r="I234" i="4" s="1"/>
  <c r="R68" i="4"/>
  <c r="R25" i="4"/>
  <c r="M214" i="4"/>
  <c r="P214" i="4" s="1"/>
  <c r="R214" i="4" s="1"/>
  <c r="M229" i="4"/>
  <c r="P229" i="4" s="1"/>
  <c r="M116" i="4"/>
  <c r="P116" i="4" s="1"/>
  <c r="H119" i="4"/>
  <c r="I119" i="4" s="1"/>
  <c r="N106" i="4"/>
  <c r="Q106" i="4" s="1"/>
  <c r="H106" i="4"/>
  <c r="I106" i="4" s="1"/>
  <c r="N229" i="4"/>
  <c r="Q229" i="4" s="1"/>
  <c r="H229" i="4"/>
  <c r="I229" i="4" s="1"/>
  <c r="N233" i="4"/>
  <c r="Q233" i="4" s="1"/>
  <c r="R233" i="4" s="1"/>
  <c r="H233" i="4"/>
  <c r="I233" i="4" s="1"/>
  <c r="N225" i="4"/>
  <c r="Q225" i="4" s="1"/>
  <c r="R225" i="4" s="1"/>
  <c r="H225" i="4"/>
  <c r="I225" i="4" s="1"/>
  <c r="M238" i="4"/>
  <c r="P238" i="4" s="1"/>
  <c r="R159" i="4"/>
  <c r="N231" i="4"/>
  <c r="Q231" i="4" s="1"/>
  <c r="R231" i="4" s="1"/>
  <c r="H231" i="4"/>
  <c r="I231" i="4" s="1"/>
  <c r="M213" i="4"/>
  <c r="P213" i="4" s="1"/>
  <c r="R213" i="4" s="1"/>
  <c r="N226" i="4"/>
  <c r="H226" i="4"/>
  <c r="I226" i="4" s="1"/>
  <c r="Q226" i="4"/>
  <c r="N203" i="4"/>
  <c r="H203" i="4"/>
  <c r="I203" i="4" s="1"/>
  <c r="Q203" i="4"/>
  <c r="N206" i="4"/>
  <c r="Q206" i="4" s="1"/>
  <c r="R206" i="4" s="1"/>
  <c r="H206" i="4"/>
  <c r="I206" i="4" s="1"/>
  <c r="R125" i="4"/>
  <c r="M110" i="4"/>
  <c r="P110" i="4" s="1"/>
  <c r="M233" i="4"/>
  <c r="P233" i="4" s="1"/>
  <c r="M215" i="4"/>
  <c r="P215" i="4" s="1"/>
  <c r="M203" i="4"/>
  <c r="P203" i="4" s="1"/>
  <c r="M231" i="4"/>
  <c r="P231" i="4" s="1"/>
  <c r="R121" i="4"/>
  <c r="N122" i="4"/>
  <c r="H122" i="4"/>
  <c r="I122" i="4" s="1"/>
  <c r="Q122" i="4"/>
  <c r="M217" i="4"/>
  <c r="P217" i="4" s="1"/>
  <c r="R174" i="4"/>
  <c r="N110" i="4"/>
  <c r="Q110" i="4" s="1"/>
  <c r="H110" i="4"/>
  <c r="I110" i="4" s="1"/>
  <c r="N224" i="4"/>
  <c r="Q224" i="4" s="1"/>
  <c r="H224" i="4"/>
  <c r="I224" i="4" s="1"/>
  <c r="M206" i="4"/>
  <c r="P206" i="4" s="1"/>
  <c r="R60" i="4"/>
  <c r="N212" i="4"/>
  <c r="Q212" i="4" s="1"/>
  <c r="H212" i="4"/>
  <c r="I212" i="4" s="1"/>
  <c r="N238" i="4"/>
  <c r="Q238" i="4" s="1"/>
  <c r="H238" i="4"/>
  <c r="I238" i="4" s="1"/>
  <c r="H221" i="4"/>
  <c r="I221" i="4" s="1"/>
  <c r="N221" i="4"/>
  <c r="Q221" i="4" s="1"/>
  <c r="R221" i="4" s="1"/>
  <c r="M106" i="4"/>
  <c r="P106" i="4"/>
  <c r="H202" i="4"/>
  <c r="I202" i="4" s="1"/>
  <c r="N202" i="4"/>
  <c r="Q202" i="4" s="1"/>
  <c r="R202" i="4" s="1"/>
  <c r="H120" i="4"/>
  <c r="I120" i="4" s="1"/>
  <c r="N120" i="4"/>
  <c r="Q120" i="4" s="1"/>
  <c r="M212" i="4"/>
  <c r="P212" i="4" s="1"/>
  <c r="H108" i="4"/>
  <c r="I108" i="4" s="1"/>
  <c r="N108" i="4"/>
  <c r="Q108" i="4" s="1"/>
  <c r="R108" i="4" s="1"/>
  <c r="N113" i="4"/>
  <c r="Q113" i="4" s="1"/>
  <c r="R113" i="4" s="1"/>
  <c r="H113" i="4"/>
  <c r="I113" i="4" s="1"/>
  <c r="H237" i="4"/>
  <c r="I237" i="4" s="1"/>
  <c r="M107" i="4"/>
  <c r="P107" i="4" s="1"/>
  <c r="R107" i="4" s="1"/>
  <c r="M124" i="4"/>
  <c r="P124" i="4"/>
  <c r="R124" i="4" s="1"/>
  <c r="H124" i="4"/>
  <c r="I124" i="4" s="1"/>
  <c r="M105" i="4"/>
  <c r="P105" i="4"/>
  <c r="R105" i="4" s="1"/>
  <c r="H105" i="4"/>
  <c r="I105" i="4" s="1"/>
  <c r="R22" i="4"/>
  <c r="N116" i="4"/>
  <c r="H116" i="4"/>
  <c r="I116" i="4" s="1"/>
  <c r="Q116" i="4"/>
  <c r="R109" i="4"/>
  <c r="M204" i="4"/>
  <c r="P204" i="4" s="1"/>
  <c r="N223" i="4"/>
  <c r="Q223" i="4" s="1"/>
  <c r="R223" i="4" s="1"/>
  <c r="H223" i="4"/>
  <c r="I223" i="4" s="1"/>
  <c r="R160" i="4"/>
  <c r="M120" i="4"/>
  <c r="P120" i="4" s="1"/>
  <c r="N235" i="4"/>
  <c r="Q235" i="4" s="1"/>
  <c r="R235" i="4" s="1"/>
  <c r="H235" i="4"/>
  <c r="I235" i="4" s="1"/>
  <c r="M108" i="4"/>
  <c r="P108" i="4" s="1"/>
  <c r="M118" i="4"/>
  <c r="P118" i="4"/>
  <c r="R171" i="4"/>
  <c r="M235" i="4"/>
  <c r="P235" i="4" s="1"/>
  <c r="M224" i="4"/>
  <c r="P224" i="4" s="1"/>
  <c r="N227" i="4"/>
  <c r="Q227" i="4" s="1"/>
  <c r="H227" i="4"/>
  <c r="I227" i="4" s="1"/>
  <c r="R114" i="4"/>
  <c r="N118" i="4"/>
  <c r="Q118" i="4" s="1"/>
  <c r="R118" i="4" s="1"/>
  <c r="H118" i="4"/>
  <c r="I118" i="4" s="1"/>
  <c r="N215" i="4"/>
  <c r="Q215" i="4" s="1"/>
  <c r="H215" i="4"/>
  <c r="I215" i="4" s="1"/>
  <c r="N236" i="4"/>
  <c r="Q236" i="4" s="1"/>
  <c r="H236" i="4"/>
  <c r="I236" i="4" s="1"/>
  <c r="M236" i="4"/>
  <c r="P236" i="4" s="1"/>
  <c r="N204" i="4"/>
  <c r="Q204" i="4" s="1"/>
  <c r="H204" i="4"/>
  <c r="I204" i="4" s="1"/>
  <c r="M225" i="4"/>
  <c r="P225" i="4" s="1"/>
  <c r="R57" i="4"/>
  <c r="R120" i="4" l="1"/>
  <c r="R229" i="4"/>
  <c r="R106" i="4"/>
  <c r="U53" i="4"/>
  <c r="R217" i="4"/>
  <c r="R238" i="4"/>
  <c r="R227" i="4"/>
  <c r="R212" i="4"/>
  <c r="R224" i="4"/>
  <c r="R222" i="4"/>
  <c r="U54" i="4"/>
  <c r="R215" i="4"/>
  <c r="R203" i="4"/>
  <c r="R110" i="4"/>
  <c r="R226" i="4"/>
  <c r="R116" i="4"/>
  <c r="R204" i="4"/>
  <c r="R122" i="4"/>
  <c r="R236" i="4"/>
  <c r="E52" i="1" l="1"/>
  <c r="D51" i="1"/>
  <c r="C50" i="1"/>
  <c r="C49" i="1"/>
  <c r="C42" i="1"/>
  <c r="C41" i="1"/>
  <c r="C39" i="1"/>
  <c r="D38" i="1"/>
  <c r="E32" i="1"/>
  <c r="D32" i="1"/>
  <c r="C32" i="1"/>
  <c r="D31" i="1"/>
  <c r="C31" i="1"/>
  <c r="E31" i="1" s="1"/>
  <c r="D33" i="1"/>
  <c r="E22" i="1"/>
  <c r="E20" i="1"/>
  <c r="E18" i="1"/>
  <c r="E17" i="1"/>
  <c r="D50" i="1"/>
  <c r="C48" i="1"/>
  <c r="C40" i="1"/>
  <c r="E12" i="1"/>
  <c r="D37" i="1"/>
  <c r="C37" i="1"/>
  <c r="E37" i="1" s="1"/>
  <c r="E9" i="1"/>
  <c r="E8" i="1"/>
  <c r="D30" i="1"/>
  <c r="C30" i="1"/>
  <c r="E30" i="1" s="1"/>
  <c r="D49" i="1" l="1"/>
  <c r="D41" i="1"/>
  <c r="E41" i="1" s="1"/>
  <c r="E14" i="1"/>
  <c r="D40" i="1"/>
  <c r="E40" i="1" s="1"/>
  <c r="D48" i="1"/>
  <c r="E48" i="1"/>
  <c r="E49" i="1"/>
  <c r="E50" i="1"/>
  <c r="E11" i="1"/>
  <c r="E15" i="1"/>
  <c r="E7" i="1"/>
  <c r="C33" i="1"/>
  <c r="E33" i="1" s="1"/>
  <c r="E34" i="1" s="1"/>
  <c r="D46" i="1"/>
  <c r="C46" i="1"/>
  <c r="E46" i="1" s="1"/>
  <c r="C47" i="1"/>
  <c r="D42" i="1"/>
  <c r="E42" i="1" s="1"/>
  <c r="E16" i="1"/>
  <c r="D47" i="1"/>
  <c r="C38" i="1"/>
  <c r="E38" i="1" s="1"/>
  <c r="D39" i="1"/>
  <c r="E39" i="1" s="1"/>
  <c r="E43" i="1" l="1"/>
  <c r="E47" i="1"/>
  <c r="E25" i="1"/>
  <c r="E51" i="1"/>
  <c r="E53" i="1" s="1"/>
  <c r="E55" i="1" l="1"/>
</calcChain>
</file>

<file path=xl/sharedStrings.xml><?xml version="1.0" encoding="utf-8"?>
<sst xmlns="http://schemas.openxmlformats.org/spreadsheetml/2006/main" count="565" uniqueCount="146">
  <si>
    <t>Kroger Proposed Rate DS</t>
  </si>
  <si>
    <t>Revenue Verification and Classification of Revenues by Rate Component</t>
  </si>
  <si>
    <t>Description</t>
  </si>
  <si>
    <t>Units</t>
  </si>
  <si>
    <t>Customer Bills/
Sales</t>
  </si>
  <si>
    <t>Proposed Rate</t>
  </si>
  <si>
    <t>Proposed Revenue</t>
  </si>
  <si>
    <t>Customer Charge</t>
  </si>
  <si>
    <t>Load Management Rider</t>
  </si>
  <si>
    <t>Bills</t>
  </si>
  <si>
    <t>Single Phase</t>
  </si>
  <si>
    <t>Three Phase</t>
  </si>
  <si>
    <t>Demand Charge</t>
  </si>
  <si>
    <t>First 15 kW</t>
  </si>
  <si>
    <t>kW</t>
  </si>
  <si>
    <t>Additional kW</t>
  </si>
  <si>
    <t>Energy Charge</t>
  </si>
  <si>
    <t/>
  </si>
  <si>
    <t>First 6,000 kWh</t>
  </si>
  <si>
    <t>kWh</t>
  </si>
  <si>
    <t>Next 300 kWh/kW</t>
  </si>
  <si>
    <t>Additional kWh</t>
  </si>
  <si>
    <t>Non-Church Cap Rate</t>
  </si>
  <si>
    <t>Church Cap Rate</t>
  </si>
  <si>
    <t>Riders</t>
  </si>
  <si>
    <t>Fuel Adjustment Clause (FAC)</t>
  </si>
  <si>
    <t>Rate DS RTP</t>
  </si>
  <si>
    <t>Total Energy</t>
  </si>
  <si>
    <t xml:space="preserve">Total Schedule </t>
  </si>
  <si>
    <t>Classification</t>
  </si>
  <si>
    <t>Customer</t>
  </si>
  <si>
    <t>Rate DS RTP - Customer Charge</t>
  </si>
  <si>
    <t>Customer Total</t>
  </si>
  <si>
    <t>Demand</t>
  </si>
  <si>
    <t xml:space="preserve">kW </t>
  </si>
  <si>
    <t>Per kWh Premium Considered Demand-Related</t>
  </si>
  <si>
    <t>Hours Use Premium Considered Demand-Related</t>
  </si>
  <si>
    <t>Demand Total</t>
  </si>
  <si>
    <t>Energy</t>
  </si>
  <si>
    <t>Energy Revenues Based on Additional kWh Rate</t>
  </si>
  <si>
    <t>KWh</t>
  </si>
  <si>
    <t>Energy Total</t>
  </si>
  <si>
    <t>Rate DS Bill Impacts</t>
  </si>
  <si>
    <t>At Kroger Recommended Rate Design</t>
  </si>
  <si>
    <t>And Duke Energy Kentucky Proposed Revenue Requirement</t>
  </si>
  <si>
    <t>Level of
Demand (kW)</t>
  </si>
  <si>
    <t>Level of
Use (kWh)</t>
  </si>
  <si>
    <t>Total Current
Bill</t>
  </si>
  <si>
    <t>Total Proposed
Bill</t>
  </si>
  <si>
    <t>Percent
Increase</t>
  </si>
  <si>
    <t>TYPICAL BILL COMPARISON</t>
  </si>
  <si>
    <t>SCHEDULE N</t>
  </si>
  <si>
    <t>PAGE 1 OF 5</t>
  </si>
  <si>
    <t>WORK PAPER REFERENCE NO(S).: SEE BELOW</t>
  </si>
  <si>
    <t>WITNESS:</t>
  </si>
  <si>
    <t>INCLUDES FUEL AND ALL RIDERS</t>
  </si>
  <si>
    <t xml:space="preserve"> BILL DATA LESS RIDERS</t>
  </si>
  <si>
    <t>RIDERS</t>
  </si>
  <si>
    <t>TOTAL</t>
  </si>
  <si>
    <t>LEVEL</t>
  </si>
  <si>
    <t>DOLLAR</t>
  </si>
  <si>
    <t>PERCENT</t>
  </si>
  <si>
    <t>CURRENT</t>
  </si>
  <si>
    <t>PROPOSED</t>
  </si>
  <si>
    <t>of</t>
  </si>
  <si>
    <t>INCREASE</t>
  </si>
  <si>
    <t>RIDER</t>
  </si>
  <si>
    <t>BILL</t>
  </si>
  <si>
    <t>LINE</t>
  </si>
  <si>
    <t>RATE</t>
  </si>
  <si>
    <t>DEMAND</t>
  </si>
  <si>
    <t>USE</t>
  </si>
  <si>
    <t>BILL(1)(6)</t>
  </si>
  <si>
    <t>(D - C)</t>
  </si>
  <si>
    <t>(E / C)</t>
  </si>
  <si>
    <t>FAC (2)</t>
  </si>
  <si>
    <t>DSMR (3)</t>
  </si>
  <si>
    <t>ESM (4)</t>
  </si>
  <si>
    <t>ESM (7)</t>
  </si>
  <si>
    <t>PSM (5)</t>
  </si>
  <si>
    <t>(C+G+H+I1+J)</t>
  </si>
  <si>
    <t>(D+G+H+I2+J)</t>
  </si>
  <si>
    <t>(L-K) / K</t>
  </si>
  <si>
    <t xml:space="preserve"> NO.</t>
  </si>
  <si>
    <t>CODE</t>
  </si>
  <si>
    <t>(A)</t>
  </si>
  <si>
    <t>(B)</t>
  </si>
  <si>
    <t>(C)</t>
  </si>
  <si>
    <t>(D)</t>
  </si>
  <si>
    <t>(E)</t>
  </si>
  <si>
    <t>(F)</t>
  </si>
  <si>
    <t>(G)</t>
  </si>
  <si>
    <t>(H)</t>
  </si>
  <si>
    <t>(I1)</t>
  </si>
  <si>
    <t>(I2)</t>
  </si>
  <si>
    <t>(J)</t>
  </si>
  <si>
    <t>(K)</t>
  </si>
  <si>
    <t>(L)</t>
  </si>
  <si>
    <t>(M)</t>
  </si>
  <si>
    <t>(KW)</t>
  </si>
  <si>
    <t>(KWH)</t>
  </si>
  <si>
    <t>($)</t>
  </si>
  <si>
    <t>(%)</t>
  </si>
  <si>
    <t>RS</t>
  </si>
  <si>
    <t>NA</t>
  </si>
  <si>
    <t>PAGE 2 OF 5</t>
  </si>
  <si>
    <t>BILL (5,7)</t>
  </si>
  <si>
    <t>FAC (1)</t>
  </si>
  <si>
    <t>DSMR (2)</t>
  </si>
  <si>
    <t>ESM (3)</t>
  </si>
  <si>
    <t>ESM (6)</t>
  </si>
  <si>
    <t>PSM (4)</t>
  </si>
  <si>
    <t>DS</t>
  </si>
  <si>
    <t>Max</t>
  </si>
  <si>
    <t>Min</t>
  </si>
  <si>
    <t>EH</t>
  </si>
  <si>
    <t>WINTER</t>
  </si>
  <si>
    <t>(7) CUSTOMER CHARGE IS BASED ON THREE PHASE SECONDARY SERVICE.</t>
  </si>
  <si>
    <t>PAGE 3 OF 5</t>
  </si>
  <si>
    <t>BILL (5)(6)</t>
  </si>
  <si>
    <t>On-peak Energy %</t>
  </si>
  <si>
    <t>On-peak Demand %</t>
  </si>
  <si>
    <t>Summer</t>
  </si>
  <si>
    <t>Winter</t>
  </si>
  <si>
    <t xml:space="preserve">   DT (SUMMER)</t>
  </si>
  <si>
    <t xml:space="preserve">   DT (WINTER)</t>
  </si>
  <si>
    <t>PAGE 4 OF 5</t>
  </si>
  <si>
    <t>BILL (5)</t>
  </si>
  <si>
    <t>DP</t>
  </si>
  <si>
    <t xml:space="preserve"> </t>
  </si>
  <si>
    <t>PAGE 5 OF 5</t>
  </si>
  <si>
    <t xml:space="preserve">   TT (SUMMER)</t>
  </si>
  <si>
    <t xml:space="preserve">   TT (WINTER)</t>
  </si>
  <si>
    <t>DUKE ENERGY KENTUCKY, INC.</t>
  </si>
  <si>
    <t>CASE NO.   2024-00354</t>
  </si>
  <si>
    <t>(ELECTRIC SERVICE)</t>
  </si>
  <si>
    <t>DATA: ____ BASE PERIOD   __X__FORECASTED PERIOD</t>
  </si>
  <si>
    <t>B. L. Sailers</t>
  </si>
  <si>
    <t>TYPE OF FILING: _X_ ORIGINAL   ___UPDATED  ___ REVISED</t>
  </si>
  <si>
    <t>12 Months Projected with Riders</t>
  </si>
  <si>
    <t>(2) REFLECTS FUEL ADJUSTMENT CLAUSE (FAC) OF $0.003487 PER KWH.</t>
  </si>
  <si>
    <t>(1) REFLECTS FUEL ADJUSTMENT COMPONENT (FAC) OF $0.003487 PER KWH.</t>
  </si>
  <si>
    <t>Bill at Standard Rates
Excl. Cust Charge and Applicable Riders</t>
  </si>
  <si>
    <t>Bill at Max Monthly Rate
Excl. Cust Charge and Applicable Riders</t>
  </si>
  <si>
    <t>Difference Between Max Monthly Rate and Standard Rates</t>
  </si>
  <si>
    <t>Cost at Standard Rates Compared to Maximum Monthly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</si>
</sst>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0_);[Red]\(&quot;$&quot;#,##0.000000\)"/>
    <numFmt numFmtId="165" formatCode="&quot;$&quot;#,##0.0000000_);[Red]\(&quot;$&quot;#,##0.0000000\)"/>
    <numFmt numFmtId="166" formatCode="0.0%"/>
    <numFmt numFmtId="167" formatCode="0.00_)"/>
    <numFmt numFmtId="168" formatCode="0.0_)"/>
    <numFmt numFmtId="169" formatCode="#,##0.0_);\(#,##0.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2" borderId="0" xfId="2" applyFont="1" applyFill="1" applyAlignment="1">
      <alignment horizontal="center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wrapText="1"/>
    </xf>
    <xf numFmtId="0" fontId="5" fillId="2" borderId="0" xfId="2" applyFont="1" applyFill="1"/>
    <xf numFmtId="0" fontId="4" fillId="2" borderId="0" xfId="2" applyFont="1" applyFill="1" applyAlignment="1">
      <alignment wrapText="1"/>
    </xf>
    <xf numFmtId="0" fontId="3" fillId="2" borderId="0" xfId="2" applyFont="1" applyFill="1" applyAlignment="1">
      <alignment horizontal="center"/>
    </xf>
    <xf numFmtId="37" fontId="3" fillId="2" borderId="0" xfId="3" applyNumberFormat="1" applyFont="1" applyFill="1" applyBorder="1" applyAlignment="1">
      <alignment horizontal="center"/>
    </xf>
    <xf numFmtId="8" fontId="3" fillId="2" borderId="0" xfId="2" applyNumberFormat="1" applyFont="1" applyFill="1" applyAlignment="1">
      <alignment horizontal="center"/>
    </xf>
    <xf numFmtId="6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horizontal="left" indent="1"/>
    </xf>
    <xf numFmtId="164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horizontal="left"/>
    </xf>
    <xf numFmtId="5" fontId="3" fillId="2" borderId="0" xfId="2" applyNumberFormat="1" applyFont="1" applyFill="1" applyAlignment="1">
      <alignment horizontal="center"/>
    </xf>
    <xf numFmtId="0" fontId="5" fillId="2" borderId="1" xfId="2" applyFont="1" applyFill="1" applyBorder="1"/>
    <xf numFmtId="0" fontId="3" fillId="2" borderId="1" xfId="2" applyFont="1" applyFill="1" applyBorder="1" applyAlignment="1">
      <alignment horizontal="center"/>
    </xf>
    <xf numFmtId="6" fontId="3" fillId="2" borderId="1" xfId="2" applyNumberFormat="1" applyFont="1" applyFill="1" applyBorder="1" applyAlignment="1">
      <alignment horizontal="center"/>
    </xf>
    <xf numFmtId="6" fontId="5" fillId="2" borderId="1" xfId="2" applyNumberFormat="1" applyFont="1" applyFill="1" applyBorder="1" applyAlignment="1">
      <alignment horizontal="center"/>
    </xf>
    <xf numFmtId="6" fontId="5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left" indent="1"/>
    </xf>
    <xf numFmtId="6" fontId="5" fillId="2" borderId="2" xfId="2" applyNumberFormat="1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165" fontId="3" fillId="2" borderId="0" xfId="2" applyNumberFormat="1" applyFont="1" applyFill="1" applyAlignment="1">
      <alignment horizontal="center"/>
    </xf>
    <xf numFmtId="5" fontId="3" fillId="2" borderId="3" xfId="2" applyNumberFormat="1" applyFont="1" applyFill="1" applyBorder="1" applyAlignment="1">
      <alignment horizontal="center"/>
    </xf>
    <xf numFmtId="37" fontId="3" fillId="2" borderId="0" xfId="2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0" fontId="8" fillId="0" borderId="0" xfId="4" applyFont="1" applyAlignment="1">
      <alignment horizontal="centerContinuous"/>
    </xf>
    <xf numFmtId="0" fontId="9" fillId="0" borderId="0" xfId="4" applyFont="1"/>
    <xf numFmtId="0" fontId="8" fillId="0" borderId="0" xfId="4" applyFont="1" applyAlignment="1">
      <alignment horizontal="left"/>
    </xf>
    <xf numFmtId="0" fontId="8" fillId="0" borderId="0" xfId="4" applyFont="1"/>
    <xf numFmtId="0" fontId="10" fillId="0" borderId="0" xfId="4" applyFont="1"/>
    <xf numFmtId="0" fontId="10" fillId="0" borderId="0" xfId="4" applyFont="1" applyAlignment="1">
      <alignment horizontal="center"/>
    </xf>
    <xf numFmtId="0" fontId="8" fillId="0" borderId="3" xfId="4" applyFont="1" applyBorder="1" applyAlignment="1">
      <alignment horizontal="fill"/>
    </xf>
    <xf numFmtId="0" fontId="8" fillId="0" borderId="3" xfId="4" applyFont="1" applyBorder="1" applyAlignment="1">
      <alignment horizontal="centerContinuous"/>
    </xf>
    <xf numFmtId="0" fontId="8" fillId="0" borderId="3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quotePrefix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quotePrefix="1" applyFont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left"/>
    </xf>
    <xf numFmtId="0" fontId="10" fillId="0" borderId="3" xfId="4" applyFont="1" applyBorder="1" applyAlignment="1">
      <alignment horizontal="center"/>
    </xf>
    <xf numFmtId="0" fontId="10" fillId="0" borderId="3" xfId="4" quotePrefix="1" applyFont="1" applyBorder="1" applyAlignment="1">
      <alignment horizontal="center"/>
    </xf>
    <xf numFmtId="0" fontId="11" fillId="0" borderId="0" xfId="4" applyFont="1" applyAlignment="1">
      <alignment horizontal="center"/>
    </xf>
    <xf numFmtId="167" fontId="9" fillId="0" borderId="0" xfId="4" applyNumberFormat="1" applyFont="1"/>
    <xf numFmtId="0" fontId="9" fillId="0" borderId="0" xfId="4" applyFont="1" applyAlignment="1">
      <alignment horizontal="center"/>
    </xf>
    <xf numFmtId="37" fontId="9" fillId="0" borderId="0" xfId="4" applyNumberFormat="1" applyFont="1"/>
    <xf numFmtId="39" fontId="9" fillId="0" borderId="0" xfId="4" applyNumberFormat="1" applyFont="1"/>
    <xf numFmtId="168" fontId="9" fillId="0" borderId="0" xfId="4" applyNumberFormat="1" applyFont="1"/>
    <xf numFmtId="169" fontId="9" fillId="0" borderId="0" xfId="4" applyNumberFormat="1" applyFont="1"/>
    <xf numFmtId="0" fontId="9" fillId="0" borderId="0" xfId="4" applyFont="1" applyAlignment="1">
      <alignment horizontal="left"/>
    </xf>
    <xf numFmtId="0" fontId="11" fillId="0" borderId="3" xfId="4" applyFont="1" applyBorder="1" applyAlignment="1">
      <alignment horizontal="center"/>
    </xf>
    <xf numFmtId="39" fontId="9" fillId="0" borderId="0" xfId="4" quotePrefix="1" applyNumberFormat="1" applyFont="1" applyAlignment="1">
      <alignment horizontal="right"/>
    </xf>
    <xf numFmtId="0" fontId="8" fillId="0" borderId="0" xfId="4" quotePrefix="1" applyFont="1" applyAlignment="1">
      <alignment horizontal="left"/>
    </xf>
    <xf numFmtId="9" fontId="3" fillId="2" borderId="0" xfId="1" applyFont="1" applyFill="1" applyAlignment="1">
      <alignment horizontal="center"/>
    </xf>
    <xf numFmtId="3" fontId="3" fillId="2" borderId="0" xfId="2" applyNumberFormat="1" applyFont="1" applyFill="1" applyAlignment="1">
      <alignment horizontal="center"/>
    </xf>
  </cellXfs>
  <cellStyles count="5">
    <cellStyle name="Currency 5" xfId="3" xr:uid="{C69F3FC8-5F46-452D-B21A-E38D7164A5C8}"/>
    <cellStyle name="Normal" xfId="0" builtinId="0"/>
    <cellStyle name="Normal 2" xfId="4" xr:uid="{45456D92-81E4-42E5-A512-9976048B50B5}"/>
    <cellStyle name="Normal 36" xfId="2" xr:uid="{F3D191DF-2567-46C4-AD80-198041777DB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4</xdr:row>
      <xdr:rowOff>85725</xdr:rowOff>
    </xdr:from>
    <xdr:to>
      <xdr:col>17</xdr:col>
      <xdr:colOff>29454</xdr:colOff>
      <xdr:row>5</xdr:row>
      <xdr:rowOff>171546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4D268A-F9F3-4764-F35C-71AD34A84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4425" y="1057275"/>
          <a:ext cx="6296904" cy="685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nergystrategy.sharepoint.com/sites/EnergyStrategies797/Project%20Folders/Kroger%20-%20Kentucky/Duke%20Kentucky%202024%20Rate%20Case%20(2024-00354)/ES%20Response%20to%20Discovery/Kroger_Bieber%20Direct_Rate%20Design%20WP_Final_03-05-2025.xlsx" TargetMode="External"/><Relationship Id="rId2" Type="http://schemas.microsoft.com/office/2019/04/relationships/externalLinkLongPath" Target="Kroger_Bieber%20Direct_Rate%20Design%20WP_Final_03-05-2025.xlsx?65E214E2" TargetMode="External"/><Relationship Id="rId1" Type="http://schemas.openxmlformats.org/officeDocument/2006/relationships/externalLinkPath" Target="file:///\\65E214E2\Kroger_Bieber%20Direct_Rate%20Design%20WP_Final_03-05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PUT"/>
      <sheetName val="PRINT"/>
      <sheetName val="Revenue Check"/>
      <sheetName val="SCH M"/>
      <sheetName val="SCH M-2.1"/>
      <sheetName val="SCH M-2.2"/>
      <sheetName val="SCH M-2.3"/>
      <sheetName val="Rate RS"/>
      <sheetName val="FR-16(7)(v)-16 DS Classified"/>
      <sheetName val="Attachment JB-1"/>
      <sheetName val="Attachment JB-2"/>
      <sheetName val="Attachment JB-3"/>
      <sheetName val="Table JB-2"/>
      <sheetName val="Table JB-3"/>
      <sheetName val="Table JB-4"/>
      <sheetName val="Table JB-5"/>
      <sheetName val="Table JB-6"/>
      <sheetName val="SCH N"/>
      <sheetName val="SCH N (As-Filed)"/>
      <sheetName val="Rate DS"/>
      <sheetName val="Rate DS (As-Filed)"/>
      <sheetName val="Rate DS RTP"/>
      <sheetName val="Rate DS RTP (As-Filed)"/>
      <sheetName val="Rate DT-Pri"/>
      <sheetName val="Rate DT-Sec"/>
      <sheetName val="Rate EH"/>
      <sheetName val="Rate SP GSFL"/>
      <sheetName val="Rate DP"/>
      <sheetName val="Rate TT"/>
      <sheetName val="Rate DT RTP-P"/>
      <sheetName val="Rate DT RTP-S"/>
      <sheetName val="Rate TT RTP"/>
      <sheetName val="Rate SL"/>
      <sheetName val="Rate TL"/>
      <sheetName val="Rate UOLS"/>
      <sheetName val="Rate NSU"/>
      <sheetName val="Rate SC"/>
      <sheetName val="Rate SE"/>
      <sheetName val="Rate LED"/>
      <sheetName val="BILL CALC"/>
      <sheetName val="Revenue Requirements"/>
      <sheetName val="Proposed Rates"/>
      <sheetName val="TBI"/>
      <sheetName val="RTP Worksheet"/>
    </sheetNames>
    <sheetDataSet>
      <sheetData sheetId="0">
        <row r="10">
          <cell r="B10" t="str">
            <v>FOR THE TWELVE MONTHS ENDED June 30, 2026</v>
          </cell>
        </row>
        <row r="11">
          <cell r="B11" t="str">
            <v>CASE NO.   2024-00354</v>
          </cell>
        </row>
        <row r="13">
          <cell r="B13" t="str">
            <v>DATA: ____ BASE PERIOD   __X__FORECASTED PERIOD</v>
          </cell>
        </row>
        <row r="19">
          <cell r="C19">
            <v>3.4872127999999998E-3</v>
          </cell>
        </row>
        <row r="20">
          <cell r="C20">
            <v>3.3779999999999998E-2</v>
          </cell>
          <cell r="D20">
            <v>3.3779999999999998E-2</v>
          </cell>
        </row>
        <row r="29">
          <cell r="C29">
            <v>1.3519999999999999E-3</v>
          </cell>
          <cell r="J29">
            <v>0.3</v>
          </cell>
        </row>
        <row r="30">
          <cell r="C30">
            <v>3.503E-3</v>
          </cell>
        </row>
        <row r="31">
          <cell r="C31">
            <v>5.1400000000000003E-4</v>
          </cell>
        </row>
        <row r="34">
          <cell r="C34">
            <v>2.4750000000000002E-3</v>
          </cell>
        </row>
        <row r="125">
          <cell r="C125">
            <v>6.7652000000000004E-2</v>
          </cell>
          <cell r="D125">
            <v>7.3557999999999998E-2</v>
          </cell>
        </row>
        <row r="126">
          <cell r="C126">
            <v>6.5057000000000004E-2</v>
          </cell>
          <cell r="D126">
            <v>7.0735999999999993E-2</v>
          </cell>
        </row>
        <row r="127">
          <cell r="C127">
            <v>5.7296E-2</v>
          </cell>
          <cell r="D127">
            <v>6.2296999999999998E-2</v>
          </cell>
        </row>
        <row r="165">
          <cell r="C165">
            <v>4.2117566880979784E-3</v>
          </cell>
          <cell r="D165">
            <v>3.5414520000000001E-3</v>
          </cell>
        </row>
        <row r="166">
          <cell r="C166">
            <v>6.4941608437496566E-3</v>
          </cell>
          <cell r="D166">
            <v>5.4606095773317587E-3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3">
          <cell r="J23">
            <v>16</v>
          </cell>
        </row>
        <row r="26">
          <cell r="J26">
            <v>0.130111</v>
          </cell>
        </row>
        <row r="64">
          <cell r="AB64">
            <v>13</v>
          </cell>
        </row>
        <row r="67">
          <cell r="AB67">
            <v>0.111639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>
        <row r="25">
          <cell r="J25">
            <v>120</v>
          </cell>
        </row>
        <row r="29">
          <cell r="J29">
            <v>10.130000000000001</v>
          </cell>
        </row>
        <row r="33">
          <cell r="J33">
            <v>7.6294000000000001E-2</v>
          </cell>
        </row>
        <row r="34">
          <cell r="J34">
            <v>6.611199999999999E-2</v>
          </cell>
        </row>
        <row r="77">
          <cell r="AC77">
            <v>117</v>
          </cell>
        </row>
        <row r="81">
          <cell r="AC81">
            <v>9.5</v>
          </cell>
        </row>
        <row r="85">
          <cell r="AC85">
            <v>7.1562000000000001E-2</v>
          </cell>
        </row>
        <row r="86">
          <cell r="AC86">
            <v>6.2067999999999998E-2</v>
          </cell>
        </row>
      </sheetData>
      <sheetData sheetId="28">
        <row r="21">
          <cell r="J21">
            <v>500</v>
          </cell>
        </row>
        <row r="24">
          <cell r="H24">
            <v>127467</v>
          </cell>
          <cell r="J24">
            <v>10.23</v>
          </cell>
        </row>
        <row r="25">
          <cell r="J25">
            <v>1.55</v>
          </cell>
        </row>
        <row r="26">
          <cell r="H26">
            <v>132814</v>
          </cell>
        </row>
        <row r="29">
          <cell r="H29">
            <v>16346458</v>
          </cell>
        </row>
        <row r="31">
          <cell r="H31">
            <v>62066708</v>
          </cell>
        </row>
        <row r="35">
          <cell r="J35">
            <v>500</v>
          </cell>
        </row>
        <row r="38">
          <cell r="H38">
            <v>256942</v>
          </cell>
          <cell r="J38">
            <v>8.39</v>
          </cell>
        </row>
        <row r="39">
          <cell r="J39">
            <v>1.55</v>
          </cell>
        </row>
        <row r="40">
          <cell r="H40">
            <v>265429</v>
          </cell>
        </row>
        <row r="43">
          <cell r="H43">
            <v>32710232</v>
          </cell>
        </row>
        <row r="45">
          <cell r="H45">
            <v>123396349</v>
          </cell>
        </row>
        <row r="85">
          <cell r="AC85">
            <v>500</v>
          </cell>
        </row>
        <row r="88">
          <cell r="AC88">
            <v>9.41</v>
          </cell>
        </row>
        <row r="89">
          <cell r="AC89">
            <v>1.43</v>
          </cell>
        </row>
        <row r="99">
          <cell r="AC99">
            <v>500</v>
          </cell>
        </row>
        <row r="102">
          <cell r="AC102">
            <v>7.72</v>
          </cell>
        </row>
        <row r="103">
          <cell r="AC103">
            <v>1.43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60F8-89F2-4650-B10F-7A12E0E82283}">
  <sheetPr>
    <tabColor rgb="FF00B0F0"/>
    <pageSetUpPr fitToPage="1"/>
  </sheetPr>
  <dimension ref="A1:F56"/>
  <sheetViews>
    <sheetView workbookViewId="0">
      <selection sqref="A1:F1"/>
    </sheetView>
  </sheetViews>
  <sheetFormatPr defaultColWidth="8.7109375" defaultRowHeight="15.75" x14ac:dyDescent="0.25"/>
  <cols>
    <col min="1" max="1" width="41.140625" style="2" customWidth="1"/>
    <col min="2" max="2" width="9.140625" style="9" customWidth="1"/>
    <col min="3" max="3" width="18" style="2" customWidth="1"/>
    <col min="4" max="4" width="16.28515625" style="2" customWidth="1"/>
    <col min="5" max="5" width="20.42578125" style="2" customWidth="1"/>
    <col min="6" max="6" width="55.7109375" style="2" customWidth="1"/>
    <col min="7" max="16384" width="8.7109375" style="2"/>
  </cols>
  <sheetData>
    <row r="1" spans="1:6" ht="20.25" x14ac:dyDescent="0.3">
      <c r="A1" s="1" t="s">
        <v>0</v>
      </c>
      <c r="B1" s="1"/>
      <c r="C1" s="1"/>
      <c r="D1" s="1"/>
      <c r="E1" s="1"/>
      <c r="F1" s="1"/>
    </row>
    <row r="2" spans="1:6" ht="20.25" x14ac:dyDescent="0.3">
      <c r="A2" s="1" t="s">
        <v>1</v>
      </c>
      <c r="B2" s="1"/>
      <c r="C2" s="1"/>
      <c r="D2" s="1"/>
      <c r="E2" s="1"/>
      <c r="F2" s="1"/>
    </row>
    <row r="3" spans="1:6" x14ac:dyDescent="0.25">
      <c r="A3" s="3"/>
      <c r="B3" s="3"/>
      <c r="C3" s="3"/>
    </row>
    <row r="4" spans="1:6" ht="31.5" x14ac:dyDescent="0.25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spans="1:6" x14ac:dyDescent="0.25">
      <c r="A5" s="7"/>
      <c r="B5" s="5"/>
      <c r="C5" s="4"/>
      <c r="D5" s="8"/>
    </row>
    <row r="6" spans="1:6" x14ac:dyDescent="0.25">
      <c r="A6" s="2" t="s">
        <v>7</v>
      </c>
      <c r="C6" s="10"/>
      <c r="D6" s="11"/>
      <c r="E6" s="12"/>
    </row>
    <row r="7" spans="1:6" x14ac:dyDescent="0.25">
      <c r="A7" s="13" t="s">
        <v>8</v>
      </c>
      <c r="B7" s="9" t="s">
        <v>9</v>
      </c>
      <c r="C7" s="10">
        <v>1545</v>
      </c>
      <c r="D7" s="11">
        <v>5</v>
      </c>
      <c r="E7" s="12">
        <f t="shared" ref="E7:E9" si="0">+C7*D7</f>
        <v>7725</v>
      </c>
    </row>
    <row r="8" spans="1:6" x14ac:dyDescent="0.25">
      <c r="A8" s="13" t="s">
        <v>10</v>
      </c>
      <c r="B8" s="9" t="s">
        <v>9</v>
      </c>
      <c r="C8" s="10">
        <v>79682</v>
      </c>
      <c r="D8" s="11">
        <v>15</v>
      </c>
      <c r="E8" s="12">
        <f t="shared" si="0"/>
        <v>1195230</v>
      </c>
    </row>
    <row r="9" spans="1:6" x14ac:dyDescent="0.25">
      <c r="A9" s="13" t="s">
        <v>11</v>
      </c>
      <c r="B9" s="9" t="s">
        <v>9</v>
      </c>
      <c r="C9" s="10">
        <v>75323</v>
      </c>
      <c r="D9" s="11">
        <v>30</v>
      </c>
      <c r="E9" s="12">
        <f t="shared" si="0"/>
        <v>2259690</v>
      </c>
    </row>
    <row r="10" spans="1:6" x14ac:dyDescent="0.25">
      <c r="A10" s="2" t="s">
        <v>12</v>
      </c>
      <c r="C10" s="10"/>
      <c r="D10" s="12"/>
      <c r="E10" s="12"/>
    </row>
    <row r="11" spans="1:6" x14ac:dyDescent="0.25">
      <c r="A11" s="13" t="s">
        <v>13</v>
      </c>
      <c r="B11" s="9" t="s">
        <v>14</v>
      </c>
      <c r="C11" s="10">
        <v>1355176</v>
      </c>
      <c r="D11" s="11">
        <v>0</v>
      </c>
      <c r="E11" s="12">
        <f t="shared" ref="E11:E22" si="1">+C11*D11</f>
        <v>0</v>
      </c>
    </row>
    <row r="12" spans="1:6" x14ac:dyDescent="0.25">
      <c r="A12" s="13" t="s">
        <v>15</v>
      </c>
      <c r="B12" s="9" t="s">
        <v>14</v>
      </c>
      <c r="C12" s="10">
        <v>2641511</v>
      </c>
      <c r="D12" s="11">
        <v>15.85</v>
      </c>
      <c r="E12" s="12">
        <f>ROUND(+C12*D12,0)</f>
        <v>41867949</v>
      </c>
    </row>
    <row r="13" spans="1:6" x14ac:dyDescent="0.25">
      <c r="A13" s="2" t="s">
        <v>16</v>
      </c>
      <c r="B13" s="9" t="s">
        <v>17</v>
      </c>
      <c r="C13" s="10"/>
      <c r="D13" s="12"/>
      <c r="E13" s="12"/>
    </row>
    <row r="14" spans="1:6" x14ac:dyDescent="0.25">
      <c r="A14" s="13" t="s">
        <v>18</v>
      </c>
      <c r="B14" s="9" t="s">
        <v>19</v>
      </c>
      <c r="C14" s="10">
        <v>348050244</v>
      </c>
      <c r="D14" s="14">
        <v>0.12449209873029275</v>
      </c>
      <c r="E14" s="12">
        <f t="shared" si="1"/>
        <v>43329505.339150481</v>
      </c>
    </row>
    <row r="15" spans="1:6" x14ac:dyDescent="0.25">
      <c r="A15" s="13" t="s">
        <v>20</v>
      </c>
      <c r="B15" s="9" t="s">
        <v>19</v>
      </c>
      <c r="C15" s="10">
        <v>519725648</v>
      </c>
      <c r="D15" s="14">
        <v>7.7994098730292755E-2</v>
      </c>
      <c r="E15" s="12">
        <f t="shared" si="1"/>
        <v>40535533.502777383</v>
      </c>
    </row>
    <row r="16" spans="1:6" x14ac:dyDescent="0.25">
      <c r="A16" s="13" t="s">
        <v>21</v>
      </c>
      <c r="B16" s="9" t="s">
        <v>19</v>
      </c>
      <c r="C16" s="10">
        <v>228571887</v>
      </c>
      <c r="D16" s="14">
        <v>6.4607098730292759E-2</v>
      </c>
      <c r="E16" s="12">
        <f t="shared" si="1"/>
        <v>14767366.470378321</v>
      </c>
    </row>
    <row r="17" spans="1:5" x14ac:dyDescent="0.25">
      <c r="A17" s="13" t="s">
        <v>22</v>
      </c>
      <c r="B17" s="9" t="s">
        <v>19</v>
      </c>
      <c r="C17" s="10">
        <v>928876</v>
      </c>
      <c r="D17" s="14">
        <v>0.32539800000000002</v>
      </c>
      <c r="E17" s="12">
        <f t="shared" si="1"/>
        <v>302254.39264800004</v>
      </c>
    </row>
    <row r="18" spans="1:5" x14ac:dyDescent="0.25">
      <c r="A18" s="13" t="s">
        <v>23</v>
      </c>
      <c r="B18" s="9" t="s">
        <v>19</v>
      </c>
      <c r="C18" s="10">
        <v>66268</v>
      </c>
      <c r="D18" s="14">
        <v>0.199765</v>
      </c>
      <c r="E18" s="12">
        <f t="shared" si="1"/>
        <v>13238.02702</v>
      </c>
    </row>
    <row r="19" spans="1:5" x14ac:dyDescent="0.25">
      <c r="A19" s="15" t="s">
        <v>24</v>
      </c>
      <c r="C19" s="10"/>
      <c r="D19" s="12"/>
      <c r="E19" s="12"/>
    </row>
    <row r="20" spans="1:5" x14ac:dyDescent="0.25">
      <c r="A20" s="13" t="s">
        <v>25</v>
      </c>
      <c r="B20" s="9" t="s">
        <v>19</v>
      </c>
      <c r="C20" s="10"/>
      <c r="D20" s="14">
        <v>3.4872127999999998E-3</v>
      </c>
      <c r="E20" s="12">
        <f>D20*(SUM(C14:C18))</f>
        <v>3826668.2870750143</v>
      </c>
    </row>
    <row r="21" spans="1:5" x14ac:dyDescent="0.25">
      <c r="A21" s="15" t="s">
        <v>26</v>
      </c>
      <c r="C21" s="10"/>
      <c r="D21" s="14"/>
      <c r="E21" s="12"/>
    </row>
    <row r="22" spans="1:5" x14ac:dyDescent="0.25">
      <c r="A22" s="13" t="s">
        <v>7</v>
      </c>
      <c r="B22" s="9" t="s">
        <v>9</v>
      </c>
      <c r="C22" s="10">
        <v>12</v>
      </c>
      <c r="D22" s="11">
        <v>183</v>
      </c>
      <c r="E22" s="12">
        <f t="shared" si="1"/>
        <v>2196</v>
      </c>
    </row>
    <row r="23" spans="1:5" x14ac:dyDescent="0.25">
      <c r="A23" s="13" t="s">
        <v>27</v>
      </c>
      <c r="C23" s="10"/>
      <c r="D23" s="14"/>
      <c r="E23" s="16">
        <v>-212</v>
      </c>
    </row>
    <row r="24" spans="1:5" x14ac:dyDescent="0.25">
      <c r="A24" s="13"/>
      <c r="C24" s="10"/>
      <c r="D24" s="11"/>
      <c r="E24" s="12"/>
    </row>
    <row r="25" spans="1:5" ht="16.5" thickBot="1" x14ac:dyDescent="0.3">
      <c r="A25" s="17" t="s">
        <v>28</v>
      </c>
      <c r="B25" s="18"/>
      <c r="C25" s="18"/>
      <c r="D25" s="19"/>
      <c r="E25" s="20">
        <f>+SUM(E6:E23)</f>
        <v>148107144.01904923</v>
      </c>
    </row>
    <row r="26" spans="1:5" ht="16.5" thickTop="1" x14ac:dyDescent="0.25"/>
    <row r="27" spans="1:5" x14ac:dyDescent="0.25">
      <c r="A27" s="4" t="s">
        <v>29</v>
      </c>
    </row>
    <row r="28" spans="1:5" x14ac:dyDescent="0.25">
      <c r="A28" s="4"/>
    </row>
    <row r="29" spans="1:5" x14ac:dyDescent="0.25">
      <c r="A29" s="7" t="s">
        <v>30</v>
      </c>
      <c r="C29" s="10"/>
      <c r="D29" s="11"/>
      <c r="E29" s="21"/>
    </row>
    <row r="30" spans="1:5" x14ac:dyDescent="0.25">
      <c r="A30" s="22" t="s">
        <v>8</v>
      </c>
      <c r="B30" s="9" t="s">
        <v>9</v>
      </c>
      <c r="C30" s="10">
        <f t="shared" ref="C30:D32" si="2">+C7</f>
        <v>1545</v>
      </c>
      <c r="D30" s="11">
        <f t="shared" si="2"/>
        <v>5</v>
      </c>
      <c r="E30" s="12">
        <f t="shared" ref="E30:E33" si="3">+C30*D30</f>
        <v>7725</v>
      </c>
    </row>
    <row r="31" spans="1:5" x14ac:dyDescent="0.25">
      <c r="A31" s="22" t="s">
        <v>10</v>
      </c>
      <c r="B31" s="9" t="s">
        <v>9</v>
      </c>
      <c r="C31" s="10">
        <f t="shared" si="2"/>
        <v>79682</v>
      </c>
      <c r="D31" s="11">
        <f t="shared" si="2"/>
        <v>15</v>
      </c>
      <c r="E31" s="12">
        <f t="shared" si="3"/>
        <v>1195230</v>
      </c>
    </row>
    <row r="32" spans="1:5" x14ac:dyDescent="0.25">
      <c r="A32" s="22" t="s">
        <v>11</v>
      </c>
      <c r="B32" s="9" t="s">
        <v>9</v>
      </c>
      <c r="C32" s="10">
        <f t="shared" si="2"/>
        <v>75323</v>
      </c>
      <c r="D32" s="11">
        <f t="shared" si="2"/>
        <v>30</v>
      </c>
      <c r="E32" s="12">
        <f t="shared" si="3"/>
        <v>2259690</v>
      </c>
    </row>
    <row r="33" spans="1:6" x14ac:dyDescent="0.25">
      <c r="A33" s="22" t="s">
        <v>31</v>
      </c>
      <c r="B33" s="9" t="s">
        <v>9</v>
      </c>
      <c r="C33" s="10">
        <f>+C22</f>
        <v>12</v>
      </c>
      <c r="D33" s="11">
        <f>+D22</f>
        <v>183</v>
      </c>
      <c r="E33" s="12">
        <f t="shared" si="3"/>
        <v>2196</v>
      </c>
    </row>
    <row r="34" spans="1:6" x14ac:dyDescent="0.25">
      <c r="A34" s="7" t="s">
        <v>32</v>
      </c>
      <c r="C34" s="10"/>
      <c r="D34" s="11"/>
      <c r="E34" s="23">
        <f>SUM(E30:E33)</f>
        <v>3464841</v>
      </c>
    </row>
    <row r="35" spans="1:6" x14ac:dyDescent="0.25">
      <c r="C35" s="10"/>
      <c r="D35" s="11"/>
      <c r="E35" s="12"/>
    </row>
    <row r="36" spans="1:6" x14ac:dyDescent="0.25">
      <c r="A36" s="7" t="s">
        <v>33</v>
      </c>
    </row>
    <row r="37" spans="1:6" x14ac:dyDescent="0.25">
      <c r="A37" s="22" t="s">
        <v>13</v>
      </c>
      <c r="B37" s="9" t="s">
        <v>34</v>
      </c>
      <c r="C37" s="10">
        <f>+C11</f>
        <v>1355176</v>
      </c>
      <c r="D37" s="11">
        <f>+D11</f>
        <v>0</v>
      </c>
      <c r="E37" s="12">
        <f>+C37*D37</f>
        <v>0</v>
      </c>
    </row>
    <row r="38" spans="1:6" x14ac:dyDescent="0.25">
      <c r="A38" s="22" t="s">
        <v>15</v>
      </c>
      <c r="B38" s="9" t="s">
        <v>34</v>
      </c>
      <c r="C38" s="10">
        <f>+C12</f>
        <v>2641511</v>
      </c>
      <c r="D38" s="11">
        <f>+D12</f>
        <v>15.85</v>
      </c>
      <c r="E38" s="12">
        <f>ROUND(+C38*D38,0)</f>
        <v>41867949</v>
      </c>
    </row>
    <row r="39" spans="1:6" x14ac:dyDescent="0.25">
      <c r="A39" s="22" t="s">
        <v>18</v>
      </c>
      <c r="B39" s="9" t="s">
        <v>19</v>
      </c>
      <c r="C39" s="10">
        <f>+C14</f>
        <v>348050244</v>
      </c>
      <c r="D39" s="14">
        <f>+D14-D16</f>
        <v>5.9884999999999994E-2</v>
      </c>
      <c r="E39" s="12">
        <f t="shared" ref="E39:E42" si="4">+C39*D39</f>
        <v>20842988.861939996</v>
      </c>
      <c r="F39" s="2" t="s">
        <v>35</v>
      </c>
    </row>
    <row r="40" spans="1:6" x14ac:dyDescent="0.25">
      <c r="A40" s="22" t="s">
        <v>20</v>
      </c>
      <c r="B40" s="9" t="s">
        <v>19</v>
      </c>
      <c r="C40" s="10">
        <f>+C15</f>
        <v>519725648</v>
      </c>
      <c r="D40" s="14">
        <f>+D15-D16</f>
        <v>1.3386999999999996E-2</v>
      </c>
      <c r="E40" s="12">
        <f t="shared" si="4"/>
        <v>6957567.2497759983</v>
      </c>
      <c r="F40" s="2" t="s">
        <v>36</v>
      </c>
    </row>
    <row r="41" spans="1:6" x14ac:dyDescent="0.25">
      <c r="A41" s="22" t="s">
        <v>22</v>
      </c>
      <c r="B41" s="9" t="s">
        <v>19</v>
      </c>
      <c r="C41" s="10">
        <f>+C17</f>
        <v>928876</v>
      </c>
      <c r="D41" s="14">
        <f>+D17-D16</f>
        <v>0.26079090126970728</v>
      </c>
      <c r="E41" s="12">
        <f t="shared" si="4"/>
        <v>242242.40920780061</v>
      </c>
      <c r="F41" s="2" t="s">
        <v>35</v>
      </c>
    </row>
    <row r="42" spans="1:6" x14ac:dyDescent="0.25">
      <c r="A42" s="22" t="s">
        <v>23</v>
      </c>
      <c r="B42" s="9" t="s">
        <v>19</v>
      </c>
      <c r="C42" s="10">
        <f>+C18</f>
        <v>66268</v>
      </c>
      <c r="D42" s="14">
        <f>+D18-D16</f>
        <v>0.13515790126970723</v>
      </c>
      <c r="E42" s="12">
        <f t="shared" si="4"/>
        <v>8956.6438013409588</v>
      </c>
      <c r="F42" s="2" t="s">
        <v>35</v>
      </c>
    </row>
    <row r="43" spans="1:6" x14ac:dyDescent="0.25">
      <c r="A43" s="7" t="s">
        <v>37</v>
      </c>
      <c r="B43" s="24"/>
      <c r="C43" s="7"/>
      <c r="D43" s="7"/>
      <c r="E43" s="23">
        <f>SUM(E37:E42)</f>
        <v>69919704.164725155</v>
      </c>
    </row>
    <row r="45" spans="1:6" x14ac:dyDescent="0.25">
      <c r="A45" s="7" t="s">
        <v>38</v>
      </c>
      <c r="C45" s="10"/>
      <c r="D45" s="25"/>
      <c r="E45" s="12"/>
    </row>
    <row r="46" spans="1:6" x14ac:dyDescent="0.25">
      <c r="A46" s="22" t="s">
        <v>18</v>
      </c>
      <c r="B46" s="9" t="s">
        <v>19</v>
      </c>
      <c r="C46" s="10">
        <f>+C14</f>
        <v>348050244</v>
      </c>
      <c r="D46" s="25">
        <f>+D16</f>
        <v>6.4607098730292759E-2</v>
      </c>
      <c r="E46" s="12">
        <f>+C46*D46</f>
        <v>22486516.477210484</v>
      </c>
      <c r="F46" s="2" t="s">
        <v>39</v>
      </c>
    </row>
    <row r="47" spans="1:6" x14ac:dyDescent="0.25">
      <c r="A47" s="22" t="s">
        <v>20</v>
      </c>
      <c r="B47" s="9" t="s">
        <v>19</v>
      </c>
      <c r="C47" s="10">
        <f>+C15</f>
        <v>519725648</v>
      </c>
      <c r="D47" s="25">
        <f>+D16</f>
        <v>6.4607098730292759E-2</v>
      </c>
      <c r="E47" s="12">
        <f t="shared" ref="E47:E50" si="5">+C47*D47</f>
        <v>33577966.253001384</v>
      </c>
      <c r="F47" s="2" t="s">
        <v>39</v>
      </c>
    </row>
    <row r="48" spans="1:6" x14ac:dyDescent="0.25">
      <c r="A48" s="22" t="s">
        <v>21</v>
      </c>
      <c r="B48" s="9" t="s">
        <v>19</v>
      </c>
      <c r="C48" s="10">
        <f>+C16</f>
        <v>228571887</v>
      </c>
      <c r="D48" s="25">
        <f>+D16</f>
        <v>6.4607098730292759E-2</v>
      </c>
      <c r="E48" s="12">
        <f t="shared" si="5"/>
        <v>14767366.470378321</v>
      </c>
      <c r="F48" s="2" t="s">
        <v>39</v>
      </c>
    </row>
    <row r="49" spans="1:6" x14ac:dyDescent="0.25">
      <c r="A49" s="22" t="s">
        <v>22</v>
      </c>
      <c r="B49" s="9" t="s">
        <v>19</v>
      </c>
      <c r="C49" s="10">
        <f>+C17</f>
        <v>928876</v>
      </c>
      <c r="D49" s="25">
        <f>+D16</f>
        <v>6.4607098730292759E-2</v>
      </c>
      <c r="E49" s="12">
        <f t="shared" si="5"/>
        <v>60011.983440199416</v>
      </c>
      <c r="F49" s="2" t="s">
        <v>39</v>
      </c>
    </row>
    <row r="50" spans="1:6" x14ac:dyDescent="0.25">
      <c r="A50" s="22" t="s">
        <v>23</v>
      </c>
      <c r="B50" s="9" t="s">
        <v>40</v>
      </c>
      <c r="C50" s="10">
        <f>+C18</f>
        <v>66268</v>
      </c>
      <c r="D50" s="25">
        <f>+D16</f>
        <v>6.4607098730292759E-2</v>
      </c>
      <c r="E50" s="12">
        <f t="shared" si="5"/>
        <v>4281.3832186590407</v>
      </c>
      <c r="F50" s="2" t="s">
        <v>39</v>
      </c>
    </row>
    <row r="51" spans="1:6" x14ac:dyDescent="0.25">
      <c r="A51" s="22" t="s">
        <v>25</v>
      </c>
      <c r="B51" s="9" t="s">
        <v>19</v>
      </c>
      <c r="C51" s="10"/>
      <c r="D51" s="25">
        <f>+D20</f>
        <v>3.4872127999999998E-3</v>
      </c>
      <c r="E51" s="12">
        <f>+D51*SUM(C46:C50)</f>
        <v>3826668.2870750143</v>
      </c>
    </row>
    <row r="52" spans="1:6" x14ac:dyDescent="0.25">
      <c r="A52" s="22" t="s">
        <v>27</v>
      </c>
      <c r="C52" s="10"/>
      <c r="D52" s="25"/>
      <c r="E52" s="26">
        <f>+E23</f>
        <v>-212</v>
      </c>
    </row>
    <row r="53" spans="1:6" x14ac:dyDescent="0.25">
      <c r="A53" s="7" t="s">
        <v>41</v>
      </c>
      <c r="B53" s="24"/>
      <c r="C53" s="7"/>
      <c r="D53" s="7"/>
      <c r="E53" s="21">
        <f>+SUM(E46:E52)</f>
        <v>74722598.854324073</v>
      </c>
    </row>
    <row r="54" spans="1:6" x14ac:dyDescent="0.25">
      <c r="A54" s="7"/>
      <c r="B54" s="24"/>
      <c r="C54" s="7"/>
      <c r="D54" s="7"/>
      <c r="E54" s="21"/>
    </row>
    <row r="55" spans="1:6" ht="16.5" thickBot="1" x14ac:dyDescent="0.3">
      <c r="A55" s="17" t="s">
        <v>28</v>
      </c>
      <c r="B55" s="18"/>
      <c r="C55" s="18"/>
      <c r="D55" s="19"/>
      <c r="E55" s="20">
        <f>+E34+E43+E53</f>
        <v>148107144.01904923</v>
      </c>
    </row>
    <row r="56" spans="1:6" ht="16.5" thickTop="1" x14ac:dyDescent="0.25"/>
  </sheetData>
  <mergeCells count="3">
    <mergeCell ref="A1:F1"/>
    <mergeCell ref="A2:F2"/>
    <mergeCell ref="A3:C3"/>
  </mergeCells>
  <pageMargins left="0.7" right="0.7" top="0.99916666666666698" bottom="0.75" header="0.3" footer="0.3"/>
  <pageSetup scale="72" fitToHeight="0" orientation="landscape" horizontalDpi="1200" verticalDpi="1200" r:id="rId1"/>
  <headerFooter scaleWithDoc="0">
    <oddHeader>&amp;R&amp;"Times New Roman,Bold"&amp;A
Case No. 2024-00354
Page &amp;P of &amp;N</oddHead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FF32-B0EC-4333-8B53-BA15DFC6D0D1}">
  <sheetPr>
    <tabColor rgb="FF00B0F0"/>
    <pageSetUpPr fitToPage="1"/>
  </sheetPr>
  <dimension ref="A1:E27"/>
  <sheetViews>
    <sheetView workbookViewId="0">
      <selection sqref="A1:E1"/>
    </sheetView>
  </sheetViews>
  <sheetFormatPr defaultColWidth="9.140625" defaultRowHeight="15.75" x14ac:dyDescent="0.25"/>
  <cols>
    <col min="1" max="1" width="18.140625" style="2" customWidth="1"/>
    <col min="2" max="2" width="18.140625" style="9" customWidth="1"/>
    <col min="3" max="3" width="19.85546875" style="2" customWidth="1"/>
    <col min="4" max="4" width="20.28515625" style="2" customWidth="1"/>
    <col min="5" max="5" width="18.140625" style="2" customWidth="1"/>
    <col min="6" max="16384" width="9.140625" style="2"/>
  </cols>
  <sheetData>
    <row r="1" spans="1:5" ht="20.25" x14ac:dyDescent="0.3">
      <c r="A1" s="1" t="s">
        <v>42</v>
      </c>
      <c r="B1" s="1"/>
      <c r="C1" s="1"/>
      <c r="D1" s="1"/>
      <c r="E1" s="1"/>
    </row>
    <row r="2" spans="1:5" ht="20.25" x14ac:dyDescent="0.3">
      <c r="A2" s="1" t="s">
        <v>43</v>
      </c>
      <c r="B2" s="1"/>
      <c r="C2" s="1"/>
      <c r="D2" s="1"/>
      <c r="E2" s="1"/>
    </row>
    <row r="3" spans="1:5" ht="20.25" x14ac:dyDescent="0.3">
      <c r="A3" s="1" t="s">
        <v>44</v>
      </c>
      <c r="B3" s="1"/>
      <c r="C3" s="1"/>
      <c r="D3" s="1"/>
      <c r="E3" s="1"/>
    </row>
    <row r="4" spans="1:5" x14ac:dyDescent="0.25">
      <c r="A4" s="3"/>
      <c r="B4" s="3"/>
      <c r="C4" s="3"/>
    </row>
    <row r="5" spans="1:5" ht="31.5" x14ac:dyDescent="0.25">
      <c r="A5" s="6" t="s">
        <v>45</v>
      </c>
      <c r="B5" s="6" t="s">
        <v>46</v>
      </c>
      <c r="C5" s="6" t="s">
        <v>47</v>
      </c>
      <c r="D5" s="6" t="s">
        <v>48</v>
      </c>
      <c r="E5" s="6" t="s">
        <v>49</v>
      </c>
    </row>
    <row r="6" spans="1:5" x14ac:dyDescent="0.25">
      <c r="A6" s="7"/>
      <c r="B6" s="5"/>
      <c r="C6" s="4"/>
      <c r="D6" s="8"/>
    </row>
    <row r="7" spans="1:5" x14ac:dyDescent="0.25">
      <c r="A7" s="9">
        <v>5</v>
      </c>
      <c r="B7" s="27">
        <v>2000</v>
      </c>
      <c r="C7" s="12">
        <v>279.83000000000004</v>
      </c>
      <c r="D7" s="12">
        <v>299.13000000000005</v>
      </c>
      <c r="E7" s="28">
        <f>ROUND(D7/C7-1,3)</f>
        <v>6.9000000000000006E-2</v>
      </c>
    </row>
    <row r="8" spans="1:5" x14ac:dyDescent="0.25">
      <c r="A8" s="9">
        <v>10</v>
      </c>
      <c r="B8" s="27">
        <v>4000</v>
      </c>
      <c r="C8" s="12">
        <v>529.46</v>
      </c>
      <c r="D8" s="12">
        <v>568.11</v>
      </c>
      <c r="E8" s="28">
        <f t="shared" ref="E8:E27" si="0">ROUND(D8/C8-1,3)</f>
        <v>7.2999999999999995E-2</v>
      </c>
    </row>
    <row r="9" spans="1:5" x14ac:dyDescent="0.25">
      <c r="A9" s="9">
        <v>10</v>
      </c>
      <c r="B9" s="27">
        <v>6000</v>
      </c>
      <c r="C9" s="12">
        <v>779.1</v>
      </c>
      <c r="D9" s="12">
        <v>837.07</v>
      </c>
      <c r="E9" s="28">
        <f t="shared" si="0"/>
        <v>7.3999999999999996E-2</v>
      </c>
    </row>
    <row r="10" spans="1:5" x14ac:dyDescent="0.25">
      <c r="A10" s="9">
        <v>30</v>
      </c>
      <c r="B10" s="27">
        <v>6000</v>
      </c>
      <c r="C10" s="12">
        <v>940.34</v>
      </c>
      <c r="D10" s="12">
        <v>1076.1200000000001</v>
      </c>
      <c r="E10" s="28">
        <f t="shared" si="0"/>
        <v>0.14399999999999999</v>
      </c>
    </row>
    <row r="11" spans="1:5" x14ac:dyDescent="0.25">
      <c r="A11" s="9">
        <v>30</v>
      </c>
      <c r="B11" s="27">
        <v>9000</v>
      </c>
      <c r="C11" s="12">
        <v>1193.52</v>
      </c>
      <c r="D11" s="12">
        <v>1339.3200000000002</v>
      </c>
      <c r="E11" s="28">
        <f t="shared" si="0"/>
        <v>0.122</v>
      </c>
    </row>
    <row r="12" spans="1:5" x14ac:dyDescent="0.25">
      <c r="A12" s="9">
        <v>30</v>
      </c>
      <c r="B12" s="27">
        <v>12000</v>
      </c>
      <c r="C12" s="12">
        <v>1446.68</v>
      </c>
      <c r="D12" s="12">
        <v>1602.52</v>
      </c>
      <c r="E12" s="28">
        <f t="shared" si="0"/>
        <v>0.108</v>
      </c>
    </row>
    <row r="13" spans="1:5" x14ac:dyDescent="0.25">
      <c r="A13" s="9">
        <v>50</v>
      </c>
      <c r="B13" s="27">
        <v>10000</v>
      </c>
      <c r="C13" s="12">
        <v>1492.8899999999999</v>
      </c>
      <c r="D13" s="12">
        <v>1745.79</v>
      </c>
      <c r="E13" s="28">
        <f t="shared" si="0"/>
        <v>0.16900000000000001</v>
      </c>
    </row>
    <row r="14" spans="1:5" x14ac:dyDescent="0.25">
      <c r="A14" s="9">
        <v>50</v>
      </c>
      <c r="B14" s="27">
        <v>15000</v>
      </c>
      <c r="C14" s="12">
        <v>1914.84</v>
      </c>
      <c r="D14" s="12">
        <v>2184.4700000000003</v>
      </c>
      <c r="E14" s="28">
        <f t="shared" si="0"/>
        <v>0.14099999999999999</v>
      </c>
    </row>
    <row r="15" spans="1:5" x14ac:dyDescent="0.25">
      <c r="A15" s="9">
        <v>50</v>
      </c>
      <c r="B15" s="27">
        <v>20000</v>
      </c>
      <c r="C15" s="12">
        <v>2336.7699999999995</v>
      </c>
      <c r="D15" s="12">
        <v>2623.1199999999994</v>
      </c>
      <c r="E15" s="28">
        <f t="shared" si="0"/>
        <v>0.123</v>
      </c>
    </row>
    <row r="16" spans="1:5" x14ac:dyDescent="0.25">
      <c r="A16" s="9">
        <v>75</v>
      </c>
      <c r="B16" s="27">
        <v>15000</v>
      </c>
      <c r="C16" s="12">
        <v>2183.5700000000002</v>
      </c>
      <c r="D16" s="12">
        <v>2582.88</v>
      </c>
      <c r="E16" s="28">
        <f t="shared" si="0"/>
        <v>0.183</v>
      </c>
    </row>
    <row r="17" spans="1:5" x14ac:dyDescent="0.25">
      <c r="A17" s="9">
        <v>75</v>
      </c>
      <c r="B17" s="27">
        <v>20000</v>
      </c>
      <c r="C17" s="12">
        <v>2605.4999999999995</v>
      </c>
      <c r="D17" s="12">
        <v>3021.5299999999997</v>
      </c>
      <c r="E17" s="28">
        <f t="shared" si="0"/>
        <v>0.16</v>
      </c>
    </row>
    <row r="18" spans="1:5" x14ac:dyDescent="0.25">
      <c r="A18" s="9">
        <v>75</v>
      </c>
      <c r="B18" s="27">
        <v>30000</v>
      </c>
      <c r="C18" s="12">
        <v>3431.93</v>
      </c>
      <c r="D18" s="12">
        <v>3878.6799999999994</v>
      </c>
      <c r="E18" s="28">
        <f t="shared" si="0"/>
        <v>0.13</v>
      </c>
    </row>
    <row r="19" spans="1:5" x14ac:dyDescent="0.25">
      <c r="A19" s="9">
        <v>100</v>
      </c>
      <c r="B19" s="27">
        <v>20000</v>
      </c>
      <c r="C19" s="12">
        <v>2874.2399999999993</v>
      </c>
      <c r="D19" s="12">
        <v>3419.95</v>
      </c>
      <c r="E19" s="28">
        <f t="shared" si="0"/>
        <v>0.19</v>
      </c>
    </row>
    <row r="20" spans="1:5" x14ac:dyDescent="0.25">
      <c r="A20" s="9">
        <v>100</v>
      </c>
      <c r="B20" s="27">
        <v>30000</v>
      </c>
      <c r="C20" s="12">
        <v>3718.13</v>
      </c>
      <c r="D20" s="12">
        <v>4297.29</v>
      </c>
      <c r="E20" s="28">
        <f t="shared" si="0"/>
        <v>0.156</v>
      </c>
    </row>
    <row r="21" spans="1:5" x14ac:dyDescent="0.25">
      <c r="A21" s="9">
        <v>100</v>
      </c>
      <c r="B21" s="27">
        <v>40000</v>
      </c>
      <c r="C21" s="12">
        <v>4515.4500000000007</v>
      </c>
      <c r="D21" s="12">
        <v>5120.7700000000004</v>
      </c>
      <c r="E21" s="28">
        <f t="shared" si="0"/>
        <v>0.13400000000000001</v>
      </c>
    </row>
    <row r="22" spans="1:5" x14ac:dyDescent="0.25">
      <c r="A22" s="9">
        <v>300</v>
      </c>
      <c r="B22" s="27">
        <v>60000</v>
      </c>
      <c r="C22" s="12">
        <v>8399.64</v>
      </c>
      <c r="D22" s="12">
        <v>10116.59</v>
      </c>
      <c r="E22" s="28">
        <f t="shared" si="0"/>
        <v>0.20399999999999999</v>
      </c>
    </row>
    <row r="23" spans="1:5" x14ac:dyDescent="0.25">
      <c r="A23" s="9">
        <v>300</v>
      </c>
      <c r="B23" s="27">
        <v>90000</v>
      </c>
      <c r="C23" s="12">
        <v>10931.29</v>
      </c>
      <c r="D23" s="12">
        <v>12748.590000000002</v>
      </c>
      <c r="E23" s="28">
        <f t="shared" si="0"/>
        <v>0.16600000000000001</v>
      </c>
    </row>
    <row r="24" spans="1:5" x14ac:dyDescent="0.25">
      <c r="A24" s="9">
        <v>300</v>
      </c>
      <c r="B24" s="27">
        <v>120000</v>
      </c>
      <c r="C24" s="12">
        <v>13183.619999999999</v>
      </c>
      <c r="D24" s="12">
        <v>15057.56</v>
      </c>
      <c r="E24" s="28">
        <f t="shared" si="0"/>
        <v>0.14199999999999999</v>
      </c>
    </row>
    <row r="25" spans="1:5" x14ac:dyDescent="0.25">
      <c r="A25" s="9">
        <v>500</v>
      </c>
      <c r="B25" s="27">
        <v>100000</v>
      </c>
      <c r="C25" s="12">
        <v>13925.039999999999</v>
      </c>
      <c r="D25" s="12">
        <v>16813.240000000002</v>
      </c>
      <c r="E25" s="28">
        <f t="shared" si="0"/>
        <v>0.20699999999999999</v>
      </c>
    </row>
    <row r="26" spans="1:5" x14ac:dyDescent="0.25">
      <c r="A26" s="9">
        <v>500</v>
      </c>
      <c r="B26" s="27">
        <v>200000</v>
      </c>
      <c r="C26" s="12">
        <v>21851.78</v>
      </c>
      <c r="D26" s="12">
        <v>24994.319999999996</v>
      </c>
      <c r="E26" s="28">
        <f t="shared" si="0"/>
        <v>0.14399999999999999</v>
      </c>
    </row>
    <row r="27" spans="1:5" x14ac:dyDescent="0.25">
      <c r="A27" s="9">
        <v>500</v>
      </c>
      <c r="B27" s="27">
        <v>300000</v>
      </c>
      <c r="C27" s="12">
        <v>29126.800000000003</v>
      </c>
      <c r="D27" s="12">
        <v>32421.650000000005</v>
      </c>
      <c r="E27" s="28">
        <f t="shared" si="0"/>
        <v>0.113</v>
      </c>
    </row>
  </sheetData>
  <mergeCells count="4">
    <mergeCell ref="A1:E1"/>
    <mergeCell ref="A2:E2"/>
    <mergeCell ref="A3:E3"/>
    <mergeCell ref="A4:C4"/>
  </mergeCells>
  <pageMargins left="0.7" right="0.7" top="0.99916666666666665" bottom="0.75" header="0.3" footer="0.3"/>
  <pageSetup scale="96" orientation="portrait" horizontalDpi="1200" verticalDpi="1200" r:id="rId1"/>
  <headerFooter scaleWithDoc="0">
    <oddHeader xml:space="preserve">&amp;R&amp;"Times New Roman,Bold"&amp;A
Case No. 2024-00354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4A76-1008-4E63-B4A3-C9BBBFEBFC34}">
  <sheetPr>
    <tabColor rgb="FF92D050"/>
    <pageSetUpPr fitToPage="1"/>
  </sheetPr>
  <dimension ref="A1:AA247"/>
  <sheetViews>
    <sheetView topLeftCell="A32" workbookViewId="0"/>
  </sheetViews>
  <sheetFormatPr defaultColWidth="12.7109375" defaultRowHeight="15" x14ac:dyDescent="0.2"/>
  <cols>
    <col min="1" max="1" width="5.85546875" style="30" customWidth="1"/>
    <col min="2" max="2" width="1.42578125" style="30" customWidth="1"/>
    <col min="3" max="3" width="24.28515625" style="30" customWidth="1"/>
    <col min="4" max="4" width="12.7109375" style="30"/>
    <col min="5" max="5" width="17" style="30" customWidth="1"/>
    <col min="6" max="6" width="17.5703125" style="30" customWidth="1"/>
    <col min="7" max="7" width="17.140625" style="30" customWidth="1"/>
    <col min="8" max="8" width="18.42578125" style="30" bestFit="1" customWidth="1"/>
    <col min="9" max="9" width="15.140625" style="30" customWidth="1"/>
    <col min="10" max="10" width="2.42578125" style="30" customWidth="1"/>
    <col min="11" max="11" width="16.140625" style="30" bestFit="1" customWidth="1"/>
    <col min="12" max="12" width="13.85546875" style="30" bestFit="1" customWidth="1"/>
    <col min="13" max="14" width="15.85546875" style="30" customWidth="1"/>
    <col min="15" max="15" width="16.7109375" style="30" customWidth="1"/>
    <col min="16" max="16" width="17.7109375" style="30" bestFit="1" customWidth="1"/>
    <col min="17" max="17" width="24.28515625" style="30" bestFit="1" customWidth="1"/>
    <col min="18" max="18" width="13.85546875" style="30" customWidth="1"/>
    <col min="19" max="16384" width="12.7109375" style="30"/>
  </cols>
  <sheetData>
    <row r="1" spans="1:18" ht="15.75" x14ac:dyDescent="0.25">
      <c r="A1" s="29" t="s">
        <v>133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x14ac:dyDescent="0.25">
      <c r="A2" s="29" t="s">
        <v>134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.75" x14ac:dyDescent="0.25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x14ac:dyDescent="0.25">
      <c r="A4" s="29" t="s">
        <v>135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15.75" x14ac:dyDescent="0.25">
      <c r="A6" s="32" t="s">
        <v>136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O6" s="32"/>
      <c r="P6" s="32"/>
      <c r="Q6" s="31" t="s">
        <v>51</v>
      </c>
      <c r="R6" s="32"/>
    </row>
    <row r="7" spans="1:18" ht="15.75" x14ac:dyDescent="0.25">
      <c r="A7" s="32" t="s">
        <v>138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1" t="s">
        <v>52</v>
      </c>
      <c r="R7" s="32"/>
    </row>
    <row r="8" spans="1:18" ht="15.75" x14ac:dyDescent="0.25">
      <c r="A8" s="31" t="s">
        <v>53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1" t="s">
        <v>54</v>
      </c>
      <c r="R8" s="32"/>
    </row>
    <row r="9" spans="1:18" ht="15.75" x14ac:dyDescent="0.25">
      <c r="A9" s="33" t="s">
        <v>139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 t="s">
        <v>137</v>
      </c>
      <c r="R9" s="32"/>
    </row>
    <row r="10" spans="1:18" ht="15.75" customHeight="1" x14ac:dyDescent="0.2">
      <c r="A10" s="34" t="s">
        <v>55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ht="15.7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18" ht="15.75" x14ac:dyDescent="0.25">
      <c r="A13" s="32"/>
      <c r="B13" s="32"/>
      <c r="C13" s="32"/>
      <c r="D13" s="32"/>
      <c r="E13" s="32"/>
      <c r="F13" s="36" t="s">
        <v>56</v>
      </c>
      <c r="G13" s="36"/>
      <c r="H13" s="36"/>
      <c r="I13" s="36"/>
      <c r="J13" s="29"/>
      <c r="K13" s="37" t="s">
        <v>57</v>
      </c>
      <c r="L13" s="37"/>
      <c r="M13" s="37"/>
      <c r="N13" s="37"/>
      <c r="O13" s="37"/>
      <c r="P13" s="38" t="s">
        <v>58</v>
      </c>
      <c r="Q13" s="38" t="s">
        <v>58</v>
      </c>
      <c r="R13" s="32"/>
    </row>
    <row r="14" spans="1:18" ht="17.100000000000001" customHeight="1" x14ac:dyDescent="0.25">
      <c r="A14" s="32"/>
      <c r="B14" s="32"/>
      <c r="C14" s="32"/>
      <c r="D14" s="38" t="s">
        <v>59</v>
      </c>
      <c r="E14" s="38" t="s">
        <v>59</v>
      </c>
      <c r="F14" s="32"/>
      <c r="G14" s="32"/>
      <c r="H14" s="38" t="s">
        <v>60</v>
      </c>
      <c r="I14" s="38" t="s">
        <v>61</v>
      </c>
      <c r="J14" s="38"/>
      <c r="K14" s="32"/>
      <c r="L14" s="32"/>
      <c r="O14" s="32"/>
      <c r="P14" s="38" t="s">
        <v>62</v>
      </c>
      <c r="Q14" s="38" t="s">
        <v>63</v>
      </c>
      <c r="R14" s="38" t="s">
        <v>61</v>
      </c>
    </row>
    <row r="15" spans="1:18" ht="15.75" x14ac:dyDescent="0.25">
      <c r="A15" s="32"/>
      <c r="B15" s="32"/>
      <c r="C15" s="32"/>
      <c r="D15" s="38" t="s">
        <v>64</v>
      </c>
      <c r="E15" s="38" t="s">
        <v>64</v>
      </c>
      <c r="F15" s="38" t="s">
        <v>62</v>
      </c>
      <c r="G15" s="38" t="s">
        <v>63</v>
      </c>
      <c r="H15" s="38" t="s">
        <v>65</v>
      </c>
      <c r="I15" s="38" t="s">
        <v>65</v>
      </c>
      <c r="J15" s="38"/>
      <c r="K15" s="38" t="s">
        <v>66</v>
      </c>
      <c r="L15" s="38" t="s">
        <v>66</v>
      </c>
      <c r="M15" s="38" t="s">
        <v>66</v>
      </c>
      <c r="N15" s="38" t="s">
        <v>66</v>
      </c>
      <c r="O15" s="38" t="s">
        <v>66</v>
      </c>
      <c r="P15" s="38" t="s">
        <v>67</v>
      </c>
      <c r="Q15" s="38" t="s">
        <v>67</v>
      </c>
      <c r="R15" s="38" t="s">
        <v>65</v>
      </c>
    </row>
    <row r="16" spans="1:18" ht="15.75" x14ac:dyDescent="0.25">
      <c r="A16" s="38" t="s">
        <v>68</v>
      </c>
      <c r="B16" s="32"/>
      <c r="C16" s="31" t="s">
        <v>69</v>
      </c>
      <c r="D16" s="38" t="s">
        <v>70</v>
      </c>
      <c r="E16" s="38" t="s">
        <v>71</v>
      </c>
      <c r="F16" s="39" t="s">
        <v>72</v>
      </c>
      <c r="G16" s="39" t="s">
        <v>72</v>
      </c>
      <c r="H16" s="40" t="s">
        <v>73</v>
      </c>
      <c r="I16" s="40" t="s">
        <v>74</v>
      </c>
      <c r="J16" s="38"/>
      <c r="K16" s="38" t="s">
        <v>75</v>
      </c>
      <c r="L16" s="39" t="s">
        <v>76</v>
      </c>
      <c r="M16" s="38" t="s">
        <v>77</v>
      </c>
      <c r="N16" s="38" t="s">
        <v>78</v>
      </c>
      <c r="O16" s="39" t="s">
        <v>79</v>
      </c>
      <c r="P16" s="41" t="s">
        <v>80</v>
      </c>
      <c r="Q16" s="41" t="s">
        <v>81</v>
      </c>
      <c r="R16" s="41" t="s">
        <v>82</v>
      </c>
    </row>
    <row r="17" spans="1:22" ht="15.75" x14ac:dyDescent="0.25">
      <c r="A17" s="42" t="s">
        <v>83</v>
      </c>
      <c r="B17" s="43"/>
      <c r="C17" s="44" t="s">
        <v>84</v>
      </c>
      <c r="D17" s="45" t="s">
        <v>85</v>
      </c>
      <c r="E17" s="45" t="s">
        <v>86</v>
      </c>
      <c r="F17" s="45" t="s">
        <v>87</v>
      </c>
      <c r="G17" s="45" t="s">
        <v>88</v>
      </c>
      <c r="H17" s="45" t="s">
        <v>89</v>
      </c>
      <c r="I17" s="45" t="s">
        <v>90</v>
      </c>
      <c r="J17" s="45"/>
      <c r="K17" s="45" t="s">
        <v>91</v>
      </c>
      <c r="L17" s="45" t="s">
        <v>92</v>
      </c>
      <c r="M17" s="45" t="s">
        <v>93</v>
      </c>
      <c r="N17" s="45" t="s">
        <v>94</v>
      </c>
      <c r="O17" s="46" t="s">
        <v>95</v>
      </c>
      <c r="P17" s="46" t="s">
        <v>96</v>
      </c>
      <c r="Q17" s="46" t="s">
        <v>97</v>
      </c>
      <c r="R17" s="46" t="s">
        <v>98</v>
      </c>
    </row>
    <row r="18" spans="1:22" ht="15.75" x14ac:dyDescent="0.25">
      <c r="A18" s="32"/>
      <c r="B18" s="32"/>
      <c r="C18" s="32"/>
      <c r="D18" s="47" t="s">
        <v>99</v>
      </c>
      <c r="E18" s="47" t="s">
        <v>100</v>
      </c>
      <c r="F18" s="47" t="s">
        <v>101</v>
      </c>
      <c r="G18" s="47" t="s">
        <v>101</v>
      </c>
      <c r="H18" s="47" t="s">
        <v>101</v>
      </c>
      <c r="I18" s="47" t="s">
        <v>102</v>
      </c>
      <c r="J18" s="47"/>
      <c r="K18" s="47" t="s">
        <v>101</v>
      </c>
      <c r="L18" s="47" t="s">
        <v>101</v>
      </c>
      <c r="M18" s="47" t="s">
        <v>101</v>
      </c>
      <c r="N18" s="47" t="s">
        <v>101</v>
      </c>
      <c r="O18" s="47" t="s">
        <v>101</v>
      </c>
      <c r="P18" s="47" t="s">
        <v>101</v>
      </c>
      <c r="Q18" s="47" t="s">
        <v>101</v>
      </c>
      <c r="R18" s="47" t="s">
        <v>102</v>
      </c>
    </row>
    <row r="19" spans="1:22" ht="15.75" x14ac:dyDescent="0.25">
      <c r="A19" s="30">
        <v>1</v>
      </c>
      <c r="C19" s="31" t="s">
        <v>103</v>
      </c>
      <c r="D19" s="38"/>
      <c r="G19" s="48"/>
    </row>
    <row r="20" spans="1:22" x14ac:dyDescent="0.2">
      <c r="A20" s="30">
        <v>2</v>
      </c>
      <c r="D20" s="49" t="s">
        <v>104</v>
      </c>
      <c r="E20" s="50">
        <v>300</v>
      </c>
      <c r="F20" s="51">
        <f t="shared" ref="F20:F26" si="0">ROUND((E20*CUR_RS_ENERGY)+CUR_RS_CUST,2)+DSM_RS_CUST</f>
        <v>46.79</v>
      </c>
      <c r="G20" s="51">
        <f t="shared" ref="G20:G26" si="1">ROUND((E20*PRO_RS_ENERGY)+PRO_RS_CUST,2)+DSM_RS_CUST</f>
        <v>55.33</v>
      </c>
      <c r="H20" s="51">
        <f t="shared" ref="H20:H26" si="2">G20-F20</f>
        <v>8.5399999999999991</v>
      </c>
      <c r="I20" s="52">
        <f t="shared" ref="I20:I26" si="3">ROUND(H20/F20,3)*100</f>
        <v>18.3</v>
      </c>
      <c r="J20" s="52"/>
      <c r="K20" s="51">
        <f t="shared" ref="K20:K26" si="4">ROUND(E20*CUR_FAC,2)</f>
        <v>1.05</v>
      </c>
      <c r="L20" s="51">
        <f t="shared" ref="L20:L26" si="5">ROUND(E20*DSM_RES,2)</f>
        <v>0.41</v>
      </c>
      <c r="M20" s="51">
        <f t="shared" ref="M20:M26" si="6">ROUND((F20+$K20+$L20+$O20)*CUR_ESM,2)</f>
        <v>0.21</v>
      </c>
      <c r="N20" s="51">
        <f t="shared" ref="N20:N26" si="7">ROUND((G20+$K20+$L20+$O20)*PRO_ESM,2)</f>
        <v>0.2</v>
      </c>
      <c r="O20" s="51">
        <f t="shared" ref="O20:O26" si="8">ROUND(E20*RS_PSM,2)</f>
        <v>0.74</v>
      </c>
      <c r="P20" s="51">
        <f>F20+K20+L20+M20+O20</f>
        <v>49.199999999999996</v>
      </c>
      <c r="Q20" s="51">
        <f>G20+K20+L20+N20+O20</f>
        <v>57.73</v>
      </c>
      <c r="R20" s="52">
        <f t="shared" ref="R20:R26" si="9">ROUND((Q20-P20)/P20,3)*100</f>
        <v>17.299999999999997</v>
      </c>
      <c r="U20" s="51"/>
      <c r="V20" s="51"/>
    </row>
    <row r="21" spans="1:22" x14ac:dyDescent="0.2">
      <c r="A21" s="30">
        <v>3</v>
      </c>
      <c r="D21" s="49" t="s">
        <v>104</v>
      </c>
      <c r="E21" s="50">
        <v>400</v>
      </c>
      <c r="F21" s="51">
        <f t="shared" si="0"/>
        <v>57.959999999999994</v>
      </c>
      <c r="G21" s="51">
        <f t="shared" si="1"/>
        <v>68.34</v>
      </c>
      <c r="H21" s="51">
        <f t="shared" si="2"/>
        <v>10.38000000000001</v>
      </c>
      <c r="I21" s="52">
        <f t="shared" si="3"/>
        <v>17.899999999999999</v>
      </c>
      <c r="J21" s="52"/>
      <c r="K21" s="51">
        <f t="shared" si="4"/>
        <v>1.39</v>
      </c>
      <c r="L21" s="51">
        <f t="shared" si="5"/>
        <v>0.54</v>
      </c>
      <c r="M21" s="51">
        <f t="shared" si="6"/>
        <v>0.26</v>
      </c>
      <c r="N21" s="51">
        <f t="shared" si="7"/>
        <v>0.25</v>
      </c>
      <c r="O21" s="51">
        <f t="shared" si="8"/>
        <v>0.99</v>
      </c>
      <c r="P21" s="51">
        <f t="shared" ref="P21:P26" si="10">F21+K21+L21+M21+O21</f>
        <v>61.139999999999993</v>
      </c>
      <c r="Q21" s="51">
        <f t="shared" ref="Q21:Q26" si="11">G21+K21+L21+N21+O21</f>
        <v>71.510000000000005</v>
      </c>
      <c r="R21" s="52">
        <f t="shared" si="9"/>
        <v>17</v>
      </c>
    </row>
    <row r="22" spans="1:22" x14ac:dyDescent="0.2">
      <c r="A22" s="30">
        <v>4</v>
      </c>
      <c r="D22" s="49" t="s">
        <v>104</v>
      </c>
      <c r="E22" s="50">
        <v>500</v>
      </c>
      <c r="F22" s="51">
        <f t="shared" si="0"/>
        <v>69.11999999999999</v>
      </c>
      <c r="G22" s="51">
        <f t="shared" si="1"/>
        <v>81.36</v>
      </c>
      <c r="H22" s="51">
        <f t="shared" si="2"/>
        <v>12.240000000000009</v>
      </c>
      <c r="I22" s="52">
        <f t="shared" si="3"/>
        <v>17.7</v>
      </c>
      <c r="J22" s="52"/>
      <c r="K22" s="51">
        <f t="shared" si="4"/>
        <v>1.74</v>
      </c>
      <c r="L22" s="51">
        <f t="shared" si="5"/>
        <v>0.68</v>
      </c>
      <c r="M22" s="51">
        <f t="shared" si="6"/>
        <v>0.31</v>
      </c>
      <c r="N22" s="51">
        <f t="shared" si="7"/>
        <v>0.3</v>
      </c>
      <c r="O22" s="51">
        <f t="shared" si="8"/>
        <v>1.24</v>
      </c>
      <c r="P22" s="51">
        <f t="shared" si="10"/>
        <v>73.089999999999989</v>
      </c>
      <c r="Q22" s="51">
        <f t="shared" si="11"/>
        <v>85.32</v>
      </c>
      <c r="R22" s="52">
        <f t="shared" si="9"/>
        <v>16.7</v>
      </c>
    </row>
    <row r="23" spans="1:22" x14ac:dyDescent="0.2">
      <c r="A23" s="30">
        <v>5</v>
      </c>
      <c r="D23" s="49" t="s">
        <v>104</v>
      </c>
      <c r="E23" s="50">
        <v>800</v>
      </c>
      <c r="F23" s="51">
        <f t="shared" si="0"/>
        <v>102.61</v>
      </c>
      <c r="G23" s="51">
        <f t="shared" si="1"/>
        <v>120.39</v>
      </c>
      <c r="H23" s="51">
        <f t="shared" si="2"/>
        <v>17.78</v>
      </c>
      <c r="I23" s="52">
        <f t="shared" si="3"/>
        <v>17.299999999999997</v>
      </c>
      <c r="J23" s="52"/>
      <c r="K23" s="51">
        <f t="shared" si="4"/>
        <v>2.79</v>
      </c>
      <c r="L23" s="51">
        <f t="shared" si="5"/>
        <v>1.08</v>
      </c>
      <c r="M23" s="51">
        <f t="shared" si="6"/>
        <v>0.46</v>
      </c>
      <c r="N23" s="51">
        <f t="shared" si="7"/>
        <v>0.45</v>
      </c>
      <c r="O23" s="51">
        <f t="shared" si="8"/>
        <v>1.98</v>
      </c>
      <c r="P23" s="51">
        <f t="shared" si="10"/>
        <v>108.92</v>
      </c>
      <c r="Q23" s="51">
        <f t="shared" si="11"/>
        <v>126.69000000000001</v>
      </c>
      <c r="R23" s="52">
        <f t="shared" si="9"/>
        <v>16.3</v>
      </c>
    </row>
    <row r="24" spans="1:22" x14ac:dyDescent="0.2">
      <c r="A24" s="30">
        <v>6</v>
      </c>
      <c r="D24" s="49" t="s">
        <v>104</v>
      </c>
      <c r="E24" s="50">
        <v>1000</v>
      </c>
      <c r="F24" s="51">
        <f t="shared" si="0"/>
        <v>124.94</v>
      </c>
      <c r="G24" s="51">
        <f t="shared" si="1"/>
        <v>146.41000000000003</v>
      </c>
      <c r="H24" s="51">
        <f t="shared" si="2"/>
        <v>21.470000000000027</v>
      </c>
      <c r="I24" s="52">
        <f t="shared" si="3"/>
        <v>17.2</v>
      </c>
      <c r="J24" s="52"/>
      <c r="K24" s="51">
        <f t="shared" si="4"/>
        <v>3.49</v>
      </c>
      <c r="L24" s="51">
        <f t="shared" si="5"/>
        <v>1.35</v>
      </c>
      <c r="M24" s="51">
        <f t="shared" si="6"/>
        <v>0.56000000000000005</v>
      </c>
      <c r="N24" s="51">
        <f t="shared" si="7"/>
        <v>0.54</v>
      </c>
      <c r="O24" s="51">
        <f t="shared" si="8"/>
        <v>2.48</v>
      </c>
      <c r="P24" s="51">
        <f t="shared" si="10"/>
        <v>132.82</v>
      </c>
      <c r="Q24" s="51">
        <f t="shared" si="11"/>
        <v>154.27000000000001</v>
      </c>
      <c r="R24" s="52">
        <f t="shared" si="9"/>
        <v>16.100000000000001</v>
      </c>
      <c r="S24" s="51">
        <f>Q24-P24</f>
        <v>21.450000000000017</v>
      </c>
    </row>
    <row r="25" spans="1:22" x14ac:dyDescent="0.2">
      <c r="A25" s="30">
        <v>7</v>
      </c>
      <c r="D25" s="49" t="s">
        <v>104</v>
      </c>
      <c r="E25" s="50">
        <v>1500</v>
      </c>
      <c r="F25" s="51">
        <f t="shared" si="0"/>
        <v>180.76000000000002</v>
      </c>
      <c r="G25" s="51">
        <f t="shared" si="1"/>
        <v>211.47</v>
      </c>
      <c r="H25" s="51">
        <f t="shared" si="2"/>
        <v>30.70999999999998</v>
      </c>
      <c r="I25" s="52">
        <f t="shared" si="3"/>
        <v>17</v>
      </c>
      <c r="J25" s="52"/>
      <c r="K25" s="51">
        <f t="shared" si="4"/>
        <v>5.23</v>
      </c>
      <c r="L25" s="51">
        <f t="shared" si="5"/>
        <v>2.0299999999999998</v>
      </c>
      <c r="M25" s="51">
        <f t="shared" si="6"/>
        <v>0.81</v>
      </c>
      <c r="N25" s="51">
        <f t="shared" si="7"/>
        <v>0.79</v>
      </c>
      <c r="O25" s="51">
        <f t="shared" si="8"/>
        <v>3.71</v>
      </c>
      <c r="P25" s="51">
        <f t="shared" si="10"/>
        <v>192.54000000000002</v>
      </c>
      <c r="Q25" s="51">
        <f t="shared" si="11"/>
        <v>223.23</v>
      </c>
      <c r="R25" s="52">
        <f t="shared" si="9"/>
        <v>15.9</v>
      </c>
    </row>
    <row r="26" spans="1:22" x14ac:dyDescent="0.2">
      <c r="A26" s="30">
        <v>8</v>
      </c>
      <c r="D26" s="49" t="s">
        <v>104</v>
      </c>
      <c r="E26" s="50">
        <v>2000</v>
      </c>
      <c r="F26" s="51">
        <f t="shared" si="0"/>
        <v>236.58</v>
      </c>
      <c r="G26" s="51">
        <f t="shared" si="1"/>
        <v>276.52000000000004</v>
      </c>
      <c r="H26" s="51">
        <f t="shared" si="2"/>
        <v>39.940000000000026</v>
      </c>
      <c r="I26" s="52">
        <f t="shared" si="3"/>
        <v>16.900000000000002</v>
      </c>
      <c r="J26" s="52"/>
      <c r="K26" s="51">
        <f t="shared" si="4"/>
        <v>6.97</v>
      </c>
      <c r="L26" s="51">
        <f t="shared" si="5"/>
        <v>2.7</v>
      </c>
      <c r="M26" s="51">
        <f t="shared" si="6"/>
        <v>1.06</v>
      </c>
      <c r="N26" s="51">
        <f t="shared" si="7"/>
        <v>1.03</v>
      </c>
      <c r="O26" s="51">
        <f t="shared" si="8"/>
        <v>4.95</v>
      </c>
      <c r="P26" s="51">
        <f t="shared" si="10"/>
        <v>252.26</v>
      </c>
      <c r="Q26" s="51">
        <f t="shared" si="11"/>
        <v>292.17</v>
      </c>
      <c r="R26" s="52">
        <f t="shared" si="9"/>
        <v>15.8</v>
      </c>
    </row>
    <row r="27" spans="1:22" x14ac:dyDescent="0.2">
      <c r="G27" s="48"/>
      <c r="H27" s="51"/>
      <c r="I27" s="52"/>
      <c r="J27" s="52"/>
      <c r="K27" s="51"/>
      <c r="L27" s="51"/>
      <c r="M27" s="51"/>
      <c r="N27" s="51"/>
      <c r="O27" s="51"/>
      <c r="P27" s="51"/>
      <c r="Q27" s="51"/>
      <c r="R27" s="52"/>
    </row>
    <row r="28" spans="1:22" ht="15.75" x14ac:dyDescent="0.25">
      <c r="C28" s="31" t="str">
        <f>"(1) REFLECTS DSM HEA RIDER  OF "&amp;TEXT(DSM_RS_CUST,"$0.00;($0.00)")&amp;" PER BILL."</f>
        <v>(1) REFLECTS DSM HEA RIDER  OF $0.30 PER BILL.</v>
      </c>
      <c r="D28" s="49"/>
      <c r="E28" s="50"/>
      <c r="F28" s="51"/>
      <c r="G28" s="51"/>
      <c r="H28" s="51"/>
      <c r="I28" s="52"/>
      <c r="J28" s="52"/>
      <c r="K28" s="51"/>
      <c r="L28" s="51"/>
      <c r="M28" s="51"/>
      <c r="N28" s="51"/>
      <c r="O28" s="51"/>
      <c r="P28" s="51"/>
      <c r="Q28" s="51"/>
      <c r="R28" s="52"/>
    </row>
    <row r="29" spans="1:22" ht="15.75" x14ac:dyDescent="0.25">
      <c r="C29" s="31" t="s">
        <v>140</v>
      </c>
      <c r="G29" s="48"/>
      <c r="H29" s="51"/>
      <c r="I29" s="52"/>
      <c r="J29" s="52"/>
      <c r="K29" s="51"/>
      <c r="L29" s="51"/>
      <c r="M29" s="51"/>
      <c r="N29" s="51"/>
      <c r="O29" s="51"/>
      <c r="P29" s="48"/>
      <c r="Q29" s="48"/>
      <c r="R29" s="52"/>
    </row>
    <row r="30" spans="1:22" ht="15.75" x14ac:dyDescent="0.25">
      <c r="C30" s="31" t="str">
        <f>"(3) RIDER DSMR "&amp;TEXT(DSM_RES,"$0.000000")&amp;"  PER KWH."</f>
        <v>(3) RIDER DSMR $0.001352  PER KWH.</v>
      </c>
      <c r="H30" s="51"/>
      <c r="K30" s="51"/>
      <c r="L30" s="51"/>
      <c r="M30" s="51"/>
      <c r="N30" s="51"/>
      <c r="O30" s="51"/>
    </row>
    <row r="31" spans="1:22" ht="15.75" x14ac:dyDescent="0.25">
      <c r="C31" s="31" t="str">
        <f>"(4) RIDER ESM "&amp;TEXT(CUR_ESM,"#0.00%")&amp;"  OF TOTAL CURRENT BILL."</f>
        <v>(4) RIDER ESM 0.42%  OF TOTAL CURRENT BILL.</v>
      </c>
      <c r="H31" s="51"/>
      <c r="K31" s="51"/>
      <c r="L31" s="51"/>
      <c r="M31" s="51"/>
      <c r="N31" s="51"/>
      <c r="O31" s="51"/>
    </row>
    <row r="32" spans="1:22" ht="15.75" x14ac:dyDescent="0.25">
      <c r="C32" s="31" t="str">
        <f>"(5) RIDER PSM "&amp;TEXT(RS_PSM,"$0.000000;($0.000000)")&amp;"  PER KWH."</f>
        <v>(5) RIDER PSM $0.002475  PER KWH.</v>
      </c>
      <c r="H32" s="51"/>
      <c r="K32" s="51"/>
      <c r="L32" s="51"/>
      <c r="M32" s="51"/>
      <c r="N32" s="51"/>
      <c r="O32" s="51"/>
    </row>
    <row r="33" spans="1:18" ht="15.75" x14ac:dyDescent="0.25">
      <c r="C33" s="31" t="str">
        <f>"(6) REFLECTS FUEL COST RECOVERY INCLUDED IN BASE RATES OF "&amp;TEXT(CUR_BASE_FUEL,"$0.000000;($0.000000)")&amp;"  PER KWH."</f>
        <v>(6) REFLECTS FUEL COST RECOVERY INCLUDED IN BASE RATES OF $0.033780  PER KWH.</v>
      </c>
      <c r="H33" s="51"/>
      <c r="K33" s="51"/>
      <c r="L33" s="51"/>
      <c r="M33" s="51"/>
      <c r="N33" s="51"/>
      <c r="O33" s="51"/>
    </row>
    <row r="34" spans="1:18" ht="15.75" x14ac:dyDescent="0.25">
      <c r="C34" s="31" t="str">
        <f>"(7) RIDER ESM "&amp;TEXT(PRO_ESM,"#0.00%")&amp;"  OF TOTAL PROPOSED BILL."</f>
        <v>(7) RIDER ESM 0.35%  OF TOTAL PROPOSED BILL.</v>
      </c>
      <c r="H34" s="51"/>
      <c r="K34" s="51"/>
      <c r="L34" s="51"/>
      <c r="M34" s="51"/>
      <c r="N34" s="51"/>
      <c r="O34" s="51"/>
    </row>
    <row r="35" spans="1:18" ht="15.75" x14ac:dyDescent="0.25">
      <c r="A35" s="29" t="s">
        <v>133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ht="15.75" x14ac:dyDescent="0.25">
      <c r="A36" s="29" t="s">
        <v>134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ht="15.75" x14ac:dyDescent="0.25">
      <c r="A37" s="29" t="s">
        <v>50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ht="15.75" x14ac:dyDescent="0.25">
      <c r="A38" s="29" t="s">
        <v>135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15.75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ht="15.75" x14ac:dyDescent="0.25">
      <c r="A40" s="32" t="s">
        <v>136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1" t="s">
        <v>51</v>
      </c>
      <c r="R40" s="32"/>
    </row>
    <row r="41" spans="1:18" ht="15.75" x14ac:dyDescent="0.25">
      <c r="A41" s="32" t="s">
        <v>138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1" t="s">
        <v>105</v>
      </c>
      <c r="R41" s="32"/>
    </row>
    <row r="42" spans="1:18" ht="15.75" x14ac:dyDescent="0.25">
      <c r="A42" s="31" t="s">
        <v>53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1" t="s">
        <v>54</v>
      </c>
      <c r="R42" s="32"/>
    </row>
    <row r="43" spans="1:18" ht="15.75" x14ac:dyDescent="0.25">
      <c r="A43" s="33" t="s">
        <v>139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 t="s">
        <v>137</v>
      </c>
      <c r="R43" s="32"/>
    </row>
    <row r="44" spans="1:18" x14ac:dyDescent="0.2">
      <c r="A44" s="3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15.7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5.7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ht="15.75" x14ac:dyDescent="0.25">
      <c r="A47" s="32"/>
      <c r="B47" s="32"/>
      <c r="C47" s="32"/>
      <c r="D47" s="32"/>
      <c r="E47" s="32"/>
      <c r="F47" s="36" t="s">
        <v>56</v>
      </c>
      <c r="G47" s="36"/>
      <c r="H47" s="36"/>
      <c r="I47" s="36"/>
      <c r="J47" s="29"/>
      <c r="K47" s="37" t="s">
        <v>57</v>
      </c>
      <c r="L47" s="37"/>
      <c r="M47" s="37"/>
      <c r="N47" s="37"/>
      <c r="O47" s="37"/>
      <c r="P47" s="38" t="s">
        <v>58</v>
      </c>
      <c r="Q47" s="38" t="s">
        <v>58</v>
      </c>
      <c r="R47" s="32"/>
    </row>
    <row r="48" spans="1:18" ht="17.100000000000001" customHeight="1" x14ac:dyDescent="0.25">
      <c r="A48" s="32"/>
      <c r="B48" s="32"/>
      <c r="C48" s="32"/>
      <c r="D48" s="38" t="s">
        <v>59</v>
      </c>
      <c r="E48" s="38" t="s">
        <v>59</v>
      </c>
      <c r="F48" s="32"/>
      <c r="G48" s="32"/>
      <c r="H48" s="38" t="s">
        <v>60</v>
      </c>
      <c r="I48" s="38" t="s">
        <v>61</v>
      </c>
      <c r="J48" s="38"/>
      <c r="K48" s="32"/>
      <c r="L48" s="32"/>
      <c r="O48" s="32"/>
      <c r="P48" s="38" t="s">
        <v>62</v>
      </c>
      <c r="Q48" s="38" t="s">
        <v>63</v>
      </c>
      <c r="R48" s="38" t="s">
        <v>61</v>
      </c>
    </row>
    <row r="49" spans="1:21" ht="15.75" x14ac:dyDescent="0.25">
      <c r="A49" s="32"/>
      <c r="B49" s="32"/>
      <c r="C49" s="32"/>
      <c r="D49" s="38" t="s">
        <v>64</v>
      </c>
      <c r="E49" s="38" t="s">
        <v>64</v>
      </c>
      <c r="F49" s="38" t="s">
        <v>62</v>
      </c>
      <c r="G49" s="38" t="s">
        <v>63</v>
      </c>
      <c r="H49" s="38" t="s">
        <v>65</v>
      </c>
      <c r="I49" s="38" t="s">
        <v>65</v>
      </c>
      <c r="J49" s="38"/>
      <c r="K49" s="38" t="s">
        <v>66</v>
      </c>
      <c r="L49" s="38" t="s">
        <v>66</v>
      </c>
      <c r="M49" s="38" t="s">
        <v>66</v>
      </c>
      <c r="N49" s="38" t="s">
        <v>66</v>
      </c>
      <c r="O49" s="38" t="s">
        <v>66</v>
      </c>
      <c r="P49" s="38" t="s">
        <v>67</v>
      </c>
      <c r="Q49" s="38" t="s">
        <v>67</v>
      </c>
      <c r="R49" s="38" t="s">
        <v>65</v>
      </c>
    </row>
    <row r="50" spans="1:21" ht="15.75" x14ac:dyDescent="0.25">
      <c r="A50" s="38" t="s">
        <v>68</v>
      </c>
      <c r="B50" s="32"/>
      <c r="C50" s="31" t="s">
        <v>69</v>
      </c>
      <c r="D50" s="38" t="s">
        <v>70</v>
      </c>
      <c r="E50" s="38" t="s">
        <v>71</v>
      </c>
      <c r="F50" s="39" t="s">
        <v>106</v>
      </c>
      <c r="G50" s="39" t="s">
        <v>106</v>
      </c>
      <c r="H50" s="40" t="s">
        <v>73</v>
      </c>
      <c r="I50" s="40" t="s">
        <v>74</v>
      </c>
      <c r="J50" s="38"/>
      <c r="K50" s="38" t="s">
        <v>107</v>
      </c>
      <c r="L50" s="39" t="s">
        <v>108</v>
      </c>
      <c r="M50" s="39" t="s">
        <v>109</v>
      </c>
      <c r="N50" s="38" t="s">
        <v>110</v>
      </c>
      <c r="O50" s="39" t="s">
        <v>111</v>
      </c>
      <c r="P50" s="41" t="s">
        <v>80</v>
      </c>
      <c r="Q50" s="41" t="s">
        <v>81</v>
      </c>
      <c r="R50" s="41" t="s">
        <v>82</v>
      </c>
    </row>
    <row r="51" spans="1:21" ht="15.75" x14ac:dyDescent="0.25">
      <c r="A51" s="42" t="s">
        <v>83</v>
      </c>
      <c r="B51" s="43"/>
      <c r="C51" s="44" t="s">
        <v>84</v>
      </c>
      <c r="D51" s="45" t="s">
        <v>85</v>
      </c>
      <c r="E51" s="45" t="s">
        <v>86</v>
      </c>
      <c r="F51" s="45" t="s">
        <v>87</v>
      </c>
      <c r="G51" s="45" t="s">
        <v>88</v>
      </c>
      <c r="H51" s="45" t="s">
        <v>89</v>
      </c>
      <c r="I51" s="45" t="s">
        <v>90</v>
      </c>
      <c r="J51" s="45"/>
      <c r="K51" s="45" t="s">
        <v>91</v>
      </c>
      <c r="L51" s="45" t="s">
        <v>92</v>
      </c>
      <c r="M51" s="45" t="s">
        <v>93</v>
      </c>
      <c r="N51" s="45" t="s">
        <v>94</v>
      </c>
      <c r="O51" s="46" t="s">
        <v>95</v>
      </c>
      <c r="P51" s="46" t="s">
        <v>96</v>
      </c>
      <c r="Q51" s="46" t="s">
        <v>97</v>
      </c>
      <c r="R51" s="46" t="s">
        <v>98</v>
      </c>
    </row>
    <row r="52" spans="1:21" ht="15.75" x14ac:dyDescent="0.25">
      <c r="A52" s="32"/>
      <c r="B52" s="32"/>
      <c r="C52" s="32"/>
      <c r="D52" s="47" t="s">
        <v>99</v>
      </c>
      <c r="E52" s="47" t="s">
        <v>100</v>
      </c>
      <c r="F52" s="47" t="s">
        <v>101</v>
      </c>
      <c r="G52" s="47" t="s">
        <v>101</v>
      </c>
      <c r="H52" s="47" t="s">
        <v>101</v>
      </c>
      <c r="I52" s="47" t="s">
        <v>102</v>
      </c>
      <c r="J52" s="47"/>
      <c r="K52" s="47" t="s">
        <v>101</v>
      </c>
      <c r="L52" s="47" t="s">
        <v>101</v>
      </c>
      <c r="M52" s="47" t="s">
        <v>101</v>
      </c>
      <c r="N52" s="47" t="s">
        <v>101</v>
      </c>
      <c r="O52" s="47" t="s">
        <v>101</v>
      </c>
      <c r="P52" s="47" t="s">
        <v>101</v>
      </c>
      <c r="Q52" s="47" t="s">
        <v>101</v>
      </c>
      <c r="R52" s="47" t="s">
        <v>102</v>
      </c>
    </row>
    <row r="53" spans="1:21" ht="15.75" x14ac:dyDescent="0.25">
      <c r="A53" s="30">
        <v>1</v>
      </c>
      <c r="C53" s="31" t="s">
        <v>112</v>
      </c>
      <c r="D53" s="30">
        <v>5</v>
      </c>
      <c r="E53" s="50">
        <v>2000</v>
      </c>
      <c r="F53" s="51">
        <v>259.58000000000004</v>
      </c>
      <c r="G53" s="51">
        <v>278.98</v>
      </c>
      <c r="H53" s="51">
        <f t="shared" ref="H53:H73" si="12">G53-F53</f>
        <v>19.399999999999977</v>
      </c>
      <c r="I53" s="53">
        <f t="shared" ref="I53:I73" si="13">ROUND(H53/F53,3)*100</f>
        <v>7.5</v>
      </c>
      <c r="J53" s="53"/>
      <c r="K53" s="51">
        <f t="shared" ref="K53:K73" si="14">ROUND(E53*CUR_FAC,2)</f>
        <v>6.97</v>
      </c>
      <c r="L53" s="51">
        <f t="shared" ref="L53:L73" si="15">ROUND(E53*DSM_DIST,2)</f>
        <v>7.01</v>
      </c>
      <c r="M53" s="51">
        <f t="shared" ref="M53:M73" si="16">ROUND((F53+$L53+$O53-PRO_BASE_FUEL*$E53)*CUR_ESM_NonRes,2)</f>
        <v>1.32</v>
      </c>
      <c r="N53" s="51">
        <f t="shared" ref="N53:N73" si="17">ROUND((G53+$L53+$O53-PRO_BASE_FUEL*$E53)*PRO_ESM_NONRES,2)</f>
        <v>1.22</v>
      </c>
      <c r="O53" s="51">
        <f t="shared" ref="O53:O73" si="18">ROUND(E53*RS_PSM,2)</f>
        <v>4.95</v>
      </c>
      <c r="P53" s="51">
        <f>F53+K53+L53+M53+O53</f>
        <v>279.83000000000004</v>
      </c>
      <c r="Q53" s="51">
        <f>G53+K53+L53+N53+O53</f>
        <v>299.13000000000005</v>
      </c>
      <c r="R53" s="52">
        <f>ROUND((Q53-P53)/P53,3)*100</f>
        <v>6.9</v>
      </c>
      <c r="T53" s="30" t="s">
        <v>113</v>
      </c>
      <c r="U53" s="52">
        <f>MAX(R53:R73)</f>
        <v>20.7</v>
      </c>
    </row>
    <row r="54" spans="1:21" x14ac:dyDescent="0.2">
      <c r="A54" s="30">
        <v>2</v>
      </c>
      <c r="D54" s="30">
        <v>10</v>
      </c>
      <c r="E54" s="50">
        <v>4000</v>
      </c>
      <c r="F54" s="51">
        <v>489.15</v>
      </c>
      <c r="G54" s="51">
        <v>527.97</v>
      </c>
      <c r="H54" s="51">
        <f t="shared" si="12"/>
        <v>38.82000000000005</v>
      </c>
      <c r="I54" s="53">
        <f t="shared" si="13"/>
        <v>7.9</v>
      </c>
      <c r="J54" s="53"/>
      <c r="K54" s="51">
        <f t="shared" si="14"/>
        <v>13.95</v>
      </c>
      <c r="L54" s="51">
        <f t="shared" si="15"/>
        <v>14.01</v>
      </c>
      <c r="M54" s="51">
        <f t="shared" si="16"/>
        <v>2.4500000000000002</v>
      </c>
      <c r="N54" s="51">
        <f t="shared" si="17"/>
        <v>2.2799999999999998</v>
      </c>
      <c r="O54" s="51">
        <f t="shared" si="18"/>
        <v>9.9</v>
      </c>
      <c r="P54" s="51">
        <f t="shared" ref="P54:P73" si="19">F54+K54+L54+M54+O54</f>
        <v>529.46</v>
      </c>
      <c r="Q54" s="51">
        <f t="shared" ref="Q54:Q73" si="20">G54+K54+L54+N54+O54</f>
        <v>568.11</v>
      </c>
      <c r="R54" s="52">
        <f>ROUND((Q54-P54)/P54,3)*100</f>
        <v>7.3</v>
      </c>
      <c r="T54" s="30" t="s">
        <v>114</v>
      </c>
      <c r="U54" s="52">
        <f>MIN(R53:R73)</f>
        <v>6.9</v>
      </c>
    </row>
    <row r="55" spans="1:21" x14ac:dyDescent="0.2">
      <c r="A55" s="30">
        <v>3</v>
      </c>
      <c r="D55" s="30">
        <v>10</v>
      </c>
      <c r="E55" s="50">
        <v>6000</v>
      </c>
      <c r="F55" s="51">
        <v>718.73</v>
      </c>
      <c r="G55" s="51">
        <v>776.95</v>
      </c>
      <c r="H55" s="51">
        <f t="shared" si="12"/>
        <v>58.220000000000027</v>
      </c>
      <c r="I55" s="53">
        <f t="shared" si="13"/>
        <v>8.1</v>
      </c>
      <c r="J55" s="53"/>
      <c r="K55" s="51">
        <f t="shared" si="14"/>
        <v>20.92</v>
      </c>
      <c r="L55" s="51">
        <f t="shared" si="15"/>
        <v>21.02</v>
      </c>
      <c r="M55" s="51">
        <f t="shared" si="16"/>
        <v>3.58</v>
      </c>
      <c r="N55" s="51">
        <f t="shared" si="17"/>
        <v>3.33</v>
      </c>
      <c r="O55" s="51">
        <f t="shared" si="18"/>
        <v>14.85</v>
      </c>
      <c r="P55" s="51">
        <f t="shared" si="19"/>
        <v>779.1</v>
      </c>
      <c r="Q55" s="51">
        <f t="shared" si="20"/>
        <v>837.07</v>
      </c>
      <c r="R55" s="53">
        <f t="shared" ref="R55:R73" si="21">ROUND((Q55-P55)/P55,3)*100</f>
        <v>7.3999999999999995</v>
      </c>
    </row>
    <row r="56" spans="1:21" x14ac:dyDescent="0.2">
      <c r="A56" s="30">
        <v>4</v>
      </c>
      <c r="D56" s="30">
        <v>30</v>
      </c>
      <c r="E56" s="50">
        <v>6000</v>
      </c>
      <c r="F56" s="51">
        <v>878.93000000000006</v>
      </c>
      <c r="G56" s="51">
        <v>1014.7</v>
      </c>
      <c r="H56" s="51">
        <f t="shared" si="12"/>
        <v>135.76999999999998</v>
      </c>
      <c r="I56" s="53">
        <f t="shared" si="13"/>
        <v>15.4</v>
      </c>
      <c r="J56" s="53"/>
      <c r="K56" s="51">
        <f t="shared" si="14"/>
        <v>20.92</v>
      </c>
      <c r="L56" s="51">
        <f t="shared" si="15"/>
        <v>21.02</v>
      </c>
      <c r="M56" s="51">
        <f t="shared" si="16"/>
        <v>4.62</v>
      </c>
      <c r="N56" s="51">
        <f t="shared" si="17"/>
        <v>4.63</v>
      </c>
      <c r="O56" s="51">
        <f t="shared" si="18"/>
        <v>14.85</v>
      </c>
      <c r="P56" s="51">
        <f t="shared" si="19"/>
        <v>940.34</v>
      </c>
      <c r="Q56" s="51">
        <f t="shared" si="20"/>
        <v>1076.1200000000001</v>
      </c>
      <c r="R56" s="53">
        <f t="shared" si="21"/>
        <v>14.399999999999999</v>
      </c>
    </row>
    <row r="57" spans="1:21" x14ac:dyDescent="0.2">
      <c r="A57" s="30">
        <v>5</v>
      </c>
      <c r="D57" s="30">
        <v>30</v>
      </c>
      <c r="E57" s="50">
        <v>9000</v>
      </c>
      <c r="F57" s="51">
        <v>1102.79</v>
      </c>
      <c r="G57" s="51">
        <v>1248.68</v>
      </c>
      <c r="H57" s="51">
        <f t="shared" si="12"/>
        <v>145.8900000000001</v>
      </c>
      <c r="I57" s="53">
        <f t="shared" si="13"/>
        <v>13.200000000000001</v>
      </c>
      <c r="J57" s="53"/>
      <c r="K57" s="51">
        <f t="shared" si="14"/>
        <v>31.38</v>
      </c>
      <c r="L57" s="51">
        <f t="shared" si="15"/>
        <v>31.53</v>
      </c>
      <c r="M57" s="51">
        <f t="shared" si="16"/>
        <v>5.54</v>
      </c>
      <c r="N57" s="51">
        <f t="shared" si="17"/>
        <v>5.45</v>
      </c>
      <c r="O57" s="51">
        <f t="shared" si="18"/>
        <v>22.28</v>
      </c>
      <c r="P57" s="51">
        <f t="shared" si="19"/>
        <v>1193.52</v>
      </c>
      <c r="Q57" s="51">
        <f t="shared" si="20"/>
        <v>1339.3200000000002</v>
      </c>
      <c r="R57" s="53">
        <f t="shared" si="21"/>
        <v>12.2</v>
      </c>
    </row>
    <row r="58" spans="1:21" x14ac:dyDescent="0.2">
      <c r="A58" s="30">
        <v>6</v>
      </c>
      <c r="D58" s="30">
        <v>30</v>
      </c>
      <c r="E58" s="50">
        <v>12000</v>
      </c>
      <c r="F58" s="51">
        <v>1326.64</v>
      </c>
      <c r="G58" s="51">
        <v>1482.66</v>
      </c>
      <c r="H58" s="51">
        <f t="shared" si="12"/>
        <v>156.01999999999998</v>
      </c>
      <c r="I58" s="53">
        <f t="shared" si="13"/>
        <v>11.799999999999999</v>
      </c>
      <c r="J58" s="53"/>
      <c r="K58" s="51">
        <f t="shared" si="14"/>
        <v>41.85</v>
      </c>
      <c r="L58" s="51">
        <f t="shared" si="15"/>
        <v>42.04</v>
      </c>
      <c r="M58" s="51">
        <f t="shared" si="16"/>
        <v>6.45</v>
      </c>
      <c r="N58" s="51">
        <f t="shared" si="17"/>
        <v>6.27</v>
      </c>
      <c r="O58" s="51">
        <f t="shared" si="18"/>
        <v>29.7</v>
      </c>
      <c r="P58" s="51">
        <f t="shared" si="19"/>
        <v>1446.68</v>
      </c>
      <c r="Q58" s="51">
        <f t="shared" si="20"/>
        <v>1602.52</v>
      </c>
      <c r="R58" s="53">
        <f t="shared" si="21"/>
        <v>10.8</v>
      </c>
    </row>
    <row r="59" spans="1:21" x14ac:dyDescent="0.2">
      <c r="A59" s="30">
        <v>7</v>
      </c>
      <c r="D59" s="30">
        <v>50</v>
      </c>
      <c r="E59" s="50">
        <v>10000</v>
      </c>
      <c r="F59" s="51">
        <v>1391.01</v>
      </c>
      <c r="G59" s="51">
        <v>1643.68</v>
      </c>
      <c r="H59" s="51">
        <f t="shared" si="12"/>
        <v>252.67000000000007</v>
      </c>
      <c r="I59" s="53">
        <f t="shared" si="13"/>
        <v>18.2</v>
      </c>
      <c r="J59" s="53"/>
      <c r="K59" s="51">
        <f t="shared" si="14"/>
        <v>34.869999999999997</v>
      </c>
      <c r="L59" s="51">
        <f t="shared" si="15"/>
        <v>35.03</v>
      </c>
      <c r="M59" s="51">
        <f t="shared" si="16"/>
        <v>7.23</v>
      </c>
      <c r="N59" s="51">
        <f t="shared" si="17"/>
        <v>7.46</v>
      </c>
      <c r="O59" s="51">
        <f t="shared" si="18"/>
        <v>24.75</v>
      </c>
      <c r="P59" s="51">
        <f t="shared" si="19"/>
        <v>1492.8899999999999</v>
      </c>
      <c r="Q59" s="51">
        <f t="shared" si="20"/>
        <v>1745.79</v>
      </c>
      <c r="R59" s="53">
        <f t="shared" si="21"/>
        <v>16.900000000000002</v>
      </c>
    </row>
    <row r="60" spans="1:21" x14ac:dyDescent="0.2">
      <c r="A60" s="30">
        <v>8</v>
      </c>
      <c r="D60" s="30">
        <v>50</v>
      </c>
      <c r="E60" s="50">
        <v>15000</v>
      </c>
      <c r="F60" s="51">
        <v>1764.1</v>
      </c>
      <c r="G60" s="51">
        <v>2033.65</v>
      </c>
      <c r="H60" s="51">
        <f t="shared" si="12"/>
        <v>269.55000000000018</v>
      </c>
      <c r="I60" s="53">
        <f t="shared" si="13"/>
        <v>15.299999999999999</v>
      </c>
      <c r="J60" s="53"/>
      <c r="K60" s="51">
        <f t="shared" si="14"/>
        <v>52.31</v>
      </c>
      <c r="L60" s="51">
        <f t="shared" si="15"/>
        <v>52.55</v>
      </c>
      <c r="M60" s="51">
        <f t="shared" si="16"/>
        <v>8.75</v>
      </c>
      <c r="N60" s="51">
        <f t="shared" si="17"/>
        <v>8.83</v>
      </c>
      <c r="O60" s="51">
        <f t="shared" si="18"/>
        <v>37.130000000000003</v>
      </c>
      <c r="P60" s="51">
        <f t="shared" si="19"/>
        <v>1914.84</v>
      </c>
      <c r="Q60" s="51">
        <f t="shared" si="20"/>
        <v>2184.4700000000003</v>
      </c>
      <c r="R60" s="53">
        <f t="shared" si="21"/>
        <v>14.099999999999998</v>
      </c>
    </row>
    <row r="61" spans="1:21" x14ac:dyDescent="0.2">
      <c r="A61" s="30">
        <v>9</v>
      </c>
      <c r="D61" s="30">
        <v>50</v>
      </c>
      <c r="E61" s="50">
        <v>20000</v>
      </c>
      <c r="F61" s="51">
        <v>2137.1999999999998</v>
      </c>
      <c r="G61" s="51">
        <v>2423.62</v>
      </c>
      <c r="H61" s="51">
        <f t="shared" si="12"/>
        <v>286.42000000000007</v>
      </c>
      <c r="I61" s="53">
        <f t="shared" si="13"/>
        <v>13.4</v>
      </c>
      <c r="J61" s="53"/>
      <c r="K61" s="51">
        <f t="shared" si="14"/>
        <v>69.739999999999995</v>
      </c>
      <c r="L61" s="51">
        <f t="shared" si="15"/>
        <v>70.06</v>
      </c>
      <c r="M61" s="51">
        <f t="shared" si="16"/>
        <v>10.27</v>
      </c>
      <c r="N61" s="51">
        <f t="shared" si="17"/>
        <v>10.199999999999999</v>
      </c>
      <c r="O61" s="51">
        <f t="shared" si="18"/>
        <v>49.5</v>
      </c>
      <c r="P61" s="51">
        <f t="shared" si="19"/>
        <v>2336.7699999999995</v>
      </c>
      <c r="Q61" s="51">
        <f t="shared" si="20"/>
        <v>2623.1199999999994</v>
      </c>
      <c r="R61" s="53">
        <f t="shared" si="21"/>
        <v>12.3</v>
      </c>
    </row>
    <row r="62" spans="1:21" x14ac:dyDescent="0.2">
      <c r="A62" s="30">
        <v>10</v>
      </c>
      <c r="D62" s="30">
        <v>75</v>
      </c>
      <c r="E62" s="50">
        <v>15000</v>
      </c>
      <c r="F62" s="51">
        <v>2031.1</v>
      </c>
      <c r="G62" s="51">
        <v>2429.9</v>
      </c>
      <c r="H62" s="51">
        <f t="shared" si="12"/>
        <v>398.80000000000018</v>
      </c>
      <c r="I62" s="53">
        <f t="shared" si="13"/>
        <v>19.600000000000001</v>
      </c>
      <c r="J62" s="53"/>
      <c r="K62" s="51">
        <f t="shared" si="14"/>
        <v>52.31</v>
      </c>
      <c r="L62" s="51">
        <f t="shared" si="15"/>
        <v>52.55</v>
      </c>
      <c r="M62" s="51">
        <f t="shared" si="16"/>
        <v>10.48</v>
      </c>
      <c r="N62" s="51">
        <f t="shared" si="17"/>
        <v>10.99</v>
      </c>
      <c r="O62" s="51">
        <f t="shared" si="18"/>
        <v>37.130000000000003</v>
      </c>
      <c r="P62" s="51">
        <f t="shared" si="19"/>
        <v>2183.5700000000002</v>
      </c>
      <c r="Q62" s="51">
        <f t="shared" si="20"/>
        <v>2582.88</v>
      </c>
      <c r="R62" s="53">
        <f t="shared" si="21"/>
        <v>18.3</v>
      </c>
    </row>
    <row r="63" spans="1:21" x14ac:dyDescent="0.2">
      <c r="A63" s="30">
        <v>11</v>
      </c>
      <c r="D63" s="30">
        <v>75</v>
      </c>
      <c r="E63" s="50">
        <v>20000</v>
      </c>
      <c r="F63" s="51">
        <v>2404.1999999999998</v>
      </c>
      <c r="G63" s="51">
        <v>2819.87</v>
      </c>
      <c r="H63" s="51">
        <f t="shared" si="12"/>
        <v>415.67000000000007</v>
      </c>
      <c r="I63" s="53">
        <f t="shared" si="13"/>
        <v>17.299999999999997</v>
      </c>
      <c r="J63" s="53"/>
      <c r="K63" s="51">
        <f t="shared" si="14"/>
        <v>69.739999999999995</v>
      </c>
      <c r="L63" s="51">
        <f t="shared" si="15"/>
        <v>70.06</v>
      </c>
      <c r="M63" s="51">
        <f t="shared" si="16"/>
        <v>12</v>
      </c>
      <c r="N63" s="51">
        <f t="shared" si="17"/>
        <v>12.36</v>
      </c>
      <c r="O63" s="51">
        <f t="shared" si="18"/>
        <v>49.5</v>
      </c>
      <c r="P63" s="51">
        <f t="shared" si="19"/>
        <v>2605.4999999999995</v>
      </c>
      <c r="Q63" s="51">
        <f t="shared" si="20"/>
        <v>3021.5299999999997</v>
      </c>
      <c r="R63" s="53">
        <f t="shared" si="21"/>
        <v>16</v>
      </c>
    </row>
    <row r="64" spans="1:21" x14ac:dyDescent="0.2">
      <c r="A64" s="30">
        <v>12</v>
      </c>
      <c r="D64" s="30">
        <v>75</v>
      </c>
      <c r="E64" s="50">
        <v>30000</v>
      </c>
      <c r="F64" s="51">
        <v>3133.04</v>
      </c>
      <c r="G64" s="51">
        <v>3579.7299999999996</v>
      </c>
      <c r="H64" s="51">
        <f t="shared" si="12"/>
        <v>446.6899999999996</v>
      </c>
      <c r="I64" s="53">
        <f t="shared" si="13"/>
        <v>14.299999999999999</v>
      </c>
      <c r="J64" s="53"/>
      <c r="K64" s="51">
        <f t="shared" si="14"/>
        <v>104.62</v>
      </c>
      <c r="L64" s="51">
        <f t="shared" si="15"/>
        <v>105.09</v>
      </c>
      <c r="M64" s="51">
        <f t="shared" si="16"/>
        <v>14.93</v>
      </c>
      <c r="N64" s="51">
        <f t="shared" si="17"/>
        <v>14.99</v>
      </c>
      <c r="O64" s="51">
        <f t="shared" si="18"/>
        <v>74.25</v>
      </c>
      <c r="P64" s="51">
        <f t="shared" si="19"/>
        <v>3431.93</v>
      </c>
      <c r="Q64" s="51">
        <f t="shared" si="20"/>
        <v>3878.6799999999994</v>
      </c>
      <c r="R64" s="53">
        <f t="shared" si="21"/>
        <v>13</v>
      </c>
    </row>
    <row r="65" spans="1:18" x14ac:dyDescent="0.2">
      <c r="A65" s="30">
        <v>13</v>
      </c>
      <c r="D65" s="30">
        <v>100</v>
      </c>
      <c r="E65" s="50">
        <v>20000</v>
      </c>
      <c r="F65" s="51">
        <v>2671.2</v>
      </c>
      <c r="G65" s="51">
        <v>3216.12</v>
      </c>
      <c r="H65" s="51">
        <f t="shared" si="12"/>
        <v>544.92000000000007</v>
      </c>
      <c r="I65" s="53">
        <f t="shared" si="13"/>
        <v>20.399999999999999</v>
      </c>
      <c r="J65" s="53"/>
      <c r="K65" s="51">
        <f t="shared" si="14"/>
        <v>69.739999999999995</v>
      </c>
      <c r="L65" s="51">
        <f t="shared" si="15"/>
        <v>70.06</v>
      </c>
      <c r="M65" s="51">
        <f t="shared" si="16"/>
        <v>13.74</v>
      </c>
      <c r="N65" s="51">
        <f t="shared" si="17"/>
        <v>14.53</v>
      </c>
      <c r="O65" s="51">
        <f t="shared" si="18"/>
        <v>49.5</v>
      </c>
      <c r="P65" s="51">
        <f t="shared" si="19"/>
        <v>2874.2399999999993</v>
      </c>
      <c r="Q65" s="51">
        <f t="shared" si="20"/>
        <v>3419.95</v>
      </c>
      <c r="R65" s="53">
        <f t="shared" si="21"/>
        <v>19</v>
      </c>
    </row>
    <row r="66" spans="1:18" x14ac:dyDescent="0.2">
      <c r="A66" s="30">
        <v>14</v>
      </c>
      <c r="D66" s="30">
        <v>100</v>
      </c>
      <c r="E66" s="50">
        <v>30000</v>
      </c>
      <c r="F66" s="51">
        <v>3417.39</v>
      </c>
      <c r="G66" s="51">
        <v>3996.0599999999995</v>
      </c>
      <c r="H66" s="51">
        <f t="shared" si="12"/>
        <v>578.66999999999962</v>
      </c>
      <c r="I66" s="53">
        <f t="shared" si="13"/>
        <v>16.900000000000002</v>
      </c>
      <c r="J66" s="53"/>
      <c r="K66" s="51">
        <f t="shared" si="14"/>
        <v>104.62</v>
      </c>
      <c r="L66" s="51">
        <f t="shared" si="15"/>
        <v>105.09</v>
      </c>
      <c r="M66" s="51">
        <f t="shared" si="16"/>
        <v>16.78</v>
      </c>
      <c r="N66" s="51">
        <f t="shared" si="17"/>
        <v>17.27</v>
      </c>
      <c r="O66" s="51">
        <f t="shared" si="18"/>
        <v>74.25</v>
      </c>
      <c r="P66" s="51">
        <f t="shared" si="19"/>
        <v>3718.13</v>
      </c>
      <c r="Q66" s="51">
        <f t="shared" si="20"/>
        <v>4297.29</v>
      </c>
      <c r="R66" s="53">
        <f t="shared" si="21"/>
        <v>15.6</v>
      </c>
    </row>
    <row r="67" spans="1:18" x14ac:dyDescent="0.2">
      <c r="A67" s="30">
        <v>15</v>
      </c>
      <c r="D67" s="30">
        <v>100</v>
      </c>
      <c r="E67" s="50">
        <v>40000</v>
      </c>
      <c r="F67" s="51">
        <v>4117.3200000000006</v>
      </c>
      <c r="G67" s="51">
        <v>4722.4500000000007</v>
      </c>
      <c r="H67" s="51">
        <f t="shared" si="12"/>
        <v>605.13000000000011</v>
      </c>
      <c r="I67" s="53">
        <f t="shared" si="13"/>
        <v>14.7</v>
      </c>
      <c r="J67" s="53"/>
      <c r="K67" s="51">
        <f t="shared" si="14"/>
        <v>139.49</v>
      </c>
      <c r="L67" s="51">
        <f t="shared" si="15"/>
        <v>140.12</v>
      </c>
      <c r="M67" s="51">
        <f t="shared" si="16"/>
        <v>19.52</v>
      </c>
      <c r="N67" s="51">
        <f t="shared" si="17"/>
        <v>19.71</v>
      </c>
      <c r="O67" s="51">
        <f t="shared" si="18"/>
        <v>99</v>
      </c>
      <c r="P67" s="51">
        <f t="shared" si="19"/>
        <v>4515.4500000000007</v>
      </c>
      <c r="Q67" s="51">
        <f t="shared" si="20"/>
        <v>5120.7700000000004</v>
      </c>
      <c r="R67" s="53">
        <f t="shared" si="21"/>
        <v>13.4</v>
      </c>
    </row>
    <row r="68" spans="1:18" x14ac:dyDescent="0.2">
      <c r="A68" s="30">
        <v>16</v>
      </c>
      <c r="D68" s="30">
        <v>300</v>
      </c>
      <c r="E68" s="50">
        <v>60000</v>
      </c>
      <c r="F68" s="51">
        <v>7791.96</v>
      </c>
      <c r="G68" s="51">
        <v>9505.880000000001</v>
      </c>
      <c r="H68" s="51">
        <f t="shared" si="12"/>
        <v>1713.920000000001</v>
      </c>
      <c r="I68" s="53">
        <f t="shared" si="13"/>
        <v>22</v>
      </c>
      <c r="J68" s="53"/>
      <c r="K68" s="51">
        <f t="shared" si="14"/>
        <v>209.23</v>
      </c>
      <c r="L68" s="51">
        <f t="shared" si="15"/>
        <v>210.18</v>
      </c>
      <c r="M68" s="51">
        <f t="shared" si="16"/>
        <v>39.770000000000003</v>
      </c>
      <c r="N68" s="51">
        <f t="shared" si="17"/>
        <v>42.8</v>
      </c>
      <c r="O68" s="51">
        <f t="shared" si="18"/>
        <v>148.5</v>
      </c>
      <c r="P68" s="51">
        <f t="shared" si="19"/>
        <v>8399.64</v>
      </c>
      <c r="Q68" s="51">
        <f t="shared" si="20"/>
        <v>10116.59</v>
      </c>
      <c r="R68" s="53">
        <f t="shared" si="21"/>
        <v>20.399999999999999</v>
      </c>
    </row>
    <row r="69" spans="1:18" x14ac:dyDescent="0.2">
      <c r="A69" s="30">
        <v>17</v>
      </c>
      <c r="D69" s="30">
        <v>300</v>
      </c>
      <c r="E69" s="50">
        <v>90000</v>
      </c>
      <c r="F69" s="51">
        <v>10030.530000000001</v>
      </c>
      <c r="G69" s="51">
        <v>11845.7</v>
      </c>
      <c r="H69" s="51">
        <f t="shared" si="12"/>
        <v>1815.17</v>
      </c>
      <c r="I69" s="53">
        <f t="shared" si="13"/>
        <v>18.099999999999998</v>
      </c>
      <c r="J69" s="53"/>
      <c r="K69" s="51">
        <f t="shared" si="14"/>
        <v>313.85000000000002</v>
      </c>
      <c r="L69" s="51">
        <f t="shared" si="15"/>
        <v>315.27</v>
      </c>
      <c r="M69" s="51">
        <f t="shared" si="16"/>
        <v>48.89</v>
      </c>
      <c r="N69" s="51">
        <f t="shared" si="17"/>
        <v>51.02</v>
      </c>
      <c r="O69" s="51">
        <f t="shared" si="18"/>
        <v>222.75</v>
      </c>
      <c r="P69" s="51">
        <f t="shared" si="19"/>
        <v>10931.29</v>
      </c>
      <c r="Q69" s="51">
        <f t="shared" si="20"/>
        <v>12748.590000000002</v>
      </c>
      <c r="R69" s="53">
        <f t="shared" si="21"/>
        <v>16.600000000000001</v>
      </c>
    </row>
    <row r="70" spans="1:18" x14ac:dyDescent="0.2">
      <c r="A70" s="30">
        <v>18</v>
      </c>
      <c r="D70" s="30">
        <v>300</v>
      </c>
      <c r="E70" s="50">
        <v>120000</v>
      </c>
      <c r="F70" s="51">
        <v>11991.58</v>
      </c>
      <c r="G70" s="51">
        <v>13864.24</v>
      </c>
      <c r="H70" s="51">
        <f t="shared" si="12"/>
        <v>1872.6599999999999</v>
      </c>
      <c r="I70" s="53">
        <f t="shared" si="13"/>
        <v>15.6</v>
      </c>
      <c r="J70" s="53"/>
      <c r="K70" s="51">
        <f t="shared" si="14"/>
        <v>418.47</v>
      </c>
      <c r="L70" s="51">
        <f t="shared" si="15"/>
        <v>420.36</v>
      </c>
      <c r="M70" s="51">
        <f t="shared" si="16"/>
        <v>56.21</v>
      </c>
      <c r="N70" s="51">
        <f t="shared" si="17"/>
        <v>57.49</v>
      </c>
      <c r="O70" s="51">
        <f t="shared" si="18"/>
        <v>297</v>
      </c>
      <c r="P70" s="51">
        <f t="shared" si="19"/>
        <v>13183.619999999999</v>
      </c>
      <c r="Q70" s="51">
        <f t="shared" si="20"/>
        <v>15057.56</v>
      </c>
      <c r="R70" s="53">
        <f t="shared" si="21"/>
        <v>14.2</v>
      </c>
    </row>
    <row r="71" spans="1:18" x14ac:dyDescent="0.2">
      <c r="A71" s="30">
        <v>19</v>
      </c>
      <c r="D71" s="30">
        <v>500</v>
      </c>
      <c r="E71" s="50">
        <v>100000</v>
      </c>
      <c r="F71" s="51">
        <v>12912.720000000001</v>
      </c>
      <c r="G71" s="51">
        <v>15795.650000000001</v>
      </c>
      <c r="H71" s="51">
        <f t="shared" si="12"/>
        <v>2882.9300000000003</v>
      </c>
      <c r="I71" s="53">
        <f t="shared" si="13"/>
        <v>22.3</v>
      </c>
      <c r="J71" s="53"/>
      <c r="K71" s="51">
        <f t="shared" si="14"/>
        <v>348.72</v>
      </c>
      <c r="L71" s="51">
        <f t="shared" si="15"/>
        <v>350.3</v>
      </c>
      <c r="M71" s="51">
        <f t="shared" si="16"/>
        <v>65.8</v>
      </c>
      <c r="N71" s="51">
        <f t="shared" si="17"/>
        <v>71.069999999999993</v>
      </c>
      <c r="O71" s="51">
        <f t="shared" si="18"/>
        <v>247.5</v>
      </c>
      <c r="P71" s="51">
        <f t="shared" si="19"/>
        <v>13925.039999999999</v>
      </c>
      <c r="Q71" s="51">
        <f t="shared" si="20"/>
        <v>16813.240000000002</v>
      </c>
      <c r="R71" s="53">
        <f t="shared" si="21"/>
        <v>20.7</v>
      </c>
    </row>
    <row r="72" spans="1:18" x14ac:dyDescent="0.2">
      <c r="A72" s="30">
        <v>20</v>
      </c>
      <c r="D72" s="30">
        <v>500</v>
      </c>
      <c r="E72" s="50">
        <v>200000</v>
      </c>
      <c r="F72" s="51">
        <v>19865.84</v>
      </c>
      <c r="G72" s="51">
        <v>23006.02</v>
      </c>
      <c r="H72" s="51">
        <f t="shared" si="12"/>
        <v>3140.1800000000003</v>
      </c>
      <c r="I72" s="53">
        <f t="shared" si="13"/>
        <v>15.8</v>
      </c>
      <c r="J72" s="53"/>
      <c r="K72" s="51">
        <f t="shared" si="14"/>
        <v>697.44</v>
      </c>
      <c r="L72" s="51">
        <f t="shared" si="15"/>
        <v>700.6</v>
      </c>
      <c r="M72" s="51">
        <f t="shared" si="16"/>
        <v>92.9</v>
      </c>
      <c r="N72" s="51">
        <f t="shared" si="17"/>
        <v>95.26</v>
      </c>
      <c r="O72" s="51">
        <f t="shared" si="18"/>
        <v>495</v>
      </c>
      <c r="P72" s="51">
        <f t="shared" si="19"/>
        <v>21851.78</v>
      </c>
      <c r="Q72" s="51">
        <f t="shared" si="20"/>
        <v>24994.319999999996</v>
      </c>
      <c r="R72" s="53">
        <f t="shared" si="21"/>
        <v>14.399999999999999</v>
      </c>
    </row>
    <row r="73" spans="1:18" x14ac:dyDescent="0.2">
      <c r="A73" s="30">
        <v>21</v>
      </c>
      <c r="D73" s="30">
        <v>500</v>
      </c>
      <c r="E73" s="50">
        <v>300000</v>
      </c>
      <c r="F73" s="51">
        <v>26171.440000000002</v>
      </c>
      <c r="G73" s="51">
        <v>29466.730000000003</v>
      </c>
      <c r="H73" s="51">
        <f t="shared" si="12"/>
        <v>3295.2900000000009</v>
      </c>
      <c r="I73" s="53">
        <f t="shared" si="13"/>
        <v>12.6</v>
      </c>
      <c r="J73" s="53"/>
      <c r="K73" s="51">
        <f t="shared" si="14"/>
        <v>1046.1600000000001</v>
      </c>
      <c r="L73" s="51">
        <f t="shared" si="15"/>
        <v>1050.9000000000001</v>
      </c>
      <c r="M73" s="51">
        <f t="shared" si="16"/>
        <v>115.8</v>
      </c>
      <c r="N73" s="51">
        <f t="shared" si="17"/>
        <v>115.36</v>
      </c>
      <c r="O73" s="51">
        <f t="shared" si="18"/>
        <v>742.5</v>
      </c>
      <c r="P73" s="51">
        <f t="shared" si="19"/>
        <v>29126.800000000003</v>
      </c>
      <c r="Q73" s="51">
        <f t="shared" si="20"/>
        <v>32421.650000000005</v>
      </c>
      <c r="R73" s="53">
        <f t="shared" si="21"/>
        <v>11.3</v>
      </c>
    </row>
    <row r="74" spans="1:18" x14ac:dyDescent="0.2">
      <c r="E74" s="50"/>
      <c r="F74" s="51"/>
      <c r="G74" s="51"/>
      <c r="H74" s="51"/>
      <c r="I74" s="53"/>
      <c r="J74" s="53"/>
      <c r="K74" s="51"/>
      <c r="L74" s="51"/>
      <c r="M74" s="51"/>
      <c r="N74" s="51"/>
      <c r="O74" s="51"/>
      <c r="P74" s="51"/>
      <c r="Q74" s="51"/>
      <c r="R74" s="53"/>
    </row>
    <row r="75" spans="1:18" ht="15.75" x14ac:dyDescent="0.25">
      <c r="A75" s="30">
        <v>22</v>
      </c>
      <c r="C75" s="31" t="s">
        <v>115</v>
      </c>
      <c r="D75" s="38" t="s">
        <v>116</v>
      </c>
      <c r="E75" s="50"/>
      <c r="F75" s="51"/>
      <c r="G75" s="51"/>
      <c r="H75" s="51"/>
      <c r="I75" s="53"/>
      <c r="J75" s="53"/>
      <c r="K75" s="51"/>
      <c r="L75" s="51"/>
      <c r="M75" s="51"/>
      <c r="N75" s="51"/>
      <c r="O75" s="51"/>
      <c r="P75" s="51"/>
      <c r="Q75" s="51"/>
      <c r="R75" s="53"/>
    </row>
    <row r="76" spans="1:18" x14ac:dyDescent="0.2">
      <c r="A76" s="30">
        <v>23</v>
      </c>
      <c r="D76" s="49" t="s">
        <v>104</v>
      </c>
      <c r="E76" s="50">
        <v>9400</v>
      </c>
      <c r="F76" s="51">
        <v>881.98</v>
      </c>
      <c r="G76" s="51">
        <v>1015.44</v>
      </c>
      <c r="H76" s="51">
        <f>G76-F76</f>
        <v>133.46000000000004</v>
      </c>
      <c r="I76" s="53">
        <f>ROUND(H76/F76,3)*100</f>
        <v>15.1</v>
      </c>
      <c r="J76" s="53"/>
      <c r="K76" s="51">
        <v>32.78</v>
      </c>
      <c r="L76" s="51">
        <f>ROUND(E76*DSM_DIST,2)</f>
        <v>32.93</v>
      </c>
      <c r="M76" s="51">
        <f>ROUND((F76+$L76+$O76-PRO_BASE_FUEL*$E76)*CUR_ESM_NonRes,2)</f>
        <v>4.03</v>
      </c>
      <c r="N76" s="51">
        <f>ROUND((G76+$L76+$O76-PRO_BASE_FUEL*$E76)*PRO_ESM_NONRES,2)</f>
        <v>4.12</v>
      </c>
      <c r="O76" s="51">
        <f>ROUND(E76*RS_PSM,2)</f>
        <v>23.27</v>
      </c>
      <c r="P76" s="51">
        <f>F76+K76+L76+M76+O76</f>
        <v>974.9899999999999</v>
      </c>
      <c r="Q76" s="51">
        <f>G76+K76+L76+N76+O76</f>
        <v>1108.54</v>
      </c>
      <c r="R76" s="53">
        <f>ROUND((Q76-P76)/P76,3)*100</f>
        <v>13.700000000000001</v>
      </c>
    </row>
    <row r="77" spans="1:18" x14ac:dyDescent="0.2">
      <c r="A77" s="30">
        <v>24</v>
      </c>
      <c r="D77" s="49" t="s">
        <v>104</v>
      </c>
      <c r="E77" s="50">
        <v>23600</v>
      </c>
      <c r="F77" s="51">
        <v>2169.0100000000002</v>
      </c>
      <c r="G77" s="51">
        <v>2504.08</v>
      </c>
      <c r="H77" s="51">
        <f>G77-F77</f>
        <v>335.06999999999971</v>
      </c>
      <c r="I77" s="53">
        <f>ROUND(H77/F77,3)*100</f>
        <v>15.4</v>
      </c>
      <c r="J77" s="53"/>
      <c r="K77" s="51">
        <v>82.3</v>
      </c>
      <c r="L77" s="51">
        <f>ROUND(E77*DSM_DIST,2)</f>
        <v>82.67</v>
      </c>
      <c r="M77" s="51">
        <f>ROUND((F77+$L77+$O77-PRO_BASE_FUEL*$E77)*CUR_ESM_NonRes,2)</f>
        <v>9.82</v>
      </c>
      <c r="N77" s="51">
        <f>ROUND((G77+$L77+$O77-PRO_BASE_FUEL*$E77)*PRO_ESM_NONRES,2)</f>
        <v>10.09</v>
      </c>
      <c r="O77" s="51">
        <f>ROUND(E77*RS_PSM,2)</f>
        <v>58.41</v>
      </c>
      <c r="P77" s="51">
        <f>F77+K77+L77+M77+O77</f>
        <v>2402.2100000000005</v>
      </c>
      <c r="Q77" s="51">
        <f>G77+K77+L77+N77+O77</f>
        <v>2737.55</v>
      </c>
      <c r="R77" s="53">
        <f>ROUND((Q77-P77)/P77,3)*100</f>
        <v>14.000000000000002</v>
      </c>
    </row>
    <row r="78" spans="1:18" x14ac:dyDescent="0.2">
      <c r="A78" s="30">
        <v>25</v>
      </c>
      <c r="D78" s="49" t="s">
        <v>104</v>
      </c>
      <c r="E78" s="50">
        <v>37800</v>
      </c>
      <c r="F78" s="51">
        <v>3456.04</v>
      </c>
      <c r="G78" s="51">
        <v>3992.73</v>
      </c>
      <c r="H78" s="51">
        <f>G78-F78</f>
        <v>536.69000000000005</v>
      </c>
      <c r="I78" s="53">
        <f>ROUND(H78/F78,3)*100</f>
        <v>15.5</v>
      </c>
      <c r="J78" s="53"/>
      <c r="K78" s="51">
        <v>131.82</v>
      </c>
      <c r="L78" s="51">
        <f>ROUND(E78*DSM_DIST,2)</f>
        <v>132.41</v>
      </c>
      <c r="M78" s="51">
        <f>ROUND((F78+$L78+$O78-PRO_BASE_FUEL*$E78)*CUR_ESM_NonRes,2)</f>
        <v>15.62</v>
      </c>
      <c r="N78" s="51">
        <f>ROUND((G78+$L78+$O78-PRO_BASE_FUEL*$E78)*PRO_ESM_NONRES,2)</f>
        <v>16.059999999999999</v>
      </c>
      <c r="O78" s="51">
        <f>ROUND(E78*RS_PSM,2)</f>
        <v>93.56</v>
      </c>
      <c r="P78" s="51">
        <f>F78+K78+L78+M78+O78</f>
        <v>3829.45</v>
      </c>
      <c r="Q78" s="51">
        <f>G78+K78+L78+N78+O78</f>
        <v>4366.5800000000008</v>
      </c>
      <c r="R78" s="53">
        <f>ROUND((Q78-P78)/P78,3)*100</f>
        <v>14.000000000000002</v>
      </c>
    </row>
    <row r="79" spans="1:18" x14ac:dyDescent="0.2">
      <c r="F79" s="51"/>
      <c r="G79" s="51"/>
      <c r="H79" s="51"/>
      <c r="I79" s="53"/>
      <c r="J79" s="53"/>
      <c r="K79" s="51"/>
      <c r="L79" s="51"/>
      <c r="M79" s="51"/>
      <c r="N79" s="51"/>
      <c r="O79" s="51"/>
      <c r="P79" s="51"/>
      <c r="Q79" s="51"/>
      <c r="R79" s="53"/>
    </row>
    <row r="80" spans="1:18" ht="15.75" x14ac:dyDescent="0.25">
      <c r="C80" s="31" t="s">
        <v>141</v>
      </c>
      <c r="K80" s="31"/>
    </row>
    <row r="81" spans="1:18" ht="15.75" x14ac:dyDescent="0.25">
      <c r="C81" s="31" t="str">
        <f>"(2) RIDER DSMR "&amp;TEXT(DSM_DIST,"$0.000000;($0.000000)")&amp;" PER KWH."</f>
        <v>(2) RIDER DSMR $0.003503 PER KWH.</v>
      </c>
      <c r="H81" s="51"/>
      <c r="I81" s="53"/>
      <c r="J81" s="53"/>
      <c r="K81" s="51"/>
      <c r="L81" s="51"/>
      <c r="M81" s="51"/>
      <c r="N81" s="51"/>
      <c r="O81" s="51"/>
      <c r="P81" s="51"/>
      <c r="Q81" s="51"/>
      <c r="R81" s="53"/>
    </row>
    <row r="82" spans="1:18" ht="15.75" x14ac:dyDescent="0.25">
      <c r="A82" s="54"/>
      <c r="C82" s="31" t="str">
        <f>"(3) RIDER ESM "&amp;TEXT(CUR_ESM_NonRes,"#0.00%")&amp;"  OF TOTAL CURRENT BILL."</f>
        <v>(3) RIDER ESM 0.65%  OF TOTAL CURRENT BILL.</v>
      </c>
      <c r="H82" s="51"/>
      <c r="K82" s="51"/>
      <c r="L82" s="51"/>
      <c r="M82" s="51"/>
      <c r="N82" s="51"/>
      <c r="O82" s="51"/>
    </row>
    <row r="83" spans="1:18" ht="15.75" x14ac:dyDescent="0.25">
      <c r="A83" s="54"/>
      <c r="C83" s="31" t="str">
        <f>"(4) RIDER PSM  "&amp;TEXT(RS_PSM,"$0.000000;($0.000000)")&amp;" PER KWH."</f>
        <v>(4) RIDER PSM  $0.002475 PER KWH.</v>
      </c>
      <c r="H83" s="51"/>
      <c r="K83" s="51"/>
      <c r="L83" s="51"/>
      <c r="M83" s="51"/>
      <c r="N83" s="51"/>
      <c r="O83" s="51"/>
    </row>
    <row r="84" spans="1:18" ht="15.75" x14ac:dyDescent="0.25">
      <c r="A84" s="54"/>
      <c r="C84" s="31" t="str">
        <f>"(5) REFLECTS FUEL COST RECOVERY INCLUDED IN BASE RATES OF "&amp;TEXT(CUR_BASE_FUEL,"$0.000000;($0.000000)")&amp;"  PER KWH."</f>
        <v>(5) REFLECTS FUEL COST RECOVERY INCLUDED IN BASE RATES OF $0.033780  PER KWH.</v>
      </c>
      <c r="H84" s="51"/>
      <c r="K84" s="51"/>
      <c r="L84" s="51"/>
      <c r="M84" s="51"/>
      <c r="N84" s="51"/>
      <c r="O84" s="51"/>
    </row>
    <row r="85" spans="1:18" ht="15.75" x14ac:dyDescent="0.25">
      <c r="A85" s="54"/>
      <c r="C85" s="31" t="str">
        <f>"(6) RIDER ESM "&amp;TEXT(PRO_ESM_NONRES,"#0.00%")&amp;"  OF TOTAL PROPOSED BILL."</f>
        <v>(6) RIDER ESM 0.55%  OF TOTAL PROPOSED BILL.</v>
      </c>
      <c r="H85" s="51"/>
      <c r="K85" s="51"/>
      <c r="L85" s="51"/>
      <c r="M85" s="51"/>
      <c r="N85" s="51"/>
      <c r="O85" s="51"/>
    </row>
    <row r="86" spans="1:18" ht="15.75" x14ac:dyDescent="0.25">
      <c r="A86" s="54"/>
      <c r="C86" s="31" t="s">
        <v>117</v>
      </c>
      <c r="H86" s="51"/>
      <c r="K86" s="51"/>
      <c r="L86" s="51"/>
      <c r="M86" s="51"/>
      <c r="N86" s="51"/>
      <c r="O86" s="51"/>
    </row>
    <row r="87" spans="1:18" ht="15.75" x14ac:dyDescent="0.25">
      <c r="A87" s="29" t="s">
        <v>133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1:18" ht="15.75" x14ac:dyDescent="0.25">
      <c r="A88" s="29" t="s">
        <v>134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1:18" ht="15.75" x14ac:dyDescent="0.25">
      <c r="A89" s="29" t="s">
        <v>50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1:18" ht="15.75" x14ac:dyDescent="0.25">
      <c r="A90" s="29" t="s">
        <v>135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1:18" ht="15.75" x14ac:dyDescent="0.25">
      <c r="A91" s="31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</row>
    <row r="92" spans="1:18" ht="15.75" x14ac:dyDescent="0.25">
      <c r="A92" s="32" t="s">
        <v>136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1" t="s">
        <v>51</v>
      </c>
      <c r="R92" s="32"/>
    </row>
    <row r="93" spans="1:18" ht="15.75" x14ac:dyDescent="0.25">
      <c r="A93" s="32" t="s">
        <v>138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1" t="s">
        <v>118</v>
      </c>
      <c r="R93" s="32"/>
    </row>
    <row r="94" spans="1:18" ht="15.75" x14ac:dyDescent="0.25">
      <c r="A94" s="31" t="s">
        <v>53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1" t="s">
        <v>54</v>
      </c>
      <c r="R94" s="32"/>
    </row>
    <row r="95" spans="1:18" ht="15.75" x14ac:dyDescent="0.25">
      <c r="A95" s="33" t="s">
        <v>139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 t="s">
        <v>137</v>
      </c>
      <c r="R95" s="32"/>
    </row>
    <row r="96" spans="1:18" x14ac:dyDescent="0.2">
      <c r="A96" s="34" t="s">
        <v>55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25" ht="15.7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25" ht="15.7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</row>
    <row r="99" spans="1:25" ht="15.75" x14ac:dyDescent="0.25">
      <c r="A99" s="32"/>
      <c r="B99" s="32"/>
      <c r="C99" s="32"/>
      <c r="D99" s="32"/>
      <c r="E99" s="32"/>
      <c r="F99" s="36" t="s">
        <v>56</v>
      </c>
      <c r="G99" s="36"/>
      <c r="H99" s="36"/>
      <c r="I99" s="36"/>
      <c r="J99" s="29"/>
      <c r="K99" s="37" t="s">
        <v>57</v>
      </c>
      <c r="L99" s="37"/>
      <c r="M99" s="37"/>
      <c r="N99" s="37"/>
      <c r="O99" s="37"/>
      <c r="P99" s="38" t="s">
        <v>58</v>
      </c>
      <c r="Q99" s="38" t="s">
        <v>58</v>
      </c>
      <c r="R99" s="32"/>
    </row>
    <row r="100" spans="1:25" ht="17.100000000000001" customHeight="1" x14ac:dyDescent="0.25">
      <c r="A100" s="32"/>
      <c r="B100" s="32"/>
      <c r="C100" s="32"/>
      <c r="D100" s="38" t="s">
        <v>59</v>
      </c>
      <c r="E100" s="38" t="s">
        <v>59</v>
      </c>
      <c r="F100" s="32"/>
      <c r="G100" s="32"/>
      <c r="H100" s="38" t="s">
        <v>60</v>
      </c>
      <c r="I100" s="38" t="s">
        <v>61</v>
      </c>
      <c r="J100" s="38"/>
      <c r="K100" s="32"/>
      <c r="L100" s="32"/>
      <c r="O100" s="32"/>
      <c r="P100" s="38" t="s">
        <v>62</v>
      </c>
      <c r="Q100" s="38" t="s">
        <v>63</v>
      </c>
      <c r="R100" s="38" t="s">
        <v>61</v>
      </c>
    </row>
    <row r="101" spans="1:25" ht="15.75" x14ac:dyDescent="0.25">
      <c r="A101" s="32"/>
      <c r="B101" s="32"/>
      <c r="C101" s="32"/>
      <c r="D101" s="38" t="s">
        <v>64</v>
      </c>
      <c r="E101" s="38" t="s">
        <v>64</v>
      </c>
      <c r="F101" s="38" t="s">
        <v>62</v>
      </c>
      <c r="G101" s="38" t="s">
        <v>63</v>
      </c>
      <c r="H101" s="38" t="s">
        <v>65</v>
      </c>
      <c r="I101" s="38" t="s">
        <v>65</v>
      </c>
      <c r="J101" s="38"/>
      <c r="K101" s="38" t="s">
        <v>66</v>
      </c>
      <c r="L101" s="38" t="s">
        <v>66</v>
      </c>
      <c r="M101" s="38" t="s">
        <v>66</v>
      </c>
      <c r="N101" s="38" t="s">
        <v>66</v>
      </c>
      <c r="O101" s="38" t="s">
        <v>66</v>
      </c>
      <c r="P101" s="38" t="s">
        <v>67</v>
      </c>
      <c r="Q101" s="38" t="s">
        <v>67</v>
      </c>
      <c r="R101" s="38" t="s">
        <v>65</v>
      </c>
    </row>
    <row r="102" spans="1:25" ht="15.75" x14ac:dyDescent="0.25">
      <c r="A102" s="38" t="s">
        <v>68</v>
      </c>
      <c r="B102" s="32"/>
      <c r="C102" s="31" t="s">
        <v>69</v>
      </c>
      <c r="D102" s="38" t="s">
        <v>70</v>
      </c>
      <c r="E102" s="39" t="s">
        <v>71</v>
      </c>
      <c r="F102" s="39" t="s">
        <v>119</v>
      </c>
      <c r="G102" s="39" t="s">
        <v>119</v>
      </c>
      <c r="H102" s="40" t="s">
        <v>73</v>
      </c>
      <c r="I102" s="40" t="s">
        <v>74</v>
      </c>
      <c r="J102" s="38"/>
      <c r="K102" s="38" t="s">
        <v>107</v>
      </c>
      <c r="L102" s="39" t="s">
        <v>108</v>
      </c>
      <c r="M102" s="39" t="s">
        <v>109</v>
      </c>
      <c r="N102" s="38" t="s">
        <v>78</v>
      </c>
      <c r="O102" s="39" t="s">
        <v>111</v>
      </c>
      <c r="P102" s="41" t="s">
        <v>80</v>
      </c>
      <c r="Q102" s="41" t="s">
        <v>81</v>
      </c>
      <c r="R102" s="41" t="s">
        <v>82</v>
      </c>
    </row>
    <row r="103" spans="1:25" ht="15.75" x14ac:dyDescent="0.25">
      <c r="A103" s="42" t="s">
        <v>83</v>
      </c>
      <c r="B103" s="43"/>
      <c r="C103" s="44" t="s">
        <v>84</v>
      </c>
      <c r="D103" s="55" t="s">
        <v>85</v>
      </c>
      <c r="E103" s="55" t="s">
        <v>86</v>
      </c>
      <c r="F103" s="55" t="s">
        <v>87</v>
      </c>
      <c r="G103" s="55" t="s">
        <v>88</v>
      </c>
      <c r="H103" s="55" t="s">
        <v>89</v>
      </c>
      <c r="I103" s="55" t="s">
        <v>90</v>
      </c>
      <c r="J103" s="55"/>
      <c r="K103" s="55" t="s">
        <v>91</v>
      </c>
      <c r="L103" s="55" t="s">
        <v>92</v>
      </c>
      <c r="M103" s="45" t="s">
        <v>93</v>
      </c>
      <c r="N103" s="45" t="s">
        <v>94</v>
      </c>
      <c r="O103" s="46" t="s">
        <v>95</v>
      </c>
      <c r="P103" s="46" t="s">
        <v>96</v>
      </c>
      <c r="Q103" s="46" t="s">
        <v>97</v>
      </c>
      <c r="R103" s="46" t="s">
        <v>98</v>
      </c>
      <c r="V103" s="30" t="s">
        <v>120</v>
      </c>
      <c r="X103" s="30" t="s">
        <v>121</v>
      </c>
    </row>
    <row r="104" spans="1:25" ht="15.75" x14ac:dyDescent="0.25">
      <c r="A104" s="32"/>
      <c r="B104" s="32"/>
      <c r="C104" s="32"/>
      <c r="D104" s="47" t="s">
        <v>99</v>
      </c>
      <c r="E104" s="47" t="s">
        <v>100</v>
      </c>
      <c r="F104" s="47" t="s">
        <v>101</v>
      </c>
      <c r="G104" s="47" t="s">
        <v>101</v>
      </c>
      <c r="H104" s="47" t="s">
        <v>101</v>
      </c>
      <c r="I104" s="47" t="s">
        <v>102</v>
      </c>
      <c r="J104" s="47"/>
      <c r="K104" s="47" t="s">
        <v>101</v>
      </c>
      <c r="L104" s="47" t="s">
        <v>101</v>
      </c>
      <c r="M104" s="47" t="s">
        <v>101</v>
      </c>
      <c r="N104" s="47" t="s">
        <v>101</v>
      </c>
      <c r="O104" s="47" t="s">
        <v>101</v>
      </c>
      <c r="P104" s="47" t="s">
        <v>101</v>
      </c>
      <c r="Q104" s="47" t="s">
        <v>101</v>
      </c>
      <c r="R104" s="47" t="s">
        <v>102</v>
      </c>
      <c r="V104" s="30" t="s">
        <v>122</v>
      </c>
      <c r="W104" s="30" t="s">
        <v>123</v>
      </c>
      <c r="X104" s="30" t="s">
        <v>122</v>
      </c>
      <c r="Y104" s="30" t="s">
        <v>123</v>
      </c>
    </row>
    <row r="105" spans="1:25" ht="15.75" x14ac:dyDescent="0.25">
      <c r="A105" s="30">
        <v>1</v>
      </c>
      <c r="C105" s="31" t="s">
        <v>124</v>
      </c>
      <c r="D105" s="50">
        <v>500</v>
      </c>
      <c r="E105" s="50">
        <v>144000</v>
      </c>
      <c r="F105" s="51">
        <v>17754.48</v>
      </c>
      <c r="G105" s="56">
        <v>20607.7</v>
      </c>
      <c r="H105" s="51">
        <f t="shared" ref="H105:H114" si="22">G105-F105</f>
        <v>2853.2200000000012</v>
      </c>
      <c r="I105" s="53">
        <f t="shared" ref="I105:I114" si="23">ROUND(H105/F105,3)*100</f>
        <v>16.100000000000001</v>
      </c>
      <c r="J105" s="53"/>
      <c r="K105" s="51">
        <f t="shared" ref="K105:K114" si="24">ROUND(E105*CUR_FAC,2)</f>
        <v>502.16</v>
      </c>
      <c r="L105" s="51">
        <f t="shared" ref="L105:L114" si="25">ROUND(E105*DSM_DIST,2)</f>
        <v>504.43</v>
      </c>
      <c r="M105" s="51">
        <f t="shared" ref="M105:M114" si="26">ROUND((F105+$L105+$O105-PRO_BASE_FUEL*$E105)*CUR_ESM_NonRes,2)</f>
        <v>89.3</v>
      </c>
      <c r="N105" s="51">
        <f t="shared" ref="N105:N114" si="27">ROUND((G105+$L105+$O105-PRO_BASE_FUEL*$E105)*PRO_ESM_NONRES,2)</f>
        <v>90.67</v>
      </c>
      <c r="O105" s="51">
        <f t="shared" ref="O105:O114" si="28">ROUND(E105*RS_PSM,2)</f>
        <v>356.4</v>
      </c>
      <c r="P105" s="51">
        <f t="shared" ref="P105:P114" si="29">F105+K105+L105+M105+O105</f>
        <v>19206.77</v>
      </c>
      <c r="Q105" s="51">
        <f>G105+K105+L105+N105+O105</f>
        <v>22061.360000000001</v>
      </c>
      <c r="R105" s="52">
        <f>ROUND((Q105-P105)/P105,3)*100</f>
        <v>14.899999999999999</v>
      </c>
      <c r="V105" s="30">
        <v>0.29418430907301557</v>
      </c>
      <c r="W105" s="30">
        <v>0.28508780485466656</v>
      </c>
      <c r="X105" s="30">
        <v>0.98798507222301468</v>
      </c>
      <c r="Y105" s="30">
        <v>0.98087519115990918</v>
      </c>
    </row>
    <row r="106" spans="1:25" x14ac:dyDescent="0.2">
      <c r="A106" s="30">
        <v>2</v>
      </c>
      <c r="D106" s="50">
        <v>500</v>
      </c>
      <c r="E106" s="50">
        <v>288000</v>
      </c>
      <c r="F106" s="51">
        <v>25072.390000000003</v>
      </c>
      <c r="G106" s="51">
        <v>28928.89</v>
      </c>
      <c r="H106" s="51">
        <f t="shared" si="22"/>
        <v>3856.4999999999964</v>
      </c>
      <c r="I106" s="53">
        <f t="shared" si="23"/>
        <v>15.4</v>
      </c>
      <c r="J106" s="53"/>
      <c r="K106" s="51">
        <f t="shared" si="24"/>
        <v>1004.32</v>
      </c>
      <c r="L106" s="51">
        <f t="shared" si="25"/>
        <v>1008.86</v>
      </c>
      <c r="M106" s="51">
        <f t="shared" si="26"/>
        <v>110.83</v>
      </c>
      <c r="N106" s="51">
        <f t="shared" si="27"/>
        <v>114.25</v>
      </c>
      <c r="O106" s="51">
        <f t="shared" si="28"/>
        <v>712.8</v>
      </c>
      <c r="P106" s="51">
        <f t="shared" si="29"/>
        <v>27909.200000000004</v>
      </c>
      <c r="Q106" s="51">
        <f t="shared" ref="Q106:Q114" si="30">G106+K106+L106+N106+O106</f>
        <v>31769.119999999999</v>
      </c>
      <c r="R106" s="53">
        <f t="shared" ref="R106:R114" si="31">ROUND((Q106-P106)/P106,3)*100</f>
        <v>13.8</v>
      </c>
    </row>
    <row r="107" spans="1:25" x14ac:dyDescent="0.2">
      <c r="A107" s="30">
        <v>3</v>
      </c>
      <c r="D107" s="50">
        <v>800</v>
      </c>
      <c r="E107" s="50">
        <v>230400</v>
      </c>
      <c r="F107" s="51">
        <v>28330.969999999998</v>
      </c>
      <c r="G107" s="51">
        <v>32895.51</v>
      </c>
      <c r="H107" s="51">
        <f t="shared" si="22"/>
        <v>4564.5400000000045</v>
      </c>
      <c r="I107" s="53">
        <f t="shared" si="23"/>
        <v>16.100000000000001</v>
      </c>
      <c r="J107" s="53"/>
      <c r="K107" s="51">
        <f t="shared" si="24"/>
        <v>803.45</v>
      </c>
      <c r="L107" s="51">
        <f t="shared" si="25"/>
        <v>807.09</v>
      </c>
      <c r="M107" s="51">
        <f t="shared" si="26"/>
        <v>142.38999999999999</v>
      </c>
      <c r="N107" s="51">
        <f t="shared" si="27"/>
        <v>144.65</v>
      </c>
      <c r="O107" s="51">
        <f t="shared" si="28"/>
        <v>570.24</v>
      </c>
      <c r="P107" s="51">
        <f t="shared" si="29"/>
        <v>30654.14</v>
      </c>
      <c r="Q107" s="51">
        <f t="shared" si="30"/>
        <v>35220.939999999995</v>
      </c>
      <c r="R107" s="53">
        <f t="shared" si="31"/>
        <v>14.899999999999999</v>
      </c>
    </row>
    <row r="108" spans="1:25" x14ac:dyDescent="0.2">
      <c r="A108" s="30">
        <v>4</v>
      </c>
      <c r="D108" s="50">
        <v>800</v>
      </c>
      <c r="E108" s="50">
        <v>460800</v>
      </c>
      <c r="F108" s="51">
        <v>40039.630000000005</v>
      </c>
      <c r="G108" s="51">
        <v>46209.42</v>
      </c>
      <c r="H108" s="51">
        <f t="shared" si="22"/>
        <v>6169.7899999999936</v>
      </c>
      <c r="I108" s="53">
        <f t="shared" si="23"/>
        <v>15.4</v>
      </c>
      <c r="J108" s="53"/>
      <c r="K108" s="51">
        <f t="shared" si="24"/>
        <v>1606.91</v>
      </c>
      <c r="L108" s="51">
        <f t="shared" si="25"/>
        <v>1614.18</v>
      </c>
      <c r="M108" s="51">
        <f t="shared" si="26"/>
        <v>176.83</v>
      </c>
      <c r="N108" s="51">
        <f t="shared" si="27"/>
        <v>182.37</v>
      </c>
      <c r="O108" s="51">
        <f t="shared" si="28"/>
        <v>1140.48</v>
      </c>
      <c r="P108" s="51">
        <f t="shared" si="29"/>
        <v>44578.030000000013</v>
      </c>
      <c r="Q108" s="51">
        <f t="shared" si="30"/>
        <v>50753.360000000008</v>
      </c>
      <c r="R108" s="53">
        <f t="shared" si="31"/>
        <v>13.900000000000002</v>
      </c>
    </row>
    <row r="109" spans="1:25" x14ac:dyDescent="0.2">
      <c r="A109" s="30">
        <v>5</v>
      </c>
      <c r="D109" s="50">
        <v>1000</v>
      </c>
      <c r="E109" s="50">
        <v>288000</v>
      </c>
      <c r="F109" s="51">
        <v>35381.950000000004</v>
      </c>
      <c r="G109" s="51">
        <v>41087.39</v>
      </c>
      <c r="H109" s="51">
        <f t="shared" si="22"/>
        <v>5705.4399999999951</v>
      </c>
      <c r="I109" s="53">
        <f t="shared" si="23"/>
        <v>16.100000000000001</v>
      </c>
      <c r="J109" s="53"/>
      <c r="K109" s="51">
        <f t="shared" si="24"/>
        <v>1004.32</v>
      </c>
      <c r="L109" s="51">
        <f t="shared" si="25"/>
        <v>1008.86</v>
      </c>
      <c r="M109" s="51">
        <f t="shared" si="26"/>
        <v>177.78</v>
      </c>
      <c r="N109" s="51">
        <f t="shared" si="27"/>
        <v>180.64</v>
      </c>
      <c r="O109" s="51">
        <f t="shared" si="28"/>
        <v>712.8</v>
      </c>
      <c r="P109" s="51">
        <f t="shared" si="29"/>
        <v>38285.710000000006</v>
      </c>
      <c r="Q109" s="51">
        <f t="shared" si="30"/>
        <v>43994.01</v>
      </c>
      <c r="R109" s="53">
        <f t="shared" si="31"/>
        <v>14.899999999999999</v>
      </c>
    </row>
    <row r="110" spans="1:25" x14ac:dyDescent="0.2">
      <c r="A110" s="30">
        <v>6</v>
      </c>
      <c r="D110" s="50">
        <v>1000</v>
      </c>
      <c r="E110" s="50">
        <v>576000</v>
      </c>
      <c r="F110" s="51">
        <v>50017.780000000006</v>
      </c>
      <c r="G110" s="51">
        <v>57729.77</v>
      </c>
      <c r="H110" s="51">
        <f t="shared" si="22"/>
        <v>7711.9899999999907</v>
      </c>
      <c r="I110" s="53">
        <f t="shared" si="23"/>
        <v>15.4</v>
      </c>
      <c r="J110" s="53"/>
      <c r="K110" s="51">
        <f t="shared" si="24"/>
        <v>2008.63</v>
      </c>
      <c r="L110" s="51">
        <f t="shared" si="25"/>
        <v>2017.73</v>
      </c>
      <c r="M110" s="51">
        <f t="shared" si="26"/>
        <v>220.83</v>
      </c>
      <c r="N110" s="51">
        <f t="shared" si="27"/>
        <v>227.79</v>
      </c>
      <c r="O110" s="51">
        <f t="shared" si="28"/>
        <v>1425.6</v>
      </c>
      <c r="P110" s="51">
        <f t="shared" si="29"/>
        <v>55690.570000000007</v>
      </c>
      <c r="Q110" s="51">
        <f t="shared" si="30"/>
        <v>63409.52</v>
      </c>
      <c r="R110" s="53">
        <f t="shared" si="31"/>
        <v>13.900000000000002</v>
      </c>
    </row>
    <row r="111" spans="1:25" x14ac:dyDescent="0.2">
      <c r="A111" s="30">
        <v>7</v>
      </c>
      <c r="D111" s="50">
        <v>1200</v>
      </c>
      <c r="E111" s="50">
        <v>345600</v>
      </c>
      <c r="F111" s="51">
        <v>42432.93</v>
      </c>
      <c r="G111" s="51">
        <v>49279.28</v>
      </c>
      <c r="H111" s="51">
        <f t="shared" si="22"/>
        <v>6846.3499999999985</v>
      </c>
      <c r="I111" s="53">
        <f t="shared" si="23"/>
        <v>16.100000000000001</v>
      </c>
      <c r="J111" s="53"/>
      <c r="K111" s="51">
        <f t="shared" si="24"/>
        <v>1205.18</v>
      </c>
      <c r="L111" s="51">
        <f t="shared" si="25"/>
        <v>1210.6400000000001</v>
      </c>
      <c r="M111" s="51">
        <f t="shared" si="26"/>
        <v>213.17</v>
      </c>
      <c r="N111" s="51">
        <f t="shared" si="27"/>
        <v>216.63</v>
      </c>
      <c r="O111" s="51">
        <f t="shared" si="28"/>
        <v>855.36</v>
      </c>
      <c r="P111" s="51">
        <f t="shared" si="29"/>
        <v>45917.279999999999</v>
      </c>
      <c r="Q111" s="51">
        <f t="shared" si="30"/>
        <v>52767.09</v>
      </c>
      <c r="R111" s="53">
        <f t="shared" si="31"/>
        <v>14.899999999999999</v>
      </c>
    </row>
    <row r="112" spans="1:25" x14ac:dyDescent="0.2">
      <c r="A112" s="30">
        <v>8</v>
      </c>
      <c r="D112" s="50">
        <v>1200</v>
      </c>
      <c r="E112" s="50">
        <v>691200</v>
      </c>
      <c r="F112" s="51">
        <v>59995.94</v>
      </c>
      <c r="G112" s="51">
        <v>69250.140000000014</v>
      </c>
      <c r="H112" s="51">
        <f t="shared" si="22"/>
        <v>9254.2000000000116</v>
      </c>
      <c r="I112" s="53">
        <f t="shared" si="23"/>
        <v>15.4</v>
      </c>
      <c r="J112" s="53"/>
      <c r="K112" s="51">
        <f t="shared" si="24"/>
        <v>2410.36</v>
      </c>
      <c r="L112" s="51">
        <f t="shared" si="25"/>
        <v>2421.27</v>
      </c>
      <c r="M112" s="51">
        <f t="shared" si="26"/>
        <v>264.83</v>
      </c>
      <c r="N112" s="51">
        <f t="shared" si="27"/>
        <v>273.20999999999998</v>
      </c>
      <c r="O112" s="51">
        <f t="shared" si="28"/>
        <v>1710.72</v>
      </c>
      <c r="P112" s="51">
        <f t="shared" si="29"/>
        <v>66803.12</v>
      </c>
      <c r="Q112" s="51">
        <f t="shared" si="30"/>
        <v>76065.700000000026</v>
      </c>
      <c r="R112" s="53">
        <f t="shared" si="31"/>
        <v>13.900000000000002</v>
      </c>
    </row>
    <row r="113" spans="1:18" x14ac:dyDescent="0.2">
      <c r="A113" s="30">
        <v>9</v>
      </c>
      <c r="D113" s="50">
        <v>1500</v>
      </c>
      <c r="E113" s="50">
        <v>432000</v>
      </c>
      <c r="F113" s="51">
        <v>53009.42</v>
      </c>
      <c r="G113" s="51">
        <v>61567.09</v>
      </c>
      <c r="H113" s="51">
        <f t="shared" si="22"/>
        <v>8557.6699999999983</v>
      </c>
      <c r="I113" s="53">
        <f t="shared" si="23"/>
        <v>16.100000000000001</v>
      </c>
      <c r="J113" s="53"/>
      <c r="K113" s="51">
        <f t="shared" si="24"/>
        <v>1506.48</v>
      </c>
      <c r="L113" s="51">
        <f t="shared" si="25"/>
        <v>1513.3</v>
      </c>
      <c r="M113" s="51">
        <f t="shared" si="26"/>
        <v>266.25</v>
      </c>
      <c r="N113" s="51">
        <f t="shared" si="27"/>
        <v>270.61</v>
      </c>
      <c r="O113" s="51">
        <f t="shared" si="28"/>
        <v>1069.2</v>
      </c>
      <c r="P113" s="51">
        <f t="shared" si="29"/>
        <v>57364.65</v>
      </c>
      <c r="Q113" s="51">
        <f t="shared" si="30"/>
        <v>65926.680000000008</v>
      </c>
      <c r="R113" s="53">
        <f t="shared" si="31"/>
        <v>14.899999999999999</v>
      </c>
    </row>
    <row r="114" spans="1:18" x14ac:dyDescent="0.2">
      <c r="A114" s="30">
        <v>10</v>
      </c>
      <c r="D114" s="50">
        <v>1500</v>
      </c>
      <c r="E114" s="50">
        <v>864000</v>
      </c>
      <c r="F114" s="51">
        <v>74963.17</v>
      </c>
      <c r="G114" s="51">
        <v>86530.67</v>
      </c>
      <c r="H114" s="51">
        <f t="shared" si="22"/>
        <v>11567.5</v>
      </c>
      <c r="I114" s="53">
        <f t="shared" si="23"/>
        <v>15.4</v>
      </c>
      <c r="J114" s="53"/>
      <c r="K114" s="51">
        <f t="shared" si="24"/>
        <v>3012.95</v>
      </c>
      <c r="L114" s="51">
        <f t="shared" si="25"/>
        <v>3026.59</v>
      </c>
      <c r="M114" s="51">
        <f t="shared" si="26"/>
        <v>330.83</v>
      </c>
      <c r="N114" s="51">
        <f t="shared" si="27"/>
        <v>341.34</v>
      </c>
      <c r="O114" s="51">
        <f t="shared" si="28"/>
        <v>2138.4</v>
      </c>
      <c r="P114" s="51">
        <f t="shared" si="29"/>
        <v>83471.939999999988</v>
      </c>
      <c r="Q114" s="51">
        <f t="shared" si="30"/>
        <v>95049.949999999983</v>
      </c>
      <c r="R114" s="53">
        <f t="shared" si="31"/>
        <v>13.900000000000002</v>
      </c>
    </row>
    <row r="115" spans="1:18" x14ac:dyDescent="0.2">
      <c r="D115" s="50"/>
      <c r="E115" s="50"/>
      <c r="K115" s="51"/>
      <c r="L115" s="51"/>
      <c r="M115" s="51"/>
      <c r="N115" s="51"/>
      <c r="O115" s="51"/>
      <c r="P115" s="51"/>
      <c r="Q115" s="51"/>
    </row>
    <row r="116" spans="1:18" ht="15.75" x14ac:dyDescent="0.25">
      <c r="A116" s="30">
        <v>11</v>
      </c>
      <c r="C116" s="31" t="s">
        <v>125</v>
      </c>
      <c r="D116" s="50">
        <v>500</v>
      </c>
      <c r="E116" s="50">
        <v>144000</v>
      </c>
      <c r="F116" s="51">
        <v>17221.93</v>
      </c>
      <c r="G116" s="51">
        <v>20001.32</v>
      </c>
      <c r="H116" s="51">
        <f t="shared" ref="H116:H125" si="32">G116-F116</f>
        <v>2779.3899999999994</v>
      </c>
      <c r="I116" s="53">
        <f t="shared" ref="I116:I125" si="33">ROUND(H116/F116,3)*100</f>
        <v>16.100000000000001</v>
      </c>
      <c r="J116" s="53"/>
      <c r="K116" s="51">
        <f t="shared" ref="K116:K125" si="34">ROUND(E116*CUR_FAC,2)</f>
        <v>502.16</v>
      </c>
      <c r="L116" s="51">
        <f t="shared" ref="L116:L125" si="35">ROUND(E116*DSM_DIST,2)</f>
        <v>504.43</v>
      </c>
      <c r="M116" s="51">
        <f t="shared" ref="M116:M125" si="36">ROUND((F116+$L116+$O116-PRO_BASE_FUEL*$E116)*CUR_ESM_NonRes,2)</f>
        <v>85.84</v>
      </c>
      <c r="N116" s="51">
        <f t="shared" ref="N116:N125" si="37">ROUND((G116+$L116+$O116-PRO_BASE_FUEL*$E116)*PRO_ESM_NONRES,2)</f>
        <v>87.36</v>
      </c>
      <c r="O116" s="51">
        <f t="shared" ref="O116:O125" si="38">ROUND(E116*RS_PSM,2)</f>
        <v>356.4</v>
      </c>
      <c r="P116" s="51">
        <f>F116+K116+L116+M116+O116</f>
        <v>18670.760000000002</v>
      </c>
      <c r="Q116" s="51">
        <f>G116+K116+L116+N116+O116</f>
        <v>21451.670000000002</v>
      </c>
      <c r="R116" s="53">
        <f t="shared" ref="R116:R125" si="39">ROUND((Q116-P116)/P116,3)*100</f>
        <v>14.899999999999999</v>
      </c>
    </row>
    <row r="117" spans="1:18" x14ac:dyDescent="0.2">
      <c r="A117" s="30">
        <v>12</v>
      </c>
      <c r="D117" s="50">
        <v>500</v>
      </c>
      <c r="E117" s="50">
        <v>288000</v>
      </c>
      <c r="F117" s="51">
        <v>24442.34</v>
      </c>
      <c r="G117" s="51">
        <v>28211.690000000002</v>
      </c>
      <c r="H117" s="51">
        <f t="shared" si="32"/>
        <v>3769.3500000000022</v>
      </c>
      <c r="I117" s="53">
        <f t="shared" si="33"/>
        <v>15.4</v>
      </c>
      <c r="J117" s="53"/>
      <c r="K117" s="51">
        <f t="shared" si="34"/>
        <v>1004.32</v>
      </c>
      <c r="L117" s="51">
        <f t="shared" si="35"/>
        <v>1008.86</v>
      </c>
      <c r="M117" s="51">
        <f t="shared" si="36"/>
        <v>106.73</v>
      </c>
      <c r="N117" s="51">
        <f t="shared" si="37"/>
        <v>110.33</v>
      </c>
      <c r="O117" s="51">
        <f t="shared" si="38"/>
        <v>712.8</v>
      </c>
      <c r="P117" s="51">
        <f t="shared" ref="P117:P125" si="40">F117+K117+L117+M117+O117</f>
        <v>27275.05</v>
      </c>
      <c r="Q117" s="51">
        <f t="shared" ref="Q117:Q125" si="41">G117+K117+L117+N117+O117</f>
        <v>31048.000000000004</v>
      </c>
      <c r="R117" s="53">
        <f t="shared" si="39"/>
        <v>13.8</v>
      </c>
    </row>
    <row r="118" spans="1:18" x14ac:dyDescent="0.2">
      <c r="A118" s="30">
        <v>13</v>
      </c>
      <c r="D118" s="50">
        <v>800</v>
      </c>
      <c r="E118" s="50">
        <v>230400</v>
      </c>
      <c r="F118" s="51">
        <v>27478.899999999998</v>
      </c>
      <c r="G118" s="51">
        <v>31925.32</v>
      </c>
      <c r="H118" s="51">
        <f t="shared" si="32"/>
        <v>4446.4200000000019</v>
      </c>
      <c r="I118" s="53">
        <f t="shared" si="33"/>
        <v>16.2</v>
      </c>
      <c r="J118" s="53"/>
      <c r="K118" s="51">
        <f t="shared" si="34"/>
        <v>803.45</v>
      </c>
      <c r="L118" s="51">
        <f t="shared" si="35"/>
        <v>807.09</v>
      </c>
      <c r="M118" s="51">
        <f t="shared" si="36"/>
        <v>136.85</v>
      </c>
      <c r="N118" s="51">
        <f t="shared" si="37"/>
        <v>139.35</v>
      </c>
      <c r="O118" s="51">
        <f t="shared" si="38"/>
        <v>570.24</v>
      </c>
      <c r="P118" s="51">
        <f t="shared" si="40"/>
        <v>29796.53</v>
      </c>
      <c r="Q118" s="51">
        <f t="shared" si="41"/>
        <v>34245.449999999997</v>
      </c>
      <c r="R118" s="53">
        <f t="shared" si="39"/>
        <v>14.899999999999999</v>
      </c>
    </row>
    <row r="119" spans="1:18" x14ac:dyDescent="0.2">
      <c r="A119" s="30">
        <v>14</v>
      </c>
      <c r="D119" s="50">
        <v>800</v>
      </c>
      <c r="E119" s="50">
        <v>460800</v>
      </c>
      <c r="F119" s="51">
        <v>39031.56</v>
      </c>
      <c r="G119" s="51">
        <v>45061.899999999994</v>
      </c>
      <c r="H119" s="51">
        <f t="shared" si="32"/>
        <v>6030.3399999999965</v>
      </c>
      <c r="I119" s="53">
        <f t="shared" si="33"/>
        <v>15.4</v>
      </c>
      <c r="J119" s="53"/>
      <c r="K119" s="51">
        <f t="shared" si="34"/>
        <v>1606.91</v>
      </c>
      <c r="L119" s="51">
        <f t="shared" si="35"/>
        <v>1614.18</v>
      </c>
      <c r="M119" s="51">
        <f t="shared" si="36"/>
        <v>170.28</v>
      </c>
      <c r="N119" s="51">
        <f t="shared" si="37"/>
        <v>176.11</v>
      </c>
      <c r="O119" s="51">
        <f t="shared" si="38"/>
        <v>1140.48</v>
      </c>
      <c r="P119" s="51">
        <f t="shared" si="40"/>
        <v>43563.41</v>
      </c>
      <c r="Q119" s="51">
        <f t="shared" si="41"/>
        <v>49599.58</v>
      </c>
      <c r="R119" s="53">
        <f t="shared" si="39"/>
        <v>13.900000000000002</v>
      </c>
    </row>
    <row r="120" spans="1:18" x14ac:dyDescent="0.2">
      <c r="A120" s="30">
        <v>15</v>
      </c>
      <c r="D120" s="50">
        <v>1000</v>
      </c>
      <c r="E120" s="50">
        <v>288000</v>
      </c>
      <c r="F120" s="51">
        <v>34316.85</v>
      </c>
      <c r="G120" s="51">
        <v>39874.660000000003</v>
      </c>
      <c r="H120" s="51">
        <f t="shared" si="32"/>
        <v>5557.8100000000049</v>
      </c>
      <c r="I120" s="53">
        <f t="shared" si="33"/>
        <v>16.2</v>
      </c>
      <c r="J120" s="53"/>
      <c r="K120" s="51">
        <f t="shared" si="34"/>
        <v>1004.32</v>
      </c>
      <c r="L120" s="51">
        <f t="shared" si="35"/>
        <v>1008.86</v>
      </c>
      <c r="M120" s="51">
        <f t="shared" si="36"/>
        <v>170.86</v>
      </c>
      <c r="N120" s="51">
        <f t="shared" si="37"/>
        <v>174.02</v>
      </c>
      <c r="O120" s="51">
        <f t="shared" si="38"/>
        <v>712.8</v>
      </c>
      <c r="P120" s="51">
        <f t="shared" si="40"/>
        <v>37213.69</v>
      </c>
      <c r="Q120" s="51">
        <f t="shared" si="41"/>
        <v>42774.66</v>
      </c>
      <c r="R120" s="53">
        <f t="shared" si="39"/>
        <v>14.899999999999999</v>
      </c>
    </row>
    <row r="121" spans="1:18" x14ac:dyDescent="0.2">
      <c r="A121" s="30">
        <v>16</v>
      </c>
      <c r="D121" s="50">
        <v>1000</v>
      </c>
      <c r="E121" s="50">
        <v>576000</v>
      </c>
      <c r="F121" s="51">
        <v>48757.689999999995</v>
      </c>
      <c r="G121" s="51">
        <v>56295.380000000005</v>
      </c>
      <c r="H121" s="51">
        <f t="shared" si="32"/>
        <v>7537.6900000000096</v>
      </c>
      <c r="I121" s="53">
        <f t="shared" si="33"/>
        <v>15.5</v>
      </c>
      <c r="J121" s="53"/>
      <c r="K121" s="51">
        <f t="shared" si="34"/>
        <v>2008.63</v>
      </c>
      <c r="L121" s="51">
        <f t="shared" si="35"/>
        <v>2017.73</v>
      </c>
      <c r="M121" s="51">
        <f t="shared" si="36"/>
        <v>212.64</v>
      </c>
      <c r="N121" s="51">
        <f t="shared" si="37"/>
        <v>219.96</v>
      </c>
      <c r="O121" s="51">
        <f t="shared" si="38"/>
        <v>1425.6</v>
      </c>
      <c r="P121" s="51">
        <f t="shared" si="40"/>
        <v>54422.289999999994</v>
      </c>
      <c r="Q121" s="51">
        <f t="shared" si="41"/>
        <v>61967.3</v>
      </c>
      <c r="R121" s="53">
        <f t="shared" si="39"/>
        <v>13.900000000000002</v>
      </c>
    </row>
    <row r="122" spans="1:18" x14ac:dyDescent="0.2">
      <c r="A122" s="30">
        <v>17</v>
      </c>
      <c r="D122" s="50">
        <v>1200</v>
      </c>
      <c r="E122" s="50">
        <v>345600</v>
      </c>
      <c r="F122" s="51">
        <v>41154.83</v>
      </c>
      <c r="G122" s="51">
        <v>47823.99</v>
      </c>
      <c r="H122" s="51">
        <f t="shared" si="32"/>
        <v>6669.1599999999962</v>
      </c>
      <c r="I122" s="53">
        <f t="shared" si="33"/>
        <v>16.2</v>
      </c>
      <c r="J122" s="53"/>
      <c r="K122" s="51">
        <f t="shared" si="34"/>
        <v>1205.18</v>
      </c>
      <c r="L122" s="51">
        <f t="shared" si="35"/>
        <v>1210.6400000000001</v>
      </c>
      <c r="M122" s="51">
        <f t="shared" si="36"/>
        <v>204.87</v>
      </c>
      <c r="N122" s="51">
        <f t="shared" si="37"/>
        <v>208.68</v>
      </c>
      <c r="O122" s="51">
        <f t="shared" si="38"/>
        <v>855.36</v>
      </c>
      <c r="P122" s="51">
        <f t="shared" si="40"/>
        <v>44630.880000000005</v>
      </c>
      <c r="Q122" s="51">
        <f t="shared" si="41"/>
        <v>51303.85</v>
      </c>
      <c r="R122" s="53">
        <f t="shared" si="39"/>
        <v>15</v>
      </c>
    </row>
    <row r="123" spans="1:18" x14ac:dyDescent="0.2">
      <c r="A123" s="30">
        <v>18</v>
      </c>
      <c r="D123" s="50">
        <v>1200</v>
      </c>
      <c r="E123" s="50">
        <v>691200</v>
      </c>
      <c r="F123" s="51">
        <v>58483.82</v>
      </c>
      <c r="G123" s="51">
        <v>67528.84</v>
      </c>
      <c r="H123" s="51">
        <f t="shared" si="32"/>
        <v>9045.0199999999968</v>
      </c>
      <c r="I123" s="53">
        <f t="shared" si="33"/>
        <v>15.5</v>
      </c>
      <c r="J123" s="53"/>
      <c r="K123" s="51">
        <f t="shared" si="34"/>
        <v>2410.36</v>
      </c>
      <c r="L123" s="51">
        <f t="shared" si="35"/>
        <v>2421.27</v>
      </c>
      <c r="M123" s="51">
        <f t="shared" si="36"/>
        <v>255.01</v>
      </c>
      <c r="N123" s="51">
        <f t="shared" si="37"/>
        <v>263.81</v>
      </c>
      <c r="O123" s="51">
        <f t="shared" si="38"/>
        <v>1710.72</v>
      </c>
      <c r="P123" s="51">
        <f t="shared" si="40"/>
        <v>65281.18</v>
      </c>
      <c r="Q123" s="51">
        <f t="shared" si="41"/>
        <v>74335</v>
      </c>
      <c r="R123" s="53">
        <f t="shared" si="39"/>
        <v>13.900000000000002</v>
      </c>
    </row>
    <row r="124" spans="1:18" x14ac:dyDescent="0.2">
      <c r="A124" s="30">
        <v>19</v>
      </c>
      <c r="D124" s="50">
        <v>1500</v>
      </c>
      <c r="E124" s="50">
        <v>432000</v>
      </c>
      <c r="F124" s="51">
        <v>51411.79</v>
      </c>
      <c r="G124" s="51">
        <v>59747.979999999996</v>
      </c>
      <c r="H124" s="51">
        <f t="shared" si="32"/>
        <v>8336.1899999999951</v>
      </c>
      <c r="I124" s="53">
        <f t="shared" si="33"/>
        <v>16.2</v>
      </c>
      <c r="J124" s="53"/>
      <c r="K124" s="51">
        <f t="shared" si="34"/>
        <v>1506.48</v>
      </c>
      <c r="L124" s="51">
        <f t="shared" si="35"/>
        <v>1513.3</v>
      </c>
      <c r="M124" s="51">
        <f t="shared" si="36"/>
        <v>255.88</v>
      </c>
      <c r="N124" s="51">
        <f t="shared" si="37"/>
        <v>260.68</v>
      </c>
      <c r="O124" s="51">
        <f t="shared" si="38"/>
        <v>1069.2</v>
      </c>
      <c r="P124" s="51">
        <f t="shared" si="40"/>
        <v>55756.65</v>
      </c>
      <c r="Q124" s="51">
        <f t="shared" si="41"/>
        <v>64097.64</v>
      </c>
      <c r="R124" s="53">
        <f t="shared" si="39"/>
        <v>15</v>
      </c>
    </row>
    <row r="125" spans="1:18" x14ac:dyDescent="0.2">
      <c r="A125" s="30">
        <v>20</v>
      </c>
      <c r="D125" s="50">
        <v>1500</v>
      </c>
      <c r="E125" s="50">
        <v>864000</v>
      </c>
      <c r="F125" s="51">
        <v>73073.03</v>
      </c>
      <c r="G125" s="51">
        <v>84379.05</v>
      </c>
      <c r="H125" s="51">
        <f t="shared" si="32"/>
        <v>11306.020000000004</v>
      </c>
      <c r="I125" s="53">
        <f t="shared" si="33"/>
        <v>15.5</v>
      </c>
      <c r="J125" s="53"/>
      <c r="K125" s="51">
        <f t="shared" si="34"/>
        <v>3012.95</v>
      </c>
      <c r="L125" s="51">
        <f t="shared" si="35"/>
        <v>3026.59</v>
      </c>
      <c r="M125" s="51">
        <f t="shared" si="36"/>
        <v>318.55</v>
      </c>
      <c r="N125" s="51">
        <f t="shared" si="37"/>
        <v>329.59</v>
      </c>
      <c r="O125" s="51">
        <f t="shared" si="38"/>
        <v>2138.4</v>
      </c>
      <c r="P125" s="51">
        <f t="shared" si="40"/>
        <v>81569.51999999999</v>
      </c>
      <c r="Q125" s="51">
        <f t="shared" si="41"/>
        <v>92886.579999999987</v>
      </c>
      <c r="R125" s="53">
        <f t="shared" si="39"/>
        <v>13.900000000000002</v>
      </c>
    </row>
    <row r="127" spans="1:18" ht="15.75" x14ac:dyDescent="0.25">
      <c r="C127" s="31" t="s">
        <v>141</v>
      </c>
    </row>
    <row r="128" spans="1:18" ht="15.75" x14ac:dyDescent="0.25">
      <c r="C128" s="31" t="str">
        <f>"(2) RIDER DSMR "&amp;TEXT(DSM_DIST,"$0.000000;($0.000000)")&amp;" PER KWH."</f>
        <v>(2) RIDER DSMR $0.003503 PER KWH.</v>
      </c>
    </row>
    <row r="129" spans="1:18" ht="15.75" x14ac:dyDescent="0.25">
      <c r="A129" s="54"/>
      <c r="C129" s="31" t="str">
        <f>"(3) RIDER ESM "&amp;TEXT(CUR_ESM_NonRes,"#0.00%")&amp;"  OF TOTAL CURRENT BILL."</f>
        <v>(3) RIDER ESM 0.65%  OF TOTAL CURRENT BILL.</v>
      </c>
    </row>
    <row r="130" spans="1:18" ht="15.75" x14ac:dyDescent="0.25">
      <c r="A130" s="54"/>
      <c r="C130" s="31" t="str">
        <f>"(4) RIDER PSM "&amp;TEXT(RS_PSM,"$0.000000;($0.000000)")&amp;"  PER KWH."</f>
        <v>(4) RIDER PSM $0.002475  PER KWH.</v>
      </c>
    </row>
    <row r="131" spans="1:18" ht="15.75" x14ac:dyDescent="0.25">
      <c r="A131" s="54"/>
      <c r="C131" s="31" t="str">
        <f>"(5) REFLECTS FUEL COST RECOVERY INCLUDED IN BASE RATES OF "&amp;TEXT(CUR_BASE_FUEL,"$0.000000;($0.000000)")&amp;"  PER KWH AND THREE PHASE SECONDARY SERVICE."</f>
        <v>(5) REFLECTS FUEL COST RECOVERY INCLUDED IN BASE RATES OF $0.033780  PER KWH AND THREE PHASE SECONDARY SERVICE.</v>
      </c>
    </row>
    <row r="132" spans="1:18" ht="15.75" x14ac:dyDescent="0.25">
      <c r="A132" s="54"/>
      <c r="C132" s="31" t="str">
        <f>"(6) DEMAND AND ENERGY VALUES REPRESENT THE SUM OF ON AND OFF PEAK.  FOR BILL CALCULATION, VALUES ARE SPLIT USING THE RATIO OF VALUES IN SCHEDULE M-2.3."</f>
        <v>(6) DEMAND AND ENERGY VALUES REPRESENT THE SUM OF ON AND OFF PEAK.  FOR BILL CALCULATION, VALUES ARE SPLIT USING THE RATIO OF VALUES IN SCHEDULE M-2.3.</v>
      </c>
    </row>
    <row r="133" spans="1:18" ht="15.75" x14ac:dyDescent="0.25">
      <c r="A133" s="54"/>
      <c r="C133" s="31" t="str">
        <f>"(7) RIDER ESM "&amp;TEXT(PRO_ESM_NONRES,"#0.00%")&amp;"  OF TOTAL PROPOSED BILL."</f>
        <v>(7) RIDER ESM 0.55%  OF TOTAL PROPOSED BILL.</v>
      </c>
    </row>
    <row r="134" spans="1:18" ht="15.75" x14ac:dyDescent="0.25">
      <c r="A134" s="29" t="s">
        <v>133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1:18" ht="15.75" x14ac:dyDescent="0.25">
      <c r="A135" s="29" t="s">
        <v>134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1:18" ht="15.75" x14ac:dyDescent="0.25">
      <c r="A136" s="29" t="s">
        <v>50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1:18" ht="15.75" x14ac:dyDescent="0.25">
      <c r="A137" s="29" t="s">
        <v>135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1:18" ht="15.75" x14ac:dyDescent="0.25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1:18" ht="15.75" x14ac:dyDescent="0.25">
      <c r="A139" s="32" t="s">
        <v>136</v>
      </c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1" t="s">
        <v>51</v>
      </c>
      <c r="R139" s="32"/>
    </row>
    <row r="140" spans="1:18" ht="15.75" x14ac:dyDescent="0.25">
      <c r="A140" s="32" t="s">
        <v>138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1" t="s">
        <v>126</v>
      </c>
      <c r="R140" s="32"/>
    </row>
    <row r="141" spans="1:18" ht="15.75" x14ac:dyDescent="0.25">
      <c r="A141" s="31" t="s">
        <v>53</v>
      </c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1" t="s">
        <v>54</v>
      </c>
      <c r="R141" s="32"/>
    </row>
    <row r="142" spans="1:18" ht="16.5" customHeight="1" x14ac:dyDescent="0.25">
      <c r="A142" s="33" t="s">
        <v>139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 t="s">
        <v>137</v>
      </c>
      <c r="R142" s="32"/>
    </row>
    <row r="143" spans="1:18" x14ac:dyDescent="0.2">
      <c r="A143" s="34" t="s">
        <v>55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ht="15.7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1:18" ht="15.75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:18" ht="15.75" x14ac:dyDescent="0.25">
      <c r="A146" s="32"/>
      <c r="B146" s="32"/>
      <c r="C146" s="32"/>
      <c r="D146" s="32"/>
      <c r="E146" s="32"/>
      <c r="F146" s="36" t="s">
        <v>56</v>
      </c>
      <c r="G146" s="36"/>
      <c r="H146" s="36"/>
      <c r="I146" s="36"/>
      <c r="J146" s="29"/>
      <c r="K146" s="37" t="s">
        <v>57</v>
      </c>
      <c r="L146" s="37"/>
      <c r="M146" s="37"/>
      <c r="N146" s="37"/>
      <c r="O146" s="37"/>
      <c r="P146" s="38" t="s">
        <v>58</v>
      </c>
      <c r="Q146" s="38" t="s">
        <v>58</v>
      </c>
      <c r="R146" s="32"/>
    </row>
    <row r="147" spans="1:18" ht="17.100000000000001" customHeight="1" x14ac:dyDescent="0.25">
      <c r="A147" s="32"/>
      <c r="B147" s="32"/>
      <c r="C147" s="32"/>
      <c r="D147" s="38" t="s">
        <v>59</v>
      </c>
      <c r="E147" s="38" t="s">
        <v>59</v>
      </c>
      <c r="F147" s="32"/>
      <c r="G147" s="32"/>
      <c r="H147" s="38" t="s">
        <v>60</v>
      </c>
      <c r="I147" s="38" t="s">
        <v>61</v>
      </c>
      <c r="J147" s="38"/>
      <c r="K147" s="32"/>
      <c r="L147" s="32"/>
      <c r="O147" s="32"/>
      <c r="P147" s="38" t="s">
        <v>62</v>
      </c>
      <c r="Q147" s="38" t="s">
        <v>63</v>
      </c>
      <c r="R147" s="38" t="s">
        <v>61</v>
      </c>
    </row>
    <row r="148" spans="1:18" ht="15.75" x14ac:dyDescent="0.25">
      <c r="A148" s="32"/>
      <c r="B148" s="32"/>
      <c r="C148" s="32"/>
      <c r="D148" s="38" t="s">
        <v>64</v>
      </c>
      <c r="E148" s="38" t="s">
        <v>64</v>
      </c>
      <c r="F148" s="38" t="s">
        <v>62</v>
      </c>
      <c r="G148" s="38" t="s">
        <v>63</v>
      </c>
      <c r="H148" s="38" t="s">
        <v>65</v>
      </c>
      <c r="I148" s="38" t="s">
        <v>65</v>
      </c>
      <c r="J148" s="38"/>
      <c r="K148" s="38" t="s">
        <v>66</v>
      </c>
      <c r="L148" s="38" t="s">
        <v>66</v>
      </c>
      <c r="M148" s="38" t="s">
        <v>66</v>
      </c>
      <c r="N148" s="38" t="s">
        <v>66</v>
      </c>
      <c r="O148" s="38" t="s">
        <v>66</v>
      </c>
      <c r="P148" s="38" t="s">
        <v>67</v>
      </c>
      <c r="Q148" s="38" t="s">
        <v>67</v>
      </c>
      <c r="R148" s="38" t="s">
        <v>65</v>
      </c>
    </row>
    <row r="149" spans="1:18" ht="15.75" x14ac:dyDescent="0.25">
      <c r="A149" s="38" t="s">
        <v>68</v>
      </c>
      <c r="B149" s="32"/>
      <c r="C149" s="31" t="s">
        <v>69</v>
      </c>
      <c r="D149" s="38" t="s">
        <v>70</v>
      </c>
      <c r="E149" s="38" t="s">
        <v>71</v>
      </c>
      <c r="F149" s="39" t="s">
        <v>127</v>
      </c>
      <c r="G149" s="39" t="s">
        <v>127</v>
      </c>
      <c r="H149" s="40" t="s">
        <v>73</v>
      </c>
      <c r="I149" s="40" t="s">
        <v>74</v>
      </c>
      <c r="J149" s="38"/>
      <c r="K149" s="38" t="s">
        <v>107</v>
      </c>
      <c r="L149" s="39" t="s">
        <v>108</v>
      </c>
      <c r="M149" s="39" t="s">
        <v>109</v>
      </c>
      <c r="N149" s="39" t="s">
        <v>110</v>
      </c>
      <c r="O149" s="39" t="s">
        <v>111</v>
      </c>
      <c r="P149" s="41" t="s">
        <v>80</v>
      </c>
      <c r="Q149" s="41" t="s">
        <v>81</v>
      </c>
      <c r="R149" s="41" t="s">
        <v>82</v>
      </c>
    </row>
    <row r="150" spans="1:18" ht="15.75" x14ac:dyDescent="0.25">
      <c r="A150" s="42" t="s">
        <v>83</v>
      </c>
      <c r="B150" s="43"/>
      <c r="C150" s="44" t="s">
        <v>84</v>
      </c>
      <c r="D150" s="55" t="s">
        <v>85</v>
      </c>
      <c r="E150" s="55" t="s">
        <v>86</v>
      </c>
      <c r="F150" s="55" t="s">
        <v>87</v>
      </c>
      <c r="G150" s="55" t="s">
        <v>88</v>
      </c>
      <c r="H150" s="55" t="s">
        <v>89</v>
      </c>
      <c r="I150" s="55" t="s">
        <v>90</v>
      </c>
      <c r="J150" s="55"/>
      <c r="K150" s="55" t="s">
        <v>91</v>
      </c>
      <c r="L150" s="55" t="s">
        <v>92</v>
      </c>
      <c r="M150" s="45" t="s">
        <v>93</v>
      </c>
      <c r="N150" s="45" t="s">
        <v>94</v>
      </c>
      <c r="O150" s="46" t="s">
        <v>95</v>
      </c>
      <c r="P150" s="46" t="s">
        <v>96</v>
      </c>
      <c r="Q150" s="46" t="s">
        <v>97</v>
      </c>
      <c r="R150" s="46" t="s">
        <v>98</v>
      </c>
    </row>
    <row r="151" spans="1:18" ht="15.75" x14ac:dyDescent="0.25">
      <c r="A151" s="32"/>
      <c r="B151" s="32"/>
      <c r="C151" s="32"/>
      <c r="D151" s="47" t="s">
        <v>99</v>
      </c>
      <c r="E151" s="47" t="s">
        <v>100</v>
      </c>
      <c r="F151" s="47" t="s">
        <v>101</v>
      </c>
      <c r="G151" s="47" t="s">
        <v>101</v>
      </c>
      <c r="H151" s="47" t="s">
        <v>101</v>
      </c>
      <c r="I151" s="47" t="s">
        <v>102</v>
      </c>
      <c r="J151" s="47"/>
      <c r="K151" s="47" t="s">
        <v>101</v>
      </c>
      <c r="L151" s="47" t="s">
        <v>101</v>
      </c>
      <c r="M151" s="47" t="s">
        <v>101</v>
      </c>
      <c r="N151" s="47" t="s">
        <v>101</v>
      </c>
      <c r="O151" s="47" t="s">
        <v>101</v>
      </c>
      <c r="P151" s="47" t="s">
        <v>101</v>
      </c>
      <c r="Q151" s="47" t="s">
        <v>101</v>
      </c>
      <c r="R151" s="47" t="s">
        <v>102</v>
      </c>
    </row>
    <row r="152" spans="1:18" ht="15.75" x14ac:dyDescent="0.25">
      <c r="A152" s="30">
        <v>1</v>
      </c>
      <c r="C152" s="31" t="s">
        <v>128</v>
      </c>
      <c r="D152" s="30">
        <v>100</v>
      </c>
      <c r="E152" s="50">
        <v>14400</v>
      </c>
      <c r="F152" s="51">
        <f t="shared" ref="F152:F175" si="42">IF($E152&gt;($D152*300),((($D152*300)*CUR_DP_KWH1)+(($E152-($D152*300))*CUR_DP_KWH2)+($D152*CUR_DP_DEMAND)+CUR_DP_CST),(($E152*CUR_DP_KWH1)+($D152*CUR_DP_DEMAND)+CUR_DP_CST))</f>
        <v>2097.4928</v>
      </c>
      <c r="G152" s="51">
        <f t="shared" ref="G152:G175" si="43">IF($E152&gt;($D152*300),((($D152*300)*PRO_DP_KWH1)+(($E152-($D152*300))*PRO_DP_KWH2)+($D152*PRO_DP_DEMAND)+PRO_DP_CST),(($E152*PRO_DP_KWH1)+($D152*PRO_DP_DEMAND)+PRO_DP_CST))</f>
        <v>2231.6336000000001</v>
      </c>
      <c r="H152" s="51">
        <f t="shared" ref="H152:H175" si="44">G152-F152</f>
        <v>134.14080000000013</v>
      </c>
      <c r="I152" s="53">
        <f t="shared" ref="I152:I175" si="45">ROUND(H152/F152,3)*100</f>
        <v>6.4</v>
      </c>
      <c r="J152" s="51"/>
      <c r="K152" s="51">
        <f t="shared" ref="K152:K175" si="46">ROUND(E152*CUR_FAC,2)</f>
        <v>50.22</v>
      </c>
      <c r="L152" s="51">
        <f t="shared" ref="L152:L175" si="47">ROUND(E152*DSM_DIST,2)</f>
        <v>50.44</v>
      </c>
      <c r="M152" s="51">
        <f t="shared" ref="M152:M175" si="48">ROUND((F152+$L152+$O152-PRO_BASE_FUEL*$E152)*CUR_ESM_NonRes,2)</f>
        <v>11.02</v>
      </c>
      <c r="N152" s="51">
        <f t="shared" ref="N152:N175" si="49">ROUND((G152+$L152+$O152-PRO_BASE_FUEL*$E152)*PRO_ESM_NONRES,2)</f>
        <v>10</v>
      </c>
      <c r="O152" s="51">
        <f t="shared" ref="O152:O175" si="50">ROUND(E152*RS_PSM,2)</f>
        <v>35.64</v>
      </c>
      <c r="P152" s="51">
        <f t="shared" ref="P152:P175" si="51">F152+K152+L152+M152+O152</f>
        <v>2244.8127999999997</v>
      </c>
      <c r="Q152" s="51">
        <f>G152+K152+L152+N152+O152</f>
        <v>2377.9335999999998</v>
      </c>
      <c r="R152" s="52">
        <f>ROUND((Q152-P152)/P152,3)*100</f>
        <v>5.8999999999999995</v>
      </c>
    </row>
    <row r="153" spans="1:18" x14ac:dyDescent="0.2">
      <c r="A153" s="30">
        <v>2</v>
      </c>
      <c r="D153" s="30">
        <v>100</v>
      </c>
      <c r="E153" s="50">
        <v>28800</v>
      </c>
      <c r="F153" s="51">
        <f t="shared" si="42"/>
        <v>3127.9856</v>
      </c>
      <c r="G153" s="51">
        <f t="shared" si="43"/>
        <v>3330.2672000000002</v>
      </c>
      <c r="H153" s="51">
        <f t="shared" si="44"/>
        <v>202.28160000000025</v>
      </c>
      <c r="I153" s="53">
        <f t="shared" si="45"/>
        <v>6.5</v>
      </c>
      <c r="J153" s="51"/>
      <c r="K153" s="51">
        <f t="shared" si="46"/>
        <v>100.43</v>
      </c>
      <c r="L153" s="51">
        <f t="shared" si="47"/>
        <v>100.89</v>
      </c>
      <c r="M153" s="51">
        <f t="shared" si="48"/>
        <v>15.11</v>
      </c>
      <c r="N153" s="51">
        <f t="shared" si="49"/>
        <v>13.81</v>
      </c>
      <c r="O153" s="51">
        <f t="shared" si="50"/>
        <v>71.28</v>
      </c>
      <c r="P153" s="51">
        <f t="shared" si="51"/>
        <v>3415.6956</v>
      </c>
      <c r="Q153" s="51">
        <f t="shared" ref="Q153:Q175" si="52">G153+K153+L153+N153+O153</f>
        <v>3616.6772000000001</v>
      </c>
      <c r="R153" s="52">
        <f t="shared" ref="R153:R175" si="53">ROUND((Q153-P153)/P153,3)*100</f>
        <v>5.8999999999999995</v>
      </c>
    </row>
    <row r="154" spans="1:18" x14ac:dyDescent="0.2">
      <c r="A154" s="30">
        <v>3</v>
      </c>
      <c r="D154" s="30">
        <v>100</v>
      </c>
      <c r="E154" s="50">
        <v>43200</v>
      </c>
      <c r="F154" s="51">
        <f t="shared" si="42"/>
        <v>4033.1576</v>
      </c>
      <c r="G154" s="51">
        <f t="shared" si="43"/>
        <v>4294.4984000000004</v>
      </c>
      <c r="H154" s="51">
        <f t="shared" si="44"/>
        <v>261.3408000000004</v>
      </c>
      <c r="I154" s="53">
        <f t="shared" si="45"/>
        <v>6.5</v>
      </c>
      <c r="J154" s="51"/>
      <c r="K154" s="51">
        <f t="shared" si="46"/>
        <v>150.65</v>
      </c>
      <c r="L154" s="51">
        <f t="shared" si="47"/>
        <v>151.33000000000001</v>
      </c>
      <c r="M154" s="51">
        <f t="shared" si="48"/>
        <v>18.39</v>
      </c>
      <c r="N154" s="51">
        <f t="shared" si="49"/>
        <v>16.89</v>
      </c>
      <c r="O154" s="51">
        <f t="shared" si="50"/>
        <v>106.92</v>
      </c>
      <c r="P154" s="51">
        <f t="shared" si="51"/>
        <v>4460.4476000000004</v>
      </c>
      <c r="Q154" s="51">
        <f t="shared" si="52"/>
        <v>4720.2884000000004</v>
      </c>
      <c r="R154" s="52">
        <f t="shared" si="53"/>
        <v>5.8000000000000007</v>
      </c>
    </row>
    <row r="155" spans="1:18" x14ac:dyDescent="0.2">
      <c r="A155" s="30">
        <v>4</v>
      </c>
      <c r="D155" s="30">
        <v>200</v>
      </c>
      <c r="E155" s="50">
        <v>28800</v>
      </c>
      <c r="F155" s="51">
        <f t="shared" si="42"/>
        <v>4077.9856</v>
      </c>
      <c r="G155" s="51">
        <f t="shared" si="43"/>
        <v>4343.2672000000002</v>
      </c>
      <c r="H155" s="51">
        <f t="shared" si="44"/>
        <v>265.28160000000025</v>
      </c>
      <c r="I155" s="53">
        <f t="shared" si="45"/>
        <v>6.5</v>
      </c>
      <c r="J155" s="51"/>
      <c r="K155" s="51">
        <f t="shared" si="46"/>
        <v>100.43</v>
      </c>
      <c r="L155" s="51">
        <f t="shared" si="47"/>
        <v>100.89</v>
      </c>
      <c r="M155" s="51">
        <f t="shared" si="48"/>
        <v>21.28</v>
      </c>
      <c r="N155" s="51">
        <f t="shared" si="49"/>
        <v>19.34</v>
      </c>
      <c r="O155" s="51">
        <f t="shared" si="50"/>
        <v>71.28</v>
      </c>
      <c r="P155" s="51">
        <f t="shared" si="51"/>
        <v>4371.8656000000001</v>
      </c>
      <c r="Q155" s="51">
        <f t="shared" si="52"/>
        <v>4635.2072000000007</v>
      </c>
      <c r="R155" s="52">
        <f t="shared" si="53"/>
        <v>6</v>
      </c>
    </row>
    <row r="156" spans="1:18" x14ac:dyDescent="0.2">
      <c r="A156" s="30">
        <v>5</v>
      </c>
      <c r="D156" s="30">
        <v>200</v>
      </c>
      <c r="E156" s="50">
        <v>57600</v>
      </c>
      <c r="F156" s="51">
        <f t="shared" si="42"/>
        <v>6138.9712</v>
      </c>
      <c r="G156" s="51">
        <f t="shared" si="43"/>
        <v>6540.5344000000005</v>
      </c>
      <c r="H156" s="51">
        <f t="shared" si="44"/>
        <v>401.56320000000051</v>
      </c>
      <c r="I156" s="53">
        <f t="shared" si="45"/>
        <v>6.5</v>
      </c>
      <c r="J156" s="51"/>
      <c r="K156" s="51">
        <f t="shared" si="46"/>
        <v>200.86</v>
      </c>
      <c r="L156" s="51">
        <f t="shared" si="47"/>
        <v>201.77</v>
      </c>
      <c r="M156" s="51">
        <f t="shared" si="48"/>
        <v>29.47</v>
      </c>
      <c r="N156" s="51">
        <f t="shared" si="49"/>
        <v>26.97</v>
      </c>
      <c r="O156" s="51">
        <f t="shared" si="50"/>
        <v>142.56</v>
      </c>
      <c r="P156" s="51">
        <f t="shared" si="51"/>
        <v>6713.6312000000007</v>
      </c>
      <c r="Q156" s="51">
        <f t="shared" si="52"/>
        <v>7112.6944000000012</v>
      </c>
      <c r="R156" s="52">
        <f t="shared" si="53"/>
        <v>5.8999999999999995</v>
      </c>
    </row>
    <row r="157" spans="1:18" x14ac:dyDescent="0.2">
      <c r="A157" s="30">
        <v>6</v>
      </c>
      <c r="D157" s="30">
        <v>200</v>
      </c>
      <c r="E157" s="50">
        <v>86400</v>
      </c>
      <c r="F157" s="51">
        <f t="shared" si="42"/>
        <v>7949.3152</v>
      </c>
      <c r="G157" s="51">
        <f t="shared" si="43"/>
        <v>8468.9968000000008</v>
      </c>
      <c r="H157" s="51">
        <f t="shared" si="44"/>
        <v>519.6816000000008</v>
      </c>
      <c r="I157" s="53">
        <f t="shared" si="45"/>
        <v>6.5</v>
      </c>
      <c r="J157" s="51"/>
      <c r="K157" s="51">
        <f t="shared" si="46"/>
        <v>301.3</v>
      </c>
      <c r="L157" s="51">
        <f t="shared" si="47"/>
        <v>302.66000000000003</v>
      </c>
      <c r="M157" s="51">
        <f t="shared" si="48"/>
        <v>36.020000000000003</v>
      </c>
      <c r="N157" s="51">
        <f t="shared" si="49"/>
        <v>33.130000000000003</v>
      </c>
      <c r="O157" s="51">
        <f t="shared" si="50"/>
        <v>213.84</v>
      </c>
      <c r="P157" s="51">
        <f t="shared" si="51"/>
        <v>8803.1352000000006</v>
      </c>
      <c r="Q157" s="51">
        <f t="shared" si="52"/>
        <v>9319.9267999999993</v>
      </c>
      <c r="R157" s="52">
        <f t="shared" si="53"/>
        <v>5.8999999999999995</v>
      </c>
    </row>
    <row r="158" spans="1:18" x14ac:dyDescent="0.2">
      <c r="A158" s="30">
        <v>7</v>
      </c>
      <c r="D158" s="30">
        <v>300</v>
      </c>
      <c r="E158" s="50">
        <v>43200</v>
      </c>
      <c r="F158" s="51">
        <f t="shared" si="42"/>
        <v>6058.4784</v>
      </c>
      <c r="G158" s="51">
        <f t="shared" si="43"/>
        <v>6454.9008000000003</v>
      </c>
      <c r="H158" s="51">
        <f t="shared" si="44"/>
        <v>396.42240000000038</v>
      </c>
      <c r="I158" s="53">
        <f t="shared" si="45"/>
        <v>6.5</v>
      </c>
      <c r="J158" s="51"/>
      <c r="K158" s="51">
        <f t="shared" si="46"/>
        <v>150.65</v>
      </c>
      <c r="L158" s="51">
        <f t="shared" si="47"/>
        <v>151.33000000000001</v>
      </c>
      <c r="M158" s="51">
        <f t="shared" si="48"/>
        <v>31.54</v>
      </c>
      <c r="N158" s="51">
        <f t="shared" si="49"/>
        <v>28.69</v>
      </c>
      <c r="O158" s="51">
        <f t="shared" si="50"/>
        <v>106.92</v>
      </c>
      <c r="P158" s="51">
        <f t="shared" si="51"/>
        <v>6498.9183999999996</v>
      </c>
      <c r="Q158" s="51">
        <f t="shared" si="52"/>
        <v>6892.4907999999996</v>
      </c>
      <c r="R158" s="52">
        <f t="shared" si="53"/>
        <v>6.1</v>
      </c>
    </row>
    <row r="159" spans="1:18" x14ac:dyDescent="0.2">
      <c r="A159" s="30">
        <v>8</v>
      </c>
      <c r="D159" s="30">
        <v>300</v>
      </c>
      <c r="E159" s="50">
        <v>86400</v>
      </c>
      <c r="F159" s="51">
        <f t="shared" si="42"/>
        <v>9149.9567999999999</v>
      </c>
      <c r="G159" s="51">
        <f t="shared" si="43"/>
        <v>9750.8016000000007</v>
      </c>
      <c r="H159" s="51">
        <f t="shared" si="44"/>
        <v>600.84480000000076</v>
      </c>
      <c r="I159" s="53">
        <f t="shared" si="45"/>
        <v>6.6000000000000005</v>
      </c>
      <c r="J159" s="51"/>
      <c r="K159" s="51">
        <f t="shared" si="46"/>
        <v>301.3</v>
      </c>
      <c r="L159" s="51">
        <f t="shared" si="47"/>
        <v>302.66000000000003</v>
      </c>
      <c r="M159" s="51">
        <f t="shared" si="48"/>
        <v>43.82</v>
      </c>
      <c r="N159" s="51">
        <f t="shared" si="49"/>
        <v>40.130000000000003</v>
      </c>
      <c r="O159" s="51">
        <f t="shared" si="50"/>
        <v>213.84</v>
      </c>
      <c r="P159" s="51">
        <f t="shared" si="51"/>
        <v>10011.576799999999</v>
      </c>
      <c r="Q159" s="51">
        <f t="shared" si="52"/>
        <v>10608.731599999999</v>
      </c>
      <c r="R159" s="52">
        <f t="shared" si="53"/>
        <v>6</v>
      </c>
    </row>
    <row r="160" spans="1:18" x14ac:dyDescent="0.2">
      <c r="A160" s="30">
        <v>9</v>
      </c>
      <c r="D160" s="30">
        <v>300</v>
      </c>
      <c r="E160" s="50">
        <v>129600</v>
      </c>
      <c r="F160" s="51">
        <f t="shared" si="42"/>
        <v>11865.4728</v>
      </c>
      <c r="G160" s="51">
        <f t="shared" si="43"/>
        <v>12643.495199999999</v>
      </c>
      <c r="H160" s="51">
        <f t="shared" si="44"/>
        <v>778.02239999999983</v>
      </c>
      <c r="I160" s="53">
        <f t="shared" si="45"/>
        <v>6.6000000000000005</v>
      </c>
      <c r="J160" s="51"/>
      <c r="K160" s="51">
        <f t="shared" si="46"/>
        <v>451.94</v>
      </c>
      <c r="L160" s="51">
        <f t="shared" si="47"/>
        <v>453.99</v>
      </c>
      <c r="M160" s="51">
        <f t="shared" si="48"/>
        <v>53.66</v>
      </c>
      <c r="N160" s="51">
        <f t="shared" si="49"/>
        <v>49.37</v>
      </c>
      <c r="O160" s="51">
        <f t="shared" si="50"/>
        <v>320.76</v>
      </c>
      <c r="P160" s="51">
        <f t="shared" si="51"/>
        <v>13145.8228</v>
      </c>
      <c r="Q160" s="51">
        <f t="shared" si="52"/>
        <v>13919.555200000001</v>
      </c>
      <c r="R160" s="52">
        <f t="shared" si="53"/>
        <v>5.8999999999999995</v>
      </c>
    </row>
    <row r="161" spans="1:18" x14ac:dyDescent="0.2">
      <c r="A161" s="30">
        <v>10</v>
      </c>
      <c r="D161" s="30">
        <v>500</v>
      </c>
      <c r="E161" s="50">
        <v>72000</v>
      </c>
      <c r="F161" s="51">
        <f t="shared" si="42"/>
        <v>10019.464</v>
      </c>
      <c r="G161" s="51">
        <f t="shared" si="43"/>
        <v>10678.168</v>
      </c>
      <c r="H161" s="51">
        <f t="shared" si="44"/>
        <v>658.70399999999972</v>
      </c>
      <c r="I161" s="53">
        <f t="shared" si="45"/>
        <v>6.6000000000000005</v>
      </c>
      <c r="J161" s="51"/>
      <c r="K161" s="51">
        <f t="shared" si="46"/>
        <v>251.08</v>
      </c>
      <c r="L161" s="51">
        <f t="shared" si="47"/>
        <v>252.22</v>
      </c>
      <c r="M161" s="51">
        <f t="shared" si="48"/>
        <v>52.07</v>
      </c>
      <c r="N161" s="51">
        <f t="shared" si="49"/>
        <v>47.38</v>
      </c>
      <c r="O161" s="51">
        <f t="shared" si="50"/>
        <v>178.2</v>
      </c>
      <c r="P161" s="51">
        <f t="shared" si="51"/>
        <v>10753.034</v>
      </c>
      <c r="Q161" s="51">
        <f t="shared" si="52"/>
        <v>11407.047999999999</v>
      </c>
      <c r="R161" s="52">
        <f t="shared" si="53"/>
        <v>6.1</v>
      </c>
    </row>
    <row r="162" spans="1:18" x14ac:dyDescent="0.2">
      <c r="A162" s="30">
        <v>11</v>
      </c>
      <c r="D162" s="30">
        <v>500</v>
      </c>
      <c r="E162" s="50">
        <v>144000</v>
      </c>
      <c r="F162" s="51">
        <f t="shared" si="42"/>
        <v>15171.928</v>
      </c>
      <c r="G162" s="51">
        <f t="shared" si="43"/>
        <v>16171.335999999999</v>
      </c>
      <c r="H162" s="51">
        <f t="shared" si="44"/>
        <v>999.40799999999945</v>
      </c>
      <c r="I162" s="53">
        <f t="shared" si="45"/>
        <v>6.6000000000000005</v>
      </c>
      <c r="J162" s="51"/>
      <c r="K162" s="51">
        <f t="shared" si="46"/>
        <v>502.16</v>
      </c>
      <c r="L162" s="51">
        <f t="shared" si="47"/>
        <v>504.43</v>
      </c>
      <c r="M162" s="51">
        <f t="shared" si="48"/>
        <v>72.53</v>
      </c>
      <c r="N162" s="51">
        <f t="shared" si="49"/>
        <v>66.44</v>
      </c>
      <c r="O162" s="51">
        <f t="shared" si="50"/>
        <v>356.4</v>
      </c>
      <c r="P162" s="51">
        <f t="shared" si="51"/>
        <v>16607.448</v>
      </c>
      <c r="Q162" s="51">
        <f t="shared" si="52"/>
        <v>17600.766</v>
      </c>
      <c r="R162" s="52">
        <f t="shared" si="53"/>
        <v>6</v>
      </c>
    </row>
    <row r="163" spans="1:18" x14ac:dyDescent="0.2">
      <c r="A163" s="30">
        <v>12</v>
      </c>
      <c r="D163" s="30">
        <v>500</v>
      </c>
      <c r="E163" s="50">
        <v>216000</v>
      </c>
      <c r="F163" s="51">
        <f t="shared" si="42"/>
        <v>19697.788</v>
      </c>
      <c r="G163" s="51">
        <f t="shared" si="43"/>
        <v>20992.491999999998</v>
      </c>
      <c r="H163" s="51">
        <f t="shared" si="44"/>
        <v>1294.7039999999979</v>
      </c>
      <c r="I163" s="53">
        <f t="shared" si="45"/>
        <v>6.6000000000000005</v>
      </c>
      <c r="J163" s="51"/>
      <c r="K163" s="51">
        <f t="shared" si="46"/>
        <v>753.24</v>
      </c>
      <c r="L163" s="51">
        <f t="shared" si="47"/>
        <v>756.65</v>
      </c>
      <c r="M163" s="51">
        <f t="shared" si="48"/>
        <v>88.92</v>
      </c>
      <c r="N163" s="51">
        <f t="shared" si="49"/>
        <v>81.84</v>
      </c>
      <c r="O163" s="51">
        <f t="shared" si="50"/>
        <v>534.6</v>
      </c>
      <c r="P163" s="51">
        <f t="shared" si="51"/>
        <v>21831.198</v>
      </c>
      <c r="Q163" s="51">
        <f t="shared" si="52"/>
        <v>23118.822</v>
      </c>
      <c r="R163" s="52">
        <f t="shared" si="53"/>
        <v>5.8999999999999995</v>
      </c>
    </row>
    <row r="164" spans="1:18" x14ac:dyDescent="0.2">
      <c r="A164" s="30">
        <v>13</v>
      </c>
      <c r="D164" s="30">
        <v>800</v>
      </c>
      <c r="E164" s="50">
        <v>115200</v>
      </c>
      <c r="F164" s="51">
        <f t="shared" si="42"/>
        <v>15960.9424</v>
      </c>
      <c r="G164" s="51">
        <f t="shared" si="43"/>
        <v>17013.068800000001</v>
      </c>
      <c r="H164" s="51">
        <f t="shared" si="44"/>
        <v>1052.126400000001</v>
      </c>
      <c r="I164" s="53">
        <f t="shared" si="45"/>
        <v>6.6000000000000005</v>
      </c>
      <c r="J164" s="51"/>
      <c r="K164" s="51">
        <f t="shared" si="46"/>
        <v>401.73</v>
      </c>
      <c r="L164" s="51">
        <f t="shared" si="47"/>
        <v>403.55</v>
      </c>
      <c r="M164" s="51">
        <f t="shared" si="48"/>
        <v>82.85</v>
      </c>
      <c r="N164" s="51">
        <f t="shared" si="49"/>
        <v>75.41</v>
      </c>
      <c r="O164" s="51">
        <f t="shared" si="50"/>
        <v>285.12</v>
      </c>
      <c r="P164" s="51">
        <f t="shared" si="51"/>
        <v>17134.192399999996</v>
      </c>
      <c r="Q164" s="51">
        <f t="shared" si="52"/>
        <v>18178.878799999999</v>
      </c>
      <c r="R164" s="52">
        <f t="shared" si="53"/>
        <v>6.1</v>
      </c>
    </row>
    <row r="165" spans="1:18" x14ac:dyDescent="0.2">
      <c r="A165" s="30">
        <v>14</v>
      </c>
      <c r="D165" s="30">
        <v>800</v>
      </c>
      <c r="E165" s="50">
        <v>230400</v>
      </c>
      <c r="F165" s="51">
        <f t="shared" si="42"/>
        <v>24204.8848</v>
      </c>
      <c r="G165" s="51">
        <f t="shared" si="43"/>
        <v>25802.137600000002</v>
      </c>
      <c r="H165" s="51">
        <f t="shared" si="44"/>
        <v>1597.252800000002</v>
      </c>
      <c r="I165" s="53">
        <f t="shared" si="45"/>
        <v>6.6000000000000005</v>
      </c>
      <c r="J165" s="51"/>
      <c r="K165" s="51">
        <f t="shared" si="46"/>
        <v>803.45</v>
      </c>
      <c r="L165" s="51">
        <f t="shared" si="47"/>
        <v>807.09</v>
      </c>
      <c r="M165" s="51">
        <f t="shared" si="48"/>
        <v>115.59</v>
      </c>
      <c r="N165" s="51">
        <f t="shared" si="49"/>
        <v>105.92</v>
      </c>
      <c r="O165" s="51">
        <f t="shared" si="50"/>
        <v>570.24</v>
      </c>
      <c r="P165" s="51">
        <f t="shared" si="51"/>
        <v>26501.254800000002</v>
      </c>
      <c r="Q165" s="51">
        <f t="shared" si="52"/>
        <v>28088.837600000003</v>
      </c>
      <c r="R165" s="52">
        <f t="shared" si="53"/>
        <v>6</v>
      </c>
    </row>
    <row r="166" spans="1:18" x14ac:dyDescent="0.2">
      <c r="A166" s="30">
        <v>15</v>
      </c>
      <c r="D166" s="30">
        <v>800</v>
      </c>
      <c r="E166" s="50">
        <v>345600</v>
      </c>
      <c r="F166" s="51">
        <f t="shared" si="42"/>
        <v>31446.2608</v>
      </c>
      <c r="G166" s="51">
        <f t="shared" si="43"/>
        <v>33515.987200000003</v>
      </c>
      <c r="H166" s="51">
        <f t="shared" si="44"/>
        <v>2069.7264000000032</v>
      </c>
      <c r="I166" s="53">
        <f t="shared" si="45"/>
        <v>6.6000000000000005</v>
      </c>
      <c r="J166" s="51"/>
      <c r="K166" s="51">
        <f t="shared" si="46"/>
        <v>1205.18</v>
      </c>
      <c r="L166" s="51">
        <f t="shared" si="47"/>
        <v>1210.6400000000001</v>
      </c>
      <c r="M166" s="51">
        <f t="shared" si="48"/>
        <v>141.82</v>
      </c>
      <c r="N166" s="51">
        <f t="shared" si="49"/>
        <v>130.55000000000001</v>
      </c>
      <c r="O166" s="51">
        <f t="shared" si="50"/>
        <v>855.36</v>
      </c>
      <c r="P166" s="51">
        <f t="shared" si="51"/>
        <v>34859.260800000004</v>
      </c>
      <c r="Q166" s="51">
        <f t="shared" si="52"/>
        <v>36917.717200000006</v>
      </c>
      <c r="R166" s="52">
        <f t="shared" si="53"/>
        <v>5.8999999999999995</v>
      </c>
    </row>
    <row r="167" spans="1:18" x14ac:dyDescent="0.2">
      <c r="A167" s="30">
        <v>16</v>
      </c>
      <c r="D167" s="30">
        <v>1000</v>
      </c>
      <c r="E167" s="50">
        <v>144000</v>
      </c>
      <c r="F167" s="51">
        <f t="shared" si="42"/>
        <v>19921.928</v>
      </c>
      <c r="G167" s="51">
        <f t="shared" si="43"/>
        <v>21236.335999999999</v>
      </c>
      <c r="H167" s="51">
        <f t="shared" si="44"/>
        <v>1314.4079999999994</v>
      </c>
      <c r="I167" s="53">
        <f t="shared" si="45"/>
        <v>6.6000000000000005</v>
      </c>
      <c r="J167" s="51"/>
      <c r="K167" s="51">
        <f t="shared" si="46"/>
        <v>502.16</v>
      </c>
      <c r="L167" s="51">
        <f t="shared" si="47"/>
        <v>504.43</v>
      </c>
      <c r="M167" s="51">
        <f t="shared" si="48"/>
        <v>103.38</v>
      </c>
      <c r="N167" s="51">
        <f t="shared" si="49"/>
        <v>94.1</v>
      </c>
      <c r="O167" s="51">
        <f t="shared" si="50"/>
        <v>356.4</v>
      </c>
      <c r="P167" s="51">
        <f t="shared" si="51"/>
        <v>21388.298000000003</v>
      </c>
      <c r="Q167" s="51">
        <f t="shared" si="52"/>
        <v>22693.425999999999</v>
      </c>
      <c r="R167" s="52">
        <f t="shared" si="53"/>
        <v>6.1</v>
      </c>
    </row>
    <row r="168" spans="1:18" x14ac:dyDescent="0.2">
      <c r="A168" s="30">
        <v>17</v>
      </c>
      <c r="D168" s="30">
        <v>1000</v>
      </c>
      <c r="E168" s="50">
        <v>288000</v>
      </c>
      <c r="F168" s="51">
        <f t="shared" si="42"/>
        <v>30226.856</v>
      </c>
      <c r="G168" s="51">
        <f t="shared" si="43"/>
        <v>32222.671999999999</v>
      </c>
      <c r="H168" s="51">
        <f t="shared" si="44"/>
        <v>1995.8159999999989</v>
      </c>
      <c r="I168" s="53">
        <f t="shared" si="45"/>
        <v>6.6000000000000005</v>
      </c>
      <c r="J168" s="51"/>
      <c r="K168" s="51">
        <f t="shared" si="46"/>
        <v>1004.32</v>
      </c>
      <c r="L168" s="51">
        <f t="shared" si="47"/>
        <v>1008.86</v>
      </c>
      <c r="M168" s="51">
        <f t="shared" si="48"/>
        <v>144.30000000000001</v>
      </c>
      <c r="N168" s="51">
        <f t="shared" si="49"/>
        <v>132.22999999999999</v>
      </c>
      <c r="O168" s="51">
        <f t="shared" si="50"/>
        <v>712.8</v>
      </c>
      <c r="P168" s="51">
        <f t="shared" si="51"/>
        <v>33097.135999999999</v>
      </c>
      <c r="Q168" s="51">
        <f t="shared" si="52"/>
        <v>35080.882000000005</v>
      </c>
      <c r="R168" s="52">
        <f t="shared" si="53"/>
        <v>6</v>
      </c>
    </row>
    <row r="169" spans="1:18" x14ac:dyDescent="0.2">
      <c r="A169" s="30">
        <v>18</v>
      </c>
      <c r="D169" s="30">
        <v>1000</v>
      </c>
      <c r="E169" s="50">
        <v>432000</v>
      </c>
      <c r="F169" s="51">
        <f t="shared" si="42"/>
        <v>39278.576000000001</v>
      </c>
      <c r="G169" s="51">
        <f t="shared" si="43"/>
        <v>41864.983999999997</v>
      </c>
      <c r="H169" s="51">
        <f t="shared" si="44"/>
        <v>2586.4079999999958</v>
      </c>
      <c r="I169" s="53">
        <f t="shared" si="45"/>
        <v>6.6000000000000005</v>
      </c>
      <c r="J169" s="51"/>
      <c r="K169" s="51">
        <f t="shared" si="46"/>
        <v>1506.48</v>
      </c>
      <c r="L169" s="51">
        <f t="shared" si="47"/>
        <v>1513.3</v>
      </c>
      <c r="M169" s="51">
        <f t="shared" si="48"/>
        <v>177.08</v>
      </c>
      <c r="N169" s="51">
        <f t="shared" si="49"/>
        <v>163.02000000000001</v>
      </c>
      <c r="O169" s="51">
        <f t="shared" si="50"/>
        <v>1069.2</v>
      </c>
      <c r="P169" s="51">
        <f t="shared" si="51"/>
        <v>43544.636000000006</v>
      </c>
      <c r="Q169" s="51">
        <f t="shared" si="52"/>
        <v>46116.983999999997</v>
      </c>
      <c r="R169" s="52">
        <f t="shared" si="53"/>
        <v>5.8999999999999995</v>
      </c>
    </row>
    <row r="170" spans="1:18" x14ac:dyDescent="0.2">
      <c r="A170" s="30">
        <v>19</v>
      </c>
      <c r="D170" s="30">
        <v>1500</v>
      </c>
      <c r="E170" s="50">
        <v>216000</v>
      </c>
      <c r="F170" s="51">
        <f t="shared" si="42"/>
        <v>29824.392</v>
      </c>
      <c r="G170" s="51">
        <f t="shared" si="43"/>
        <v>31794.504000000001</v>
      </c>
      <c r="H170" s="51">
        <f t="shared" si="44"/>
        <v>1970.112000000001</v>
      </c>
      <c r="I170" s="53">
        <f t="shared" si="45"/>
        <v>6.6000000000000005</v>
      </c>
      <c r="J170" s="51"/>
      <c r="K170" s="51">
        <f t="shared" si="46"/>
        <v>753.24</v>
      </c>
      <c r="L170" s="51">
        <f t="shared" si="47"/>
        <v>756.65</v>
      </c>
      <c r="M170" s="51">
        <f t="shared" si="48"/>
        <v>154.69</v>
      </c>
      <c r="N170" s="51">
        <f t="shared" si="49"/>
        <v>140.83000000000001</v>
      </c>
      <c r="O170" s="51">
        <f t="shared" si="50"/>
        <v>534.6</v>
      </c>
      <c r="P170" s="51">
        <f t="shared" si="51"/>
        <v>32023.572</v>
      </c>
      <c r="Q170" s="51">
        <f t="shared" si="52"/>
        <v>33979.824000000001</v>
      </c>
      <c r="R170" s="52">
        <f t="shared" si="53"/>
        <v>6.1</v>
      </c>
    </row>
    <row r="171" spans="1:18" x14ac:dyDescent="0.2">
      <c r="A171" s="30">
        <v>20</v>
      </c>
      <c r="D171" s="30">
        <v>1500</v>
      </c>
      <c r="E171" s="50">
        <v>432000</v>
      </c>
      <c r="F171" s="51">
        <f t="shared" si="42"/>
        <v>45281.784</v>
      </c>
      <c r="G171" s="51">
        <f t="shared" si="43"/>
        <v>48274.008000000002</v>
      </c>
      <c r="H171" s="51">
        <f t="shared" si="44"/>
        <v>2992.224000000002</v>
      </c>
      <c r="I171" s="53">
        <f t="shared" si="45"/>
        <v>6.6000000000000005</v>
      </c>
      <c r="J171" s="51"/>
      <c r="K171" s="51">
        <f t="shared" si="46"/>
        <v>1506.48</v>
      </c>
      <c r="L171" s="51">
        <f t="shared" si="47"/>
        <v>1513.3</v>
      </c>
      <c r="M171" s="51">
        <f t="shared" si="48"/>
        <v>216.07</v>
      </c>
      <c r="N171" s="51">
        <f t="shared" si="49"/>
        <v>198.02</v>
      </c>
      <c r="O171" s="51">
        <f t="shared" si="50"/>
        <v>1069.2</v>
      </c>
      <c r="P171" s="51">
        <f t="shared" si="51"/>
        <v>49586.834000000003</v>
      </c>
      <c r="Q171" s="51">
        <f t="shared" si="52"/>
        <v>52561.008000000002</v>
      </c>
      <c r="R171" s="52">
        <f t="shared" si="53"/>
        <v>6</v>
      </c>
    </row>
    <row r="172" spans="1:18" x14ac:dyDescent="0.2">
      <c r="A172" s="30">
        <v>21</v>
      </c>
      <c r="D172" s="30">
        <v>1500</v>
      </c>
      <c r="E172" s="50">
        <v>648000</v>
      </c>
      <c r="F172" s="51">
        <f t="shared" si="42"/>
        <v>58859.364000000001</v>
      </c>
      <c r="G172" s="51">
        <f t="shared" si="43"/>
        <v>62737.476000000002</v>
      </c>
      <c r="H172" s="51">
        <f t="shared" si="44"/>
        <v>3878.112000000001</v>
      </c>
      <c r="I172" s="53">
        <f t="shared" si="45"/>
        <v>6.6000000000000005</v>
      </c>
      <c r="J172" s="51"/>
      <c r="K172" s="51">
        <f t="shared" si="46"/>
        <v>2259.71</v>
      </c>
      <c r="L172" s="51">
        <f t="shared" si="47"/>
        <v>2269.94</v>
      </c>
      <c r="M172" s="51">
        <f t="shared" si="48"/>
        <v>265.25</v>
      </c>
      <c r="N172" s="51">
        <f t="shared" si="49"/>
        <v>244.21</v>
      </c>
      <c r="O172" s="51">
        <f t="shared" si="50"/>
        <v>1603.8</v>
      </c>
      <c r="P172" s="51">
        <f t="shared" si="51"/>
        <v>65258.064000000006</v>
      </c>
      <c r="Q172" s="51">
        <f t="shared" si="52"/>
        <v>69115.136000000013</v>
      </c>
      <c r="R172" s="52">
        <f t="shared" si="53"/>
        <v>5.8999999999999995</v>
      </c>
    </row>
    <row r="173" spans="1:18" x14ac:dyDescent="0.2">
      <c r="A173" s="30">
        <v>22</v>
      </c>
      <c r="D173" s="30">
        <v>3000</v>
      </c>
      <c r="E173" s="50">
        <v>432000</v>
      </c>
      <c r="F173" s="51">
        <f t="shared" si="42"/>
        <v>59531.784</v>
      </c>
      <c r="G173" s="51">
        <f t="shared" si="43"/>
        <v>63469.008000000002</v>
      </c>
      <c r="H173" s="51">
        <f t="shared" si="44"/>
        <v>3937.224000000002</v>
      </c>
      <c r="I173" s="53">
        <f t="shared" si="45"/>
        <v>6.6000000000000005</v>
      </c>
      <c r="J173" s="51"/>
      <c r="K173" s="51">
        <f t="shared" si="46"/>
        <v>1506.48</v>
      </c>
      <c r="L173" s="51">
        <f t="shared" si="47"/>
        <v>1513.3</v>
      </c>
      <c r="M173" s="51">
        <f t="shared" si="48"/>
        <v>308.61</v>
      </c>
      <c r="N173" s="51">
        <f t="shared" si="49"/>
        <v>281</v>
      </c>
      <c r="O173" s="51">
        <f t="shared" si="50"/>
        <v>1069.2</v>
      </c>
      <c r="P173" s="51">
        <f t="shared" si="51"/>
        <v>63929.374000000003</v>
      </c>
      <c r="Q173" s="51">
        <f t="shared" si="52"/>
        <v>67838.987999999998</v>
      </c>
      <c r="R173" s="52">
        <f t="shared" si="53"/>
        <v>6.1</v>
      </c>
    </row>
    <row r="174" spans="1:18" x14ac:dyDescent="0.2">
      <c r="A174" s="30">
        <v>23</v>
      </c>
      <c r="D174" s="30">
        <v>3000</v>
      </c>
      <c r="E174" s="50">
        <v>864000</v>
      </c>
      <c r="F174" s="51">
        <f t="shared" si="42"/>
        <v>90446.567999999999</v>
      </c>
      <c r="G174" s="51">
        <f t="shared" si="43"/>
        <v>96428.016000000003</v>
      </c>
      <c r="H174" s="51">
        <f t="shared" si="44"/>
        <v>5981.448000000004</v>
      </c>
      <c r="I174" s="53">
        <f t="shared" si="45"/>
        <v>6.6000000000000005</v>
      </c>
      <c r="J174" s="51"/>
      <c r="K174" s="51">
        <f t="shared" si="46"/>
        <v>3012.95</v>
      </c>
      <c r="L174" s="51">
        <f t="shared" si="47"/>
        <v>3026.59</v>
      </c>
      <c r="M174" s="51">
        <f t="shared" si="48"/>
        <v>431.38</v>
      </c>
      <c r="N174" s="51">
        <f t="shared" si="49"/>
        <v>395.39</v>
      </c>
      <c r="O174" s="51">
        <f t="shared" si="50"/>
        <v>2138.4</v>
      </c>
      <c r="P174" s="51">
        <f t="shared" si="51"/>
        <v>99055.887999999992</v>
      </c>
      <c r="Q174" s="51">
        <f t="shared" si="52"/>
        <v>105001.34599999999</v>
      </c>
      <c r="R174" s="52">
        <f t="shared" si="53"/>
        <v>6</v>
      </c>
    </row>
    <row r="175" spans="1:18" x14ac:dyDescent="0.2">
      <c r="A175" s="30">
        <v>24</v>
      </c>
      <c r="D175" s="30">
        <v>3000</v>
      </c>
      <c r="E175" s="50">
        <v>1296000</v>
      </c>
      <c r="F175" s="51">
        <f t="shared" si="42"/>
        <v>117601.728</v>
      </c>
      <c r="G175" s="51">
        <f t="shared" si="43"/>
        <v>125354.952</v>
      </c>
      <c r="H175" s="51">
        <f t="shared" si="44"/>
        <v>7753.224000000002</v>
      </c>
      <c r="I175" s="53">
        <f t="shared" si="45"/>
        <v>6.6000000000000005</v>
      </c>
      <c r="J175" s="51"/>
      <c r="K175" s="51">
        <f t="shared" si="46"/>
        <v>4519.43</v>
      </c>
      <c r="L175" s="51">
        <f t="shared" si="47"/>
        <v>4539.8900000000003</v>
      </c>
      <c r="M175" s="51">
        <f t="shared" si="48"/>
        <v>529.73</v>
      </c>
      <c r="N175" s="51">
        <f t="shared" si="49"/>
        <v>487.76</v>
      </c>
      <c r="O175" s="51">
        <f t="shared" si="50"/>
        <v>3207.6</v>
      </c>
      <c r="P175" s="51">
        <f t="shared" si="51"/>
        <v>130398.378</v>
      </c>
      <c r="Q175" s="51">
        <f t="shared" si="52"/>
        <v>138109.63200000004</v>
      </c>
      <c r="R175" s="52">
        <f t="shared" si="53"/>
        <v>5.8999999999999995</v>
      </c>
    </row>
    <row r="176" spans="1:18" x14ac:dyDescent="0.2">
      <c r="A176" s="54" t="s">
        <v>129</v>
      </c>
    </row>
    <row r="177" spans="1:18" x14ac:dyDescent="0.2">
      <c r="H177" s="51"/>
      <c r="I177" s="53"/>
      <c r="J177" s="53"/>
      <c r="K177" s="51"/>
      <c r="L177" s="51"/>
      <c r="M177" s="51"/>
      <c r="N177" s="51"/>
      <c r="O177" s="51"/>
      <c r="P177" s="51"/>
      <c r="Q177" s="51"/>
      <c r="R177" s="53"/>
    </row>
    <row r="178" spans="1:18" ht="15.75" x14ac:dyDescent="0.25">
      <c r="C178" s="31" t="s">
        <v>141</v>
      </c>
      <c r="H178" s="51"/>
      <c r="I178" s="53"/>
      <c r="J178" s="53"/>
      <c r="K178" s="51"/>
      <c r="L178" s="51"/>
      <c r="M178" s="51"/>
      <c r="N178" s="51"/>
      <c r="O178" s="51"/>
      <c r="P178" s="51"/>
      <c r="Q178" s="51"/>
      <c r="R178" s="53"/>
    </row>
    <row r="179" spans="1:18" ht="15.75" x14ac:dyDescent="0.25">
      <c r="A179" s="54" t="s">
        <v>129</v>
      </c>
      <c r="C179" s="31" t="str">
        <f>"(2) RIDER DSMR "&amp;TEXT(DSM_DIST,"$0.000000;($0.000000)")&amp;" PER KWH."</f>
        <v>(2) RIDER DSMR $0.003503 PER KWH.</v>
      </c>
      <c r="H179" s="51"/>
      <c r="K179" s="51"/>
      <c r="L179" s="51"/>
      <c r="M179" s="51"/>
      <c r="N179" s="51"/>
      <c r="O179" s="51"/>
    </row>
    <row r="180" spans="1:18" ht="15.75" x14ac:dyDescent="0.25">
      <c r="A180" s="54"/>
      <c r="C180" s="31" t="str">
        <f>"(3) RIDER ESM "&amp;TEXT(CUR_ESM_NonRes,"#0.00%")&amp;"  OF TOTAL CURRENT BILL."</f>
        <v>(3) RIDER ESM 0.65%  OF TOTAL CURRENT BILL.</v>
      </c>
      <c r="H180" s="51"/>
      <c r="K180" s="51"/>
      <c r="L180" s="51"/>
      <c r="M180" s="51"/>
      <c r="N180" s="51"/>
      <c r="O180" s="51"/>
    </row>
    <row r="181" spans="1:18" ht="15.75" x14ac:dyDescent="0.25">
      <c r="A181" s="54"/>
      <c r="C181" s="31" t="str">
        <f>"(4) RIDER PSM "&amp;TEXT(RS_PSM,"$0.000000;($0.000000)")&amp;"  PER KWH."</f>
        <v>(4) RIDER PSM $0.002475  PER KWH.</v>
      </c>
      <c r="H181" s="51"/>
      <c r="K181" s="51"/>
      <c r="L181" s="51"/>
      <c r="M181" s="51"/>
      <c r="N181" s="51"/>
      <c r="O181" s="51"/>
    </row>
    <row r="182" spans="1:18" ht="15.75" x14ac:dyDescent="0.25">
      <c r="C182" s="31" t="str">
        <f>"(5) REFLECTS FUEL COST RECOVERY INCLUDED IN BASE RATES OF "&amp;TEXT(CUR_BASE_FUEL,"$0.000000;($0.000000)")&amp;"  PER KWH."</f>
        <v>(5) REFLECTS FUEL COST RECOVERY INCLUDED IN BASE RATES OF $0.033780  PER KWH.</v>
      </c>
    </row>
    <row r="183" spans="1:18" ht="15.75" x14ac:dyDescent="0.25">
      <c r="C183" s="31" t="str">
        <f>"(6) RIDER ESM "&amp;TEXT(PRO_ESM_NONRES,"#0.00%")&amp;"  OF TOTAL CURRENT BILL."</f>
        <v>(6) RIDER ESM 0.55%  OF TOTAL CURRENT BILL.</v>
      </c>
    </row>
    <row r="184" spans="1:18" ht="15.75" x14ac:dyDescent="0.25">
      <c r="A184" s="29" t="s">
        <v>133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1:18" ht="15.75" x14ac:dyDescent="0.25">
      <c r="A185" s="29" t="s">
        <v>134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1:18" ht="15.75" x14ac:dyDescent="0.25">
      <c r="A186" s="29" t="s">
        <v>50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1:18" ht="15.75" x14ac:dyDescent="0.25">
      <c r="A187" s="29" t="s">
        <v>135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</row>
    <row r="188" spans="1:18" ht="15.75" x14ac:dyDescent="0.25">
      <c r="A188" s="31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</row>
    <row r="189" spans="1:18" ht="15.75" x14ac:dyDescent="0.25">
      <c r="A189" s="32" t="s">
        <v>136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1" t="s">
        <v>51</v>
      </c>
      <c r="R189" s="32"/>
    </row>
    <row r="190" spans="1:18" ht="15.75" x14ac:dyDescent="0.25">
      <c r="A190" s="32" t="s">
        <v>138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1" t="s">
        <v>130</v>
      </c>
      <c r="R190" s="32"/>
    </row>
    <row r="191" spans="1:18" ht="15.75" x14ac:dyDescent="0.25">
      <c r="A191" s="31" t="s">
        <v>53</v>
      </c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1" t="s">
        <v>54</v>
      </c>
      <c r="R191" s="32"/>
    </row>
    <row r="192" spans="1:18" ht="15.75" x14ac:dyDescent="0.25">
      <c r="A192" s="33" t="s">
        <v>139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 t="s">
        <v>137</v>
      </c>
      <c r="R192" s="32"/>
    </row>
    <row r="193" spans="1:27" x14ac:dyDescent="0.2">
      <c r="A193" s="34" t="s">
        <v>55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</row>
    <row r="194" spans="1:27" ht="15.7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1:27" ht="15.75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</row>
    <row r="196" spans="1:27" ht="15.75" x14ac:dyDescent="0.25">
      <c r="A196" s="32"/>
      <c r="B196" s="32"/>
      <c r="C196" s="32"/>
      <c r="D196" s="32"/>
      <c r="E196" s="32"/>
      <c r="F196" s="36" t="s">
        <v>56</v>
      </c>
      <c r="G196" s="36"/>
      <c r="H196" s="36"/>
      <c r="I196" s="36"/>
      <c r="J196" s="29"/>
      <c r="K196" s="37" t="s">
        <v>57</v>
      </c>
      <c r="L196" s="37"/>
      <c r="M196" s="37"/>
      <c r="N196" s="37"/>
      <c r="O196" s="37"/>
      <c r="P196" s="38" t="s">
        <v>58</v>
      </c>
      <c r="Q196" s="38" t="s">
        <v>58</v>
      </c>
      <c r="R196" s="32"/>
    </row>
    <row r="197" spans="1:27" ht="17.100000000000001" customHeight="1" x14ac:dyDescent="0.25">
      <c r="A197" s="32"/>
      <c r="B197" s="32"/>
      <c r="C197" s="32"/>
      <c r="D197" s="38" t="s">
        <v>59</v>
      </c>
      <c r="E197" s="38" t="s">
        <v>59</v>
      </c>
      <c r="F197" s="32"/>
      <c r="G197" s="32"/>
      <c r="H197" s="38" t="s">
        <v>60</v>
      </c>
      <c r="I197" s="38" t="s">
        <v>61</v>
      </c>
      <c r="J197" s="38"/>
      <c r="K197" s="32"/>
      <c r="L197" s="32"/>
      <c r="O197" s="32"/>
      <c r="P197" s="38" t="s">
        <v>62</v>
      </c>
      <c r="Q197" s="38" t="s">
        <v>63</v>
      </c>
      <c r="R197" s="38" t="s">
        <v>61</v>
      </c>
    </row>
    <row r="198" spans="1:27" ht="15.75" x14ac:dyDescent="0.25">
      <c r="A198" s="32"/>
      <c r="B198" s="32"/>
      <c r="C198" s="32"/>
      <c r="D198" s="38" t="s">
        <v>64</v>
      </c>
      <c r="E198" s="38" t="s">
        <v>64</v>
      </c>
      <c r="F198" s="38" t="s">
        <v>62</v>
      </c>
      <c r="G198" s="38" t="s">
        <v>63</v>
      </c>
      <c r="H198" s="38" t="s">
        <v>65</v>
      </c>
      <c r="I198" s="38" t="s">
        <v>65</v>
      </c>
      <c r="J198" s="38"/>
      <c r="K198" s="38" t="s">
        <v>66</v>
      </c>
      <c r="L198" s="38" t="s">
        <v>66</v>
      </c>
      <c r="M198" s="38" t="s">
        <v>66</v>
      </c>
      <c r="N198" s="38" t="s">
        <v>66</v>
      </c>
      <c r="O198" s="38" t="s">
        <v>66</v>
      </c>
      <c r="P198" s="38" t="s">
        <v>67</v>
      </c>
      <c r="Q198" s="38" t="s">
        <v>67</v>
      </c>
      <c r="R198" s="38" t="s">
        <v>65</v>
      </c>
    </row>
    <row r="199" spans="1:27" ht="15.75" x14ac:dyDescent="0.25">
      <c r="A199" s="38" t="s">
        <v>68</v>
      </c>
      <c r="B199" s="32"/>
      <c r="C199" s="31" t="s">
        <v>69</v>
      </c>
      <c r="D199" s="38" t="s">
        <v>70</v>
      </c>
      <c r="E199" s="38" t="s">
        <v>71</v>
      </c>
      <c r="F199" s="39" t="s">
        <v>119</v>
      </c>
      <c r="G199" s="39" t="s">
        <v>119</v>
      </c>
      <c r="H199" s="40" t="s">
        <v>73</v>
      </c>
      <c r="I199" s="40" t="s">
        <v>74</v>
      </c>
      <c r="J199" s="38"/>
      <c r="K199" s="38" t="s">
        <v>107</v>
      </c>
      <c r="L199" s="39" t="s">
        <v>108</v>
      </c>
      <c r="M199" s="39" t="s">
        <v>109</v>
      </c>
      <c r="N199" s="39" t="s">
        <v>78</v>
      </c>
      <c r="O199" s="39" t="s">
        <v>111</v>
      </c>
      <c r="P199" s="41" t="s">
        <v>80</v>
      </c>
      <c r="Q199" s="41" t="s">
        <v>81</v>
      </c>
      <c r="R199" s="41" t="s">
        <v>82</v>
      </c>
    </row>
    <row r="200" spans="1:27" ht="15.75" x14ac:dyDescent="0.25">
      <c r="A200" s="42" t="s">
        <v>83</v>
      </c>
      <c r="B200" s="43"/>
      <c r="C200" s="44" t="s">
        <v>84</v>
      </c>
      <c r="D200" s="55" t="s">
        <v>85</v>
      </c>
      <c r="E200" s="55" t="s">
        <v>86</v>
      </c>
      <c r="F200" s="55" t="s">
        <v>87</v>
      </c>
      <c r="G200" s="55" t="s">
        <v>88</v>
      </c>
      <c r="H200" s="55" t="s">
        <v>89</v>
      </c>
      <c r="I200" s="55" t="s">
        <v>90</v>
      </c>
      <c r="J200" s="55"/>
      <c r="K200" s="55" t="s">
        <v>91</v>
      </c>
      <c r="L200" s="55" t="s">
        <v>92</v>
      </c>
      <c r="M200" s="45" t="s">
        <v>93</v>
      </c>
      <c r="N200" s="45" t="s">
        <v>94</v>
      </c>
      <c r="O200" s="46" t="s">
        <v>95</v>
      </c>
      <c r="P200" s="46" t="s">
        <v>96</v>
      </c>
      <c r="Q200" s="46" t="s">
        <v>97</v>
      </c>
      <c r="R200" s="46" t="s">
        <v>98</v>
      </c>
      <c r="X200" s="30" t="s">
        <v>121</v>
      </c>
      <c r="Z200" s="30" t="s">
        <v>120</v>
      </c>
    </row>
    <row r="201" spans="1:27" ht="15.75" x14ac:dyDescent="0.25">
      <c r="A201" s="32"/>
      <c r="B201" s="32"/>
      <c r="C201" s="32"/>
      <c r="D201" s="47" t="s">
        <v>99</v>
      </c>
      <c r="E201" s="47" t="s">
        <v>100</v>
      </c>
      <c r="F201" s="47" t="s">
        <v>101</v>
      </c>
      <c r="G201" s="47" t="s">
        <v>101</v>
      </c>
      <c r="H201" s="47" t="s">
        <v>101</v>
      </c>
      <c r="I201" s="47" t="s">
        <v>102</v>
      </c>
      <c r="J201" s="47"/>
      <c r="K201" s="47" t="s">
        <v>101</v>
      </c>
      <c r="L201" s="47" t="s">
        <v>101</v>
      </c>
      <c r="M201" s="47" t="s">
        <v>101</v>
      </c>
      <c r="N201" s="47" t="s">
        <v>101</v>
      </c>
      <c r="O201" s="47" t="s">
        <v>101</v>
      </c>
      <c r="P201" s="47" t="s">
        <v>101</v>
      </c>
      <c r="Q201" s="47" t="s">
        <v>101</v>
      </c>
      <c r="R201" s="47" t="s">
        <v>102</v>
      </c>
      <c r="X201" s="30" t="s">
        <v>122</v>
      </c>
      <c r="Y201" s="30" t="s">
        <v>123</v>
      </c>
      <c r="Z201" s="30" t="s">
        <v>122</v>
      </c>
      <c r="AA201" s="30" t="s">
        <v>123</v>
      </c>
    </row>
    <row r="202" spans="1:27" ht="15.75" x14ac:dyDescent="0.25">
      <c r="A202" s="30">
        <v>1</v>
      </c>
      <c r="C202" s="31" t="s">
        <v>131</v>
      </c>
      <c r="D202" s="50">
        <v>1000</v>
      </c>
      <c r="E202" s="50">
        <v>200000</v>
      </c>
      <c r="F202" s="51">
        <f t="shared" ref="F202:F219" si="54">ROUND($E202*$Z$202*CUR_SUM_TT_ON_KWH,2)+ROUND($E202*(1-$Z$202)*CUR_TT_OFF,2)+ROUND($D202*$X$202*CUR_TT_SUM_PEAK,2)+ROUND($D202*(1-$X$202)*CUR_TT_SUM_PK_OFF,2)+CUR_TT_SUM_CST</f>
        <v>21593.42</v>
      </c>
      <c r="G202" s="51">
        <f t="shared" ref="G202:G219" si="55">ROUND($E202*$Z$202*PRO_SUM_TT_ON_KWH,2)+ROUND($E202*(1-$Z$202)*PRO_TT_OFF,2)+ROUND($D202*$X$202*PRO_TT_SUM_PEAK,2)+ROUND($D202*(1-$X$202)*PRO_TT_SUM_PK_OFF,2)+PRO_TT_SUM_CST</f>
        <v>23433.11</v>
      </c>
      <c r="H202" s="51">
        <f t="shared" ref="H202:H219" si="56">G202-F202</f>
        <v>1839.6900000000023</v>
      </c>
      <c r="I202" s="53">
        <f t="shared" ref="I202:I219" si="57">ROUND(H202/F202,3)*100</f>
        <v>8.5</v>
      </c>
      <c r="J202" s="53"/>
      <c r="K202" s="51">
        <f t="shared" ref="K202:K219" si="58">ROUND(E202*CUR_FAC,2)</f>
        <v>697.44</v>
      </c>
      <c r="L202" s="51">
        <f t="shared" ref="L202:L219" si="59">ROUND(E202*DSM_TRANS,2)</f>
        <v>102.8</v>
      </c>
      <c r="M202" s="51">
        <f t="shared" ref="M202:M219" si="60">ROUND((F202+$L202+$O202-PRO_BASE_FUEL*$E202)*CUR_ESM_NonRes,2)</f>
        <v>100.24</v>
      </c>
      <c r="N202" s="51">
        <f t="shared" ref="N202:N219" si="61">ROUND((G202+$L202+$O202-PRO_BASE_FUEL*$E202)*PRO_ESM_NONRES,2)</f>
        <v>94.33</v>
      </c>
      <c r="O202" s="51">
        <f t="shared" ref="O202:O219" si="62">ROUND(E202*RS_PSM,2)</f>
        <v>495</v>
      </c>
      <c r="P202" s="51">
        <f t="shared" ref="P202:P219" si="63">F202+K202+L202+M202+O202</f>
        <v>22988.899999999998</v>
      </c>
      <c r="Q202" s="51">
        <f>G202+K202+L202+N202+O202</f>
        <v>24822.68</v>
      </c>
      <c r="R202" s="52">
        <f>ROUND((Q202-P202)/P202,3)*100</f>
        <v>8</v>
      </c>
      <c r="X202" s="30">
        <f>'[1]Rate TT'!H24/'[1]Rate TT'!H26</f>
        <v>0.95974068998750128</v>
      </c>
      <c r="Y202" s="30">
        <f>'[1]Rate TT'!H38/'[1]Rate TT'!H40</f>
        <v>0.96802534764475623</v>
      </c>
      <c r="Z202" s="30">
        <f>'[1]Rate TT'!H29/'[1]Rate TT'!H31</f>
        <v>0.26336918014082528</v>
      </c>
      <c r="AA202" s="30">
        <f>'[1]Rate TT'!H43/'[1]Rate TT'!H45</f>
        <v>0.26508265653791752</v>
      </c>
    </row>
    <row r="203" spans="1:27" x14ac:dyDescent="0.2">
      <c r="A203" s="30">
        <v>2</v>
      </c>
      <c r="D203" s="50">
        <v>1000</v>
      </c>
      <c r="E203" s="50">
        <v>400000</v>
      </c>
      <c r="F203" s="51">
        <f t="shared" si="54"/>
        <v>33598.11</v>
      </c>
      <c r="G203" s="51">
        <f t="shared" si="55"/>
        <v>36485.67</v>
      </c>
      <c r="H203" s="51">
        <f t="shared" si="56"/>
        <v>2887.5599999999977</v>
      </c>
      <c r="I203" s="53">
        <f t="shared" si="57"/>
        <v>8.6</v>
      </c>
      <c r="J203" s="53"/>
      <c r="K203" s="51">
        <f t="shared" si="58"/>
        <v>1394.89</v>
      </c>
      <c r="L203" s="51">
        <f t="shared" si="59"/>
        <v>205.6</v>
      </c>
      <c r="M203" s="51">
        <f t="shared" si="60"/>
        <v>138.21</v>
      </c>
      <c r="N203" s="51">
        <f t="shared" si="61"/>
        <v>131.97999999999999</v>
      </c>
      <c r="O203" s="51">
        <f t="shared" si="62"/>
        <v>990</v>
      </c>
      <c r="P203" s="51">
        <f t="shared" si="63"/>
        <v>36326.81</v>
      </c>
      <c r="Q203" s="51">
        <f t="shared" ref="Q203:Q219" si="64">G203+K203+L203+N203+O203</f>
        <v>39208.14</v>
      </c>
      <c r="R203" s="53">
        <f t="shared" ref="R203:R219" si="65">ROUND((Q203-P203)/P203,3)*100</f>
        <v>7.9</v>
      </c>
    </row>
    <row r="204" spans="1:27" x14ac:dyDescent="0.2">
      <c r="A204" s="30">
        <v>3</v>
      </c>
      <c r="D204" s="50">
        <v>2500</v>
      </c>
      <c r="E204" s="50">
        <v>500000</v>
      </c>
      <c r="F204" s="51">
        <f t="shared" si="54"/>
        <v>53233.560000000005</v>
      </c>
      <c r="G204" s="51">
        <f t="shared" si="55"/>
        <v>57832.78</v>
      </c>
      <c r="H204" s="51">
        <f t="shared" si="56"/>
        <v>4599.2199999999939</v>
      </c>
      <c r="I204" s="53">
        <f t="shared" si="57"/>
        <v>8.6</v>
      </c>
      <c r="J204" s="53"/>
      <c r="K204" s="51">
        <f t="shared" si="58"/>
        <v>1743.61</v>
      </c>
      <c r="L204" s="51">
        <f t="shared" si="59"/>
        <v>257</v>
      </c>
      <c r="M204" s="51">
        <f t="shared" si="60"/>
        <v>245.73</v>
      </c>
      <c r="N204" s="51">
        <f t="shared" si="61"/>
        <v>231.73</v>
      </c>
      <c r="O204" s="51">
        <f t="shared" si="62"/>
        <v>1237.5</v>
      </c>
      <c r="P204" s="51">
        <f t="shared" si="63"/>
        <v>56717.400000000009</v>
      </c>
      <c r="Q204" s="51">
        <f t="shared" si="64"/>
        <v>61302.62</v>
      </c>
      <c r="R204" s="53">
        <f t="shared" si="65"/>
        <v>8.1</v>
      </c>
    </row>
    <row r="205" spans="1:27" x14ac:dyDescent="0.2">
      <c r="A205" s="30">
        <v>4</v>
      </c>
      <c r="D205" s="50">
        <v>2500</v>
      </c>
      <c r="E205" s="50">
        <v>1000000</v>
      </c>
      <c r="F205" s="51">
        <f t="shared" si="54"/>
        <v>83245.279999999999</v>
      </c>
      <c r="G205" s="51">
        <f t="shared" si="55"/>
        <v>90464.17</v>
      </c>
      <c r="H205" s="51">
        <f t="shared" si="56"/>
        <v>7218.8899999999994</v>
      </c>
      <c r="I205" s="53">
        <f t="shared" si="57"/>
        <v>8.6999999999999993</v>
      </c>
      <c r="J205" s="53"/>
      <c r="K205" s="51">
        <f t="shared" si="58"/>
        <v>3487.21</v>
      </c>
      <c r="L205" s="51">
        <f t="shared" si="59"/>
        <v>514</v>
      </c>
      <c r="M205" s="51">
        <f t="shared" si="60"/>
        <v>340.65</v>
      </c>
      <c r="N205" s="51">
        <f t="shared" si="61"/>
        <v>325.85000000000002</v>
      </c>
      <c r="O205" s="51">
        <f t="shared" si="62"/>
        <v>2475</v>
      </c>
      <c r="P205" s="51">
        <f t="shared" si="63"/>
        <v>90062.14</v>
      </c>
      <c r="Q205" s="51">
        <f t="shared" si="64"/>
        <v>97266.23000000001</v>
      </c>
      <c r="R205" s="53">
        <f t="shared" si="65"/>
        <v>8</v>
      </c>
    </row>
    <row r="206" spans="1:27" x14ac:dyDescent="0.2">
      <c r="A206" s="30">
        <v>5</v>
      </c>
      <c r="D206" s="50">
        <v>5000</v>
      </c>
      <c r="E206" s="50">
        <v>1000000</v>
      </c>
      <c r="F206" s="51">
        <f t="shared" si="54"/>
        <v>105967.1</v>
      </c>
      <c r="G206" s="51">
        <f t="shared" si="55"/>
        <v>115165.55</v>
      </c>
      <c r="H206" s="51">
        <f t="shared" si="56"/>
        <v>9198.4499999999971</v>
      </c>
      <c r="I206" s="53">
        <f t="shared" si="57"/>
        <v>8.6999999999999993</v>
      </c>
      <c r="J206" s="53"/>
      <c r="K206" s="51">
        <f t="shared" si="58"/>
        <v>3487.21</v>
      </c>
      <c r="L206" s="51">
        <f t="shared" si="59"/>
        <v>514</v>
      </c>
      <c r="M206" s="51">
        <f t="shared" si="60"/>
        <v>488.21</v>
      </c>
      <c r="N206" s="51">
        <f t="shared" si="61"/>
        <v>460.74</v>
      </c>
      <c r="O206" s="51">
        <f t="shared" si="62"/>
        <v>2475</v>
      </c>
      <c r="P206" s="51">
        <f t="shared" si="63"/>
        <v>112931.52000000002</v>
      </c>
      <c r="Q206" s="51">
        <f t="shared" si="64"/>
        <v>122102.50000000001</v>
      </c>
      <c r="R206" s="53">
        <f t="shared" si="65"/>
        <v>8.1</v>
      </c>
    </row>
    <row r="207" spans="1:27" x14ac:dyDescent="0.2">
      <c r="A207" s="30">
        <v>6</v>
      </c>
      <c r="D207" s="50">
        <v>5000</v>
      </c>
      <c r="E207" s="50">
        <v>2000000</v>
      </c>
      <c r="F207" s="51">
        <f t="shared" si="54"/>
        <v>165990.55000000002</v>
      </c>
      <c r="G207" s="51">
        <f t="shared" si="55"/>
        <v>180428.35</v>
      </c>
      <c r="H207" s="51">
        <f t="shared" si="56"/>
        <v>14437.799999999988</v>
      </c>
      <c r="I207" s="53">
        <f t="shared" si="57"/>
        <v>8.6999999999999993</v>
      </c>
      <c r="J207" s="53"/>
      <c r="K207" s="51">
        <f t="shared" si="58"/>
        <v>6974.43</v>
      </c>
      <c r="L207" s="51">
        <f t="shared" si="59"/>
        <v>1028</v>
      </c>
      <c r="M207" s="51">
        <f t="shared" si="60"/>
        <v>678.05</v>
      </c>
      <c r="N207" s="51">
        <f t="shared" si="61"/>
        <v>648.97</v>
      </c>
      <c r="O207" s="51">
        <f t="shared" si="62"/>
        <v>4950</v>
      </c>
      <c r="P207" s="51">
        <f t="shared" si="63"/>
        <v>179621.03</v>
      </c>
      <c r="Q207" s="51">
        <f t="shared" si="64"/>
        <v>194029.75</v>
      </c>
      <c r="R207" s="53">
        <f t="shared" si="65"/>
        <v>8</v>
      </c>
    </row>
    <row r="208" spans="1:27" x14ac:dyDescent="0.2">
      <c r="A208" s="30">
        <v>7</v>
      </c>
      <c r="D208" s="50">
        <v>10000</v>
      </c>
      <c r="E208" s="50">
        <v>2000000</v>
      </c>
      <c r="F208" s="51">
        <f t="shared" si="54"/>
        <v>211434.21</v>
      </c>
      <c r="G208" s="51">
        <f t="shared" si="55"/>
        <v>229831.09</v>
      </c>
      <c r="H208" s="51">
        <f t="shared" si="56"/>
        <v>18396.880000000005</v>
      </c>
      <c r="I208" s="53">
        <f t="shared" si="57"/>
        <v>8.6999999999999993</v>
      </c>
      <c r="J208" s="53"/>
      <c r="K208" s="51">
        <f t="shared" si="58"/>
        <v>6974.43</v>
      </c>
      <c r="L208" s="51">
        <f t="shared" si="59"/>
        <v>1028</v>
      </c>
      <c r="M208" s="51">
        <f t="shared" si="60"/>
        <v>973.16</v>
      </c>
      <c r="N208" s="51">
        <f t="shared" si="61"/>
        <v>918.74</v>
      </c>
      <c r="O208" s="51">
        <f t="shared" si="62"/>
        <v>4950</v>
      </c>
      <c r="P208" s="51">
        <f t="shared" si="63"/>
        <v>225359.8</v>
      </c>
      <c r="Q208" s="51">
        <f t="shared" si="64"/>
        <v>243702.25999999998</v>
      </c>
      <c r="R208" s="53">
        <f t="shared" si="65"/>
        <v>8.1</v>
      </c>
    </row>
    <row r="209" spans="1:18" x14ac:dyDescent="0.2">
      <c r="A209" s="30">
        <v>8</v>
      </c>
      <c r="D209" s="50">
        <v>10000</v>
      </c>
      <c r="E209" s="50">
        <v>4000000</v>
      </c>
      <c r="F209" s="51">
        <f t="shared" si="54"/>
        <v>331481.12000000005</v>
      </c>
      <c r="G209" s="51">
        <f t="shared" si="55"/>
        <v>360356.69000000006</v>
      </c>
      <c r="H209" s="51">
        <f t="shared" si="56"/>
        <v>28875.570000000007</v>
      </c>
      <c r="I209" s="53">
        <f t="shared" si="57"/>
        <v>8.6999999999999993</v>
      </c>
      <c r="J209" s="53"/>
      <c r="K209" s="51">
        <f t="shared" si="58"/>
        <v>13948.85</v>
      </c>
      <c r="L209" s="51">
        <f t="shared" si="59"/>
        <v>2056</v>
      </c>
      <c r="M209" s="51">
        <f t="shared" si="60"/>
        <v>1352.84</v>
      </c>
      <c r="N209" s="51">
        <f t="shared" si="61"/>
        <v>1295.22</v>
      </c>
      <c r="O209" s="51">
        <f t="shared" si="62"/>
        <v>9900</v>
      </c>
      <c r="P209" s="51">
        <f t="shared" si="63"/>
        <v>358738.81000000006</v>
      </c>
      <c r="Q209" s="51">
        <f t="shared" si="64"/>
        <v>387556.76</v>
      </c>
      <c r="R209" s="53">
        <f t="shared" si="65"/>
        <v>8</v>
      </c>
    </row>
    <row r="210" spans="1:18" x14ac:dyDescent="0.2">
      <c r="A210" s="30">
        <v>9</v>
      </c>
      <c r="D210" s="50">
        <v>10000</v>
      </c>
      <c r="E210" s="50">
        <v>6000000</v>
      </c>
      <c r="F210" s="51">
        <f t="shared" si="54"/>
        <v>451528.02000000008</v>
      </c>
      <c r="G210" s="51">
        <f t="shared" si="55"/>
        <v>490882.29000000004</v>
      </c>
      <c r="H210" s="51">
        <f t="shared" si="56"/>
        <v>39354.26999999996</v>
      </c>
      <c r="I210" s="53">
        <f t="shared" si="57"/>
        <v>8.6999999999999993</v>
      </c>
      <c r="J210" s="53"/>
      <c r="K210" s="51">
        <f t="shared" si="58"/>
        <v>20923.28</v>
      </c>
      <c r="L210" s="51">
        <f t="shared" si="59"/>
        <v>3084</v>
      </c>
      <c r="M210" s="51">
        <f t="shared" si="60"/>
        <v>1732.53</v>
      </c>
      <c r="N210" s="51">
        <f t="shared" si="61"/>
        <v>1671.69</v>
      </c>
      <c r="O210" s="51">
        <f t="shared" si="62"/>
        <v>14850</v>
      </c>
      <c r="P210" s="51">
        <f t="shared" si="63"/>
        <v>492117.83000000007</v>
      </c>
      <c r="Q210" s="51">
        <f t="shared" si="64"/>
        <v>531411.26</v>
      </c>
      <c r="R210" s="53">
        <f t="shared" si="65"/>
        <v>8</v>
      </c>
    </row>
    <row r="211" spans="1:18" x14ac:dyDescent="0.2">
      <c r="A211" s="30">
        <v>10</v>
      </c>
      <c r="D211" s="50">
        <v>20000</v>
      </c>
      <c r="E211" s="50">
        <v>4000000</v>
      </c>
      <c r="F211" s="51">
        <f t="shared" si="54"/>
        <v>422368.43</v>
      </c>
      <c r="G211" s="51">
        <f t="shared" si="55"/>
        <v>459162.19</v>
      </c>
      <c r="H211" s="51">
        <f t="shared" si="56"/>
        <v>36793.760000000009</v>
      </c>
      <c r="I211" s="53">
        <f t="shared" si="57"/>
        <v>8.6999999999999993</v>
      </c>
      <c r="J211" s="53"/>
      <c r="K211" s="51">
        <f t="shared" si="58"/>
        <v>13948.85</v>
      </c>
      <c r="L211" s="51">
        <f t="shared" si="59"/>
        <v>2056</v>
      </c>
      <c r="M211" s="51">
        <f t="shared" si="60"/>
        <v>1943.08</v>
      </c>
      <c r="N211" s="51">
        <f t="shared" si="61"/>
        <v>1834.75</v>
      </c>
      <c r="O211" s="51">
        <f t="shared" si="62"/>
        <v>9900</v>
      </c>
      <c r="P211" s="51">
        <f t="shared" si="63"/>
        <v>450216.36</v>
      </c>
      <c r="Q211" s="51">
        <f t="shared" si="64"/>
        <v>486901.79</v>
      </c>
      <c r="R211" s="53">
        <f t="shared" si="65"/>
        <v>8.1</v>
      </c>
    </row>
    <row r="212" spans="1:18" x14ac:dyDescent="0.2">
      <c r="A212" s="30">
        <v>11</v>
      </c>
      <c r="D212" s="50">
        <v>20000</v>
      </c>
      <c r="E212" s="50">
        <v>8000000</v>
      </c>
      <c r="F212" s="51">
        <f t="shared" si="54"/>
        <v>662462.2300000001</v>
      </c>
      <c r="G212" s="51">
        <f t="shared" si="55"/>
        <v>720213.39000000013</v>
      </c>
      <c r="H212" s="51">
        <f t="shared" si="56"/>
        <v>57751.160000000033</v>
      </c>
      <c r="I212" s="53">
        <f t="shared" si="57"/>
        <v>8.6999999999999993</v>
      </c>
      <c r="J212" s="53"/>
      <c r="K212" s="51">
        <f t="shared" si="58"/>
        <v>27897.7</v>
      </c>
      <c r="L212" s="51">
        <f t="shared" si="59"/>
        <v>4112</v>
      </c>
      <c r="M212" s="51">
        <f t="shared" si="60"/>
        <v>2702.44</v>
      </c>
      <c r="N212" s="51">
        <f t="shared" si="61"/>
        <v>2587.6999999999998</v>
      </c>
      <c r="O212" s="51">
        <f t="shared" si="62"/>
        <v>19800</v>
      </c>
      <c r="P212" s="51">
        <f t="shared" si="63"/>
        <v>716974.37</v>
      </c>
      <c r="Q212" s="51">
        <f t="shared" si="64"/>
        <v>774610.79</v>
      </c>
      <c r="R212" s="53">
        <f t="shared" si="65"/>
        <v>8</v>
      </c>
    </row>
    <row r="213" spans="1:18" x14ac:dyDescent="0.2">
      <c r="A213" s="30">
        <v>12</v>
      </c>
      <c r="D213" s="50">
        <v>20000</v>
      </c>
      <c r="E213" s="50">
        <v>12000000</v>
      </c>
      <c r="F213" s="51">
        <f t="shared" si="54"/>
        <v>902556.03000000014</v>
      </c>
      <c r="G213" s="51">
        <f t="shared" si="55"/>
        <v>981264.59000000008</v>
      </c>
      <c r="H213" s="51">
        <f t="shared" si="56"/>
        <v>78708.559999999939</v>
      </c>
      <c r="I213" s="53">
        <f t="shared" si="57"/>
        <v>8.6999999999999993</v>
      </c>
      <c r="J213" s="53"/>
      <c r="K213" s="51">
        <f t="shared" si="58"/>
        <v>41846.550000000003</v>
      </c>
      <c r="L213" s="51">
        <f t="shared" si="59"/>
        <v>6168</v>
      </c>
      <c r="M213" s="51">
        <f t="shared" si="60"/>
        <v>3461.8</v>
      </c>
      <c r="N213" s="51">
        <f t="shared" si="61"/>
        <v>3340.65</v>
      </c>
      <c r="O213" s="51">
        <f t="shared" si="62"/>
        <v>29700</v>
      </c>
      <c r="P213" s="51">
        <f t="shared" si="63"/>
        <v>983732.38000000024</v>
      </c>
      <c r="Q213" s="51">
        <f t="shared" si="64"/>
        <v>1062319.79</v>
      </c>
      <c r="R213" s="53">
        <f t="shared" si="65"/>
        <v>8</v>
      </c>
    </row>
    <row r="214" spans="1:18" x14ac:dyDescent="0.2">
      <c r="A214" s="30">
        <v>13</v>
      </c>
      <c r="D214" s="50">
        <v>40000</v>
      </c>
      <c r="E214" s="50">
        <v>16000000</v>
      </c>
      <c r="F214" s="51">
        <f t="shared" si="54"/>
        <v>1324424.4500000002</v>
      </c>
      <c r="G214" s="51">
        <f t="shared" si="55"/>
        <v>1439926.77</v>
      </c>
      <c r="H214" s="51">
        <f t="shared" si="56"/>
        <v>115502.31999999983</v>
      </c>
      <c r="I214" s="53">
        <f t="shared" si="57"/>
        <v>8.6999999999999993</v>
      </c>
      <c r="J214" s="53"/>
      <c r="K214" s="51">
        <f t="shared" si="58"/>
        <v>55795.4</v>
      </c>
      <c r="L214" s="51">
        <f t="shared" si="59"/>
        <v>8224</v>
      </c>
      <c r="M214" s="51">
        <f t="shared" si="60"/>
        <v>5401.64</v>
      </c>
      <c r="N214" s="51">
        <f t="shared" si="61"/>
        <v>5172.68</v>
      </c>
      <c r="O214" s="51">
        <f t="shared" si="62"/>
        <v>39600</v>
      </c>
      <c r="P214" s="51">
        <f t="shared" si="63"/>
        <v>1433445.49</v>
      </c>
      <c r="Q214" s="51">
        <f t="shared" si="64"/>
        <v>1548718.8499999999</v>
      </c>
      <c r="R214" s="53">
        <f t="shared" si="65"/>
        <v>8</v>
      </c>
    </row>
    <row r="215" spans="1:18" x14ac:dyDescent="0.2">
      <c r="A215" s="30">
        <v>14</v>
      </c>
      <c r="D215" s="50">
        <v>40000</v>
      </c>
      <c r="E215" s="50">
        <v>24000000</v>
      </c>
      <c r="F215" s="51">
        <f t="shared" si="54"/>
        <v>1804612.06</v>
      </c>
      <c r="G215" s="51">
        <f t="shared" si="55"/>
        <v>1962029.1700000004</v>
      </c>
      <c r="H215" s="51">
        <f t="shared" si="56"/>
        <v>157417.11000000034</v>
      </c>
      <c r="I215" s="53">
        <f t="shared" si="57"/>
        <v>8.6999999999999993</v>
      </c>
      <c r="J215" s="53"/>
      <c r="K215" s="51">
        <f t="shared" si="58"/>
        <v>83693.11</v>
      </c>
      <c r="L215" s="51">
        <f t="shared" si="59"/>
        <v>12336</v>
      </c>
      <c r="M215" s="51">
        <f t="shared" si="60"/>
        <v>6920.36</v>
      </c>
      <c r="N215" s="51">
        <f t="shared" si="61"/>
        <v>6678.57</v>
      </c>
      <c r="O215" s="51">
        <f t="shared" si="62"/>
        <v>59400</v>
      </c>
      <c r="P215" s="51">
        <f t="shared" si="63"/>
        <v>1966961.5300000003</v>
      </c>
      <c r="Q215" s="51">
        <f t="shared" si="64"/>
        <v>2124136.8500000006</v>
      </c>
      <c r="R215" s="53">
        <f t="shared" si="65"/>
        <v>8</v>
      </c>
    </row>
    <row r="216" spans="1:18" x14ac:dyDescent="0.2">
      <c r="A216" s="30">
        <v>15</v>
      </c>
      <c r="D216" s="50">
        <v>80000</v>
      </c>
      <c r="E216" s="50">
        <v>32000000</v>
      </c>
      <c r="F216" s="51">
        <f t="shared" si="54"/>
        <v>2648348.9</v>
      </c>
      <c r="G216" s="51">
        <f t="shared" si="55"/>
        <v>2879353.5399999996</v>
      </c>
      <c r="H216" s="51">
        <f t="shared" si="56"/>
        <v>231004.63999999966</v>
      </c>
      <c r="I216" s="53">
        <f t="shared" si="57"/>
        <v>8.6999999999999993</v>
      </c>
      <c r="J216" s="53"/>
      <c r="K216" s="51">
        <f t="shared" si="58"/>
        <v>111590.81</v>
      </c>
      <c r="L216" s="51">
        <f t="shared" si="59"/>
        <v>16448</v>
      </c>
      <c r="M216" s="51">
        <f t="shared" si="60"/>
        <v>10800.03</v>
      </c>
      <c r="N216" s="51">
        <f t="shared" si="61"/>
        <v>10342.620000000001</v>
      </c>
      <c r="O216" s="51">
        <f t="shared" si="62"/>
        <v>79200</v>
      </c>
      <c r="P216" s="51">
        <f t="shared" si="63"/>
        <v>2866387.7399999998</v>
      </c>
      <c r="Q216" s="51">
        <f t="shared" si="64"/>
        <v>3096934.9699999997</v>
      </c>
      <c r="R216" s="53">
        <f t="shared" si="65"/>
        <v>8</v>
      </c>
    </row>
    <row r="217" spans="1:18" x14ac:dyDescent="0.2">
      <c r="A217" s="30">
        <v>16</v>
      </c>
      <c r="D217" s="50">
        <v>80000</v>
      </c>
      <c r="E217" s="50">
        <v>48000000</v>
      </c>
      <c r="F217" s="51">
        <f t="shared" si="54"/>
        <v>3608724.12</v>
      </c>
      <c r="G217" s="51">
        <f t="shared" si="55"/>
        <v>3923558.35</v>
      </c>
      <c r="H217" s="51">
        <f t="shared" si="56"/>
        <v>314834.23</v>
      </c>
      <c r="I217" s="53">
        <f t="shared" si="57"/>
        <v>8.6999999999999993</v>
      </c>
      <c r="J217" s="53"/>
      <c r="K217" s="51">
        <f t="shared" si="58"/>
        <v>167386.21</v>
      </c>
      <c r="L217" s="51">
        <f t="shared" si="59"/>
        <v>24672</v>
      </c>
      <c r="M217" s="51">
        <f t="shared" si="60"/>
        <v>13837.47</v>
      </c>
      <c r="N217" s="51">
        <f t="shared" si="61"/>
        <v>13354.41</v>
      </c>
      <c r="O217" s="51">
        <f t="shared" si="62"/>
        <v>118800</v>
      </c>
      <c r="P217" s="51">
        <f t="shared" si="63"/>
        <v>3933419.8000000003</v>
      </c>
      <c r="Q217" s="51">
        <f t="shared" si="64"/>
        <v>4247770.9700000007</v>
      </c>
      <c r="R217" s="53">
        <f t="shared" si="65"/>
        <v>8</v>
      </c>
    </row>
    <row r="218" spans="1:18" x14ac:dyDescent="0.2">
      <c r="A218" s="30">
        <v>17</v>
      </c>
      <c r="D218" s="50">
        <v>160000</v>
      </c>
      <c r="E218" s="50">
        <v>64000000</v>
      </c>
      <c r="F218" s="51">
        <f t="shared" si="54"/>
        <v>5296197.79</v>
      </c>
      <c r="G218" s="51">
        <f t="shared" si="55"/>
        <v>5758207.0899999999</v>
      </c>
      <c r="H218" s="51">
        <f t="shared" si="56"/>
        <v>462009.29999999981</v>
      </c>
      <c r="I218" s="53">
        <f t="shared" si="57"/>
        <v>8.6999999999999993</v>
      </c>
      <c r="J218" s="53"/>
      <c r="K218" s="51">
        <f t="shared" si="58"/>
        <v>223181.62</v>
      </c>
      <c r="L218" s="51">
        <f t="shared" si="59"/>
        <v>32896</v>
      </c>
      <c r="M218" s="51">
        <f t="shared" si="60"/>
        <v>21596.81</v>
      </c>
      <c r="N218" s="51">
        <f t="shared" si="61"/>
        <v>20682.509999999998</v>
      </c>
      <c r="O218" s="51">
        <f t="shared" si="62"/>
        <v>158400</v>
      </c>
      <c r="P218" s="51">
        <f t="shared" si="63"/>
        <v>5732272.2199999997</v>
      </c>
      <c r="Q218" s="51">
        <f t="shared" si="64"/>
        <v>6193367.2199999997</v>
      </c>
      <c r="R218" s="53">
        <f t="shared" si="65"/>
        <v>8</v>
      </c>
    </row>
    <row r="219" spans="1:18" x14ac:dyDescent="0.2">
      <c r="A219" s="30">
        <v>18</v>
      </c>
      <c r="D219" s="50">
        <v>160000</v>
      </c>
      <c r="E219" s="50">
        <v>96000000</v>
      </c>
      <c r="F219" s="51">
        <f t="shared" si="54"/>
        <v>7216948.2300000004</v>
      </c>
      <c r="G219" s="51">
        <f t="shared" si="55"/>
        <v>7846616.7000000002</v>
      </c>
      <c r="H219" s="51">
        <f t="shared" si="56"/>
        <v>629668.46999999974</v>
      </c>
      <c r="I219" s="53">
        <f t="shared" si="57"/>
        <v>8.6999999999999993</v>
      </c>
      <c r="J219" s="53"/>
      <c r="K219" s="51">
        <f t="shared" si="58"/>
        <v>334772.43</v>
      </c>
      <c r="L219" s="51">
        <f t="shared" si="59"/>
        <v>49344</v>
      </c>
      <c r="M219" s="51">
        <f t="shared" si="60"/>
        <v>27671.7</v>
      </c>
      <c r="N219" s="51">
        <f t="shared" si="61"/>
        <v>26706.1</v>
      </c>
      <c r="O219" s="51">
        <f t="shared" si="62"/>
        <v>237600</v>
      </c>
      <c r="P219" s="51">
        <f t="shared" si="63"/>
        <v>7866336.3600000003</v>
      </c>
      <c r="Q219" s="51">
        <f t="shared" si="64"/>
        <v>8495039.2300000004</v>
      </c>
      <c r="R219" s="53">
        <f t="shared" si="65"/>
        <v>8</v>
      </c>
    </row>
    <row r="220" spans="1:18" x14ac:dyDescent="0.2">
      <c r="H220" s="51"/>
      <c r="K220" s="51"/>
      <c r="L220" s="51"/>
      <c r="M220" s="51"/>
      <c r="N220" s="51"/>
      <c r="O220" s="51"/>
      <c r="P220" s="51"/>
      <c r="Q220" s="51"/>
    </row>
    <row r="221" spans="1:18" ht="15.75" x14ac:dyDescent="0.25">
      <c r="A221" s="30">
        <v>19</v>
      </c>
      <c r="C221" s="31" t="s">
        <v>132</v>
      </c>
      <c r="D221" s="50">
        <v>1000</v>
      </c>
      <c r="E221" s="50">
        <v>200000</v>
      </c>
      <c r="F221" s="51">
        <f t="shared" ref="F221:F238" si="66">ROUND($E221*$AA$202*CUR_WIN_TT_ON_KWH,2)+ROUND($E221*(1-$AA$202)*CUR_TT_OFF,2)+ROUND($D221*$Y$202*CUR_TT_WIN_PEAK,2)+ROUND($D221*(1-$Y$202)*CUR_TT_WIN_PK_OFF,2)+CUR_TT_WIN_CST</f>
        <v>19889.54</v>
      </c>
      <c r="G221" s="51">
        <f t="shared" ref="G221:G238" si="67">ROUND($E221*$AA$202*PRO_WIN_TT_ON_KWH,2)+ROUND($E221*(1-$AA$202)*PRO_TT_OFF,2)+ROUND($D221*$Y$202*PRO_TT_WIN_PEAK,2)+ROUND($D221*(1-$Y$202)*PRO_TT_WIN_PK_OFF,2)+PRO_TT_WIN_CST</f>
        <v>21578.100000000002</v>
      </c>
      <c r="H221" s="51">
        <f t="shared" ref="H221:H238" si="68">G221-F221</f>
        <v>1688.5600000000013</v>
      </c>
      <c r="I221" s="53">
        <f t="shared" ref="I221:I238" si="69">ROUND(H221/F221,3)*100</f>
        <v>8.5</v>
      </c>
      <c r="J221" s="53"/>
      <c r="K221" s="51">
        <f t="shared" ref="K221:K238" si="70">ROUND(E221*CUR_FAC,2)</f>
        <v>697.44</v>
      </c>
      <c r="L221" s="51">
        <f t="shared" ref="L221:L238" si="71">ROUND(E221*DSM_TRANS,2)</f>
        <v>102.8</v>
      </c>
      <c r="M221" s="51">
        <f t="shared" ref="M221:M238" si="72">ROUND((F221+$L221+$O221-PRO_BASE_FUEL*$E221)*CUR_ESM_NonRes,2)</f>
        <v>89.17</v>
      </c>
      <c r="N221" s="51">
        <f t="shared" ref="N221:N238" si="73">ROUND((G221+$L221+$O221-PRO_BASE_FUEL*$E221)*PRO_ESM_NONRES,2)</f>
        <v>84.2</v>
      </c>
      <c r="O221" s="51">
        <f t="shared" ref="O221:O238" si="74">ROUND(E221*RS_PSM,2)</f>
        <v>495</v>
      </c>
      <c r="P221" s="51">
        <f t="shared" ref="P221:P238" si="75">F221+K221+L221+M221+O221</f>
        <v>21273.949999999997</v>
      </c>
      <c r="Q221" s="51">
        <f>G221+K221+L221+N221+O221</f>
        <v>22957.54</v>
      </c>
      <c r="R221" s="53">
        <f t="shared" ref="R221:R238" si="76">ROUND((Q221-P221)/P221,3)*100</f>
        <v>7.9</v>
      </c>
    </row>
    <row r="222" spans="1:18" x14ac:dyDescent="0.2">
      <c r="A222" s="30">
        <v>20</v>
      </c>
      <c r="D222" s="50">
        <v>1000</v>
      </c>
      <c r="E222" s="50">
        <v>400000</v>
      </c>
      <c r="F222" s="51">
        <f t="shared" si="66"/>
        <v>31760.2</v>
      </c>
      <c r="G222" s="51">
        <f t="shared" si="67"/>
        <v>34484.899999999994</v>
      </c>
      <c r="H222" s="51">
        <f t="shared" si="68"/>
        <v>2724.6999999999935</v>
      </c>
      <c r="I222" s="53">
        <f t="shared" si="69"/>
        <v>8.6</v>
      </c>
      <c r="J222" s="53"/>
      <c r="K222" s="51">
        <f t="shared" si="70"/>
        <v>1394.89</v>
      </c>
      <c r="L222" s="51">
        <f t="shared" si="71"/>
        <v>205.6</v>
      </c>
      <c r="M222" s="51">
        <f t="shared" si="72"/>
        <v>126.27</v>
      </c>
      <c r="N222" s="51">
        <f t="shared" si="73"/>
        <v>121.05</v>
      </c>
      <c r="O222" s="51">
        <f t="shared" si="74"/>
        <v>990</v>
      </c>
      <c r="P222" s="51">
        <f t="shared" si="75"/>
        <v>34476.959999999999</v>
      </c>
      <c r="Q222" s="51">
        <f t="shared" ref="Q222:Q238" si="77">G222+K222+L222+N222+O222</f>
        <v>37196.439999999995</v>
      </c>
      <c r="R222" s="53">
        <f t="shared" si="76"/>
        <v>7.9</v>
      </c>
    </row>
    <row r="223" spans="1:18" x14ac:dyDescent="0.2">
      <c r="A223" s="30">
        <v>21</v>
      </c>
      <c r="D223" s="50">
        <v>2500</v>
      </c>
      <c r="E223" s="50">
        <v>500000</v>
      </c>
      <c r="F223" s="51">
        <f t="shared" si="66"/>
        <v>48973.85</v>
      </c>
      <c r="G223" s="51">
        <f t="shared" si="67"/>
        <v>53195.240000000005</v>
      </c>
      <c r="H223" s="51">
        <f t="shared" si="68"/>
        <v>4221.3900000000067</v>
      </c>
      <c r="I223" s="53">
        <f t="shared" si="69"/>
        <v>8.6</v>
      </c>
      <c r="J223" s="53"/>
      <c r="K223" s="51">
        <f t="shared" si="70"/>
        <v>1743.61</v>
      </c>
      <c r="L223" s="51">
        <f t="shared" si="71"/>
        <v>257</v>
      </c>
      <c r="M223" s="51">
        <f t="shared" si="72"/>
        <v>218.06</v>
      </c>
      <c r="N223" s="51">
        <f t="shared" si="73"/>
        <v>206.41</v>
      </c>
      <c r="O223" s="51">
        <f t="shared" si="74"/>
        <v>1237.5</v>
      </c>
      <c r="P223" s="51">
        <f t="shared" si="75"/>
        <v>52430.02</v>
      </c>
      <c r="Q223" s="51">
        <f t="shared" si="77"/>
        <v>56639.760000000009</v>
      </c>
      <c r="R223" s="53">
        <f t="shared" si="76"/>
        <v>8</v>
      </c>
    </row>
    <row r="224" spans="1:18" x14ac:dyDescent="0.2">
      <c r="A224" s="30">
        <v>22</v>
      </c>
      <c r="D224" s="50">
        <v>2500</v>
      </c>
      <c r="E224" s="50">
        <v>1000000</v>
      </c>
      <c r="F224" s="51">
        <f t="shared" si="66"/>
        <v>78650.5</v>
      </c>
      <c r="G224" s="51">
        <f t="shared" si="67"/>
        <v>85462.26999999999</v>
      </c>
      <c r="H224" s="51">
        <f t="shared" si="68"/>
        <v>6811.7699999999895</v>
      </c>
      <c r="I224" s="53">
        <f t="shared" si="69"/>
        <v>8.6999999999999993</v>
      </c>
      <c r="J224" s="53"/>
      <c r="K224" s="51">
        <f t="shared" si="70"/>
        <v>3487.21</v>
      </c>
      <c r="L224" s="51">
        <f t="shared" si="71"/>
        <v>514</v>
      </c>
      <c r="M224" s="51">
        <f t="shared" si="72"/>
        <v>310.81</v>
      </c>
      <c r="N224" s="51">
        <f t="shared" si="73"/>
        <v>298.54000000000002</v>
      </c>
      <c r="O224" s="51">
        <f t="shared" si="74"/>
        <v>2475</v>
      </c>
      <c r="P224" s="51">
        <f t="shared" si="75"/>
        <v>85437.52</v>
      </c>
      <c r="Q224" s="51">
        <f t="shared" si="77"/>
        <v>92237.01999999999</v>
      </c>
      <c r="R224" s="53">
        <f t="shared" si="76"/>
        <v>8</v>
      </c>
    </row>
    <row r="225" spans="1:18" x14ac:dyDescent="0.2">
      <c r="A225" s="30">
        <v>23</v>
      </c>
      <c r="D225" s="50">
        <v>5000</v>
      </c>
      <c r="E225" s="50">
        <v>1000000</v>
      </c>
      <c r="F225" s="51">
        <f t="shared" si="66"/>
        <v>97447.7</v>
      </c>
      <c r="G225" s="51">
        <f t="shared" si="67"/>
        <v>105890.50000000001</v>
      </c>
      <c r="H225" s="51">
        <f t="shared" si="68"/>
        <v>8442.8000000000175</v>
      </c>
      <c r="I225" s="53">
        <f t="shared" si="69"/>
        <v>8.6999999999999993</v>
      </c>
      <c r="J225" s="53"/>
      <c r="K225" s="51">
        <f t="shared" si="70"/>
        <v>3487.21</v>
      </c>
      <c r="L225" s="51">
        <f t="shared" si="71"/>
        <v>514</v>
      </c>
      <c r="M225" s="51">
        <f t="shared" si="72"/>
        <v>432.88</v>
      </c>
      <c r="N225" s="51">
        <f t="shared" si="73"/>
        <v>410.09</v>
      </c>
      <c r="O225" s="51">
        <f t="shared" si="74"/>
        <v>2475</v>
      </c>
      <c r="P225" s="51">
        <f t="shared" si="75"/>
        <v>104356.79000000001</v>
      </c>
      <c r="Q225" s="51">
        <f t="shared" si="77"/>
        <v>112776.80000000002</v>
      </c>
      <c r="R225" s="53">
        <f t="shared" si="76"/>
        <v>8.1</v>
      </c>
    </row>
    <row r="226" spans="1:18" x14ac:dyDescent="0.2">
      <c r="A226" s="30">
        <v>24</v>
      </c>
      <c r="D226" s="50">
        <v>5000</v>
      </c>
      <c r="E226" s="50">
        <v>2000000</v>
      </c>
      <c r="F226" s="51">
        <f t="shared" si="66"/>
        <v>156801.00999999998</v>
      </c>
      <c r="G226" s="51">
        <f t="shared" si="67"/>
        <v>170424.52</v>
      </c>
      <c r="H226" s="51">
        <f t="shared" si="68"/>
        <v>13623.510000000009</v>
      </c>
      <c r="I226" s="53">
        <f t="shared" si="69"/>
        <v>8.6999999999999993</v>
      </c>
      <c r="J226" s="53"/>
      <c r="K226" s="51">
        <f t="shared" si="70"/>
        <v>6974.43</v>
      </c>
      <c r="L226" s="51">
        <f t="shared" si="71"/>
        <v>1028</v>
      </c>
      <c r="M226" s="51">
        <f t="shared" si="72"/>
        <v>618.37</v>
      </c>
      <c r="N226" s="51">
        <f t="shared" si="73"/>
        <v>594.35</v>
      </c>
      <c r="O226" s="51">
        <f t="shared" si="74"/>
        <v>4950</v>
      </c>
      <c r="P226" s="51">
        <f t="shared" si="75"/>
        <v>170371.80999999997</v>
      </c>
      <c r="Q226" s="51">
        <f t="shared" si="77"/>
        <v>183971.3</v>
      </c>
      <c r="R226" s="53">
        <f t="shared" si="76"/>
        <v>8</v>
      </c>
    </row>
    <row r="227" spans="1:18" x14ac:dyDescent="0.2">
      <c r="A227" s="30">
        <v>25</v>
      </c>
      <c r="D227" s="50">
        <v>10000</v>
      </c>
      <c r="E227" s="50">
        <v>2000000</v>
      </c>
      <c r="F227" s="51">
        <f t="shared" si="66"/>
        <v>194395.40999999997</v>
      </c>
      <c r="G227" s="51">
        <f t="shared" si="67"/>
        <v>211281</v>
      </c>
      <c r="H227" s="51">
        <f t="shared" si="68"/>
        <v>16885.590000000026</v>
      </c>
      <c r="I227" s="53">
        <f t="shared" si="69"/>
        <v>8.6999999999999993</v>
      </c>
      <c r="J227" s="53"/>
      <c r="K227" s="51">
        <f t="shared" si="70"/>
        <v>6974.43</v>
      </c>
      <c r="L227" s="51">
        <f t="shared" si="71"/>
        <v>1028</v>
      </c>
      <c r="M227" s="51">
        <f t="shared" si="72"/>
        <v>862.51</v>
      </c>
      <c r="N227" s="51">
        <f t="shared" si="73"/>
        <v>817.45</v>
      </c>
      <c r="O227" s="51">
        <f t="shared" si="74"/>
        <v>4950</v>
      </c>
      <c r="P227" s="51">
        <f t="shared" si="75"/>
        <v>208210.34999999998</v>
      </c>
      <c r="Q227" s="51">
        <f t="shared" si="77"/>
        <v>225050.88</v>
      </c>
      <c r="R227" s="53">
        <f t="shared" si="76"/>
        <v>8.1</v>
      </c>
    </row>
    <row r="228" spans="1:18" x14ac:dyDescent="0.2">
      <c r="A228" s="30">
        <v>26</v>
      </c>
      <c r="D228" s="50">
        <v>10000</v>
      </c>
      <c r="E228" s="50">
        <v>4000000</v>
      </c>
      <c r="F228" s="51">
        <f t="shared" si="66"/>
        <v>313102.02999999997</v>
      </c>
      <c r="G228" s="51">
        <f t="shared" si="67"/>
        <v>340349.07</v>
      </c>
      <c r="H228" s="51">
        <f t="shared" si="68"/>
        <v>27247.040000000037</v>
      </c>
      <c r="I228" s="53">
        <f t="shared" si="69"/>
        <v>8.6999999999999993</v>
      </c>
      <c r="J228" s="53"/>
      <c r="K228" s="51">
        <f t="shared" si="70"/>
        <v>13948.85</v>
      </c>
      <c r="L228" s="51">
        <f t="shared" si="71"/>
        <v>2056</v>
      </c>
      <c r="M228" s="51">
        <f t="shared" si="72"/>
        <v>1233.49</v>
      </c>
      <c r="N228" s="51">
        <f t="shared" si="73"/>
        <v>1185.96</v>
      </c>
      <c r="O228" s="51">
        <f t="shared" si="74"/>
        <v>9900</v>
      </c>
      <c r="P228" s="51">
        <f t="shared" si="75"/>
        <v>340240.36999999994</v>
      </c>
      <c r="Q228" s="51">
        <f t="shared" si="77"/>
        <v>367439.88</v>
      </c>
      <c r="R228" s="53">
        <f t="shared" si="76"/>
        <v>8</v>
      </c>
    </row>
    <row r="229" spans="1:18" x14ac:dyDescent="0.2">
      <c r="A229" s="30">
        <v>27</v>
      </c>
      <c r="D229" s="50">
        <v>10000</v>
      </c>
      <c r="E229" s="50">
        <v>6000000</v>
      </c>
      <c r="F229" s="51">
        <f t="shared" si="66"/>
        <v>431808.63</v>
      </c>
      <c r="G229" s="51">
        <f t="shared" si="67"/>
        <v>469417.13</v>
      </c>
      <c r="H229" s="51">
        <f t="shared" si="68"/>
        <v>37608.5</v>
      </c>
      <c r="I229" s="53">
        <f t="shared" si="69"/>
        <v>8.6999999999999993</v>
      </c>
      <c r="J229" s="53"/>
      <c r="K229" s="51">
        <f t="shared" si="70"/>
        <v>20923.28</v>
      </c>
      <c r="L229" s="51">
        <f t="shared" si="71"/>
        <v>3084</v>
      </c>
      <c r="M229" s="51">
        <f t="shared" si="72"/>
        <v>1604.46</v>
      </c>
      <c r="N229" s="51">
        <f t="shared" si="73"/>
        <v>1554.48</v>
      </c>
      <c r="O229" s="51">
        <f t="shared" si="74"/>
        <v>14850</v>
      </c>
      <c r="P229" s="51">
        <f t="shared" si="75"/>
        <v>472270.37000000005</v>
      </c>
      <c r="Q229" s="51">
        <f t="shared" si="77"/>
        <v>509828.89</v>
      </c>
      <c r="R229" s="53">
        <f t="shared" si="76"/>
        <v>8</v>
      </c>
    </row>
    <row r="230" spans="1:18" x14ac:dyDescent="0.2">
      <c r="A230" s="30">
        <v>28</v>
      </c>
      <c r="D230" s="50">
        <v>20000</v>
      </c>
      <c r="E230" s="50">
        <v>4000000</v>
      </c>
      <c r="F230" s="51">
        <f t="shared" si="66"/>
        <v>388290.81999999995</v>
      </c>
      <c r="G230" s="51">
        <f t="shared" si="67"/>
        <v>422061.99000000005</v>
      </c>
      <c r="H230" s="51">
        <f t="shared" si="68"/>
        <v>33771.1700000001</v>
      </c>
      <c r="I230" s="53">
        <f t="shared" si="69"/>
        <v>8.6999999999999993</v>
      </c>
      <c r="J230" s="53"/>
      <c r="K230" s="51">
        <f t="shared" si="70"/>
        <v>13948.85</v>
      </c>
      <c r="L230" s="51">
        <f t="shared" si="71"/>
        <v>2056</v>
      </c>
      <c r="M230" s="51">
        <f t="shared" si="72"/>
        <v>1721.78</v>
      </c>
      <c r="N230" s="51">
        <f t="shared" si="73"/>
        <v>1632.17</v>
      </c>
      <c r="O230" s="51">
        <f t="shared" si="74"/>
        <v>9900</v>
      </c>
      <c r="P230" s="51">
        <f t="shared" si="75"/>
        <v>415917.44999999995</v>
      </c>
      <c r="Q230" s="51">
        <f t="shared" si="77"/>
        <v>449599.01</v>
      </c>
      <c r="R230" s="53">
        <f t="shared" si="76"/>
        <v>8.1</v>
      </c>
    </row>
    <row r="231" spans="1:18" x14ac:dyDescent="0.2">
      <c r="A231" s="30">
        <v>29</v>
      </c>
      <c r="D231" s="50">
        <v>20000</v>
      </c>
      <c r="E231" s="50">
        <v>8000000</v>
      </c>
      <c r="F231" s="51">
        <f t="shared" si="66"/>
        <v>625704.04</v>
      </c>
      <c r="G231" s="51">
        <f t="shared" si="67"/>
        <v>680198.12</v>
      </c>
      <c r="H231" s="51">
        <f t="shared" si="68"/>
        <v>54494.079999999958</v>
      </c>
      <c r="I231" s="53">
        <f t="shared" si="69"/>
        <v>8.6999999999999993</v>
      </c>
      <c r="J231" s="53"/>
      <c r="K231" s="51">
        <f t="shared" si="70"/>
        <v>27897.7</v>
      </c>
      <c r="L231" s="51">
        <f t="shared" si="71"/>
        <v>4112</v>
      </c>
      <c r="M231" s="51">
        <f t="shared" si="72"/>
        <v>2463.73</v>
      </c>
      <c r="N231" s="51">
        <f t="shared" si="73"/>
        <v>2369.1999999999998</v>
      </c>
      <c r="O231" s="51">
        <f t="shared" si="74"/>
        <v>19800</v>
      </c>
      <c r="P231" s="51">
        <f t="shared" si="75"/>
        <v>679977.47</v>
      </c>
      <c r="Q231" s="51">
        <f t="shared" si="77"/>
        <v>734377.0199999999</v>
      </c>
      <c r="R231" s="53">
        <f t="shared" si="76"/>
        <v>8</v>
      </c>
    </row>
    <row r="232" spans="1:18" x14ac:dyDescent="0.2">
      <c r="A232" s="30">
        <v>30</v>
      </c>
      <c r="D232" s="50">
        <v>20000</v>
      </c>
      <c r="E232" s="50">
        <v>12000000</v>
      </c>
      <c r="F232" s="51">
        <f t="shared" si="66"/>
        <v>863117.27</v>
      </c>
      <c r="G232" s="51">
        <f t="shared" si="67"/>
        <v>938334.25</v>
      </c>
      <c r="H232" s="51">
        <f t="shared" si="68"/>
        <v>75216.979999999981</v>
      </c>
      <c r="I232" s="53">
        <f t="shared" si="69"/>
        <v>8.6999999999999993</v>
      </c>
      <c r="J232" s="53"/>
      <c r="K232" s="51">
        <f t="shared" si="70"/>
        <v>41846.550000000003</v>
      </c>
      <c r="L232" s="51">
        <f t="shared" si="71"/>
        <v>6168</v>
      </c>
      <c r="M232" s="51">
        <f t="shared" si="72"/>
        <v>3205.68</v>
      </c>
      <c r="N232" s="51">
        <f t="shared" si="73"/>
        <v>3106.23</v>
      </c>
      <c r="O232" s="51">
        <f t="shared" si="74"/>
        <v>29700</v>
      </c>
      <c r="P232" s="51">
        <f t="shared" si="75"/>
        <v>944037.50000000012</v>
      </c>
      <c r="Q232" s="51">
        <f t="shared" si="77"/>
        <v>1019155.03</v>
      </c>
      <c r="R232" s="53">
        <f t="shared" si="76"/>
        <v>8</v>
      </c>
    </row>
    <row r="233" spans="1:18" x14ac:dyDescent="0.2">
      <c r="A233" s="30">
        <v>31</v>
      </c>
      <c r="D233" s="50">
        <v>40000</v>
      </c>
      <c r="E233" s="50">
        <v>16000000</v>
      </c>
      <c r="F233" s="51">
        <f t="shared" si="66"/>
        <v>1250908.0899999999</v>
      </c>
      <c r="G233" s="51">
        <f t="shared" si="67"/>
        <v>1359896.26</v>
      </c>
      <c r="H233" s="51">
        <f t="shared" si="68"/>
        <v>108988.17000000016</v>
      </c>
      <c r="I233" s="53">
        <f t="shared" si="69"/>
        <v>8.6999999999999993</v>
      </c>
      <c r="J233" s="53"/>
      <c r="K233" s="51">
        <f t="shared" si="70"/>
        <v>55795.4</v>
      </c>
      <c r="L233" s="51">
        <f t="shared" si="71"/>
        <v>8224</v>
      </c>
      <c r="M233" s="51">
        <f t="shared" si="72"/>
        <v>4924.21</v>
      </c>
      <c r="N233" s="51">
        <f t="shared" si="73"/>
        <v>4735.66</v>
      </c>
      <c r="O233" s="51">
        <f t="shared" si="74"/>
        <v>39600</v>
      </c>
      <c r="P233" s="51">
        <f t="shared" si="75"/>
        <v>1359451.6999999997</v>
      </c>
      <c r="Q233" s="51">
        <f t="shared" si="77"/>
        <v>1468251.3199999998</v>
      </c>
      <c r="R233" s="53">
        <f t="shared" si="76"/>
        <v>8</v>
      </c>
    </row>
    <row r="234" spans="1:18" x14ac:dyDescent="0.2">
      <c r="A234" s="30">
        <v>32</v>
      </c>
      <c r="D234" s="50">
        <v>40000</v>
      </c>
      <c r="E234" s="50">
        <v>24000000</v>
      </c>
      <c r="F234" s="51">
        <f t="shared" si="66"/>
        <v>1725734.54</v>
      </c>
      <c r="G234" s="51">
        <f t="shared" si="67"/>
        <v>1876168.52</v>
      </c>
      <c r="H234" s="51">
        <f t="shared" si="68"/>
        <v>150433.97999999998</v>
      </c>
      <c r="I234" s="53">
        <f t="shared" si="69"/>
        <v>8.6999999999999993</v>
      </c>
      <c r="J234" s="53"/>
      <c r="K234" s="51">
        <f t="shared" si="70"/>
        <v>83693.11</v>
      </c>
      <c r="L234" s="51">
        <f t="shared" si="71"/>
        <v>12336</v>
      </c>
      <c r="M234" s="51">
        <f t="shared" si="72"/>
        <v>6408.12</v>
      </c>
      <c r="N234" s="51">
        <f t="shared" si="73"/>
        <v>6209.72</v>
      </c>
      <c r="O234" s="51">
        <f t="shared" si="74"/>
        <v>59400</v>
      </c>
      <c r="P234" s="51">
        <f t="shared" si="75"/>
        <v>1887571.7700000003</v>
      </c>
      <c r="Q234" s="51">
        <f t="shared" si="77"/>
        <v>2037807.35</v>
      </c>
      <c r="R234" s="53">
        <f t="shared" si="76"/>
        <v>8</v>
      </c>
    </row>
    <row r="235" spans="1:18" x14ac:dyDescent="0.2">
      <c r="A235" s="30">
        <v>33</v>
      </c>
      <c r="D235" s="50">
        <v>80000</v>
      </c>
      <c r="E235" s="50">
        <v>32000000</v>
      </c>
      <c r="F235" s="51">
        <f t="shared" si="66"/>
        <v>2501316.1599999997</v>
      </c>
      <c r="G235" s="51">
        <f t="shared" si="67"/>
        <v>2719292.51</v>
      </c>
      <c r="H235" s="51">
        <f t="shared" si="68"/>
        <v>217976.35000000009</v>
      </c>
      <c r="I235" s="53">
        <f t="shared" si="69"/>
        <v>8.6999999999999993</v>
      </c>
      <c r="J235" s="53"/>
      <c r="K235" s="51">
        <f t="shared" si="70"/>
        <v>111590.81</v>
      </c>
      <c r="L235" s="51">
        <f t="shared" si="71"/>
        <v>16448</v>
      </c>
      <c r="M235" s="51">
        <f t="shared" si="72"/>
        <v>9845.17</v>
      </c>
      <c r="N235" s="51">
        <f t="shared" si="73"/>
        <v>9468.59</v>
      </c>
      <c r="O235" s="51">
        <f t="shared" si="74"/>
        <v>79200</v>
      </c>
      <c r="P235" s="51">
        <f t="shared" si="75"/>
        <v>2718400.1399999997</v>
      </c>
      <c r="Q235" s="51">
        <f t="shared" si="77"/>
        <v>2935999.9099999997</v>
      </c>
      <c r="R235" s="53">
        <f t="shared" si="76"/>
        <v>8</v>
      </c>
    </row>
    <row r="236" spans="1:18" x14ac:dyDescent="0.2">
      <c r="A236" s="30">
        <v>34</v>
      </c>
      <c r="D236" s="50">
        <v>80000</v>
      </c>
      <c r="E236" s="50">
        <v>48000000</v>
      </c>
      <c r="F236" s="51">
        <f t="shared" si="66"/>
        <v>3450969.06</v>
      </c>
      <c r="G236" s="51">
        <f t="shared" si="67"/>
        <v>3751837.0399999996</v>
      </c>
      <c r="H236" s="51">
        <f t="shared" si="68"/>
        <v>300867.97999999952</v>
      </c>
      <c r="I236" s="53">
        <f t="shared" si="69"/>
        <v>8.6999999999999993</v>
      </c>
      <c r="J236" s="53"/>
      <c r="K236" s="51">
        <f t="shared" si="70"/>
        <v>167386.21</v>
      </c>
      <c r="L236" s="51">
        <f t="shared" si="71"/>
        <v>24672</v>
      </c>
      <c r="M236" s="51">
        <f t="shared" si="72"/>
        <v>12812.99</v>
      </c>
      <c r="N236" s="51">
        <f t="shared" si="73"/>
        <v>12416.71</v>
      </c>
      <c r="O236" s="51">
        <f t="shared" si="74"/>
        <v>118800</v>
      </c>
      <c r="P236" s="51">
        <f t="shared" si="75"/>
        <v>3774640.2600000002</v>
      </c>
      <c r="Q236" s="51">
        <f t="shared" si="77"/>
        <v>4075111.9599999995</v>
      </c>
      <c r="R236" s="53">
        <f t="shared" si="76"/>
        <v>8</v>
      </c>
    </row>
    <row r="237" spans="1:18" x14ac:dyDescent="0.2">
      <c r="A237" s="30">
        <v>35</v>
      </c>
      <c r="D237" s="50">
        <v>160000</v>
      </c>
      <c r="E237" s="50">
        <v>64000000</v>
      </c>
      <c r="F237" s="51">
        <f t="shared" si="66"/>
        <v>5002132.32</v>
      </c>
      <c r="G237" s="51">
        <f t="shared" si="67"/>
        <v>5438085.0200000005</v>
      </c>
      <c r="H237" s="51">
        <f t="shared" si="68"/>
        <v>435952.70000000019</v>
      </c>
      <c r="I237" s="53">
        <f t="shared" si="69"/>
        <v>8.6999999999999993</v>
      </c>
      <c r="J237" s="53"/>
      <c r="K237" s="51">
        <f t="shared" si="70"/>
        <v>223181.62</v>
      </c>
      <c r="L237" s="51">
        <f t="shared" si="71"/>
        <v>32896</v>
      </c>
      <c r="M237" s="51">
        <f t="shared" si="72"/>
        <v>19687.099999999999</v>
      </c>
      <c r="N237" s="51">
        <f t="shared" si="73"/>
        <v>18934.45</v>
      </c>
      <c r="O237" s="51">
        <f t="shared" si="74"/>
        <v>158400</v>
      </c>
      <c r="P237" s="51">
        <f t="shared" si="75"/>
        <v>5436297.04</v>
      </c>
      <c r="Q237" s="51">
        <f t="shared" si="77"/>
        <v>5871497.0900000008</v>
      </c>
      <c r="R237" s="53">
        <f t="shared" si="76"/>
        <v>8</v>
      </c>
    </row>
    <row r="238" spans="1:18" x14ac:dyDescent="0.2">
      <c r="A238" s="30">
        <v>36</v>
      </c>
      <c r="D238" s="50">
        <v>160000</v>
      </c>
      <c r="E238" s="50">
        <v>96000000</v>
      </c>
      <c r="F238" s="51">
        <f t="shared" si="66"/>
        <v>6901438.1299999999</v>
      </c>
      <c r="G238" s="51">
        <f t="shared" si="67"/>
        <v>7503174.0599999996</v>
      </c>
      <c r="H238" s="51">
        <f t="shared" si="68"/>
        <v>601735.9299999997</v>
      </c>
      <c r="I238" s="53">
        <f t="shared" si="69"/>
        <v>8.6999999999999993</v>
      </c>
      <c r="J238" s="53"/>
      <c r="K238" s="51">
        <f t="shared" si="70"/>
        <v>334772.43</v>
      </c>
      <c r="L238" s="51">
        <f t="shared" si="71"/>
        <v>49344</v>
      </c>
      <c r="M238" s="51">
        <f t="shared" si="72"/>
        <v>25622.73</v>
      </c>
      <c r="N238" s="51">
        <f t="shared" si="73"/>
        <v>24830.69</v>
      </c>
      <c r="O238" s="51">
        <f t="shared" si="74"/>
        <v>237600</v>
      </c>
      <c r="P238" s="51">
        <f t="shared" si="75"/>
        <v>7548777.29</v>
      </c>
      <c r="Q238" s="51">
        <f t="shared" si="77"/>
        <v>8149721.1799999997</v>
      </c>
      <c r="R238" s="53">
        <f t="shared" si="76"/>
        <v>8</v>
      </c>
    </row>
    <row r="239" spans="1:18" x14ac:dyDescent="0.2">
      <c r="K239" s="51"/>
      <c r="L239" s="51"/>
      <c r="M239" s="51"/>
      <c r="N239" s="51"/>
      <c r="O239" s="51"/>
    </row>
    <row r="240" spans="1:18" ht="15.75" x14ac:dyDescent="0.25">
      <c r="C240" s="31" t="s">
        <v>141</v>
      </c>
      <c r="K240" s="51"/>
      <c r="L240" s="51"/>
      <c r="M240" s="51"/>
      <c r="N240" s="51"/>
      <c r="O240" s="51"/>
    </row>
    <row r="241" spans="3:3" ht="15.75" x14ac:dyDescent="0.25">
      <c r="C241" s="31" t="str">
        <f>"(2) RIDER DSMR "&amp;TEXT(DSM_TRANS,"$0.000000;($0.000000)")&amp;" PER KWH."</f>
        <v>(2) RIDER DSMR $0.000514 PER KWH.</v>
      </c>
    </row>
    <row r="242" spans="3:3" ht="15.75" x14ac:dyDescent="0.25">
      <c r="C242" s="31" t="str">
        <f>"(3) RIDER ESM "&amp;TEXT(CUR_ESM_NonRes,"#0.00%")&amp;"  OF TOTAL CURRENT BILL."</f>
        <v>(3) RIDER ESM 0.65%  OF TOTAL CURRENT BILL.</v>
      </c>
    </row>
    <row r="243" spans="3:3" ht="15.75" x14ac:dyDescent="0.25">
      <c r="C243" s="31" t="str">
        <f>"(4) RIDER PSM "&amp;TEXT(RS_PSM,"$0.000000;($0.000000)")&amp;"  PER KWH."</f>
        <v>(4) RIDER PSM $0.002475  PER KWH.</v>
      </c>
    </row>
    <row r="244" spans="3:3" ht="15.75" x14ac:dyDescent="0.25">
      <c r="C244" s="31" t="str">
        <f>"(5) REFLECTS FUEL COST RECOVERY INCLUDED IN BASE RATES OF "&amp;TEXT(CUR_BASE_FUEL,"$0.000000;($0.000000)")&amp;"  PER KWH."</f>
        <v>(5) REFLECTS FUEL COST RECOVERY INCLUDED IN BASE RATES OF $0.033780  PER KWH.</v>
      </c>
    </row>
    <row r="245" spans="3:3" ht="15.75" x14ac:dyDescent="0.25">
      <c r="C245" s="31" t="str">
        <f>"(6) DEMAND VALUE REPRESENTS THE SUM OF ON AND OFF PEAK.  FOR BILL CALCULATION, VALUE IS SPLIT USING THE RATIO OF VALUES IN SCHEDULE M-2.3."</f>
        <v>(6) DEMAND VALUE REPRESENTS THE SUM OF ON AND OFF PEAK.  FOR BILL CALCULATION, VALUE IS SPLIT USING THE RATIO OF VALUES IN SCHEDULE M-2.3.</v>
      </c>
    </row>
    <row r="246" spans="3:3" ht="15.75" x14ac:dyDescent="0.25">
      <c r="C246" s="31" t="str">
        <f>"(7) RIDER ESM "&amp;TEXT(PRO_ESM_NONRES,"#0.00%")&amp;"  OF TOTAL CURRENT BILL."</f>
        <v>(7) RIDER ESM 0.55%  OF TOTAL CURRENT BILL.</v>
      </c>
    </row>
    <row r="247" spans="3:3" ht="15.75" x14ac:dyDescent="0.25">
      <c r="C247" s="57"/>
    </row>
  </sheetData>
  <mergeCells count="10">
    <mergeCell ref="A143:R143"/>
    <mergeCell ref="K146:O146"/>
    <mergeCell ref="A193:R193"/>
    <mergeCell ref="K196:O196"/>
    <mergeCell ref="A10:R10"/>
    <mergeCell ref="K13:O13"/>
    <mergeCell ref="A44:R44"/>
    <mergeCell ref="K47:O47"/>
    <mergeCell ref="A96:R96"/>
    <mergeCell ref="K99:O99"/>
  </mergeCells>
  <pageMargins left="0.5" right="0.5" top="1" bottom="1" header="0.5" footer="0.5"/>
  <pageSetup scale="45" orientation="landscape" verticalDpi="300" r:id="rId1"/>
  <headerFooter alignWithMargins="0"/>
  <rowBreaks count="2" manualBreakCount="2">
    <brk id="34" max="16383" man="1"/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F6E4-FBA6-4AF7-800E-58912656CEED}">
  <sheetPr>
    <tabColor rgb="FF00B0F0"/>
    <pageSetUpPr fitToPage="1"/>
  </sheetPr>
  <dimension ref="A1:E27"/>
  <sheetViews>
    <sheetView tabSelected="1" workbookViewId="0">
      <selection activeCell="H11" sqref="H11"/>
    </sheetView>
  </sheetViews>
  <sheetFormatPr defaultColWidth="9.140625" defaultRowHeight="15.75" x14ac:dyDescent="0.25"/>
  <cols>
    <col min="1" max="1" width="18.140625" style="2" customWidth="1"/>
    <col min="2" max="2" width="18.140625" style="9" customWidth="1"/>
    <col min="3" max="3" width="24.85546875" style="2" customWidth="1"/>
    <col min="4" max="4" width="27.28515625" style="2" customWidth="1"/>
    <col min="5" max="5" width="26.85546875" style="2" customWidth="1"/>
    <col min="6" max="16384" width="9.140625" style="2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145</v>
      </c>
      <c r="B2" s="1"/>
      <c r="C2" s="1"/>
      <c r="D2" s="1"/>
      <c r="E2" s="1"/>
    </row>
    <row r="3" spans="1:5" ht="20.25" x14ac:dyDescent="0.3">
      <c r="A3" s="1"/>
      <c r="B3" s="1"/>
      <c r="C3" s="1"/>
      <c r="D3" s="1"/>
    </row>
    <row r="4" spans="1:5" x14ac:dyDescent="0.25">
      <c r="A4" s="3"/>
      <c r="B4" s="3"/>
    </row>
    <row r="5" spans="1:5" ht="47.25" x14ac:dyDescent="0.25">
      <c r="A5" s="6" t="s">
        <v>45</v>
      </c>
      <c r="B5" s="6" t="s">
        <v>46</v>
      </c>
      <c r="C5" s="6" t="s">
        <v>142</v>
      </c>
      <c r="D5" s="6" t="s">
        <v>143</v>
      </c>
      <c r="E5" s="6" t="s">
        <v>144</v>
      </c>
    </row>
    <row r="6" spans="1:5" x14ac:dyDescent="0.25">
      <c r="A6" s="7"/>
      <c r="B6" s="5"/>
      <c r="C6" s="8"/>
    </row>
    <row r="7" spans="1:5" x14ac:dyDescent="0.25">
      <c r="A7" s="9">
        <f>+'Attachment JB-3'!A7</f>
        <v>5</v>
      </c>
      <c r="B7" s="59">
        <f>+'Attachment JB-3'!B7</f>
        <v>2000</v>
      </c>
      <c r="C7" s="12">
        <f>+'SCH N'!G53-'Attachment JB-2'!$D$9</f>
        <v>248.98000000000002</v>
      </c>
      <c r="D7" s="12">
        <f>+B7*'Attachment JB-2'!$D$17</f>
        <v>650.79600000000005</v>
      </c>
      <c r="E7" s="58">
        <f>+D7/C7-1</f>
        <v>1.613848501887702</v>
      </c>
    </row>
    <row r="8" spans="1:5" x14ac:dyDescent="0.25">
      <c r="A8" s="9">
        <f>+'Attachment JB-3'!A8</f>
        <v>10</v>
      </c>
      <c r="B8" s="59">
        <f>+'Attachment JB-3'!B8</f>
        <v>4000</v>
      </c>
      <c r="C8" s="12">
        <f>+'SCH N'!G54-'Attachment JB-2'!$D$9</f>
        <v>497.97</v>
      </c>
      <c r="D8" s="12">
        <f>+B8*'Attachment JB-2'!$D$17</f>
        <v>1301.5920000000001</v>
      </c>
      <c r="E8" s="58">
        <f t="shared" ref="E8:E27" si="0">+D8/C8-1</f>
        <v>1.6137960118079402</v>
      </c>
    </row>
    <row r="9" spans="1:5" x14ac:dyDescent="0.25">
      <c r="A9" s="9">
        <f>+'Attachment JB-3'!A9</f>
        <v>10</v>
      </c>
      <c r="B9" s="59">
        <f>+'Attachment JB-3'!B9</f>
        <v>6000</v>
      </c>
      <c r="C9" s="12">
        <f>+'SCH N'!G55-'Attachment JB-2'!$D$9</f>
        <v>746.95</v>
      </c>
      <c r="D9" s="12">
        <f>+B9*'Attachment JB-2'!$D$17</f>
        <v>1952.3880000000001</v>
      </c>
      <c r="E9" s="58">
        <f t="shared" si="0"/>
        <v>1.6138135082669525</v>
      </c>
    </row>
    <row r="10" spans="1:5" x14ac:dyDescent="0.25">
      <c r="A10" s="9">
        <f>+'Attachment JB-3'!A10</f>
        <v>30</v>
      </c>
      <c r="B10" s="59">
        <f>+'Attachment JB-3'!B10</f>
        <v>6000</v>
      </c>
      <c r="C10" s="12">
        <f>+'SCH N'!G56-'Attachment JB-2'!$D$9</f>
        <v>984.7</v>
      </c>
      <c r="D10" s="12">
        <f>+B10*'Attachment JB-2'!$D$17</f>
        <v>1952.3880000000001</v>
      </c>
      <c r="E10" s="58">
        <f t="shared" si="0"/>
        <v>0.98272367218442169</v>
      </c>
    </row>
    <row r="11" spans="1:5" x14ac:dyDescent="0.25">
      <c r="A11" s="9">
        <f>+'Attachment JB-3'!A11</f>
        <v>30</v>
      </c>
      <c r="B11" s="59">
        <f>+'Attachment JB-3'!B11</f>
        <v>9000</v>
      </c>
      <c r="C11" s="12">
        <f>+'SCH N'!G57-'Attachment JB-2'!$D$9</f>
        <v>1218.68</v>
      </c>
      <c r="D11" s="12">
        <f>+B11*'Attachment JB-2'!$D$17</f>
        <v>2928.5820000000003</v>
      </c>
      <c r="E11" s="58">
        <f t="shared" si="0"/>
        <v>1.4030770998129123</v>
      </c>
    </row>
    <row r="12" spans="1:5" x14ac:dyDescent="0.25">
      <c r="A12" s="9">
        <f>+'Attachment JB-3'!A12</f>
        <v>30</v>
      </c>
      <c r="B12" s="59">
        <f>+'Attachment JB-3'!B12</f>
        <v>12000</v>
      </c>
      <c r="C12" s="12">
        <f>+'SCH N'!G58-'Attachment JB-2'!$D$9</f>
        <v>1452.66</v>
      </c>
      <c r="D12" s="12">
        <f>+B12*'Attachment JB-2'!$D$17</f>
        <v>3904.7760000000003</v>
      </c>
      <c r="E12" s="58">
        <f t="shared" si="0"/>
        <v>1.6880178431291561</v>
      </c>
    </row>
    <row r="13" spans="1:5" x14ac:dyDescent="0.25">
      <c r="A13" s="9">
        <f>+'Attachment JB-3'!A13</f>
        <v>50</v>
      </c>
      <c r="B13" s="59">
        <f>+'Attachment JB-3'!B13</f>
        <v>10000</v>
      </c>
      <c r="C13" s="12">
        <f>+'SCH N'!G59-'Attachment JB-2'!$D$9</f>
        <v>1613.68</v>
      </c>
      <c r="D13" s="12">
        <f>+B13*'Attachment JB-2'!$D$17</f>
        <v>3253.98</v>
      </c>
      <c r="E13" s="58">
        <f t="shared" si="0"/>
        <v>1.0164964553071241</v>
      </c>
    </row>
    <row r="14" spans="1:5" x14ac:dyDescent="0.25">
      <c r="A14" s="9">
        <f>+'Attachment JB-3'!A14</f>
        <v>50</v>
      </c>
      <c r="B14" s="59">
        <f>+'Attachment JB-3'!B14</f>
        <v>15000</v>
      </c>
      <c r="C14" s="12">
        <f>+'SCH N'!G60-'Attachment JB-2'!$D$9</f>
        <v>2003.65</v>
      </c>
      <c r="D14" s="12">
        <f>+B14*'Attachment JB-2'!$D$17</f>
        <v>4880.97</v>
      </c>
      <c r="E14" s="58">
        <f t="shared" si="0"/>
        <v>1.4360392284081551</v>
      </c>
    </row>
    <row r="15" spans="1:5" x14ac:dyDescent="0.25">
      <c r="A15" s="9">
        <f>+'Attachment JB-3'!A15</f>
        <v>50</v>
      </c>
      <c r="B15" s="59">
        <f>+'Attachment JB-3'!B15</f>
        <v>20000</v>
      </c>
      <c r="C15" s="12">
        <f>+'SCH N'!G61-'Attachment JB-2'!$D$9</f>
        <v>2393.62</v>
      </c>
      <c r="D15" s="12">
        <f>+B15*'Attachment JB-2'!$D$17</f>
        <v>6507.96</v>
      </c>
      <c r="E15" s="58">
        <f t="shared" si="0"/>
        <v>1.7188776831744388</v>
      </c>
    </row>
    <row r="16" spans="1:5" x14ac:dyDescent="0.25">
      <c r="A16" s="9">
        <f>+'Attachment JB-3'!A16</f>
        <v>75</v>
      </c>
      <c r="B16" s="59">
        <f>+'Attachment JB-3'!B16</f>
        <v>15000</v>
      </c>
      <c r="C16" s="12">
        <f>+'SCH N'!G62-'Attachment JB-2'!$D$9</f>
        <v>2399.9</v>
      </c>
      <c r="D16" s="12">
        <f>+B16*'Attachment JB-2'!$D$17</f>
        <v>4880.97</v>
      </c>
      <c r="E16" s="58">
        <f t="shared" si="0"/>
        <v>1.0338222425934416</v>
      </c>
    </row>
    <row r="17" spans="1:5" x14ac:dyDescent="0.25">
      <c r="A17" s="9">
        <f>+'Attachment JB-3'!A17</f>
        <v>75</v>
      </c>
      <c r="B17" s="59">
        <f>+'Attachment JB-3'!B17</f>
        <v>20000</v>
      </c>
      <c r="C17" s="12">
        <f>+'SCH N'!G63-'Attachment JB-2'!$D$9</f>
        <v>2789.87</v>
      </c>
      <c r="D17" s="12">
        <f>+B17*'Attachment JB-2'!$D$17</f>
        <v>6507.96</v>
      </c>
      <c r="E17" s="58">
        <f t="shared" si="0"/>
        <v>1.3327108431575665</v>
      </c>
    </row>
    <row r="18" spans="1:5" x14ac:dyDescent="0.25">
      <c r="A18" s="9">
        <f>+'Attachment JB-3'!A18</f>
        <v>75</v>
      </c>
      <c r="B18" s="59">
        <f>+'Attachment JB-3'!B18</f>
        <v>30000</v>
      </c>
      <c r="C18" s="12">
        <f>+'SCH N'!G64-'Attachment JB-2'!$D$9</f>
        <v>3549.7299999999996</v>
      </c>
      <c r="D18" s="12">
        <f>+B18*'Attachment JB-2'!$D$17</f>
        <v>9761.94</v>
      </c>
      <c r="E18" s="58">
        <f t="shared" si="0"/>
        <v>1.7500514123609405</v>
      </c>
    </row>
    <row r="19" spans="1:5" x14ac:dyDescent="0.25">
      <c r="A19" s="9">
        <f>+'Attachment JB-3'!A19</f>
        <v>100</v>
      </c>
      <c r="B19" s="59">
        <f>+'Attachment JB-3'!B19</f>
        <v>20000</v>
      </c>
      <c r="C19" s="12">
        <f>+'SCH N'!G65-'Attachment JB-2'!$D$9</f>
        <v>3186.12</v>
      </c>
      <c r="D19" s="12">
        <f>+B19*'Attachment JB-2'!$D$17</f>
        <v>6507.96</v>
      </c>
      <c r="E19" s="58">
        <f t="shared" si="0"/>
        <v>1.0425972656397122</v>
      </c>
    </row>
    <row r="20" spans="1:5" x14ac:dyDescent="0.25">
      <c r="A20" s="9">
        <f>+'Attachment JB-3'!A20</f>
        <v>100</v>
      </c>
      <c r="B20" s="59">
        <f>+'Attachment JB-3'!B20</f>
        <v>30000</v>
      </c>
      <c r="C20" s="12">
        <f>+'SCH N'!G66-'Attachment JB-2'!$D$9</f>
        <v>3966.0599999999995</v>
      </c>
      <c r="D20" s="12">
        <f>+B20*'Attachment JB-2'!$D$17</f>
        <v>9761.94</v>
      </c>
      <c r="E20" s="58">
        <f t="shared" si="0"/>
        <v>1.4613697220919506</v>
      </c>
    </row>
    <row r="21" spans="1:5" x14ac:dyDescent="0.25">
      <c r="A21" s="9">
        <f>+'Attachment JB-3'!A21</f>
        <v>100</v>
      </c>
      <c r="B21" s="59">
        <f>+'Attachment JB-3'!B21</f>
        <v>40000</v>
      </c>
      <c r="C21" s="12">
        <f>+'SCH N'!G67-'Attachment JB-2'!$D$9</f>
        <v>4692.4500000000007</v>
      </c>
      <c r="D21" s="12">
        <f>+B21*'Attachment JB-2'!$D$17</f>
        <v>13015.92</v>
      </c>
      <c r="E21" s="58">
        <f t="shared" si="0"/>
        <v>1.773800466707157</v>
      </c>
    </row>
    <row r="22" spans="1:5" x14ac:dyDescent="0.25">
      <c r="A22" s="9">
        <f>+'Attachment JB-3'!A22</f>
        <v>300</v>
      </c>
      <c r="B22" s="59">
        <f>+'Attachment JB-3'!B22</f>
        <v>60000</v>
      </c>
      <c r="C22" s="12">
        <f>+'SCH N'!G68-'Attachment JB-2'!$D$9</f>
        <v>9475.880000000001</v>
      </c>
      <c r="D22" s="12">
        <f>+B22*'Attachment JB-2'!$D$17</f>
        <v>19523.88</v>
      </c>
      <c r="E22" s="58">
        <f t="shared" si="0"/>
        <v>1.0603764505249114</v>
      </c>
    </row>
    <row r="23" spans="1:5" x14ac:dyDescent="0.25">
      <c r="A23" s="9">
        <f>+'Attachment JB-3'!A23</f>
        <v>300</v>
      </c>
      <c r="B23" s="59">
        <f>+'Attachment JB-3'!B23</f>
        <v>90000</v>
      </c>
      <c r="C23" s="12">
        <f>+'SCH N'!G69-'Attachment JB-2'!$D$9</f>
        <v>11815.7</v>
      </c>
      <c r="D23" s="12">
        <f>+B23*'Attachment JB-2'!$D$17</f>
        <v>29285.820000000003</v>
      </c>
      <c r="E23" s="58">
        <f t="shared" si="0"/>
        <v>1.4785514188748867</v>
      </c>
    </row>
    <row r="24" spans="1:5" x14ac:dyDescent="0.25">
      <c r="A24" s="9">
        <f>+'Attachment JB-3'!A24</f>
        <v>300</v>
      </c>
      <c r="B24" s="59">
        <f>+'Attachment JB-3'!B24</f>
        <v>120000</v>
      </c>
      <c r="C24" s="12">
        <f>+'SCH N'!G70-'Attachment JB-2'!$D$9</f>
        <v>13834.24</v>
      </c>
      <c r="D24" s="12">
        <f>+B24*'Attachment JB-2'!$D$17</f>
        <v>39047.760000000002</v>
      </c>
      <c r="E24" s="58">
        <f t="shared" si="0"/>
        <v>1.8225446428571432</v>
      </c>
    </row>
    <row r="25" spans="1:5" x14ac:dyDescent="0.25">
      <c r="A25" s="9">
        <f>+'Attachment JB-3'!A25</f>
        <v>500</v>
      </c>
      <c r="B25" s="59">
        <f>+'Attachment JB-3'!B25</f>
        <v>100000</v>
      </c>
      <c r="C25" s="12">
        <f>+'SCH N'!G71-'Attachment JB-2'!$D$9</f>
        <v>15765.650000000001</v>
      </c>
      <c r="D25" s="12">
        <f>+B25*'Attachment JB-2'!$D$17</f>
        <v>32539.800000000003</v>
      </c>
      <c r="E25" s="58">
        <f t="shared" si="0"/>
        <v>1.0639681839949509</v>
      </c>
    </row>
    <row r="26" spans="1:5" x14ac:dyDescent="0.25">
      <c r="A26" s="9">
        <f>+'Attachment JB-3'!A26</f>
        <v>500</v>
      </c>
      <c r="B26" s="59">
        <f>+'Attachment JB-3'!B26</f>
        <v>200000</v>
      </c>
      <c r="C26" s="12">
        <f>+'SCH N'!G72-'Attachment JB-2'!$D$9</f>
        <v>22976.02</v>
      </c>
      <c r="D26" s="12">
        <f>+B26*'Attachment JB-2'!$D$17</f>
        <v>65079.600000000006</v>
      </c>
      <c r="E26" s="58">
        <f t="shared" si="0"/>
        <v>1.8325010162769706</v>
      </c>
    </row>
    <row r="27" spans="1:5" x14ac:dyDescent="0.25">
      <c r="A27" s="9">
        <f>+'Attachment JB-3'!A27</f>
        <v>500</v>
      </c>
      <c r="B27" s="59">
        <f>+'Attachment JB-3'!B27</f>
        <v>300000</v>
      </c>
      <c r="C27" s="12">
        <f>+'SCH N'!G73-'Attachment JB-2'!$D$9</f>
        <v>29436.730000000003</v>
      </c>
      <c r="D27" s="12">
        <f>+B27*'Attachment JB-2'!$D$17</f>
        <v>97619.400000000009</v>
      </c>
      <c r="E27" s="58">
        <f t="shared" si="0"/>
        <v>2.3162447051693582</v>
      </c>
    </row>
  </sheetData>
  <mergeCells count="4">
    <mergeCell ref="A3:D3"/>
    <mergeCell ref="A4:B4"/>
    <mergeCell ref="A1:E1"/>
    <mergeCell ref="A2:E2"/>
  </mergeCells>
  <pageMargins left="0.7" right="0.7" top="0.99916666666666665" bottom="0.75" header="0.3" footer="0.3"/>
  <pageSetup orientation="portrait" horizontalDpi="1200" verticalDpi="1200" r:id="rId1"/>
  <headerFooter scaleWithDoc="0">
    <oddHeader xml:space="preserve">&amp;R&amp;"Times New Roman,Bold"&amp;A
Case No. 2024-00354
Page &amp;P of 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7EAA8D040AD48BEDD7511195E98CF" ma:contentTypeVersion="15" ma:contentTypeDescription="Create a new document." ma:contentTypeScope="" ma:versionID="6533321de74f17498e21b5eaeb0d6e48">
  <xsd:schema xmlns:xsd="http://www.w3.org/2001/XMLSchema" xmlns:xs="http://www.w3.org/2001/XMLSchema" xmlns:p="http://schemas.microsoft.com/office/2006/metadata/properties" xmlns:ns2="8ca45114-2a7e-4dc6-89cd-247b8ea980b4" xmlns:ns3="9dc5a1b9-da23-4eb9-9e08-5e6b905bb79d" targetNamespace="http://schemas.microsoft.com/office/2006/metadata/properties" ma:root="true" ma:fieldsID="c9f76b627fe1ff2bc642901865b96782" ns2:_="" ns3:_="">
    <xsd:import namespace="8ca45114-2a7e-4dc6-89cd-247b8ea980b4"/>
    <xsd:import namespace="9dc5a1b9-da23-4eb9-9e08-5e6b905bb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45114-2a7e-4dc6-89cd-247b8ea980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940a405-bf97-4cc5-b0bd-142cb624be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5a1b9-da23-4eb9-9e08-5e6b905bb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1d6d0a8-6f0e-48f8-88fe-8fce3240bb8a}" ma:internalName="TaxCatchAll" ma:showField="CatchAllData" ma:web="9dc5a1b9-da23-4eb9-9e08-5e6b905bb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a45114-2a7e-4dc6-89cd-247b8ea980b4">
      <Terms xmlns="http://schemas.microsoft.com/office/infopath/2007/PartnerControls"/>
    </lcf76f155ced4ddcb4097134ff3c332f>
    <TaxCatchAll xmlns="9dc5a1b9-da23-4eb9-9e08-5e6b905bb79d" xsi:nil="true"/>
  </documentManagement>
</p:properties>
</file>

<file path=customXml/itemProps1.xml><?xml version="1.0" encoding="utf-8"?>
<ds:datastoreItem xmlns:ds="http://schemas.openxmlformats.org/officeDocument/2006/customXml" ds:itemID="{8F928C1A-D44A-4DFA-B6E9-B0B198FDF425}"/>
</file>

<file path=customXml/itemProps2.xml><?xml version="1.0" encoding="utf-8"?>
<ds:datastoreItem xmlns:ds="http://schemas.openxmlformats.org/officeDocument/2006/customXml" ds:itemID="{D305D45C-ED43-43AF-A77B-3630B44495B8}"/>
</file>

<file path=customXml/itemProps3.xml><?xml version="1.0" encoding="utf-8"?>
<ds:datastoreItem xmlns:ds="http://schemas.openxmlformats.org/officeDocument/2006/customXml" ds:itemID="{EAA4FAD0-1994-4046-A61F-E981F7AD5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Attachment JB-2</vt:lpstr>
      <vt:lpstr>Attachment JB-3</vt:lpstr>
      <vt:lpstr>SCH N</vt:lpstr>
      <vt:lpstr>DEK 11</vt:lpstr>
      <vt:lpstr>'Attachment JB-2'!Print_Area</vt:lpstr>
      <vt:lpstr>'Attachment JB-3'!Print_Area</vt:lpstr>
      <vt:lpstr>'DEK 11'!Print_Area</vt:lpstr>
      <vt:lpstr>'SCH N'!Print_Area</vt:lpstr>
      <vt:lpstr>'Attachment JB-2'!Print_Titles</vt:lpstr>
      <vt:lpstr>SCH_N_1</vt:lpstr>
      <vt:lpstr>SCH_N_2</vt:lpstr>
      <vt:lpstr>SCH_N_3</vt:lpstr>
      <vt:lpstr>SCH_N_4</vt:lpstr>
      <vt:lpstr>SCH_N_5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Bieber</dc:creator>
  <cp:lastModifiedBy>Justin Bieber</cp:lastModifiedBy>
  <dcterms:created xsi:type="dcterms:W3CDTF">2025-04-02T14:37:45Z</dcterms:created>
  <dcterms:modified xsi:type="dcterms:W3CDTF">2025-04-02T15:03:08Z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0x0101003D97EAA8D040AD48BEDD7511195E98CF</vt:lpwstr>
  </property>
</Properties>
</file>