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28BDB770-FCEA-4136-AA0E-DF8D2CBBA59B}" xr6:coauthVersionLast="47" xr6:coauthVersionMax="47" xr10:uidLastSave="{00000000-0000-0000-0000-000000000000}"/>
  <bookViews>
    <workbookView xWindow="-120" yWindow="-120" windowWidth="29040" windowHeight="15720" xr2:uid="{5860B501-16C0-461A-8C3F-A1182852D7A2}"/>
  </bookViews>
  <sheets>
    <sheet name="RB vs Cap BP DR-01-024 Pg1" sheetId="1" r:id="rId1"/>
    <sheet name="RB vs Cap BP DR-01-024 Pg2" sheetId="2" r:id="rId2"/>
    <sheet name="RB vs Cap DR-01-024 Pg3" sheetId="3" r:id="rId3"/>
  </sheets>
  <definedNames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WIT1">#REF!</definedName>
    <definedName name="_WIT10">#REF!</definedName>
    <definedName name="_WIT12">#REF!</definedName>
    <definedName name="_WIT2">#REF!</definedName>
    <definedName name="_WIT3">#REF!</definedName>
    <definedName name="_WIT4">#REF!</definedName>
    <definedName name="_WIT6">#REF!</definedName>
    <definedName name="_WIT7">#REF!</definedName>
    <definedName name="_WIT8">#REF!</definedName>
    <definedName name="_WIT9">#REF!</definedName>
    <definedName name="ALLOCTABLE">#REF!</definedName>
    <definedName name="AmountBP">#REF!</definedName>
    <definedName name="AmountFP">#REF!</definedName>
    <definedName name="APPORT">#REF!</definedName>
    <definedName name="Base_Period">#REF!</definedName>
    <definedName name="Base1">#REF!</definedName>
    <definedName name="Base10">#REF!</definedName>
    <definedName name="Base11">#REF!</definedName>
    <definedName name="Base12">#REF!</definedName>
    <definedName name="Base2">#REF!</definedName>
    <definedName name="Base3">#REF!</definedName>
    <definedName name="Base4">#REF!</definedName>
    <definedName name="Base5">#REF!</definedName>
    <definedName name="Base6">#REF!</definedName>
    <definedName name="Base7">#REF!</definedName>
    <definedName name="Base8">#REF!</definedName>
    <definedName name="Base9">#REF!</definedName>
    <definedName name="BasePeriod">#REF!</definedName>
    <definedName name="BPActual">#REF!</definedName>
    <definedName name="BPrev1">#REF!</definedName>
    <definedName name="BPrev10">#REF!</definedName>
    <definedName name="BPrev11">#REF!</definedName>
    <definedName name="BPrev12">#REF!</definedName>
    <definedName name="BPrev2">#REF!</definedName>
    <definedName name="BPrev3">#REF!</definedName>
    <definedName name="BPrev4">#REF!</definedName>
    <definedName name="BPrev5">#REF!</definedName>
    <definedName name="BPrev6">#REF!</definedName>
    <definedName name="BPrev7">#REF!</definedName>
    <definedName name="BPrev8">#REF!</definedName>
    <definedName name="BPrev9">#REF!</definedName>
    <definedName name="BPrevACCT">#REF!</definedName>
    <definedName name="BPREVPROD">#REF!</definedName>
    <definedName name="C_1_PROEXP">#REF!</definedName>
    <definedName name="CASE">#REF!</definedName>
    <definedName name="CODE">#REF!</definedName>
    <definedName name="CodeF">#REF!</definedName>
    <definedName name="CommonE">#REF!</definedName>
    <definedName name="COMPANY">#REF!</definedName>
    <definedName name="COMPTAX">#REF!</definedName>
    <definedName name="D_1_INTADJ">#REF!</definedName>
    <definedName name="Data">#REF!</definedName>
    <definedName name="DataB">#REF!</definedName>
    <definedName name="DataF">#REF!</definedName>
    <definedName name="DEPT">#REF!</definedName>
    <definedName name="ERBR_BP">'RB vs Cap DR-01-024 Pg3'!$J$56</definedName>
    <definedName name="ERBR_FP">#REF!</definedName>
    <definedName name="ExpGRCF">#REF!</definedName>
    <definedName name="FERCBP">#REF!</definedName>
    <definedName name="FERCFP">#REF!</definedName>
    <definedName name="FIT">#REF!</definedName>
    <definedName name="Forecast">#REF!</definedName>
    <definedName name="Forecast1">#REF!</definedName>
    <definedName name="Forecast10">#REF!</definedName>
    <definedName name="Forecast11">#REF!</definedName>
    <definedName name="Forecast12">#REF!</definedName>
    <definedName name="Forecast2">#REF!</definedName>
    <definedName name="Forecast3">#REF!</definedName>
    <definedName name="forecast4">#REF!</definedName>
    <definedName name="Forecast5">#REF!</definedName>
    <definedName name="Forecast6">#REF!</definedName>
    <definedName name="Forecast7">#REF!</definedName>
    <definedName name="Forecast8">#REF!</definedName>
    <definedName name="Forecast9">#REF!</definedName>
    <definedName name="FPERIOD">#REF!</definedName>
    <definedName name="FPrev1">#REF!</definedName>
    <definedName name="FPrev10">#REF!</definedName>
    <definedName name="FPrev11">#REF!</definedName>
    <definedName name="FPrev12">#REF!</definedName>
    <definedName name="FPrev2">#REF!</definedName>
    <definedName name="FPrev3">#REF!</definedName>
    <definedName name="FPrev4">#REF!</definedName>
    <definedName name="FPrev5">#REF!</definedName>
    <definedName name="FPrev6">#REF!</definedName>
    <definedName name="FPrev7">#REF!</definedName>
    <definedName name="FPrev8">#REF!</definedName>
    <definedName name="FPrev9">#REF!</definedName>
    <definedName name="FPrevAcct">#REF!</definedName>
    <definedName name="FPrevProd">#REF!</definedName>
    <definedName name="GRBR_BP">'RB vs Cap DR-01-024 Pg3'!$F$56</definedName>
    <definedName name="GRCF">#REF!</definedName>
    <definedName name="GRCFdiff">#REF!</definedName>
    <definedName name="GRCFold">#REF!</definedName>
    <definedName name="KPSC">#REF!</definedName>
    <definedName name="KPSCMaint">#REF!</definedName>
    <definedName name="MINCR">#REF!</definedName>
    <definedName name="PERIOD">#REF!</definedName>
    <definedName name="PeriodF">#REF!</definedName>
    <definedName name="PLANT_IN_SERVICE">#REF!</definedName>
    <definedName name="RBvsCAP_BP_pg1">'RB vs Cap BP DR-01-024 Pg1'!$A$1:$F$45</definedName>
    <definedName name="RBvsCap_BP_pg2">'RB vs Cap BP DR-01-024 Pg2'!$A$1:$H$40</definedName>
    <definedName name="RBvsCap_BP_pg3">'RB vs Cap DR-01-024 Pg3'!$A$1:$M$62</definedName>
    <definedName name="RofR">#REF!</definedName>
    <definedName name="RofRdiff">#REF!</definedName>
    <definedName name="RofRold">#REF!</definedName>
    <definedName name="SCH_D1_ERROR_CHECK">#REF!</definedName>
    <definedName name="SIT">#REF!</definedName>
    <definedName name="TAXRECONTABLE">#REF!</definedName>
    <definedName name="Testyear">#REF!</definedName>
    <definedName name="TESTYR">#REF!</definedName>
    <definedName name="Type">#REF!</definedName>
    <definedName name="UncollExp">#REF!</definedName>
    <definedName name="UncollRat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3" l="1"/>
  <c r="E49" i="3"/>
  <c r="J50" i="3"/>
  <c r="E45" i="3"/>
  <c r="A45" i="3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M50" i="3"/>
  <c r="M52" i="3" s="1"/>
  <c r="E43" i="3"/>
  <c r="F41" i="3"/>
  <c r="E41" i="3"/>
  <c r="M38" i="3"/>
  <c r="E37" i="3"/>
  <c r="E35" i="3"/>
  <c r="E33" i="3"/>
  <c r="E31" i="3"/>
  <c r="E29" i="3"/>
  <c r="M27" i="3"/>
  <c r="L27" i="3"/>
  <c r="L38" i="3" s="1"/>
  <c r="L52" i="3" s="1"/>
  <c r="J27" i="3"/>
  <c r="J38" i="3" s="1"/>
  <c r="F26" i="3"/>
  <c r="H25" i="3"/>
  <c r="H27" i="3" s="1"/>
  <c r="H38" i="3" s="1"/>
  <c r="E22" i="3"/>
  <c r="E20" i="3"/>
  <c r="F17" i="3"/>
  <c r="E17" i="3" s="1"/>
  <c r="L6" i="3"/>
  <c r="A19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G7" i="2"/>
  <c r="A21" i="1"/>
  <c r="A22" i="1" s="1"/>
  <c r="A23" i="1" s="1"/>
  <c r="A24" i="1" s="1"/>
  <c r="A25" i="1" s="1"/>
  <c r="A26" i="1" s="1"/>
  <c r="A27" i="1" s="1"/>
  <c r="A29" i="1" s="1"/>
  <c r="A30" i="1" s="1"/>
  <c r="A31" i="1" s="1"/>
  <c r="A32" i="1" s="1"/>
  <c r="A33" i="1" s="1"/>
  <c r="A34" i="1" s="1"/>
  <c r="A36" i="1" s="1"/>
  <c r="A37" i="1" s="1"/>
  <c r="A38" i="1" s="1"/>
  <c r="A39" i="1" s="1"/>
  <c r="A41" i="1" s="1"/>
  <c r="A43" i="1" s="1"/>
  <c r="E47" i="3" l="1"/>
  <c r="E50" i="3" s="1"/>
  <c r="F50" i="3"/>
  <c r="J52" i="3"/>
  <c r="E21" i="2"/>
  <c r="F27" i="3"/>
  <c r="F38" i="3" s="1"/>
  <c r="E22" i="2"/>
  <c r="H50" i="3"/>
  <c r="H52" i="3" s="1"/>
  <c r="E27" i="3"/>
  <c r="E38" i="3" s="1"/>
  <c r="E52" i="3" l="1"/>
  <c r="M54" i="3"/>
  <c r="L54" i="3"/>
  <c r="H54" i="3"/>
  <c r="E20" i="2"/>
  <c r="E24" i="2" s="1"/>
  <c r="F52" i="3"/>
  <c r="J56" i="3" s="1"/>
  <c r="E26" i="2" l="1"/>
  <c r="G26" i="2" s="1"/>
  <c r="G30" i="2" s="1"/>
  <c r="F16" i="1" s="1"/>
  <c r="F56" i="3"/>
  <c r="F54" i="3"/>
  <c r="J54" i="3" s="1"/>
  <c r="F27" i="1" l="1"/>
  <c r="F34" i="1" l="1"/>
  <c r="F39" i="1" s="1"/>
  <c r="F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Czupik</author>
    <author>t17795</author>
  </authors>
  <commentList>
    <comment ref="F31" authorId="0" shapeId="0" xr:uid="{FFFCD9B5-4A12-443A-91D2-EB7C7F35CFDF}">
      <text>
        <r>
          <rPr>
            <sz val="8"/>
            <color indexed="81"/>
            <rFont val="Tahoma"/>
            <family val="2"/>
          </rPr>
          <t xml:space="preserve">Public utility fee which has been disallowed per Commission precedent.
</t>
        </r>
      </text>
    </comment>
    <comment ref="H31" authorId="0" shapeId="0" xr:uid="{1705B385-A735-4AC2-9DF1-9A889FFEE3EC}">
      <text>
        <r>
          <rPr>
            <sz val="8"/>
            <color indexed="81"/>
            <rFont val="Tahoma"/>
            <family val="2"/>
          </rPr>
          <t xml:space="preserve">Public utility fee which has been disallowed per Commission precedent.
</t>
        </r>
      </text>
    </comment>
    <comment ref="J31" authorId="0" shapeId="0" xr:uid="{D7313EF8-4B90-4934-AE27-E5AE1C839C5D}">
      <text>
        <r>
          <rPr>
            <sz val="8"/>
            <color indexed="81"/>
            <rFont val="Tahoma"/>
            <family val="2"/>
          </rPr>
          <t xml:space="preserve">Public utility fee which has been disallowed per Commission precedent.
</t>
        </r>
      </text>
    </comment>
    <comment ref="L31" authorId="0" shapeId="0" xr:uid="{D86FF9D0-A347-4BF3-83D2-2949F7A90D57}">
      <text>
        <r>
          <rPr>
            <sz val="8"/>
            <color indexed="81"/>
            <rFont val="Tahoma"/>
            <family val="2"/>
          </rPr>
          <t xml:space="preserve">Public utility fee which has been disallowed per Commission precedent.
</t>
        </r>
      </text>
    </comment>
    <comment ref="J41" authorId="1" shapeId="0" xr:uid="{33461B03-95AA-4F4E-B7F4-454BC6738926}">
      <text>
        <r>
          <rPr>
            <sz val="10"/>
            <color indexed="81"/>
            <rFont val="Tahoma"/>
            <family val="2"/>
          </rPr>
          <t xml:space="preserve">Consistent with the approach used by the Commission in previous rate cases, the depreciation normalization adjustment is not recognized in the determination of the jurisdictional rate base ratio.
</t>
        </r>
      </text>
    </comment>
    <comment ref="F43" authorId="1" shapeId="0" xr:uid="{1365429E-6FF6-4BEE-B3D1-56BC0526E297}">
      <text>
        <r>
          <rPr>
            <sz val="10"/>
            <color indexed="81"/>
            <rFont val="Tahoma"/>
            <family val="2"/>
          </rPr>
          <t>Commission exlcudes purchased gas adjustment from calculation of rate base ratio. See page 18 of Order.</t>
        </r>
      </text>
    </comment>
    <comment ref="H43" authorId="1" shapeId="0" xr:uid="{A6F12F93-5FBA-4877-A056-0BEEAF52B250}">
      <text>
        <r>
          <rPr>
            <sz val="10"/>
            <color indexed="81"/>
            <rFont val="Tahoma"/>
            <family val="2"/>
          </rPr>
          <t>Commission exlcudes purchased gas adjustment from calculation of rate base ratio. See page 18 of Order.</t>
        </r>
      </text>
    </comment>
    <comment ref="J43" authorId="1" shapeId="0" xr:uid="{3997E172-7BFA-4B89-A8D5-5164199BDB60}">
      <text>
        <r>
          <rPr>
            <sz val="10"/>
            <color indexed="81"/>
            <rFont val="Tahoma"/>
            <family val="2"/>
          </rPr>
          <t>Commission exlcudes purchased gas adjustment from calculation of rate base ratio. See page 18 of Order.</t>
        </r>
      </text>
    </comment>
  </commentList>
</comments>
</file>

<file path=xl/sharedStrings.xml><?xml version="1.0" encoding="utf-8"?>
<sst xmlns="http://schemas.openxmlformats.org/spreadsheetml/2006/main" count="147" uniqueCount="107">
  <si>
    <t>RECONCILIATION OF CAPITALIZATION AND RATE BASE</t>
  </si>
  <si>
    <t>STAFF-DR-01-024</t>
  </si>
  <si>
    <t>WITNESS RESPONSIBLE:</t>
  </si>
  <si>
    <t>Line</t>
  </si>
  <si>
    <t>No.</t>
  </si>
  <si>
    <t>Description</t>
  </si>
  <si>
    <t>Source</t>
  </si>
  <si>
    <t>Amount</t>
  </si>
  <si>
    <t>Capitalization Allocated to Electric Operations</t>
  </si>
  <si>
    <t>Page 2 of 5</t>
  </si>
  <si>
    <t>Adjustments to Plant in Service</t>
  </si>
  <si>
    <t>Sch. B-2.2 &amp; B-3.1</t>
  </si>
  <si>
    <t>Assets per Books not included in Rate Base:</t>
  </si>
  <si>
    <t xml:space="preserve">Other Property and Investments </t>
  </si>
  <si>
    <t>Schedule B-8</t>
  </si>
  <si>
    <t>CWIP</t>
  </si>
  <si>
    <t>Sch. B-4</t>
  </si>
  <si>
    <t>Cash</t>
  </si>
  <si>
    <t>Other Current Assets</t>
  </si>
  <si>
    <t>Other Regulatory Assets</t>
  </si>
  <si>
    <t>Other Deferred Debits</t>
  </si>
  <si>
    <t>Subtotal</t>
  </si>
  <si>
    <t>Liabilities per Books not included in Rate Base:</t>
  </si>
  <si>
    <t>Other Current liabilities</t>
  </si>
  <si>
    <t>Other Non-current liabilities</t>
  </si>
  <si>
    <t>ARO Liabilities</t>
  </si>
  <si>
    <t>Deferred Credits</t>
  </si>
  <si>
    <t>Items included in Rate Base:</t>
  </si>
  <si>
    <t>Cash Working Capital Formula</t>
  </si>
  <si>
    <t>Sch.B-5</t>
  </si>
  <si>
    <t>Capitalization / Rate Base Differences</t>
  </si>
  <si>
    <t>Total Variance</t>
  </si>
  <si>
    <t>Electric Rate Base</t>
  </si>
  <si>
    <t>Schedule B-1</t>
  </si>
  <si>
    <t>Capitalization</t>
  </si>
  <si>
    <t>Total</t>
  </si>
  <si>
    <t>Electric</t>
  </si>
  <si>
    <t>Total Base Period Capitalization</t>
  </si>
  <si>
    <t>(1)</t>
  </si>
  <si>
    <t>Less:</t>
  </si>
  <si>
    <t>Gas Non-jurisdictional Rate Base</t>
  </si>
  <si>
    <t>(2)</t>
  </si>
  <si>
    <t>Electric Non-jurisdictional Rate Base</t>
  </si>
  <si>
    <t>Non-jurisdictional Rate Base</t>
  </si>
  <si>
    <t>Jurisdictional Capitalization</t>
  </si>
  <si>
    <t>Electric Jurisdictional Rate Base Allocation %</t>
  </si>
  <si>
    <t>Plus: Jurisdictional Electric ITC</t>
  </si>
  <si>
    <t>(3)</t>
  </si>
  <si>
    <t>Total Allocated Capitalization</t>
  </si>
  <si>
    <t>Notes:</t>
  </si>
  <si>
    <t>(1) Schedule J-1, page 1.</t>
  </si>
  <si>
    <t>(2) Page 3 of 5.</t>
  </si>
  <si>
    <t>(3) Schedule B-6, page 1.</t>
  </si>
  <si>
    <t>Schedule</t>
  </si>
  <si>
    <t>Gas</t>
  </si>
  <si>
    <t>Non-</t>
  </si>
  <si>
    <t>Reference</t>
  </si>
  <si>
    <t>Company</t>
  </si>
  <si>
    <t>Jurisdictional</t>
  </si>
  <si>
    <t>Non-Juris.</t>
  </si>
  <si>
    <t>Total Utility Plant in Service (Accts 101 &amp; 106) (A)</t>
  </si>
  <si>
    <t>Sch B-2, (B)</t>
  </si>
  <si>
    <t>Additions:</t>
  </si>
  <si>
    <t xml:space="preserve"> Construction Work in Progress (Account 107)</t>
  </si>
  <si>
    <t>Sch B-4, (B)</t>
  </si>
  <si>
    <t xml:space="preserve"> Fuel Inventory</t>
  </si>
  <si>
    <t>Sch B-5</t>
  </si>
  <si>
    <t xml:space="preserve"> Materials &amp; Supplies - </t>
  </si>
  <si>
    <t xml:space="preserve">   Propane Inventory (Account 151) (A)</t>
  </si>
  <si>
    <t>WPB-5.1b</t>
  </si>
  <si>
    <t xml:space="preserve">   Other Material and Supplies (Accts. 154 &amp; 163) (A)</t>
  </si>
  <si>
    <t>WPB-5.1c</t>
  </si>
  <si>
    <t>Total Materials &amp; Supplies</t>
  </si>
  <si>
    <t>Gas Stored Underground (Account 164) (A)</t>
  </si>
  <si>
    <t>WPB-5.1f</t>
  </si>
  <si>
    <t>Prepayments (Account 165) (A)</t>
  </si>
  <si>
    <t>WPB-5.1e</t>
  </si>
  <si>
    <t>Emission Allowances (Account 158)</t>
  </si>
  <si>
    <t>WPB-5.1i</t>
  </si>
  <si>
    <t>Cash Working Capital Allowance</t>
  </si>
  <si>
    <t>WPB-5.1a</t>
  </si>
  <si>
    <t>Other Rate Base Items</t>
  </si>
  <si>
    <t>WPB-1-1a</t>
  </si>
  <si>
    <t>Total Additions</t>
  </si>
  <si>
    <t>Deductions:</t>
  </si>
  <si>
    <t xml:space="preserve"> Reserve for Accumulated Depreciation (Acct 108) (A)</t>
  </si>
  <si>
    <t xml:space="preserve">Sch B-3, (B) </t>
  </si>
  <si>
    <t xml:space="preserve"> Accum. Deferred Income Taxes (Accts 190, 282, &amp; 283) (A)</t>
  </si>
  <si>
    <t>Sch B-6, WPB-6a</t>
  </si>
  <si>
    <t xml:space="preserve"> Customer Advances for Construction (Account 252)</t>
  </si>
  <si>
    <t>WPB-6a</t>
  </si>
  <si>
    <t>Total Regulatory Liability - Excess Deferred Taxes</t>
  </si>
  <si>
    <t>Sch B-6</t>
  </si>
  <si>
    <t xml:space="preserve"> Investment Tax Credits</t>
  </si>
  <si>
    <t>Total Deductions</t>
  </si>
  <si>
    <t>Net Original Cost Rate Base</t>
  </si>
  <si>
    <t>Jurisdictional Rate Base Ratio</t>
  </si>
  <si>
    <t>Jurisdictional Rate Base Ratio - Excluding Non-Jurisdictional</t>
  </si>
  <si>
    <t>(A)  Adjusted for non-jurisdictional gas plant.</t>
  </si>
  <si>
    <t>(B)  Company records.</t>
  </si>
  <si>
    <t>PAGE  1  OF 3</t>
  </si>
  <si>
    <t>PAGE  2  OF  3</t>
  </si>
  <si>
    <t>PAGE  3  OF  3</t>
  </si>
  <si>
    <t>DUKE ENERGY KENTUCKY, INC.</t>
  </si>
  <si>
    <t>AS OF FEBRUARY 28, 2025</t>
  </si>
  <si>
    <t>L. D. STEINKUHL</t>
  </si>
  <si>
    <t>CASE NO. 2024-00354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</si>
</sst>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General_)"/>
    <numFmt numFmtId="165" formatCode="0.000%"/>
  </numFmts>
  <fonts count="13" x14ac:knownFonts="1">
    <font>
      <sz val="11"/>
      <color theme="1"/>
      <name val="Aptos Narrow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2"/>
      <name val="Courier"/>
      <family val="3"/>
    </font>
    <font>
      <u/>
      <sz val="10"/>
      <name val="Arial"/>
      <family val="2"/>
    </font>
    <font>
      <sz val="10"/>
      <color rgb="FF0000FF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u val="double"/>
      <sz val="10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</borders>
  <cellStyleXfs count="9">
    <xf numFmtId="0" fontId="0" fillId="0" borderId="0"/>
    <xf numFmtId="164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</cellStyleXfs>
  <cellXfs count="60">
    <xf numFmtId="0" fontId="0" fillId="0" borderId="0" xfId="0"/>
    <xf numFmtId="164" fontId="2" fillId="0" borderId="0" xfId="1" applyFont="1" applyAlignment="1">
      <alignment horizontal="centerContinuous"/>
    </xf>
    <xf numFmtId="0" fontId="2" fillId="0" borderId="0" xfId="2"/>
    <xf numFmtId="164" fontId="2" fillId="0" borderId="0" xfId="1" applyFont="1"/>
    <xf numFmtId="164" fontId="2" fillId="0" borderId="0" xfId="1" applyFont="1" applyAlignment="1" applyProtection="1">
      <alignment horizontal="centerContinuous"/>
      <protection locked="0"/>
    </xf>
    <xf numFmtId="164" fontId="2" fillId="0" borderId="0" xfId="1" applyFont="1" applyAlignment="1">
      <alignment horizontal="left"/>
    </xf>
    <xf numFmtId="0" fontId="2" fillId="0" borderId="0" xfId="3" applyFont="1" applyAlignment="1">
      <alignment horizontal="left"/>
    </xf>
    <xf numFmtId="0" fontId="2" fillId="0" borderId="0" xfId="4" applyFont="1"/>
    <xf numFmtId="0" fontId="2" fillId="0" borderId="0" xfId="3" applyFont="1"/>
    <xf numFmtId="0" fontId="2" fillId="0" borderId="0" xfId="5" applyFont="1" applyAlignment="1">
      <alignment horizontal="left"/>
    </xf>
    <xf numFmtId="0" fontId="2" fillId="0" borderId="0" xfId="2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 indent="1"/>
    </xf>
    <xf numFmtId="0" fontId="2" fillId="0" borderId="0" xfId="6" applyFont="1"/>
    <xf numFmtId="37" fontId="2" fillId="0" borderId="0" xfId="2" applyNumberFormat="1"/>
    <xf numFmtId="0" fontId="4" fillId="0" borderId="0" xfId="2" applyFont="1"/>
    <xf numFmtId="0" fontId="2" fillId="0" borderId="0" xfId="2" applyAlignment="1">
      <alignment horizontal="left" indent="1"/>
    </xf>
    <xf numFmtId="0" fontId="2" fillId="0" borderId="0" xfId="2" applyAlignment="1">
      <alignment horizontal="left"/>
    </xf>
    <xf numFmtId="0" fontId="4" fillId="0" borderId="0" xfId="2" applyFont="1" applyAlignment="1">
      <alignment horizontal="left"/>
    </xf>
    <xf numFmtId="0" fontId="2" fillId="0" borderId="1" xfId="2" applyBorder="1" applyAlignment="1">
      <alignment horizontal="left"/>
    </xf>
    <xf numFmtId="37" fontId="5" fillId="0" borderId="0" xfId="2" applyNumberFormat="1" applyFont="1"/>
    <xf numFmtId="41" fontId="2" fillId="0" borderId="0" xfId="2" applyNumberFormat="1"/>
    <xf numFmtId="0" fontId="2" fillId="0" borderId="0" xfId="7" applyFont="1" applyAlignment="1">
      <alignment horizontal="left"/>
    </xf>
    <xf numFmtId="0" fontId="2" fillId="0" borderId="0" xfId="8" applyFont="1"/>
    <xf numFmtId="0" fontId="7" fillId="0" borderId="0" xfId="7" applyFont="1" applyAlignment="1">
      <alignment horizontal="left"/>
    </xf>
    <xf numFmtId="0" fontId="7" fillId="0" borderId="0" xfId="8" applyFont="1" applyAlignment="1">
      <alignment horizontal="left"/>
    </xf>
    <xf numFmtId="0" fontId="2" fillId="0" borderId="0" xfId="8" applyFont="1" applyAlignment="1">
      <alignment horizontal="centerContinuous"/>
    </xf>
    <xf numFmtId="0" fontId="2" fillId="0" borderId="0" xfId="8" applyFont="1" applyAlignment="1">
      <alignment horizontal="center"/>
    </xf>
    <xf numFmtId="0" fontId="2" fillId="0" borderId="1" xfId="8" applyFont="1" applyBorder="1" applyAlignment="1">
      <alignment horizontal="centerContinuous"/>
    </xf>
    <xf numFmtId="0" fontId="4" fillId="0" borderId="0" xfId="8" applyFont="1" applyAlignment="1">
      <alignment horizontal="center"/>
    </xf>
    <xf numFmtId="0" fontId="2" fillId="0" borderId="0" xfId="8" quotePrefix="1" applyFont="1" applyAlignment="1">
      <alignment horizontal="center"/>
    </xf>
    <xf numFmtId="37" fontId="2" fillId="0" borderId="0" xfId="8" applyNumberFormat="1" applyFont="1"/>
    <xf numFmtId="165" fontId="2" fillId="0" borderId="0" xfId="8" applyNumberFormat="1" applyFont="1"/>
    <xf numFmtId="10" fontId="2" fillId="0" borderId="0" xfId="8" applyNumberFormat="1" applyFont="1"/>
    <xf numFmtId="37" fontId="8" fillId="0" borderId="0" xfId="8" applyNumberFormat="1" applyFont="1"/>
    <xf numFmtId="0" fontId="2" fillId="0" borderId="0" xfId="8" quotePrefix="1" applyFont="1"/>
    <xf numFmtId="0" fontId="2" fillId="0" borderId="0" xfId="2" applyAlignment="1">
      <alignment horizontal="centerContinuous"/>
    </xf>
    <xf numFmtId="164" fontId="0" fillId="0" borderId="0" xfId="1" applyFont="1" applyAlignment="1" applyProtection="1">
      <alignment horizontal="centerContinuous"/>
      <protection locked="0"/>
    </xf>
    <xf numFmtId="0" fontId="2" fillId="0" borderId="0" xfId="7" applyFont="1"/>
    <xf numFmtId="0" fontId="7" fillId="0" borderId="0" xfId="7" applyFont="1" applyAlignment="1">
      <alignment horizontal="left" indent="1"/>
    </xf>
    <xf numFmtId="0" fontId="2" fillId="0" borderId="0" xfId="7" applyFont="1" applyAlignment="1">
      <alignment horizontal="center"/>
    </xf>
    <xf numFmtId="0" fontId="2" fillId="0" borderId="1" xfId="7" applyFont="1" applyBorder="1" applyAlignment="1">
      <alignment horizontal="center"/>
    </xf>
    <xf numFmtId="0" fontId="2" fillId="0" borderId="1" xfId="7" applyFont="1" applyBorder="1" applyAlignment="1">
      <alignment horizontal="left"/>
    </xf>
    <xf numFmtId="0" fontId="2" fillId="0" borderId="1" xfId="7" applyFont="1" applyBorder="1"/>
    <xf numFmtId="37" fontId="2" fillId="0" borderId="0" xfId="7" applyNumberFormat="1" applyFont="1"/>
    <xf numFmtId="37" fontId="7" fillId="0" borderId="0" xfId="7" applyNumberFormat="1" applyFont="1"/>
    <xf numFmtId="37" fontId="2" fillId="0" borderId="0" xfId="7" applyNumberFormat="1" applyFont="1" applyAlignment="1">
      <alignment horizontal="center"/>
    </xf>
    <xf numFmtId="37" fontId="0" fillId="0" borderId="0" xfId="2" applyNumberFormat="1" applyFont="1"/>
    <xf numFmtId="0" fontId="2" fillId="0" borderId="0" xfId="7" applyFont="1" applyProtection="1">
      <protection locked="0"/>
    </xf>
    <xf numFmtId="0" fontId="7" fillId="0" borderId="0" xfId="7" applyFont="1"/>
    <xf numFmtId="37" fontId="2" fillId="0" borderId="0" xfId="7" applyNumberFormat="1" applyFont="1" applyProtection="1">
      <protection locked="0"/>
    </xf>
    <xf numFmtId="37" fontId="2" fillId="0" borderId="3" xfId="7" applyNumberFormat="1" applyFont="1" applyBorder="1"/>
    <xf numFmtId="37" fontId="2" fillId="0" borderId="2" xfId="7" applyNumberFormat="1" applyFont="1" applyBorder="1"/>
    <xf numFmtId="37" fontId="2" fillId="0" borderId="4" xfId="7" applyNumberFormat="1" applyFont="1" applyBorder="1"/>
    <xf numFmtId="165" fontId="7" fillId="0" borderId="4" xfId="7" applyNumberFormat="1" applyFont="1" applyBorder="1"/>
    <xf numFmtId="165" fontId="2" fillId="0" borderId="4" xfId="7" applyNumberFormat="1" applyFont="1" applyBorder="1"/>
    <xf numFmtId="165" fontId="2" fillId="0" borderId="0" xfId="7" applyNumberFormat="1" applyFont="1"/>
    <xf numFmtId="0" fontId="9" fillId="0" borderId="0" xfId="7" applyFont="1" applyAlignment="1">
      <alignment horizontal="center"/>
    </xf>
    <xf numFmtId="37" fontId="12" fillId="0" borderId="0" xfId="2" applyNumberFormat="1" applyFont="1"/>
    <xf numFmtId="37" fontId="5" fillId="0" borderId="1" xfId="2" applyNumberFormat="1" applyFont="1" applyBorder="1"/>
  </cellXfs>
  <cellStyles count="9">
    <cellStyle name="Normal" xfId="0" builtinId="0"/>
    <cellStyle name="Normal 10 18" xfId="2" xr:uid="{8F12E67D-52BA-48FD-B53C-8046237D3D42}"/>
    <cellStyle name="Normal_KPSC GAS SFRs-Forward Looking" xfId="7" xr:uid="{BD971002-DDF7-4266-AEDB-3C4284334E52}"/>
    <cellStyle name="Normal_SCH_11" xfId="1" xr:uid="{B8F56867-F66F-464F-925F-425FA0D97161}"/>
    <cellStyle name="Normal_SCH_A" xfId="6" xr:uid="{19F6051A-4EEF-4F52-A6B8-D5E8AA6F9BA0}"/>
    <cellStyle name="Normal_SCH_D2.10" xfId="8" xr:uid="{3C44C0BE-51BB-427A-A3F9-71A30435D4C9}"/>
    <cellStyle name="Normal_SCH_F4" xfId="5" xr:uid="{0ED25E32-1FD6-44AB-8EC2-790B59A61981}"/>
    <cellStyle name="Normal_SCH_I5" xfId="4" xr:uid="{1B043A1A-70D4-4850-98C9-FCC3D6A6FF39}"/>
    <cellStyle name="Normal_SCH_J1" xfId="3" xr:uid="{7615ED71-D542-4E96-AA8B-8BF7713B15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86F9-C451-476D-B53C-0CBBC58DA6BE}">
  <sheetPr codeName="Sheet1">
    <pageSetUpPr fitToPage="1"/>
  </sheetPr>
  <dimension ref="A1:Q50"/>
  <sheetViews>
    <sheetView tabSelected="1" view="pageLayout" topLeftCell="B1" zoomScaleNormal="100" workbookViewId="0">
      <selection activeCell="G4" sqref="G4:G5"/>
    </sheetView>
  </sheetViews>
  <sheetFormatPr defaultColWidth="8.85546875" defaultRowHeight="12.75" x14ac:dyDescent="0.2"/>
  <cols>
    <col min="1" max="1" width="6.42578125" style="2" customWidth="1"/>
    <col min="2" max="2" width="41.5703125" style="2" customWidth="1"/>
    <col min="3" max="3" width="4" style="2" customWidth="1"/>
    <col min="4" max="4" width="20" style="2" customWidth="1"/>
    <col min="5" max="5" width="6.5703125" style="2" customWidth="1"/>
    <col min="6" max="6" width="16.5703125" style="2" customWidth="1"/>
    <col min="7" max="7" width="8.85546875" style="2"/>
    <col min="8" max="8" width="12.42578125" style="2" bestFit="1" customWidth="1"/>
    <col min="9" max="16384" width="8.85546875" style="2"/>
  </cols>
  <sheetData>
    <row r="1" spans="1:17" x14ac:dyDescent="0.2">
      <c r="A1" s="1" t="s">
        <v>103</v>
      </c>
      <c r="B1" s="1"/>
      <c r="C1" s="1"/>
      <c r="D1" s="1"/>
      <c r="E1" s="1"/>
      <c r="F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 x14ac:dyDescent="0.2">
      <c r="A2" s="1" t="s">
        <v>106</v>
      </c>
      <c r="B2" s="1"/>
      <c r="C2" s="1"/>
      <c r="D2" s="1"/>
      <c r="E2" s="1"/>
      <c r="F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 x14ac:dyDescent="0.2">
      <c r="A3" s="1" t="s">
        <v>0</v>
      </c>
      <c r="B3" s="1"/>
      <c r="C3" s="1"/>
      <c r="D3" s="1"/>
      <c r="E3" s="1"/>
      <c r="F3" s="1"/>
      <c r="H3" s="1"/>
      <c r="I3" s="1"/>
      <c r="J3" s="1"/>
      <c r="K3" s="1"/>
      <c r="L3" s="1"/>
      <c r="M3" s="1"/>
      <c r="N3" s="1"/>
      <c r="O3" s="1"/>
      <c r="P3" s="3"/>
      <c r="Q3" s="3"/>
    </row>
    <row r="4" spans="1:17" x14ac:dyDescent="0.2">
      <c r="A4" s="4" t="s">
        <v>104</v>
      </c>
      <c r="B4" s="4"/>
      <c r="C4" s="4"/>
      <c r="D4" s="4"/>
      <c r="E4" s="4"/>
      <c r="F4" s="1"/>
      <c r="H4" s="4"/>
      <c r="I4" s="4"/>
      <c r="J4" s="4"/>
      <c r="K4" s="4"/>
      <c r="L4" s="4"/>
      <c r="M4" s="4"/>
      <c r="N4" s="4"/>
      <c r="O4" s="4"/>
      <c r="P4" s="3"/>
      <c r="Q4" s="3"/>
    </row>
    <row r="5" spans="1:17" x14ac:dyDescent="0.2">
      <c r="A5" s="3"/>
      <c r="B5" s="3"/>
      <c r="C5" s="3"/>
      <c r="D5" s="3"/>
      <c r="E5" s="3"/>
      <c r="F5" s="5"/>
      <c r="H5" s="3"/>
      <c r="I5" s="3"/>
      <c r="J5" s="3"/>
      <c r="K5" s="3"/>
      <c r="L5" s="3"/>
      <c r="M5" s="3"/>
      <c r="N5" s="3"/>
      <c r="O5" s="3"/>
      <c r="P5" s="6"/>
      <c r="Q5" s="3"/>
    </row>
    <row r="6" spans="1:17" x14ac:dyDescent="0.2">
      <c r="A6" s="7"/>
      <c r="B6" s="3"/>
      <c r="C6" s="3"/>
      <c r="D6" s="3"/>
      <c r="E6" s="3" t="s">
        <v>1</v>
      </c>
      <c r="H6" s="3"/>
      <c r="I6" s="3"/>
      <c r="J6" s="3"/>
      <c r="K6" s="3"/>
      <c r="L6" s="3"/>
      <c r="N6" s="3"/>
      <c r="P6" s="6"/>
      <c r="Q6" s="3"/>
    </row>
    <row r="7" spans="1:17" x14ac:dyDescent="0.2">
      <c r="A7" s="8"/>
      <c r="B7" s="3"/>
      <c r="C7" s="3"/>
      <c r="D7" s="3"/>
      <c r="E7" s="6" t="s">
        <v>100</v>
      </c>
      <c r="H7" s="3"/>
      <c r="I7" s="3"/>
      <c r="J7" s="3"/>
      <c r="K7" s="3"/>
      <c r="L7" s="3"/>
      <c r="N7" s="3"/>
      <c r="P7" s="6"/>
      <c r="Q7" s="3"/>
    </row>
    <row r="8" spans="1:17" x14ac:dyDescent="0.2">
      <c r="A8" s="9"/>
      <c r="B8" s="3"/>
      <c r="C8" s="3"/>
      <c r="D8" s="3"/>
      <c r="E8" s="6" t="s">
        <v>2</v>
      </c>
      <c r="H8" s="3"/>
      <c r="I8" s="3"/>
      <c r="J8" s="3"/>
      <c r="K8" s="3"/>
      <c r="L8" s="3"/>
      <c r="N8" s="3"/>
      <c r="P8" s="3"/>
      <c r="Q8" s="3"/>
    </row>
    <row r="9" spans="1:17" x14ac:dyDescent="0.2">
      <c r="A9" s="3"/>
      <c r="B9" s="3"/>
      <c r="C9" s="3"/>
      <c r="D9" s="3"/>
      <c r="E9" s="6" t="s">
        <v>105</v>
      </c>
      <c r="H9" s="3"/>
      <c r="I9" s="3"/>
      <c r="J9" s="3"/>
      <c r="K9" s="3"/>
      <c r="L9" s="3"/>
      <c r="N9" s="3"/>
      <c r="Q9" s="3"/>
    </row>
    <row r="10" spans="1:17" x14ac:dyDescent="0.2">
      <c r="Q10" s="3"/>
    </row>
    <row r="11" spans="1:17" x14ac:dyDescent="0.2">
      <c r="Q11" s="3"/>
    </row>
    <row r="13" spans="1:17" x14ac:dyDescent="0.2">
      <c r="A13" s="10" t="s">
        <v>3</v>
      </c>
    </row>
    <row r="14" spans="1:17" x14ac:dyDescent="0.2">
      <c r="A14" s="11" t="s">
        <v>4</v>
      </c>
      <c r="B14" s="12" t="s">
        <v>5</v>
      </c>
      <c r="C14" s="12"/>
      <c r="D14" s="11" t="s">
        <v>6</v>
      </c>
      <c r="E14" s="11"/>
      <c r="F14" s="11" t="s">
        <v>7</v>
      </c>
    </row>
    <row r="16" spans="1:17" x14ac:dyDescent="0.2">
      <c r="A16" s="10">
        <v>1</v>
      </c>
      <c r="B16" s="13" t="s">
        <v>8</v>
      </c>
      <c r="C16" s="13"/>
      <c r="D16" s="10" t="s">
        <v>9</v>
      </c>
      <c r="E16" s="10"/>
      <c r="F16" s="14">
        <f>'RB vs Cap BP DR-01-024 Pg2'!G30</f>
        <v>1353352214</v>
      </c>
    </row>
    <row r="17" spans="1:6" x14ac:dyDescent="0.2">
      <c r="A17" s="10"/>
    </row>
    <row r="18" spans="1:6" x14ac:dyDescent="0.2">
      <c r="A18" s="10">
        <v>2</v>
      </c>
      <c r="B18" s="2" t="s">
        <v>10</v>
      </c>
      <c r="D18" s="10" t="s">
        <v>11</v>
      </c>
      <c r="F18" s="20">
        <v>-119981969.11249998</v>
      </c>
    </row>
    <row r="19" spans="1:6" x14ac:dyDescent="0.2">
      <c r="A19" s="10"/>
      <c r="F19" s="58"/>
    </row>
    <row r="20" spans="1:6" x14ac:dyDescent="0.2">
      <c r="A20" s="10">
        <v>3</v>
      </c>
      <c r="B20" s="15" t="s">
        <v>12</v>
      </c>
      <c r="F20" s="58"/>
    </row>
    <row r="21" spans="1:6" x14ac:dyDescent="0.2">
      <c r="A21" s="10">
        <f t="shared" ref="A21:A27" si="0">A20+1</f>
        <v>4</v>
      </c>
      <c r="B21" s="16" t="s">
        <v>13</v>
      </c>
      <c r="D21" s="10" t="s">
        <v>14</v>
      </c>
      <c r="F21" s="20">
        <v>-12720310</v>
      </c>
    </row>
    <row r="22" spans="1:6" x14ac:dyDescent="0.2">
      <c r="A22" s="10">
        <f t="shared" si="0"/>
        <v>5</v>
      </c>
      <c r="B22" s="16" t="s">
        <v>15</v>
      </c>
      <c r="D22" s="10" t="s">
        <v>16</v>
      </c>
      <c r="F22" s="20">
        <v>-84896087</v>
      </c>
    </row>
    <row r="23" spans="1:6" x14ac:dyDescent="0.2">
      <c r="A23" s="10">
        <f t="shared" si="0"/>
        <v>6</v>
      </c>
      <c r="B23" s="16" t="s">
        <v>17</v>
      </c>
      <c r="D23" s="10" t="s">
        <v>14</v>
      </c>
      <c r="F23" s="20">
        <v>-3178203</v>
      </c>
    </row>
    <row r="24" spans="1:6" x14ac:dyDescent="0.2">
      <c r="A24" s="10">
        <f t="shared" si="0"/>
        <v>7</v>
      </c>
      <c r="B24" s="16" t="s">
        <v>18</v>
      </c>
      <c r="D24" s="10" t="s">
        <v>14</v>
      </c>
      <c r="F24" s="20">
        <v>-75649780</v>
      </c>
    </row>
    <row r="25" spans="1:6" x14ac:dyDescent="0.2">
      <c r="A25" s="10">
        <f t="shared" si="0"/>
        <v>8</v>
      </c>
      <c r="B25" s="16" t="s">
        <v>19</v>
      </c>
      <c r="D25" s="10" t="s">
        <v>14</v>
      </c>
      <c r="F25" s="20">
        <v>-58332983</v>
      </c>
    </row>
    <row r="26" spans="1:6" x14ac:dyDescent="0.2">
      <c r="A26" s="10">
        <f t="shared" si="0"/>
        <v>9</v>
      </c>
      <c r="B26" s="16" t="s">
        <v>20</v>
      </c>
      <c r="D26" s="10" t="s">
        <v>14</v>
      </c>
      <c r="F26" s="59">
        <v>25153457.181110434</v>
      </c>
    </row>
    <row r="27" spans="1:6" x14ac:dyDescent="0.2">
      <c r="A27" s="10">
        <f t="shared" si="0"/>
        <v>10</v>
      </c>
      <c r="B27" s="17" t="s">
        <v>21</v>
      </c>
      <c r="F27" s="14">
        <f>SUM(F21:F26)</f>
        <v>-209623905.81888956</v>
      </c>
    </row>
    <row r="28" spans="1:6" x14ac:dyDescent="0.2">
      <c r="A28" s="10"/>
    </row>
    <row r="29" spans="1:6" x14ac:dyDescent="0.2">
      <c r="A29" s="10">
        <f>A27+1</f>
        <v>11</v>
      </c>
      <c r="B29" s="18" t="s">
        <v>22</v>
      </c>
    </row>
    <row r="30" spans="1:6" x14ac:dyDescent="0.2">
      <c r="A30" s="10">
        <f>A29+1</f>
        <v>12</v>
      </c>
      <c r="B30" s="16" t="s">
        <v>23</v>
      </c>
      <c r="D30" s="10" t="s">
        <v>14</v>
      </c>
      <c r="F30" s="20">
        <v>101216379</v>
      </c>
    </row>
    <row r="31" spans="1:6" x14ac:dyDescent="0.2">
      <c r="A31" s="10">
        <f>A30+1</f>
        <v>13</v>
      </c>
      <c r="B31" s="16" t="s">
        <v>24</v>
      </c>
      <c r="D31" s="10" t="s">
        <v>14</v>
      </c>
      <c r="F31" s="20">
        <v>24632618</v>
      </c>
    </row>
    <row r="32" spans="1:6" x14ac:dyDescent="0.2">
      <c r="A32" s="10">
        <f t="shared" ref="A32:A33" si="1">A31+1</f>
        <v>14</v>
      </c>
      <c r="B32" s="16" t="s">
        <v>25</v>
      </c>
      <c r="D32" s="10" t="s">
        <v>14</v>
      </c>
      <c r="F32" s="20">
        <v>56011471.313332804</v>
      </c>
    </row>
    <row r="33" spans="1:6" x14ac:dyDescent="0.2">
      <c r="A33" s="10">
        <f t="shared" si="1"/>
        <v>15</v>
      </c>
      <c r="B33" s="16" t="s">
        <v>26</v>
      </c>
      <c r="D33" s="10" t="s">
        <v>14</v>
      </c>
      <c r="F33" s="59">
        <v>16490011.577889644</v>
      </c>
    </row>
    <row r="34" spans="1:6" x14ac:dyDescent="0.2">
      <c r="A34" s="10">
        <f>A33+1</f>
        <v>16</v>
      </c>
      <c r="B34" s="17" t="s">
        <v>21</v>
      </c>
      <c r="F34" s="14">
        <f>SUM(F30:F33)</f>
        <v>198350479.89122245</v>
      </c>
    </row>
    <row r="35" spans="1:6" x14ac:dyDescent="0.2">
      <c r="A35" s="10"/>
      <c r="B35" s="17"/>
      <c r="F35" s="14"/>
    </row>
    <row r="36" spans="1:6" x14ac:dyDescent="0.2">
      <c r="A36" s="10">
        <f>A34+1</f>
        <v>17</v>
      </c>
      <c r="B36" s="19" t="s">
        <v>27</v>
      </c>
      <c r="F36" s="14"/>
    </row>
    <row r="37" spans="1:6" x14ac:dyDescent="0.2">
      <c r="A37" s="10">
        <f>A36+1</f>
        <v>18</v>
      </c>
      <c r="B37" s="16" t="s">
        <v>28</v>
      </c>
      <c r="D37" s="10" t="s">
        <v>29</v>
      </c>
      <c r="F37" s="20">
        <v>7495342</v>
      </c>
    </row>
    <row r="38" spans="1:6" x14ac:dyDescent="0.2">
      <c r="A38" s="10">
        <f>A37+1</f>
        <v>19</v>
      </c>
      <c r="B38" s="16" t="s">
        <v>30</v>
      </c>
      <c r="F38" s="59">
        <v>5018740.0401670933</v>
      </c>
    </row>
    <row r="39" spans="1:6" x14ac:dyDescent="0.2">
      <c r="A39" s="10">
        <f>A38+1</f>
        <v>20</v>
      </c>
      <c r="B39" s="2" t="s">
        <v>21</v>
      </c>
      <c r="F39" s="14">
        <f>SUM(F37:F38)</f>
        <v>12514082.040167093</v>
      </c>
    </row>
    <row r="40" spans="1:6" x14ac:dyDescent="0.2">
      <c r="A40" s="10"/>
      <c r="F40" s="14"/>
    </row>
    <row r="41" spans="1:6" x14ac:dyDescent="0.2">
      <c r="A41" s="10">
        <f>A39+1</f>
        <v>21</v>
      </c>
      <c r="B41" s="2" t="s">
        <v>31</v>
      </c>
      <c r="F41" s="14">
        <f>+F18+F27+F34+F39</f>
        <v>-118741313.00000003</v>
      </c>
    </row>
    <row r="42" spans="1:6" x14ac:dyDescent="0.2">
      <c r="A42" s="10"/>
    </row>
    <row r="43" spans="1:6" x14ac:dyDescent="0.2">
      <c r="A43" s="10">
        <f>A41+1</f>
        <v>22</v>
      </c>
      <c r="B43" s="2" t="s">
        <v>32</v>
      </c>
      <c r="D43" s="10" t="s">
        <v>33</v>
      </c>
      <c r="F43" s="14">
        <v>1234610901</v>
      </c>
    </row>
    <row r="44" spans="1:6" x14ac:dyDescent="0.2">
      <c r="A44" s="10"/>
    </row>
    <row r="45" spans="1:6" x14ac:dyDescent="0.2">
      <c r="A45" s="10"/>
    </row>
    <row r="46" spans="1:6" x14ac:dyDescent="0.2">
      <c r="F46" s="21"/>
    </row>
    <row r="47" spans="1:6" x14ac:dyDescent="0.2">
      <c r="F47" s="21"/>
    </row>
    <row r="48" spans="1:6" x14ac:dyDescent="0.2">
      <c r="F48" s="21"/>
    </row>
    <row r="49" spans="6:6" x14ac:dyDescent="0.2">
      <c r="F49" s="21"/>
    </row>
    <row r="50" spans="6:6" x14ac:dyDescent="0.2">
      <c r="F50" s="21"/>
    </row>
  </sheetData>
  <pageMargins left="0.7" right="0.7" top="0.75" bottom="0.75" header="0.3" footer="0.3"/>
  <pageSetup scale="50" orientation="portrait" r:id="rId1"/>
  <headerFooter>
    <oddHeader xml:space="preserve">&amp;R&amp;"Times New Roman,Bold"&amp;10KyPSC Case No. 2024-00354
STAFF-DR-01-024 Attachment
Page &amp;P of &amp;N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57696-BA6D-4552-A320-C2928F91F7F7}">
  <sheetPr codeName="Sheet39"/>
  <dimension ref="A1:H39"/>
  <sheetViews>
    <sheetView view="pageLayout" zoomScaleNormal="100" workbookViewId="0">
      <selection activeCell="G4" sqref="G4:G5"/>
    </sheetView>
  </sheetViews>
  <sheetFormatPr defaultColWidth="8.85546875" defaultRowHeight="12.75" x14ac:dyDescent="0.2"/>
  <cols>
    <col min="1" max="1" width="6.42578125" style="2" customWidth="1"/>
    <col min="2" max="2" width="8.85546875" style="2"/>
    <col min="3" max="3" width="30.42578125" style="2" bestFit="1" customWidth="1"/>
    <col min="4" max="4" width="8.85546875" style="2"/>
    <col min="5" max="5" width="14.5703125" style="2" customWidth="1"/>
    <col min="6" max="6" width="5.42578125" style="2" customWidth="1"/>
    <col min="7" max="7" width="13.5703125" style="2" customWidth="1"/>
    <col min="8" max="16384" width="8.85546875" style="2"/>
  </cols>
  <sheetData>
    <row r="1" spans="1:8" x14ac:dyDescent="0.2">
      <c r="A1" s="1" t="s">
        <v>103</v>
      </c>
      <c r="B1" s="1"/>
      <c r="C1" s="1"/>
      <c r="D1" s="1"/>
      <c r="E1" s="1"/>
      <c r="F1" s="1"/>
    </row>
    <row r="2" spans="1:8" x14ac:dyDescent="0.2">
      <c r="A2" s="1" t="s">
        <v>106</v>
      </c>
      <c r="B2" s="1"/>
      <c r="C2" s="1"/>
      <c r="D2" s="1"/>
      <c r="E2" s="1"/>
      <c r="F2" s="1"/>
    </row>
    <row r="3" spans="1:8" x14ac:dyDescent="0.2">
      <c r="A3" s="1" t="s">
        <v>0</v>
      </c>
      <c r="B3" s="1"/>
      <c r="C3" s="1"/>
      <c r="D3" s="1"/>
      <c r="E3" s="1"/>
      <c r="F3" s="1"/>
    </row>
    <row r="4" spans="1:8" x14ac:dyDescent="0.2">
      <c r="A4" s="4" t="s">
        <v>104</v>
      </c>
      <c r="B4" s="4"/>
      <c r="C4" s="4"/>
      <c r="D4" s="4"/>
      <c r="E4" s="4"/>
      <c r="F4" s="1"/>
    </row>
    <row r="7" spans="1:8" x14ac:dyDescent="0.2">
      <c r="A7" s="22"/>
      <c r="B7" s="23"/>
      <c r="C7" s="23"/>
      <c r="D7" s="23"/>
      <c r="E7" s="23"/>
      <c r="F7" s="23"/>
      <c r="G7" s="3" t="str">
        <f>'RB vs Cap BP DR-01-024 Pg1'!E6</f>
        <v>STAFF-DR-01-024</v>
      </c>
      <c r="H7" s="23"/>
    </row>
    <row r="8" spans="1:8" x14ac:dyDescent="0.2">
      <c r="A8" s="22"/>
      <c r="B8" s="23"/>
      <c r="C8" s="23"/>
      <c r="D8" s="23"/>
      <c r="E8" s="23"/>
      <c r="F8" s="23"/>
      <c r="G8" s="6" t="s">
        <v>101</v>
      </c>
      <c r="H8" s="23"/>
    </row>
    <row r="9" spans="1:8" x14ac:dyDescent="0.2">
      <c r="A9" s="22"/>
      <c r="B9" s="23"/>
      <c r="C9" s="23"/>
      <c r="D9" s="23"/>
      <c r="E9" s="23"/>
      <c r="F9" s="23"/>
      <c r="G9" s="6" t="s">
        <v>2</v>
      </c>
      <c r="H9" s="23"/>
    </row>
    <row r="10" spans="1:8" x14ac:dyDescent="0.2">
      <c r="A10" s="24"/>
      <c r="B10" s="23"/>
      <c r="C10" s="23"/>
      <c r="D10" s="23"/>
      <c r="E10" s="23"/>
      <c r="F10" s="23"/>
      <c r="G10" s="6" t="s">
        <v>105</v>
      </c>
      <c r="H10" s="23"/>
    </row>
    <row r="11" spans="1:8" x14ac:dyDescent="0.2">
      <c r="A11" s="25"/>
      <c r="B11" s="25"/>
      <c r="C11" s="23"/>
      <c r="D11" s="23"/>
      <c r="E11" s="23"/>
      <c r="F11" s="23"/>
      <c r="G11" s="23"/>
    </row>
    <row r="12" spans="1:8" x14ac:dyDescent="0.2">
      <c r="A12" s="23"/>
      <c r="B12" s="23"/>
      <c r="C12" s="23"/>
      <c r="D12" s="23"/>
      <c r="E12" s="23"/>
      <c r="F12" s="23"/>
      <c r="G12" s="23"/>
    </row>
    <row r="13" spans="1:8" x14ac:dyDescent="0.2">
      <c r="A13" s="23"/>
      <c r="B13" s="23"/>
      <c r="C13" s="23"/>
      <c r="D13" s="23"/>
      <c r="E13" s="23"/>
      <c r="F13" s="23"/>
      <c r="G13" s="23"/>
    </row>
    <row r="14" spans="1:8" x14ac:dyDescent="0.2">
      <c r="A14" s="23"/>
      <c r="B14" s="23"/>
      <c r="C14" s="23"/>
      <c r="D14" s="23"/>
      <c r="E14" s="26"/>
      <c r="F14" s="26"/>
      <c r="G14" s="26"/>
    </row>
    <row r="15" spans="1:8" x14ac:dyDescent="0.2">
      <c r="A15" s="27" t="s">
        <v>3</v>
      </c>
      <c r="B15" s="27"/>
      <c r="C15" s="27"/>
      <c r="D15" s="27"/>
      <c r="E15" s="28" t="s">
        <v>34</v>
      </c>
      <c r="F15" s="28"/>
      <c r="G15" s="28"/>
    </row>
    <row r="16" spans="1:8" x14ac:dyDescent="0.2">
      <c r="A16" s="29" t="s">
        <v>4</v>
      </c>
      <c r="B16" s="29"/>
      <c r="C16" s="29" t="s">
        <v>5</v>
      </c>
      <c r="D16" s="29"/>
      <c r="E16" s="29" t="s">
        <v>35</v>
      </c>
      <c r="F16" s="29"/>
      <c r="G16" s="29" t="s">
        <v>36</v>
      </c>
    </row>
    <row r="17" spans="1:7" x14ac:dyDescent="0.2">
      <c r="A17" s="23"/>
      <c r="B17" s="23"/>
      <c r="C17" s="23"/>
      <c r="D17" s="23"/>
      <c r="E17" s="23"/>
      <c r="F17" s="23"/>
      <c r="G17" s="23"/>
    </row>
    <row r="18" spans="1:7" x14ac:dyDescent="0.2">
      <c r="A18" s="27">
        <v>1</v>
      </c>
      <c r="B18" s="23" t="s">
        <v>37</v>
      </c>
      <c r="C18" s="13"/>
      <c r="D18" s="30" t="s">
        <v>38</v>
      </c>
      <c r="E18" s="20">
        <v>2040794837</v>
      </c>
      <c r="F18" s="23"/>
      <c r="G18" s="23"/>
    </row>
    <row r="19" spans="1:7" x14ac:dyDescent="0.2">
      <c r="A19" s="27">
        <f t="shared" ref="A19:A30" si="0">A18+1</f>
        <v>2</v>
      </c>
      <c r="B19" s="27"/>
      <c r="C19" s="23"/>
      <c r="D19" s="23"/>
      <c r="E19" s="23"/>
      <c r="F19" s="23"/>
      <c r="G19" s="23"/>
    </row>
    <row r="20" spans="1:7" x14ac:dyDescent="0.2">
      <c r="A20" s="27">
        <f t="shared" si="0"/>
        <v>3</v>
      </c>
      <c r="B20" s="23" t="s">
        <v>39</v>
      </c>
      <c r="C20" s="13" t="s">
        <v>40</v>
      </c>
      <c r="D20" s="30" t="s">
        <v>41</v>
      </c>
      <c r="E20" s="31">
        <f>'RB vs Cap DR-01-024 Pg3'!H52</f>
        <v>165651</v>
      </c>
      <c r="F20" s="23"/>
      <c r="G20" s="23"/>
    </row>
    <row r="21" spans="1:7" x14ac:dyDescent="0.2">
      <c r="A21" s="27">
        <f t="shared" si="0"/>
        <v>4</v>
      </c>
      <c r="B21" s="13"/>
      <c r="C21" s="23" t="s">
        <v>42</v>
      </c>
      <c r="D21" s="30" t="s">
        <v>41</v>
      </c>
      <c r="E21" s="31">
        <f>'RB vs Cap DR-01-024 Pg3'!L52</f>
        <v>-4593952</v>
      </c>
      <c r="F21" s="23"/>
      <c r="G21" s="23"/>
    </row>
    <row r="22" spans="1:7" x14ac:dyDescent="0.2">
      <c r="A22" s="27">
        <f t="shared" si="0"/>
        <v>5</v>
      </c>
      <c r="B22" s="13"/>
      <c r="C22" s="23" t="s">
        <v>43</v>
      </c>
      <c r="D22" s="30" t="s">
        <v>41</v>
      </c>
      <c r="E22" s="31">
        <f>'RB vs Cap DR-01-024 Pg3'!M52</f>
        <v>-33080742</v>
      </c>
      <c r="F22" s="23"/>
      <c r="G22" s="23"/>
    </row>
    <row r="23" spans="1:7" x14ac:dyDescent="0.2">
      <c r="A23" s="27">
        <f t="shared" si="0"/>
        <v>6</v>
      </c>
      <c r="B23" s="13"/>
      <c r="C23" s="13"/>
      <c r="D23" s="23"/>
      <c r="E23" s="31"/>
      <c r="F23" s="23"/>
      <c r="G23" s="23"/>
    </row>
    <row r="24" spans="1:7" x14ac:dyDescent="0.2">
      <c r="A24" s="27">
        <f t="shared" si="0"/>
        <v>7</v>
      </c>
      <c r="B24" s="23" t="s">
        <v>44</v>
      </c>
      <c r="C24" s="13"/>
      <c r="D24" s="23"/>
      <c r="E24" s="31">
        <f>E18-E20-E21-E22-E23</f>
        <v>2078303880</v>
      </c>
      <c r="F24" s="23"/>
      <c r="G24" s="23"/>
    </row>
    <row r="25" spans="1:7" x14ac:dyDescent="0.2">
      <c r="A25" s="27">
        <f t="shared" si="0"/>
        <v>8</v>
      </c>
      <c r="B25" s="23"/>
      <c r="C25" s="13"/>
      <c r="D25" s="23"/>
      <c r="E25" s="23"/>
      <c r="F25" s="23"/>
      <c r="G25" s="23"/>
    </row>
    <row r="26" spans="1:7" x14ac:dyDescent="0.2">
      <c r="A26" s="27">
        <f t="shared" si="0"/>
        <v>9</v>
      </c>
      <c r="B26" s="23" t="s">
        <v>45</v>
      </c>
      <c r="C26" s="13"/>
      <c r="D26" s="30" t="s">
        <v>41</v>
      </c>
      <c r="E26" s="32">
        <f>ERBR_BP</f>
        <v>0.64871000000000001</v>
      </c>
      <c r="F26" s="23"/>
      <c r="G26" s="31">
        <f>ROUND(E24*E26,0)</f>
        <v>1348216510</v>
      </c>
    </row>
    <row r="27" spans="1:7" x14ac:dyDescent="0.2">
      <c r="A27" s="27">
        <f t="shared" si="0"/>
        <v>10</v>
      </c>
      <c r="B27" s="23"/>
      <c r="C27" s="13"/>
      <c r="D27" s="23"/>
      <c r="E27" s="33"/>
      <c r="F27" s="23"/>
      <c r="G27" s="31"/>
    </row>
    <row r="28" spans="1:7" x14ac:dyDescent="0.2">
      <c r="A28" s="27">
        <f t="shared" si="0"/>
        <v>11</v>
      </c>
      <c r="B28" s="23" t="s">
        <v>46</v>
      </c>
      <c r="C28" s="13"/>
      <c r="D28" s="30" t="s">
        <v>47</v>
      </c>
      <c r="E28" s="32"/>
      <c r="F28" s="23"/>
      <c r="G28" s="20">
        <v>5135704</v>
      </c>
    </row>
    <row r="29" spans="1:7" x14ac:dyDescent="0.2">
      <c r="A29" s="27">
        <f t="shared" si="0"/>
        <v>12</v>
      </c>
      <c r="B29" s="23"/>
      <c r="C29" s="13"/>
      <c r="D29" s="23"/>
      <c r="E29" s="23"/>
      <c r="F29" s="23"/>
      <c r="G29" s="31"/>
    </row>
    <row r="30" spans="1:7" x14ac:dyDescent="0.2">
      <c r="A30" s="27">
        <f t="shared" si="0"/>
        <v>13</v>
      </c>
      <c r="B30" s="23" t="s">
        <v>48</v>
      </c>
      <c r="C30" s="13"/>
      <c r="D30" s="23"/>
      <c r="E30" s="31"/>
      <c r="F30" s="23"/>
      <c r="G30" s="34">
        <f>SUM(G26:G28)</f>
        <v>1353352214</v>
      </c>
    </row>
    <row r="31" spans="1:7" x14ac:dyDescent="0.2">
      <c r="A31" s="23"/>
      <c r="B31" s="23"/>
      <c r="C31" s="23"/>
      <c r="D31" s="23"/>
      <c r="E31" s="23"/>
      <c r="F31" s="23"/>
      <c r="G31" s="23"/>
    </row>
    <row r="32" spans="1:7" x14ac:dyDescent="0.2">
      <c r="A32" s="23"/>
      <c r="B32" s="23"/>
      <c r="C32" s="23"/>
      <c r="D32" s="23"/>
      <c r="E32" s="23"/>
      <c r="F32" s="23"/>
      <c r="G32" s="23"/>
    </row>
    <row r="33" spans="1:7" x14ac:dyDescent="0.2">
      <c r="A33" s="23"/>
      <c r="B33" s="23" t="s">
        <v>49</v>
      </c>
      <c r="C33" s="23"/>
      <c r="D33" s="23"/>
      <c r="E33" s="23"/>
      <c r="F33" s="23"/>
      <c r="G33" s="27"/>
    </row>
    <row r="34" spans="1:7" x14ac:dyDescent="0.2">
      <c r="A34" s="23"/>
      <c r="B34" s="35" t="s">
        <v>50</v>
      </c>
      <c r="C34" s="23"/>
      <c r="D34" s="23"/>
      <c r="E34" s="23"/>
      <c r="F34" s="23"/>
      <c r="G34" s="27"/>
    </row>
    <row r="35" spans="1:7" x14ac:dyDescent="0.2">
      <c r="B35" s="35" t="s">
        <v>51</v>
      </c>
    </row>
    <row r="36" spans="1:7" x14ac:dyDescent="0.2">
      <c r="B36" s="35" t="s">
        <v>52</v>
      </c>
    </row>
    <row r="37" spans="1:7" x14ac:dyDescent="0.2">
      <c r="B37" s="35"/>
    </row>
    <row r="38" spans="1:7" x14ac:dyDescent="0.2">
      <c r="B38" s="35"/>
    </row>
    <row r="39" spans="1:7" x14ac:dyDescent="0.2">
      <c r="B39" s="35"/>
    </row>
  </sheetData>
  <pageMargins left="0.7" right="0.7" top="0.75" bottom="0.75" header="0.3" footer="0.3"/>
  <pageSetup scale="50" orientation="portrait" r:id="rId1"/>
  <headerFooter>
    <oddHeader xml:space="preserve">&amp;R&amp;"Times New Roman,Bold"&amp;10KyPSC Case No. 2024-00354
STAFF-DR-01-024 Attachment
Page &amp;P of &amp;N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87A33-F4C1-4946-985A-8EE9D5945B08}">
  <sheetPr codeName="Sheet66"/>
  <dimension ref="A1:O61"/>
  <sheetViews>
    <sheetView view="pageLayout" topLeftCell="B1" zoomScaleNormal="90" workbookViewId="0">
      <selection activeCell="G4" sqref="G4:G5"/>
    </sheetView>
  </sheetViews>
  <sheetFormatPr defaultColWidth="8.85546875" defaultRowHeight="12.75" x14ac:dyDescent="0.2"/>
  <cols>
    <col min="1" max="1" width="9.42578125" style="2" customWidth="1"/>
    <col min="2" max="2" width="53.5703125" style="2" customWidth="1"/>
    <col min="3" max="3" width="15.42578125" style="2" bestFit="1" customWidth="1"/>
    <col min="4" max="4" width="8.85546875" style="2"/>
    <col min="5" max="5" width="14.140625" style="2" customWidth="1"/>
    <col min="6" max="6" width="17.42578125" style="2" bestFit="1" customWidth="1"/>
    <col min="7" max="7" width="3.42578125" style="2" bestFit="1" customWidth="1"/>
    <col min="8" max="8" width="12.5703125" style="2" customWidth="1"/>
    <col min="9" max="9" width="3.42578125" style="2" bestFit="1" customWidth="1"/>
    <col min="10" max="10" width="14.85546875" style="2" customWidth="1"/>
    <col min="11" max="11" width="4.5703125" style="2" customWidth="1"/>
    <col min="12" max="12" width="11.5703125" style="2" customWidth="1"/>
    <col min="13" max="13" width="13.140625" style="2" customWidth="1"/>
    <col min="14" max="16384" width="8.85546875" style="2"/>
  </cols>
  <sheetData>
    <row r="1" spans="1:13" x14ac:dyDescent="0.2">
      <c r="A1" s="1" t="s">
        <v>103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">
      <c r="A2" s="1" t="s">
        <v>106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x14ac:dyDescent="0.2">
      <c r="A3" s="1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" x14ac:dyDescent="0.25">
      <c r="A4" s="37" t="s">
        <v>104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6" spans="1:13" x14ac:dyDescent="0.2">
      <c r="A6" s="22"/>
      <c r="L6" s="3" t="str">
        <f>'RB vs Cap BP DR-01-024 Pg1'!E6</f>
        <v>STAFF-DR-01-024</v>
      </c>
    </row>
    <row r="7" spans="1:13" x14ac:dyDescent="0.2">
      <c r="A7" s="22"/>
      <c r="B7" s="38"/>
      <c r="C7" s="38"/>
      <c r="D7" s="38"/>
      <c r="E7" s="23"/>
      <c r="F7" s="23"/>
      <c r="G7" s="23"/>
      <c r="H7" s="23"/>
      <c r="I7" s="23"/>
      <c r="L7" s="6" t="s">
        <v>102</v>
      </c>
      <c r="M7" s="23"/>
    </row>
    <row r="8" spans="1:13" x14ac:dyDescent="0.2">
      <c r="A8" s="22"/>
      <c r="B8" s="38"/>
      <c r="C8" s="38"/>
      <c r="D8" s="38"/>
      <c r="E8" s="23"/>
      <c r="F8" s="23"/>
      <c r="G8" s="23"/>
      <c r="H8" s="23"/>
      <c r="I8" s="23"/>
      <c r="L8" s="6" t="s">
        <v>2</v>
      </c>
      <c r="M8" s="23"/>
    </row>
    <row r="9" spans="1:13" x14ac:dyDescent="0.2">
      <c r="A9" s="24"/>
      <c r="B9" s="38"/>
      <c r="C9" s="38"/>
      <c r="D9" s="38"/>
      <c r="E9" s="23"/>
      <c r="F9" s="23"/>
      <c r="G9" s="23"/>
      <c r="H9" s="23"/>
      <c r="I9" s="23"/>
      <c r="L9" s="6" t="s">
        <v>105</v>
      </c>
      <c r="M9" s="23"/>
    </row>
    <row r="10" spans="1:13" x14ac:dyDescent="0.2">
      <c r="A10" s="39"/>
      <c r="B10" s="38"/>
      <c r="C10" s="38"/>
      <c r="D10" s="38"/>
      <c r="E10" s="23"/>
      <c r="F10" s="23"/>
      <c r="G10" s="23"/>
      <c r="H10" s="23"/>
      <c r="I10" s="23"/>
      <c r="J10" s="23"/>
      <c r="K10" s="23"/>
      <c r="L10" s="23"/>
      <c r="M10" s="23"/>
    </row>
    <row r="11" spans="1:13" x14ac:dyDescent="0.2">
      <c r="A11" s="22"/>
      <c r="B11" s="38"/>
      <c r="C11" s="38"/>
      <c r="D11" s="38"/>
      <c r="E11" s="38"/>
      <c r="F11" s="38"/>
      <c r="G11" s="38"/>
      <c r="H11" s="23"/>
      <c r="I11" s="23"/>
      <c r="J11" s="23"/>
      <c r="K11" s="23"/>
      <c r="L11" s="23"/>
      <c r="M11" s="23"/>
    </row>
    <row r="12" spans="1:13" x14ac:dyDescent="0.2">
      <c r="A12" s="38"/>
      <c r="B12" s="38"/>
      <c r="C12" s="38"/>
      <c r="D12" s="38"/>
      <c r="E12" s="38"/>
      <c r="F12" s="40"/>
      <c r="G12" s="40"/>
      <c r="H12" s="23"/>
      <c r="I12" s="23"/>
      <c r="J12" s="40"/>
      <c r="K12" s="40"/>
      <c r="L12" s="23"/>
      <c r="M12" s="23"/>
    </row>
    <row r="13" spans="1:13" x14ac:dyDescent="0.2">
      <c r="A13" s="38"/>
      <c r="B13" s="38"/>
      <c r="C13" s="38"/>
      <c r="D13" s="38"/>
      <c r="E13" s="38"/>
      <c r="F13" s="40"/>
      <c r="G13" s="40"/>
      <c r="H13" s="23"/>
      <c r="I13" s="23"/>
      <c r="J13" s="40"/>
      <c r="K13" s="40"/>
      <c r="L13" s="23"/>
      <c r="M13" s="23"/>
    </row>
    <row r="14" spans="1:13" x14ac:dyDescent="0.2">
      <c r="A14" s="40" t="s">
        <v>3</v>
      </c>
      <c r="B14" s="38"/>
      <c r="C14" s="40" t="s">
        <v>53</v>
      </c>
      <c r="D14" s="38"/>
      <c r="E14" s="40" t="s">
        <v>35</v>
      </c>
      <c r="F14" s="40" t="s">
        <v>54</v>
      </c>
      <c r="G14" s="40"/>
      <c r="H14" s="40" t="s">
        <v>54</v>
      </c>
      <c r="I14" s="40"/>
      <c r="J14" s="40" t="s">
        <v>36</v>
      </c>
      <c r="K14" s="40"/>
      <c r="L14" s="40" t="s">
        <v>36</v>
      </c>
      <c r="M14" s="40" t="s">
        <v>55</v>
      </c>
    </row>
    <row r="15" spans="1:13" x14ac:dyDescent="0.2">
      <c r="A15" s="41" t="s">
        <v>4</v>
      </c>
      <c r="B15" s="42" t="s">
        <v>5</v>
      </c>
      <c r="C15" s="41" t="s">
        <v>56</v>
      </c>
      <c r="D15" s="43"/>
      <c r="E15" s="41" t="s">
        <v>57</v>
      </c>
      <c r="F15" s="41" t="s">
        <v>58</v>
      </c>
      <c r="G15" s="41"/>
      <c r="H15" s="41" t="s">
        <v>59</v>
      </c>
      <c r="I15" s="41"/>
      <c r="J15" s="41" t="s">
        <v>58</v>
      </c>
      <c r="K15" s="41"/>
      <c r="L15" s="41" t="s">
        <v>59</v>
      </c>
      <c r="M15" s="41" t="s">
        <v>58</v>
      </c>
    </row>
    <row r="16" spans="1:13" x14ac:dyDescent="0.2">
      <c r="A16" s="40"/>
      <c r="B16" s="38"/>
      <c r="C16" s="38"/>
      <c r="D16" s="38"/>
      <c r="E16" s="38"/>
      <c r="F16" s="38"/>
      <c r="G16" s="38"/>
      <c r="H16" s="23"/>
      <c r="I16" s="23"/>
      <c r="J16" s="23"/>
      <c r="K16" s="23"/>
      <c r="L16" s="23"/>
      <c r="M16" s="23"/>
    </row>
    <row r="17" spans="1:15" x14ac:dyDescent="0.2">
      <c r="A17" s="40">
        <v>1</v>
      </c>
      <c r="B17" s="22" t="s">
        <v>60</v>
      </c>
      <c r="C17" s="40" t="s">
        <v>61</v>
      </c>
      <c r="D17" s="38"/>
      <c r="E17" s="44">
        <f>SUM(F17:M17)</f>
        <v>3384074466</v>
      </c>
      <c r="F17" s="45">
        <f>1057989914-H17</f>
        <v>1057989914</v>
      </c>
      <c r="G17" s="46"/>
      <c r="H17" s="45">
        <v>0</v>
      </c>
      <c r="I17" s="45"/>
      <c r="J17" s="45">
        <v>2326084552</v>
      </c>
      <c r="K17" s="45"/>
      <c r="L17" s="45">
        <v>0</v>
      </c>
      <c r="M17" s="45">
        <v>0</v>
      </c>
      <c r="O17" s="14"/>
    </row>
    <row r="18" spans="1:15" ht="15" x14ac:dyDescent="0.25">
      <c r="A18" s="40">
        <v>2</v>
      </c>
      <c r="B18" s="22"/>
      <c r="C18" s="40"/>
      <c r="D18" s="38"/>
      <c r="E18" s="44"/>
      <c r="F18" s="44"/>
      <c r="G18" s="44"/>
      <c r="H18" s="45"/>
      <c r="I18" s="45"/>
      <c r="J18" s="45"/>
      <c r="K18" s="45"/>
      <c r="L18" s="45"/>
      <c r="M18" s="45"/>
      <c r="O18" s="47"/>
    </row>
    <row r="19" spans="1:15" ht="15" x14ac:dyDescent="0.25">
      <c r="A19" s="40">
        <v>3</v>
      </c>
      <c r="B19" s="22" t="s">
        <v>62</v>
      </c>
      <c r="C19" s="38"/>
      <c r="D19" s="38"/>
      <c r="E19" s="44"/>
      <c r="F19" s="44"/>
      <c r="G19" s="44"/>
      <c r="H19" s="45"/>
      <c r="I19" s="45"/>
      <c r="J19" s="45"/>
      <c r="K19" s="45"/>
      <c r="L19" s="45"/>
      <c r="M19" s="45"/>
      <c r="O19" s="47"/>
    </row>
    <row r="20" spans="1:15" ht="15" x14ac:dyDescent="0.25">
      <c r="A20" s="40">
        <v>4</v>
      </c>
      <c r="B20" s="22" t="s">
        <v>63</v>
      </c>
      <c r="C20" s="40" t="s">
        <v>64</v>
      </c>
      <c r="D20" s="38"/>
      <c r="E20" s="44">
        <f>SUM(F20:M20)</f>
        <v>103019941</v>
      </c>
      <c r="F20" s="45">
        <v>18123854</v>
      </c>
      <c r="G20" s="45"/>
      <c r="H20" s="45"/>
      <c r="I20" s="45"/>
      <c r="J20" s="45">
        <v>84896087</v>
      </c>
      <c r="K20" s="45"/>
      <c r="L20" s="45">
        <v>0</v>
      </c>
      <c r="M20" s="45">
        <v>0</v>
      </c>
      <c r="O20" s="47"/>
    </row>
    <row r="21" spans="1:15" ht="15" x14ac:dyDescent="0.25">
      <c r="A21" s="40">
        <v>5</v>
      </c>
      <c r="B21" s="38"/>
      <c r="C21" s="38"/>
      <c r="D21" s="38"/>
      <c r="E21" s="48"/>
      <c r="F21" s="45"/>
      <c r="G21" s="45"/>
      <c r="H21" s="45"/>
      <c r="I21" s="45"/>
      <c r="J21" s="45"/>
      <c r="K21" s="45"/>
      <c r="L21" s="45"/>
      <c r="M21" s="49"/>
      <c r="O21" s="47"/>
    </row>
    <row r="22" spans="1:15" ht="15" x14ac:dyDescent="0.25">
      <c r="A22" s="40">
        <v>6</v>
      </c>
      <c r="B22" s="38" t="s">
        <v>65</v>
      </c>
      <c r="C22" s="40" t="s">
        <v>66</v>
      </c>
      <c r="D22" s="38"/>
      <c r="E22" s="44">
        <f>SUM(F22:M22)</f>
        <v>29979315</v>
      </c>
      <c r="F22" s="45">
        <v>0</v>
      </c>
      <c r="G22" s="45"/>
      <c r="H22" s="45">
        <v>0</v>
      </c>
      <c r="I22" s="45"/>
      <c r="J22" s="45">
        <v>29979315</v>
      </c>
      <c r="K22" s="45"/>
      <c r="L22" s="45">
        <v>0</v>
      </c>
      <c r="M22" s="45">
        <v>0</v>
      </c>
      <c r="O22" s="47"/>
    </row>
    <row r="23" spans="1:15" ht="15" x14ac:dyDescent="0.25">
      <c r="A23" s="40">
        <v>7</v>
      </c>
      <c r="B23" s="38"/>
      <c r="C23" s="38"/>
      <c r="D23" s="38"/>
      <c r="E23" s="48"/>
      <c r="F23" s="45"/>
      <c r="G23" s="45"/>
      <c r="H23" s="45"/>
      <c r="I23" s="45"/>
      <c r="J23" s="45"/>
      <c r="K23" s="45"/>
      <c r="L23" s="45"/>
      <c r="M23" s="49"/>
      <c r="O23" s="47"/>
    </row>
    <row r="24" spans="1:15" ht="15" x14ac:dyDescent="0.25">
      <c r="A24" s="40">
        <v>8</v>
      </c>
      <c r="B24" s="22" t="s">
        <v>67</v>
      </c>
      <c r="C24" s="38"/>
      <c r="D24" s="38"/>
      <c r="E24" s="50"/>
      <c r="F24" s="45"/>
      <c r="G24" s="45"/>
      <c r="H24" s="45"/>
      <c r="I24" s="45"/>
      <c r="J24" s="45"/>
      <c r="K24" s="45"/>
      <c r="L24" s="45"/>
      <c r="M24" s="45"/>
      <c r="O24" s="47"/>
    </row>
    <row r="25" spans="1:15" ht="15" x14ac:dyDescent="0.25">
      <c r="A25" s="40">
        <v>9</v>
      </c>
      <c r="B25" s="22" t="s">
        <v>68</v>
      </c>
      <c r="C25" s="40" t="s">
        <v>69</v>
      </c>
      <c r="D25" s="38"/>
      <c r="E25" s="44">
        <v>0</v>
      </c>
      <c r="F25" s="45">
        <v>0</v>
      </c>
      <c r="G25" s="45"/>
      <c r="H25" s="45">
        <f>E25-F25</f>
        <v>0</v>
      </c>
      <c r="I25" s="45"/>
      <c r="J25" s="45">
        <v>0</v>
      </c>
      <c r="K25" s="45"/>
      <c r="L25" s="45">
        <v>0</v>
      </c>
      <c r="M25" s="45">
        <v>0</v>
      </c>
      <c r="O25" s="47"/>
    </row>
    <row r="26" spans="1:15" ht="15" x14ac:dyDescent="0.25">
      <c r="A26" s="40">
        <v>10</v>
      </c>
      <c r="B26" s="22" t="s">
        <v>70</v>
      </c>
      <c r="C26" s="40" t="s">
        <v>71</v>
      </c>
      <c r="D26" s="38"/>
      <c r="E26" s="44">
        <v>20851933</v>
      </c>
      <c r="F26" s="45">
        <f>E26-J26</f>
        <v>755257</v>
      </c>
      <c r="G26" s="45"/>
      <c r="H26" s="45">
        <v>0</v>
      </c>
      <c r="I26" s="45"/>
      <c r="J26" s="45">
        <v>20096676</v>
      </c>
      <c r="K26" s="45"/>
      <c r="L26" s="45">
        <v>0</v>
      </c>
      <c r="M26" s="45">
        <v>0</v>
      </c>
      <c r="O26" s="47"/>
    </row>
    <row r="27" spans="1:15" ht="15" x14ac:dyDescent="0.25">
      <c r="A27" s="40">
        <v>11</v>
      </c>
      <c r="B27" s="40" t="s">
        <v>72</v>
      </c>
      <c r="C27" s="38"/>
      <c r="D27" s="38"/>
      <c r="E27" s="51">
        <f>E25+E26</f>
        <v>20851933</v>
      </c>
      <c r="F27" s="51">
        <f>F25+F26</f>
        <v>755257</v>
      </c>
      <c r="G27" s="44"/>
      <c r="H27" s="51">
        <f>H25+H26</f>
        <v>0</v>
      </c>
      <c r="I27" s="44"/>
      <c r="J27" s="51">
        <f>J25+J26</f>
        <v>20096676</v>
      </c>
      <c r="K27" s="51"/>
      <c r="L27" s="51">
        <f>L25+L26</f>
        <v>0</v>
      </c>
      <c r="M27" s="51">
        <f>M25+M26</f>
        <v>0</v>
      </c>
      <c r="O27" s="47"/>
    </row>
    <row r="28" spans="1:15" ht="15" x14ac:dyDescent="0.25">
      <c r="A28" s="40">
        <v>12</v>
      </c>
      <c r="B28" s="38"/>
      <c r="C28" s="38"/>
      <c r="D28" s="38"/>
      <c r="E28" s="44"/>
      <c r="F28" s="44"/>
      <c r="G28" s="44"/>
      <c r="H28" s="44"/>
      <c r="I28" s="44"/>
      <c r="J28" s="44"/>
      <c r="K28" s="44"/>
      <c r="L28" s="23"/>
      <c r="M28" s="23"/>
      <c r="O28" s="47"/>
    </row>
    <row r="29" spans="1:15" ht="15" x14ac:dyDescent="0.25">
      <c r="A29" s="40">
        <v>13</v>
      </c>
      <c r="B29" s="22" t="s">
        <v>73</v>
      </c>
      <c r="C29" s="40" t="s">
        <v>74</v>
      </c>
      <c r="D29" s="38"/>
      <c r="E29" s="44">
        <f>SUM(F29:M29)</f>
        <v>2565012</v>
      </c>
      <c r="F29" s="45">
        <v>2565012</v>
      </c>
      <c r="G29" s="46"/>
      <c r="H29" s="45">
        <v>0</v>
      </c>
      <c r="I29" s="45"/>
      <c r="J29" s="45">
        <v>0</v>
      </c>
      <c r="K29" s="45"/>
      <c r="L29" s="45">
        <v>0</v>
      </c>
      <c r="M29" s="45">
        <v>0</v>
      </c>
      <c r="O29" s="47"/>
    </row>
    <row r="30" spans="1:15" ht="15" x14ac:dyDescent="0.25">
      <c r="A30" s="40">
        <v>14</v>
      </c>
      <c r="B30" s="38"/>
      <c r="C30" s="38"/>
      <c r="D30" s="38"/>
      <c r="E30" s="50"/>
      <c r="F30" s="45"/>
      <c r="G30" s="45"/>
      <c r="H30" s="45"/>
      <c r="I30" s="45"/>
      <c r="J30" s="45"/>
      <c r="K30" s="45"/>
      <c r="L30" s="45"/>
      <c r="M30" s="45"/>
      <c r="O30" s="47"/>
    </row>
    <row r="31" spans="1:15" ht="15" x14ac:dyDescent="0.25">
      <c r="A31" s="40">
        <v>15</v>
      </c>
      <c r="B31" s="22" t="s">
        <v>75</v>
      </c>
      <c r="C31" s="40" t="s">
        <v>76</v>
      </c>
      <c r="D31" s="38"/>
      <c r="E31" s="44">
        <f>SUM(F31:M31)</f>
        <v>2895819</v>
      </c>
      <c r="F31" s="45">
        <v>69100</v>
      </c>
      <c r="G31" s="45"/>
      <c r="H31" s="45">
        <v>165651</v>
      </c>
      <c r="I31" s="45"/>
      <c r="J31" s="45">
        <v>2119316</v>
      </c>
      <c r="K31" s="45"/>
      <c r="L31" s="45">
        <v>541752</v>
      </c>
      <c r="M31" s="45">
        <v>0</v>
      </c>
      <c r="O31" s="47"/>
    </row>
    <row r="32" spans="1:15" ht="15" x14ac:dyDescent="0.25">
      <c r="A32" s="40">
        <v>16</v>
      </c>
      <c r="B32" s="38"/>
      <c r="C32" s="38"/>
      <c r="D32" s="38"/>
      <c r="E32" s="50"/>
      <c r="F32" s="45"/>
      <c r="G32" s="45"/>
      <c r="H32" s="45"/>
      <c r="I32" s="45"/>
      <c r="J32" s="45"/>
      <c r="K32" s="45"/>
      <c r="L32" s="45"/>
      <c r="M32" s="45"/>
      <c r="O32" s="47"/>
    </row>
    <row r="33" spans="1:15" ht="15" x14ac:dyDescent="0.25">
      <c r="A33" s="40">
        <v>17</v>
      </c>
      <c r="B33" s="38" t="s">
        <v>77</v>
      </c>
      <c r="C33" s="40" t="s">
        <v>78</v>
      </c>
      <c r="D33" s="38"/>
      <c r="E33" s="44">
        <f>SUM(F33:M33)</f>
        <v>0</v>
      </c>
      <c r="F33" s="45">
        <v>0</v>
      </c>
      <c r="G33" s="45"/>
      <c r="H33" s="45">
        <v>0</v>
      </c>
      <c r="I33" s="45"/>
      <c r="J33" s="45">
        <v>0</v>
      </c>
      <c r="K33" s="45"/>
      <c r="L33" s="45">
        <v>0</v>
      </c>
      <c r="M33" s="49">
        <v>0</v>
      </c>
      <c r="O33" s="47"/>
    </row>
    <row r="34" spans="1:15" ht="15" x14ac:dyDescent="0.25">
      <c r="A34" s="40">
        <v>18</v>
      </c>
      <c r="B34" s="38"/>
      <c r="C34" s="38"/>
      <c r="D34" s="38"/>
      <c r="E34" s="50"/>
      <c r="F34" s="45"/>
      <c r="G34" s="45"/>
      <c r="H34" s="45"/>
      <c r="I34" s="45"/>
      <c r="J34" s="45"/>
      <c r="K34" s="45"/>
      <c r="L34" s="45"/>
      <c r="M34" s="45"/>
      <c r="O34" s="47"/>
    </row>
    <row r="35" spans="1:15" ht="15" x14ac:dyDescent="0.25">
      <c r="A35" s="40">
        <v>19</v>
      </c>
      <c r="B35" s="22" t="s">
        <v>79</v>
      </c>
      <c r="C35" s="40" t="s">
        <v>80</v>
      </c>
      <c r="D35" s="38"/>
      <c r="E35" s="44">
        <f>SUM(F35:M35)</f>
        <v>7495342</v>
      </c>
      <c r="F35" s="45">
        <v>0</v>
      </c>
      <c r="G35" s="45"/>
      <c r="H35" s="45">
        <v>0</v>
      </c>
      <c r="I35" s="45"/>
      <c r="J35" s="45">
        <v>7495342</v>
      </c>
      <c r="K35" s="45"/>
      <c r="L35" s="45">
        <v>0</v>
      </c>
      <c r="M35" s="49">
        <v>0</v>
      </c>
      <c r="O35" s="47"/>
    </row>
    <row r="36" spans="1:15" ht="15" x14ac:dyDescent="0.25">
      <c r="A36" s="40">
        <v>20</v>
      </c>
      <c r="B36" s="22"/>
      <c r="C36" s="40"/>
      <c r="D36" s="38"/>
      <c r="E36" s="44"/>
      <c r="F36" s="45"/>
      <c r="G36" s="45"/>
      <c r="H36" s="45"/>
      <c r="I36" s="45"/>
      <c r="J36" s="45"/>
      <c r="K36" s="45"/>
      <c r="L36" s="45"/>
      <c r="M36" s="45"/>
      <c r="O36" s="47"/>
    </row>
    <row r="37" spans="1:15" ht="15" x14ac:dyDescent="0.25">
      <c r="A37" s="40">
        <v>21</v>
      </c>
      <c r="B37" s="22" t="s">
        <v>81</v>
      </c>
      <c r="C37" s="40" t="s">
        <v>82</v>
      </c>
      <c r="D37" s="38"/>
      <c r="E37" s="44">
        <f>SUM(F37:M37)</f>
        <v>15891872</v>
      </c>
      <c r="F37" s="45">
        <v>0</v>
      </c>
      <c r="G37" s="45"/>
      <c r="H37" s="45">
        <v>0</v>
      </c>
      <c r="I37" s="45"/>
      <c r="J37" s="45">
        <v>15891872</v>
      </c>
      <c r="K37" s="45"/>
      <c r="L37" s="45">
        <v>0</v>
      </c>
      <c r="M37" s="45">
        <v>0</v>
      </c>
      <c r="O37" s="47"/>
    </row>
    <row r="38" spans="1:15" ht="15" x14ac:dyDescent="0.25">
      <c r="A38" s="40">
        <v>22</v>
      </c>
      <c r="B38" s="40" t="s">
        <v>83</v>
      </c>
      <c r="C38" s="38"/>
      <c r="D38" s="38"/>
      <c r="E38" s="52">
        <f>E20+E22+E27+E29+E31+E33+E35+E37</f>
        <v>182699234</v>
      </c>
      <c r="F38" s="52">
        <f>F20+F22+F27+F29+F31+F33+F35+F37</f>
        <v>21513223</v>
      </c>
      <c r="G38" s="44"/>
      <c r="H38" s="52">
        <f>H20+H22+H27+H29+H31+H33+H35+H37</f>
        <v>165651</v>
      </c>
      <c r="I38" s="44"/>
      <c r="J38" s="52">
        <f>J20+J22+J27+J29+J31+J33+J35+J37</f>
        <v>160478608</v>
      </c>
      <c r="K38" s="52"/>
      <c r="L38" s="52">
        <f>L20+L22+L27+L29+L31+L33+L35+L37</f>
        <v>541752</v>
      </c>
      <c r="M38" s="52">
        <f>M20+M22+M27+M29+M31+M33+M35+M37</f>
        <v>0</v>
      </c>
      <c r="O38" s="47"/>
    </row>
    <row r="39" spans="1:15" ht="15" x14ac:dyDescent="0.25">
      <c r="A39" s="40">
        <v>23</v>
      </c>
      <c r="B39" s="38"/>
      <c r="C39" s="38"/>
      <c r="D39" s="38"/>
      <c r="E39" s="44"/>
      <c r="F39" s="44"/>
      <c r="G39" s="44"/>
      <c r="H39" s="44"/>
      <c r="I39" s="44"/>
      <c r="J39" s="44"/>
      <c r="K39" s="44"/>
      <c r="L39" s="23"/>
      <c r="M39" s="23"/>
      <c r="O39" s="47"/>
    </row>
    <row r="40" spans="1:15" ht="15" x14ac:dyDescent="0.25">
      <c r="A40" s="40">
        <v>24</v>
      </c>
      <c r="B40" s="22" t="s">
        <v>84</v>
      </c>
      <c r="C40" s="38"/>
      <c r="D40" s="38"/>
      <c r="E40" s="44"/>
      <c r="F40" s="44"/>
      <c r="G40" s="44"/>
      <c r="H40" s="44"/>
      <c r="I40" s="44"/>
      <c r="J40" s="44"/>
      <c r="K40" s="44"/>
      <c r="L40" s="23"/>
      <c r="M40" s="23"/>
      <c r="O40" s="47"/>
    </row>
    <row r="41" spans="1:15" ht="15" x14ac:dyDescent="0.25">
      <c r="A41" s="40">
        <v>25</v>
      </c>
      <c r="B41" s="22" t="s">
        <v>85</v>
      </c>
      <c r="C41" s="40" t="s">
        <v>86</v>
      </c>
      <c r="D41" s="38"/>
      <c r="E41" s="44">
        <f>SUM(F41:M41)</f>
        <v>1152736174</v>
      </c>
      <c r="F41" s="45">
        <f>237423012-H41</f>
        <v>237423012</v>
      </c>
      <c r="G41" s="46"/>
      <c r="H41" s="45">
        <v>0</v>
      </c>
      <c r="I41" s="45"/>
      <c r="J41" s="45">
        <v>915313162</v>
      </c>
      <c r="K41" s="45"/>
      <c r="L41" s="45">
        <v>0</v>
      </c>
      <c r="M41" s="45">
        <v>0</v>
      </c>
      <c r="O41" s="47"/>
    </row>
    <row r="42" spans="1:15" ht="15" x14ac:dyDescent="0.25">
      <c r="A42" s="40">
        <v>26</v>
      </c>
      <c r="B42" s="38"/>
      <c r="C42" s="38"/>
      <c r="D42" s="38"/>
      <c r="E42" s="50"/>
      <c r="F42" s="44"/>
      <c r="G42" s="44"/>
      <c r="H42" s="45"/>
      <c r="I42" s="45"/>
      <c r="J42" s="45"/>
      <c r="K42" s="45"/>
      <c r="L42" s="45"/>
      <c r="M42" s="45"/>
      <c r="O42" s="47"/>
    </row>
    <row r="43" spans="1:15" ht="15" x14ac:dyDescent="0.25">
      <c r="A43" s="40">
        <v>27</v>
      </c>
      <c r="B43" s="22" t="s">
        <v>87</v>
      </c>
      <c r="C43" s="40" t="s">
        <v>88</v>
      </c>
      <c r="D43" s="38"/>
      <c r="E43" s="44">
        <f>SUM(F43:M43)</f>
        <v>337777272</v>
      </c>
      <c r="F43" s="45">
        <v>99979446</v>
      </c>
      <c r="G43" s="46"/>
      <c r="H43" s="45">
        <v>0</v>
      </c>
      <c r="I43" s="45"/>
      <c r="J43" s="45">
        <v>204717084</v>
      </c>
      <c r="K43" s="45"/>
      <c r="L43" s="45">
        <v>0</v>
      </c>
      <c r="M43" s="45">
        <v>33080742</v>
      </c>
      <c r="O43" s="47"/>
    </row>
    <row r="44" spans="1:15" ht="15" x14ac:dyDescent="0.25">
      <c r="A44" s="40">
        <v>28</v>
      </c>
      <c r="B44" s="23"/>
      <c r="C44" s="23"/>
      <c r="D44" s="38"/>
      <c r="E44" s="50"/>
      <c r="F44" s="45"/>
      <c r="G44" s="44"/>
      <c r="H44" s="45"/>
      <c r="I44" s="45"/>
      <c r="J44" s="45"/>
      <c r="K44" s="45"/>
      <c r="L44" s="45"/>
      <c r="M44" s="45"/>
      <c r="O44" s="47"/>
    </row>
    <row r="45" spans="1:15" ht="15" x14ac:dyDescent="0.25">
      <c r="A45" s="40">
        <f t="shared" ref="A45:A56" si="0">A44+1</f>
        <v>29</v>
      </c>
      <c r="B45" s="22" t="s">
        <v>89</v>
      </c>
      <c r="C45" s="40" t="s">
        <v>90</v>
      </c>
      <c r="D45" s="38"/>
      <c r="E45" s="44">
        <f>SUM(F45:M45)</f>
        <v>-2528681</v>
      </c>
      <c r="F45" s="45">
        <v>-2528681</v>
      </c>
      <c r="G45" s="44"/>
      <c r="H45" s="45">
        <v>0</v>
      </c>
      <c r="I45" s="45"/>
      <c r="J45" s="45">
        <v>0</v>
      </c>
      <c r="K45" s="45"/>
      <c r="L45" s="45">
        <v>0</v>
      </c>
      <c r="M45" s="45">
        <v>0</v>
      </c>
      <c r="O45" s="47"/>
    </row>
    <row r="46" spans="1:15" ht="15" x14ac:dyDescent="0.25">
      <c r="A46" s="40">
        <f t="shared" si="0"/>
        <v>30</v>
      </c>
      <c r="B46" s="22"/>
      <c r="C46" s="40"/>
      <c r="D46" s="38"/>
      <c r="E46" s="44"/>
      <c r="F46" s="45"/>
      <c r="G46" s="44"/>
      <c r="H46" s="45"/>
      <c r="I46" s="45"/>
      <c r="J46" s="45"/>
      <c r="K46" s="45"/>
      <c r="L46" s="45"/>
      <c r="M46" s="45"/>
      <c r="O46" s="47"/>
    </row>
    <row r="47" spans="1:15" ht="15" x14ac:dyDescent="0.25">
      <c r="A47" s="40">
        <f t="shared" si="0"/>
        <v>31</v>
      </c>
      <c r="B47" s="22" t="s">
        <v>91</v>
      </c>
      <c r="C47" s="40" t="s">
        <v>92</v>
      </c>
      <c r="D47" s="38"/>
      <c r="E47" s="44">
        <f>SUM(F47:M47)</f>
        <v>77114876</v>
      </c>
      <c r="F47" s="45">
        <v>30088950</v>
      </c>
      <c r="G47" s="44"/>
      <c r="H47" s="45">
        <v>0</v>
      </c>
      <c r="I47" s="45"/>
      <c r="J47" s="45">
        <v>47025926</v>
      </c>
      <c r="K47" s="45"/>
      <c r="L47" s="45">
        <v>0</v>
      </c>
      <c r="M47" s="45">
        <v>0</v>
      </c>
      <c r="O47" s="47"/>
    </row>
    <row r="48" spans="1:15" ht="15" x14ac:dyDescent="0.25">
      <c r="A48" s="40">
        <f t="shared" si="0"/>
        <v>32</v>
      </c>
      <c r="B48" s="22"/>
      <c r="C48" s="40"/>
      <c r="D48" s="38"/>
      <c r="E48" s="44"/>
      <c r="F48" s="45"/>
      <c r="G48" s="44"/>
      <c r="H48" s="45"/>
      <c r="I48" s="45"/>
      <c r="J48" s="45"/>
      <c r="K48" s="45"/>
      <c r="L48" s="45"/>
      <c r="M48" s="45"/>
      <c r="O48" s="47"/>
    </row>
    <row r="49" spans="1:15" ht="15" x14ac:dyDescent="0.25">
      <c r="A49" s="40">
        <f t="shared" si="0"/>
        <v>33</v>
      </c>
      <c r="B49" s="22" t="s">
        <v>93</v>
      </c>
      <c r="C49" s="40" t="s">
        <v>92</v>
      </c>
      <c r="D49" s="38"/>
      <c r="E49" s="44">
        <f>SUM(F49:M49)</f>
        <v>5135704</v>
      </c>
      <c r="F49" s="45">
        <v>0</v>
      </c>
      <c r="G49" s="44"/>
      <c r="H49" s="45">
        <v>0</v>
      </c>
      <c r="I49" s="45"/>
      <c r="J49" s="45">
        <v>0</v>
      </c>
      <c r="K49" s="45"/>
      <c r="L49" s="45">
        <v>5135704</v>
      </c>
      <c r="M49" s="45">
        <v>0</v>
      </c>
      <c r="O49" s="47"/>
    </row>
    <row r="50" spans="1:15" ht="15" x14ac:dyDescent="0.25">
      <c r="A50" s="40">
        <f t="shared" si="0"/>
        <v>34</v>
      </c>
      <c r="B50" s="40" t="s">
        <v>94</v>
      </c>
      <c r="C50" s="38"/>
      <c r="D50" s="38"/>
      <c r="E50" s="52">
        <f>SUM(E41:E49)</f>
        <v>1570235345</v>
      </c>
      <c r="F50" s="52">
        <f>SUM(F41:F49)</f>
        <v>364962727</v>
      </c>
      <c r="G50" s="44"/>
      <c r="H50" s="52">
        <f>SUM(H41:H49)</f>
        <v>0</v>
      </c>
      <c r="I50" s="44"/>
      <c r="J50" s="52">
        <f>SUM(J41:J49)</f>
        <v>1167056172</v>
      </c>
      <c r="K50" s="52"/>
      <c r="L50" s="52">
        <f>SUM(L41:L49)</f>
        <v>5135704</v>
      </c>
      <c r="M50" s="52">
        <f>SUM(M41:M49)</f>
        <v>33080742</v>
      </c>
      <c r="O50" s="47"/>
    </row>
    <row r="51" spans="1:15" ht="15" x14ac:dyDescent="0.25">
      <c r="A51" s="40">
        <f t="shared" si="0"/>
        <v>35</v>
      </c>
      <c r="B51" s="38"/>
      <c r="C51" s="38"/>
      <c r="D51" s="38"/>
      <c r="E51" s="44"/>
      <c r="F51" s="44"/>
      <c r="G51" s="44"/>
      <c r="H51" s="44"/>
      <c r="I51" s="44"/>
      <c r="J51" s="44"/>
      <c r="K51" s="44"/>
      <c r="L51" s="23"/>
      <c r="M51" s="23"/>
      <c r="O51" s="47"/>
    </row>
    <row r="52" spans="1:15" ht="15.75" thickBot="1" x14ac:dyDescent="0.3">
      <c r="A52" s="40">
        <f t="shared" si="0"/>
        <v>36</v>
      </c>
      <c r="B52" s="22" t="s">
        <v>95</v>
      </c>
      <c r="C52" s="38"/>
      <c r="D52" s="38"/>
      <c r="E52" s="53">
        <f>E17+E38-E50</f>
        <v>1996538355</v>
      </c>
      <c r="F52" s="53">
        <f>F17+F38-F50</f>
        <v>714540410</v>
      </c>
      <c r="G52" s="44"/>
      <c r="H52" s="53">
        <f>H17+H38-H50</f>
        <v>165651</v>
      </c>
      <c r="I52" s="44"/>
      <c r="J52" s="53">
        <f>J17+J38-J50</f>
        <v>1319506988</v>
      </c>
      <c r="K52" s="53"/>
      <c r="L52" s="53">
        <f>L17+L38-L50</f>
        <v>-4593952</v>
      </c>
      <c r="M52" s="53">
        <f>M17+M38-M50</f>
        <v>-33080742</v>
      </c>
      <c r="O52" s="47"/>
    </row>
    <row r="53" spans="1:15" ht="13.5" thickTop="1" x14ac:dyDescent="0.2">
      <c r="A53" s="40">
        <f t="shared" si="0"/>
        <v>37</v>
      </c>
      <c r="B53" s="38"/>
      <c r="C53" s="38"/>
      <c r="D53" s="38"/>
      <c r="E53" s="44"/>
      <c r="F53" s="44"/>
      <c r="G53" s="44"/>
      <c r="H53" s="44"/>
      <c r="I53" s="44"/>
      <c r="J53" s="44"/>
      <c r="K53" s="44"/>
      <c r="L53" s="23"/>
      <c r="M53" s="23"/>
    </row>
    <row r="54" spans="1:15" ht="13.5" thickBot="1" x14ac:dyDescent="0.25">
      <c r="A54" s="40">
        <f t="shared" si="0"/>
        <v>38</v>
      </c>
      <c r="B54" s="22" t="s">
        <v>96</v>
      </c>
      <c r="C54" s="38"/>
      <c r="D54" s="38"/>
      <c r="E54" s="54">
        <v>1</v>
      </c>
      <c r="F54" s="55">
        <f>ROUND(F52/E52,5)</f>
        <v>0.35788999999999999</v>
      </c>
      <c r="G54" s="56"/>
      <c r="H54" s="55">
        <f>ROUND(H52/E52,5)</f>
        <v>8.0000000000000007E-5</v>
      </c>
      <c r="I54" s="56"/>
      <c r="J54" s="55">
        <f>E54-F54-H54-L54-M54</f>
        <v>0.66089999999999993</v>
      </c>
      <c r="K54" s="55"/>
      <c r="L54" s="55">
        <f>ROUND(L52/E52,5)</f>
        <v>-2.3E-3</v>
      </c>
      <c r="M54" s="55">
        <f>ROUND(M52/E52,5)</f>
        <v>-1.6570000000000001E-2</v>
      </c>
    </row>
    <row r="55" spans="1:15" ht="13.5" thickTop="1" x14ac:dyDescent="0.2">
      <c r="A55" s="40">
        <f t="shared" si="0"/>
        <v>39</v>
      </c>
      <c r="B55" s="38"/>
      <c r="C55" s="38"/>
      <c r="D55" s="38"/>
      <c r="E55" s="44"/>
      <c r="F55" s="44"/>
      <c r="G55" s="44"/>
      <c r="H55" s="44"/>
      <c r="I55" s="44"/>
      <c r="J55" s="44"/>
      <c r="K55" s="44"/>
      <c r="L55" s="23"/>
      <c r="M55" s="23"/>
    </row>
    <row r="56" spans="1:15" ht="13.5" thickBot="1" x14ac:dyDescent="0.25">
      <c r="A56" s="40">
        <f t="shared" si="0"/>
        <v>40</v>
      </c>
      <c r="B56" s="22" t="s">
        <v>97</v>
      </c>
      <c r="C56" s="38"/>
      <c r="D56" s="38"/>
      <c r="E56" s="54">
        <v>1</v>
      </c>
      <c r="F56" s="55">
        <f>ROUND(F52/($F$52+$J$52),5)</f>
        <v>0.35128999999999999</v>
      </c>
      <c r="G56" s="56"/>
      <c r="H56" s="56"/>
      <c r="I56" s="56"/>
      <c r="J56" s="55">
        <f>ROUND(J52/($F$52+$J$52),5)</f>
        <v>0.64871000000000001</v>
      </c>
      <c r="K56" s="56"/>
      <c r="L56" s="56"/>
      <c r="M56" s="56"/>
    </row>
    <row r="57" spans="1:15" ht="13.5" thickTop="1" x14ac:dyDescent="0.2">
      <c r="A57" s="40"/>
      <c r="B57" s="22"/>
      <c r="C57" s="38"/>
      <c r="D57" s="38"/>
      <c r="E57" s="56"/>
      <c r="F57" s="56"/>
      <c r="G57" s="56"/>
      <c r="H57" s="56"/>
      <c r="I57" s="56"/>
      <c r="J57" s="56"/>
      <c r="K57" s="56"/>
      <c r="L57" s="56"/>
      <c r="M57" s="56"/>
    </row>
    <row r="58" spans="1:1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</row>
    <row r="59" spans="1:15" x14ac:dyDescent="0.2">
      <c r="A59" s="40"/>
      <c r="B59" s="22" t="s">
        <v>49</v>
      </c>
      <c r="C59" s="38"/>
      <c r="D59" s="38"/>
      <c r="E59" s="38"/>
      <c r="F59" s="38"/>
      <c r="G59" s="38"/>
      <c r="H59" s="38"/>
      <c r="I59" s="38"/>
      <c r="J59" s="23"/>
      <c r="K59" s="23"/>
      <c r="L59" s="23"/>
      <c r="M59" s="23"/>
    </row>
    <row r="60" spans="1:15" x14ac:dyDescent="0.2">
      <c r="A60" s="40"/>
      <c r="B60" s="22" t="s">
        <v>98</v>
      </c>
      <c r="C60" s="38"/>
      <c r="D60" s="44"/>
      <c r="E60" s="38"/>
      <c r="F60" s="38"/>
      <c r="G60" s="38"/>
      <c r="H60" s="23"/>
      <c r="I60" s="23"/>
      <c r="J60" s="23"/>
      <c r="K60" s="23"/>
      <c r="L60" s="23"/>
      <c r="M60" s="23"/>
    </row>
    <row r="61" spans="1:15" x14ac:dyDescent="0.2">
      <c r="A61" s="57"/>
      <c r="B61" s="22" t="s">
        <v>99</v>
      </c>
      <c r="C61" s="38"/>
      <c r="D61" s="44"/>
      <c r="E61" s="44"/>
      <c r="F61" s="50"/>
      <c r="G61" s="50"/>
      <c r="H61" s="23"/>
      <c r="I61" s="23"/>
      <c r="J61" s="23"/>
      <c r="K61" s="23"/>
      <c r="L61" s="23"/>
      <c r="M61" s="23"/>
    </row>
  </sheetData>
  <pageMargins left="0.7" right="0.7" top="0.75" bottom="0.75" header="0.3" footer="0.3"/>
  <pageSetup scale="50" orientation="landscape" r:id="rId1"/>
  <headerFooter>
    <oddHeader xml:space="preserve">&amp;R&amp;"Times New Roman,Bold"&amp;10KyPSC Case No. 2024-00354
STAFF-DR-01-024 Attachment
Page &amp;P of &amp;N 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i:0#.f|membership|lisa.steinkuhl@duke-energy.com,#i:0#.f|membership|lisa.steinkuhl@duke-energy.com,#Lisa.Steinkuhl@duke-energy.com,#,#Steinkuhl, Lisa D,#,#43547,#Dir Rates&amp;Reg Planning</DisplayName>
        <AccountId>96</AccountId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318DCA-F738-4991-BA90-8CCECA84A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201C5-B4CC-47FD-B3BB-0601BBDA1EA3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9d26d66c-7442-4f2f-84b5-fd9d62aa5613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EA554A7-9ED6-4247-A859-0D9C56F3E3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RB vs Cap BP DR-01-024 Pg1</vt:lpstr>
      <vt:lpstr>RB vs Cap BP DR-01-024 Pg2</vt:lpstr>
      <vt:lpstr>RB vs Cap DR-01-024 Pg3</vt:lpstr>
      <vt:lpstr>ERBR_BP</vt:lpstr>
      <vt:lpstr>GRBR_BP</vt:lpstr>
      <vt:lpstr>RBvsCAP_BP_pg1</vt:lpstr>
      <vt:lpstr>RBvsCap_BP_pg2</vt:lpstr>
      <vt:lpstr>RBvsCap_BP_pg3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RB vs Cap - Base Period</dc:subject>
  <dc:creator>Steinkuhl, Lisa D</dc:creator>
  <cp:lastModifiedBy>Sunderman, Minna</cp:lastModifiedBy>
  <dcterms:created xsi:type="dcterms:W3CDTF">2024-12-09T15:18:09Z</dcterms:created>
  <dcterms:modified xsi:type="dcterms:W3CDTF">2024-12-16T14:22:13Z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