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CC081A56-BA86-474B-A1A1-43DB4DA41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K 22(a)" sheetId="1" r:id="rId1"/>
    <sheet name="DEK 22(b)" sheetId="2" r:id="rId2"/>
    <sheet name="DEC 22(a)" sheetId="3" r:id="rId3"/>
    <sheet name="DEC 22(b)" sheetId="4" r:id="rId4"/>
  </sheets>
  <definedNames>
    <definedName name="_xlnm.Print_Area" localSheetId="2">'DEC 22(a)'!$B$1:$N$28</definedName>
    <definedName name="_xlnm.Print_Area" localSheetId="3">'DEC 22(b)'!$A$1:$I$39</definedName>
    <definedName name="_xlnm.Print_Area" localSheetId="0">'DEK 22(a)'!$A$1:$N$24</definedName>
    <definedName name="_xlnm.Print_Area" localSheetId="1">'DEK 22(b)'!$A$1:$I$40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4" i="1"/>
  <c r="L13" i="1"/>
  <c r="F16" i="1"/>
  <c r="F14" i="1"/>
  <c r="F13" i="1"/>
  <c r="H14" i="1"/>
  <c r="H15" i="1"/>
  <c r="H16" i="1"/>
  <c r="H13" i="1"/>
  <c r="F15" i="1"/>
  <c r="C36" i="4"/>
  <c r="G21" i="3"/>
  <c r="H20" i="3" s="1"/>
  <c r="E21" i="3"/>
  <c r="F16" i="3" s="1"/>
  <c r="F20" i="3" l="1"/>
  <c r="F17" i="3"/>
  <c r="F18" i="3"/>
  <c r="F19" i="3"/>
  <c r="H16" i="3"/>
  <c r="H17" i="3"/>
  <c r="H18" i="3"/>
  <c r="H19" i="3"/>
  <c r="F21" i="3" l="1"/>
  <c r="H21" i="3"/>
  <c r="I15" i="2" l="1"/>
  <c r="I16" i="2"/>
  <c r="I17" i="2"/>
  <c r="I18" i="2"/>
  <c r="I19" i="2"/>
  <c r="I20" i="2"/>
  <c r="I21" i="2"/>
  <c r="I22" i="2"/>
  <c r="I23" i="2"/>
  <c r="I24" i="2"/>
  <c r="I25" i="2"/>
  <c r="I26" i="2"/>
  <c r="I14" i="2"/>
  <c r="G17" i="1" l="1"/>
  <c r="E17" i="1"/>
  <c r="M17" i="1"/>
  <c r="N16" i="1" s="1"/>
  <c r="N13" i="1" l="1"/>
  <c r="N14" i="1"/>
  <c r="N15" i="1"/>
  <c r="N17" i="1" l="1"/>
  <c r="K19" i="3" l="1"/>
  <c r="M19" i="3"/>
  <c r="K14" i="3"/>
  <c r="K17" i="1" l="1"/>
  <c r="I17" i="1"/>
  <c r="C17" i="1"/>
  <c r="D16" i="1" s="1"/>
  <c r="J14" i="1" l="1"/>
  <c r="D15" i="1"/>
  <c r="D14" i="1"/>
  <c r="D13" i="1"/>
  <c r="L15" i="1"/>
  <c r="J16" i="1"/>
  <c r="J13" i="1"/>
  <c r="J15" i="1"/>
  <c r="F17" i="1" l="1"/>
  <c r="H17" i="1"/>
  <c r="K11" i="1"/>
  <c r="I11" i="1" s="1"/>
  <c r="G11" i="1" s="1"/>
  <c r="E11" i="1" s="1"/>
  <c r="L17" i="1" l="1"/>
  <c r="D17" i="1"/>
  <c r="B17" i="4"/>
  <c r="A6" i="3" l="1"/>
  <c r="A6" i="4"/>
  <c r="A6" i="2"/>
  <c r="A5" i="2"/>
  <c r="A8" i="4" l="1"/>
  <c r="H32" i="4" l="1"/>
  <c r="F32" i="4"/>
  <c r="H30" i="4"/>
  <c r="F30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2" i="4" s="1"/>
  <c r="A34" i="4" s="1"/>
  <c r="A36" i="4" s="1"/>
  <c r="M21" i="3"/>
  <c r="C21" i="3"/>
  <c r="D17" i="3" s="1"/>
  <c r="H27" i="2"/>
  <c r="H28" i="2" s="1"/>
  <c r="F27" i="2"/>
  <c r="F28" i="2" s="1"/>
  <c r="F29" i="2" s="1"/>
  <c r="E27" i="2"/>
  <c r="E28" i="2" s="1"/>
  <c r="D27" i="2"/>
  <c r="D28" i="2" s="1"/>
  <c r="C26" i="2"/>
  <c r="C25" i="2"/>
  <c r="C24" i="2"/>
  <c r="C23" i="2"/>
  <c r="C22" i="2"/>
  <c r="C21" i="2"/>
  <c r="C20" i="2"/>
  <c r="C19" i="2"/>
  <c r="C18" i="2"/>
  <c r="C17" i="2"/>
  <c r="C16" i="2"/>
  <c r="C15" i="2"/>
  <c r="D20" i="3" l="1"/>
  <c r="H30" i="2"/>
  <c r="D30" i="2"/>
  <c r="N20" i="3"/>
  <c r="N19" i="3"/>
  <c r="N18" i="3"/>
  <c r="N17" i="3"/>
  <c r="N16" i="3"/>
  <c r="G30" i="2"/>
  <c r="D30" i="4"/>
  <c r="D32" i="4"/>
  <c r="I21" i="3"/>
  <c r="J17" i="3" s="1"/>
  <c r="E30" i="4"/>
  <c r="E32" i="4"/>
  <c r="K21" i="3"/>
  <c r="D19" i="3"/>
  <c r="D16" i="3"/>
  <c r="D18" i="3"/>
  <c r="E30" i="2"/>
  <c r="F30" i="2"/>
  <c r="L16" i="3" l="1"/>
  <c r="L17" i="3"/>
  <c r="I30" i="2"/>
  <c r="C30" i="2" s="1"/>
  <c r="J18" i="3"/>
  <c r="J20" i="3"/>
  <c r="J19" i="3"/>
  <c r="J16" i="3"/>
  <c r="L20" i="3"/>
  <c r="L19" i="3"/>
  <c r="L18" i="3"/>
  <c r="N21" i="3"/>
  <c r="D21" i="3"/>
  <c r="J21" i="3" l="1"/>
  <c r="L21" i="3"/>
  <c r="J17" i="1" l="1"/>
  <c r="C14" i="2"/>
  <c r="C27" i="2" s="1"/>
  <c r="C28" i="2" s="1"/>
  <c r="G27" i="2"/>
  <c r="G28" i="2" s="1"/>
  <c r="I27" i="2"/>
  <c r="I28" i="2" s="1"/>
  <c r="G29" i="2" l="1"/>
  <c r="H29" i="2"/>
  <c r="D29" i="2"/>
  <c r="E29" i="2"/>
  <c r="I29" i="2" l="1"/>
  <c r="C29" i="2" s="1"/>
  <c r="C18" i="4" l="1"/>
  <c r="G29" i="4"/>
  <c r="C29" i="4"/>
  <c r="H36" i="4" s="1"/>
  <c r="G22" i="4"/>
  <c r="C22" i="4"/>
  <c r="G20" i="4"/>
  <c r="C20" i="4"/>
  <c r="G19" i="4"/>
  <c r="C19" i="4"/>
  <c r="G28" i="4"/>
  <c r="C28" i="4"/>
  <c r="G27" i="4"/>
  <c r="C27" i="4"/>
  <c r="G26" i="4"/>
  <c r="C26" i="4"/>
  <c r="G25" i="4"/>
  <c r="C25" i="4"/>
  <c r="G24" i="4"/>
  <c r="C24" i="4"/>
  <c r="G23" i="4"/>
  <c r="C23" i="4"/>
  <c r="G21" i="4"/>
  <c r="C21" i="4"/>
  <c r="G18" i="4"/>
  <c r="G36" i="4" l="1"/>
  <c r="I36" i="4" s="1"/>
  <c r="E36" i="4"/>
  <c r="D36" i="4"/>
  <c r="F36" i="4"/>
  <c r="C17" i="4" l="1"/>
  <c r="C32" i="4" s="1"/>
  <c r="H34" i="4" s="1"/>
  <c r="C30" i="4"/>
  <c r="I32" i="4"/>
  <c r="I30" i="4"/>
  <c r="G17" i="4"/>
  <c r="G32" i="4" s="1"/>
  <c r="G30" i="4"/>
  <c r="G34" i="4" l="1"/>
  <c r="I34" i="4" s="1"/>
  <c r="E34" i="4"/>
  <c r="D34" i="4"/>
  <c r="F34" i="4"/>
  <c r="C34" i="4" l="1"/>
</calcChain>
</file>

<file path=xl/sharedStrings.xml><?xml version="1.0" encoding="utf-8"?>
<sst xmlns="http://schemas.openxmlformats.org/spreadsheetml/2006/main" count="176" uniqueCount="92">
  <si>
    <t>Duke Energy Kentucky, Inc.</t>
  </si>
  <si>
    <t>Calculation of Capital Structure</t>
  </si>
  <si>
    <t>12 Months Ended December</t>
  </si>
  <si>
    <t>Dollars In Thousands</t>
  </si>
  <si>
    <t>Line No.</t>
  </si>
  <si>
    <t>Type of Capital</t>
  </si>
  <si>
    <t>Amount</t>
  </si>
  <si>
    <t>Ratio</t>
  </si>
  <si>
    <t>1.</t>
  </si>
  <si>
    <t>2.</t>
  </si>
  <si>
    <t>Short-Term Debt</t>
  </si>
  <si>
    <t>3.</t>
  </si>
  <si>
    <t>Preferred &amp; Preference Stock</t>
  </si>
  <si>
    <t>4.</t>
  </si>
  <si>
    <r>
      <t xml:space="preserve">Common Equity </t>
    </r>
    <r>
      <rPr>
        <vertAlign val="superscript"/>
        <sz val="10"/>
        <rFont val="Arial"/>
        <family val="2"/>
      </rPr>
      <t>2</t>
    </r>
  </si>
  <si>
    <t>5.</t>
  </si>
  <si>
    <t>Total Capitalization</t>
  </si>
  <si>
    <t>(1) Includes current portion of Long Term Debt</t>
  </si>
  <si>
    <t>(2) Includes Common Stock, Additional Paid in Capital, Retained Earnings and Other Comprehensive Income</t>
  </si>
  <si>
    <t>Calculation of Average Capital Structure</t>
  </si>
  <si>
    <t xml:space="preserve">Total  </t>
  </si>
  <si>
    <t>Line</t>
  </si>
  <si>
    <t>Total</t>
  </si>
  <si>
    <t>Long-term</t>
  </si>
  <si>
    <t>Short-term</t>
  </si>
  <si>
    <t xml:space="preserve">Preferred  </t>
  </si>
  <si>
    <t>Common</t>
  </si>
  <si>
    <t xml:space="preserve">Retained   </t>
  </si>
  <si>
    <t>No.</t>
  </si>
  <si>
    <t>Item</t>
  </si>
  <si>
    <t>Capital</t>
  </si>
  <si>
    <r>
      <t xml:space="preserve">Debt </t>
    </r>
    <r>
      <rPr>
        <b/>
        <u/>
        <vertAlign val="superscript"/>
        <sz val="10"/>
        <rFont val="Arial MT"/>
      </rPr>
      <t>1</t>
    </r>
  </si>
  <si>
    <t>Debt</t>
  </si>
  <si>
    <t>Stock</t>
  </si>
  <si>
    <r>
      <t xml:space="preserve">Stock </t>
    </r>
    <r>
      <rPr>
        <b/>
        <u/>
        <vertAlign val="superscript"/>
        <sz val="10"/>
        <rFont val="Arial MT"/>
      </rPr>
      <t>2</t>
    </r>
  </si>
  <si>
    <t xml:space="preserve">Earnings </t>
  </si>
  <si>
    <t>Equity</t>
  </si>
  <si>
    <t>(a)</t>
  </si>
  <si>
    <t>(b)</t>
  </si>
  <si>
    <t>(c)</t>
  </si>
  <si>
    <t>(d)</t>
  </si>
  <si>
    <t>(e)</t>
  </si>
  <si>
    <t>(f)</t>
  </si>
  <si>
    <t>(g)</t>
  </si>
  <si>
    <t>(h)</t>
  </si>
  <si>
    <t>1st Month</t>
  </si>
  <si>
    <t>2nd Month</t>
  </si>
  <si>
    <t>3rd Month</t>
  </si>
  <si>
    <t>4th Month</t>
  </si>
  <si>
    <t>5th Month</t>
  </si>
  <si>
    <t>6th Month</t>
  </si>
  <si>
    <t>7th Month</t>
  </si>
  <si>
    <t>8th Month</t>
  </si>
  <si>
    <t>9th Month</t>
  </si>
  <si>
    <t>10th Month</t>
  </si>
  <si>
    <t>11th Month</t>
  </si>
  <si>
    <t>12th Month</t>
  </si>
  <si>
    <t>Total (L1 through L13)</t>
  </si>
  <si>
    <t>Average Balance (L14 / 13)</t>
  </si>
  <si>
    <t xml:space="preserve">Average Capitalization Ratio </t>
  </si>
  <si>
    <t xml:space="preserve">End-of-period capitalization Ratio </t>
  </si>
  <si>
    <t>(2) Includes Common Stock, Additional Paid in Capital and Other Comprehensive Income</t>
  </si>
  <si>
    <t xml:space="preserve"> </t>
  </si>
  <si>
    <t xml:space="preserve">Short Term Debt </t>
  </si>
  <si>
    <t xml:space="preserve">Preferred Trust Securities </t>
  </si>
  <si>
    <t>6.</t>
  </si>
  <si>
    <t>Duke Energy Corp.</t>
  </si>
  <si>
    <t xml:space="preserve">Debt </t>
  </si>
  <si>
    <t>Earnings</t>
  </si>
  <si>
    <t>Total (L1-L13)</t>
  </si>
  <si>
    <t>Average Balance (L14/13)</t>
  </si>
  <si>
    <t>Average capitalization ratios</t>
  </si>
  <si>
    <t>End-of-period capitalization ratios</t>
  </si>
  <si>
    <t>Instructions: If the applicant is a member of an affiliated group, the above data is to be provided for the applicant as shown. On a separate schedule, the same</t>
  </si>
  <si>
    <t>data should also be provided for the parent company and the entire system on a consolidated basis.</t>
  </si>
  <si>
    <t>Instructions:</t>
  </si>
  <si>
    <t>2. Include premium class of stock.</t>
  </si>
  <si>
    <t>Dollars in Millions</t>
  </si>
  <si>
    <t>(2) Includes Common Stock, Additional Paid in Capital, Retained Earnings, Other Comprehensive Income and Noncontrolling interests</t>
  </si>
  <si>
    <r>
      <t xml:space="preserve">Long Term Debt </t>
    </r>
    <r>
      <rPr>
        <vertAlign val="superscript"/>
        <sz val="10"/>
        <rFont val="Arial"/>
        <family val="2"/>
      </rPr>
      <t>1, 4</t>
    </r>
  </si>
  <si>
    <t>(4) 2014 and forward amounts include the unamortized debt expense amounts, in accordance with updated GAAP guidance</t>
  </si>
  <si>
    <r>
      <t xml:space="preserve">Long Term Debt </t>
    </r>
    <r>
      <rPr>
        <vertAlign val="superscript"/>
        <sz val="10"/>
        <rFont val="Arial"/>
        <family val="2"/>
      </rPr>
      <t>1,3</t>
    </r>
  </si>
  <si>
    <t>(3) 2014 and forward amounts include the unamortized debt expense amounts, in accordance with updated GAAP guidance</t>
  </si>
  <si>
    <t>Schedule 22b</t>
  </si>
  <si>
    <t xml:space="preserve">Latest Available </t>
  </si>
  <si>
    <t>(3)  Lastest available quarter is as of September 30, 2022</t>
  </si>
  <si>
    <t>12 Months Ended December 31, 2023</t>
  </si>
  <si>
    <t>Case No. 2024-00354</t>
  </si>
  <si>
    <t>Balance at the beginning of Jan 1, 2023</t>
  </si>
  <si>
    <t>1. If applicable , provide an additional schedule in the above format excluding common equity in subsidiaries from the total company capital</t>
  </si>
  <si>
    <t>structure.  Show the amount of common equity excluded.</t>
  </si>
  <si>
    <t>Schedule 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</si>
</sst>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%"/>
    <numFmt numFmtId="167" formatCode="0.00000%"/>
  </numFmts>
  <fonts count="14">
    <font>
      <sz val="11"/>
      <color theme="1"/>
      <name val="Calibri"/>
      <family val="2"/>
      <scheme val="minor"/>
    </font>
    <font>
      <sz val="12"/>
      <name val="Arial MT"/>
    </font>
    <font>
      <sz val="10"/>
      <name val="Arial MT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9"/>
      <name val="Arial MT"/>
    </font>
    <font>
      <b/>
      <sz val="10"/>
      <name val="Arial MT"/>
    </font>
    <font>
      <b/>
      <u/>
      <sz val="10"/>
      <name val="Arial MT"/>
    </font>
    <font>
      <b/>
      <u/>
      <vertAlign val="superscript"/>
      <sz val="10"/>
      <name val="Arial MT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7" fontId="1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2">
    <xf numFmtId="0" fontId="0" fillId="0" borderId="0" xfId="0"/>
    <xf numFmtId="37" fontId="2" fillId="0" borderId="0" xfId="1" applyFont="1"/>
    <xf numFmtId="37" fontId="8" fillId="0" borderId="0" xfId="1" applyFont="1"/>
    <xf numFmtId="37" fontId="2" fillId="0" borderId="6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7" fontId="2" fillId="0" borderId="10" xfId="1" applyFont="1" applyBorder="1"/>
    <xf numFmtId="37" fontId="2" fillId="0" borderId="2" xfId="1" applyFont="1" applyBorder="1"/>
    <xf numFmtId="37" fontId="9" fillId="0" borderId="11" xfId="1" applyFont="1" applyBorder="1" applyAlignment="1">
      <alignment horizontal="center"/>
    </xf>
    <xf numFmtId="37" fontId="9" fillId="0" borderId="12" xfId="1" applyFont="1" applyBorder="1" applyAlignment="1">
      <alignment horizontal="center"/>
    </xf>
    <xf numFmtId="37" fontId="9" fillId="0" borderId="13" xfId="1" applyFont="1" applyBorder="1" applyAlignment="1">
      <alignment horizontal="center"/>
    </xf>
    <xf numFmtId="37" fontId="9" fillId="0" borderId="14" xfId="1" applyFont="1" applyBorder="1" applyAlignment="1">
      <alignment horizontal="center"/>
    </xf>
    <xf numFmtId="37" fontId="10" fillId="0" borderId="12" xfId="1" applyFont="1" applyBorder="1" applyAlignment="1">
      <alignment horizontal="center"/>
    </xf>
    <xf numFmtId="37" fontId="10" fillId="0" borderId="13" xfId="1" applyFont="1" applyBorder="1" applyAlignment="1">
      <alignment horizontal="center"/>
    </xf>
    <xf numFmtId="37" fontId="10" fillId="0" borderId="14" xfId="1" applyFont="1" applyBorder="1" applyAlignment="1">
      <alignment horizontal="center"/>
    </xf>
    <xf numFmtId="37" fontId="9" fillId="0" borderId="15" xfId="1" applyFont="1" applyBorder="1" applyAlignment="1">
      <alignment horizontal="center"/>
    </xf>
    <xf numFmtId="37" fontId="9" fillId="0" borderId="16" xfId="1" applyFont="1" applyBorder="1" applyAlignment="1">
      <alignment horizontal="center"/>
    </xf>
    <xf numFmtId="37" fontId="9" fillId="0" borderId="17" xfId="1" applyFont="1" applyBorder="1" applyAlignment="1">
      <alignment horizontal="center"/>
    </xf>
    <xf numFmtId="10" fontId="2" fillId="0" borderId="21" xfId="2" applyNumberFormat="1" applyFont="1" applyBorder="1" applyAlignment="1">
      <alignment wrapText="1"/>
    </xf>
    <xf numFmtId="10" fontId="2" fillId="0" borderId="22" xfId="2" applyNumberFormat="1" applyFont="1" applyBorder="1" applyAlignment="1">
      <alignment wrapText="1"/>
    </xf>
    <xf numFmtId="0" fontId="3" fillId="0" borderId="0" xfId="3"/>
    <xf numFmtId="0" fontId="4" fillId="0" borderId="0" xfId="3" applyFont="1" applyAlignment="1">
      <alignment horizontal="centerContinuous"/>
    </xf>
    <xf numFmtId="0" fontId="3" fillId="0" borderId="0" xfId="3" applyAlignment="1">
      <alignment horizontal="centerContinuous"/>
    </xf>
    <xf numFmtId="0" fontId="5" fillId="0" borderId="0" xfId="3" applyFont="1" applyAlignment="1">
      <alignment horizontal="centerContinuous"/>
    </xf>
    <xf numFmtId="0" fontId="3" fillId="0" borderId="2" xfId="3" applyBorder="1"/>
    <xf numFmtId="0" fontId="3" fillId="0" borderId="26" xfId="3" applyBorder="1"/>
    <xf numFmtId="0" fontId="3" fillId="0" borderId="27" xfId="3" applyBorder="1"/>
    <xf numFmtId="0" fontId="3" fillId="0" borderId="26" xfId="3" applyBorder="1" applyAlignment="1">
      <alignment horizontal="centerContinuous"/>
    </xf>
    <xf numFmtId="0" fontId="3" fillId="0" borderId="27" xfId="3" applyBorder="1" applyAlignment="1">
      <alignment horizontal="centerContinuous"/>
    </xf>
    <xf numFmtId="0" fontId="3" fillId="0" borderId="13" xfId="3" applyBorder="1"/>
    <xf numFmtId="0" fontId="3" fillId="0" borderId="28" xfId="3" applyBorder="1"/>
    <xf numFmtId="0" fontId="3" fillId="0" borderId="29" xfId="3" applyBorder="1"/>
    <xf numFmtId="0" fontId="3" fillId="0" borderId="28" xfId="3" applyBorder="1" applyAlignment="1">
      <alignment horizontal="centerContinuous"/>
    </xf>
    <xf numFmtId="0" fontId="3" fillId="0" borderId="29" xfId="3" applyBorder="1" applyAlignment="1">
      <alignment horizontal="centerContinuous"/>
    </xf>
    <xf numFmtId="0" fontId="3" fillId="0" borderId="13" xfId="3" applyBorder="1" applyAlignment="1">
      <alignment horizontal="center"/>
    </xf>
    <xf numFmtId="0" fontId="3" fillId="0" borderId="28" xfId="3" applyBorder="1" applyAlignment="1">
      <alignment horizontal="center"/>
    </xf>
    <xf numFmtId="0" fontId="6" fillId="0" borderId="30" xfId="3" applyFont="1" applyBorder="1" applyAlignment="1">
      <alignment horizontal="centerContinuous"/>
    </xf>
    <xf numFmtId="0" fontId="3" fillId="0" borderId="16" xfId="3" applyBorder="1" applyAlignment="1">
      <alignment horizontal="center"/>
    </xf>
    <xf numFmtId="0" fontId="3" fillId="0" borderId="1" xfId="3" applyBorder="1" applyAlignment="1">
      <alignment horizontal="center"/>
    </xf>
    <xf numFmtId="49" fontId="3" fillId="0" borderId="1" xfId="3" applyNumberFormat="1" applyBorder="1" applyAlignment="1">
      <alignment horizontal="center"/>
    </xf>
    <xf numFmtId="0" fontId="3" fillId="0" borderId="30" xfId="3" applyBorder="1" applyAlignment="1">
      <alignment horizontal="left"/>
    </xf>
    <xf numFmtId="165" fontId="3" fillId="0" borderId="1" xfId="4" applyNumberFormat="1" applyFont="1" applyBorder="1"/>
    <xf numFmtId="164" fontId="3" fillId="0" borderId="1" xfId="2" applyNumberFormat="1" applyFont="1" applyBorder="1"/>
    <xf numFmtId="0" fontId="3" fillId="0" borderId="3" xfId="3" applyBorder="1"/>
    <xf numFmtId="165" fontId="3" fillId="0" borderId="1" xfId="4" applyNumberFormat="1" applyFont="1" applyFill="1" applyBorder="1"/>
    <xf numFmtId="37" fontId="2" fillId="0" borderId="5" xfId="1" applyFont="1" applyBorder="1"/>
    <xf numFmtId="37" fontId="2" fillId="0" borderId="7" xfId="1" applyFont="1" applyBorder="1" applyAlignment="1">
      <alignment horizontal="right"/>
    </xf>
    <xf numFmtId="37" fontId="2" fillId="0" borderId="8" xfId="1" applyFont="1" applyBorder="1"/>
    <xf numFmtId="37" fontId="2" fillId="0" borderId="9" xfId="1" applyFont="1" applyBorder="1" applyAlignment="1">
      <alignment horizontal="right"/>
    </xf>
    <xf numFmtId="0" fontId="4" fillId="0" borderId="8" xfId="3" applyFont="1" applyBorder="1" applyAlignment="1">
      <alignment horizontal="centerContinuous"/>
    </xf>
    <xf numFmtId="37" fontId="9" fillId="0" borderId="0" xfId="1" applyFont="1" applyAlignment="1">
      <alignment horizontal="centerContinuous"/>
    </xf>
    <xf numFmtId="37" fontId="2" fillId="0" borderId="0" xfId="1" applyFont="1" applyAlignment="1">
      <alignment horizontal="centerContinuous"/>
    </xf>
    <xf numFmtId="37" fontId="2" fillId="0" borderId="9" xfId="1" applyFont="1" applyBorder="1" applyAlignment="1">
      <alignment horizontal="centerContinuous"/>
    </xf>
    <xf numFmtId="37" fontId="9" fillId="0" borderId="0" xfId="1" applyFont="1"/>
    <xf numFmtId="37" fontId="1" fillId="0" borderId="8" xfId="1" applyBorder="1" applyAlignment="1">
      <alignment horizontal="centerContinuous"/>
    </xf>
    <xf numFmtId="37" fontId="2" fillId="0" borderId="8" xfId="1" applyFont="1" applyBorder="1" applyAlignment="1">
      <alignment horizontal="centerContinuous"/>
    </xf>
    <xf numFmtId="37" fontId="9" fillId="0" borderId="8" xfId="1" applyFont="1" applyBorder="1" applyAlignment="1">
      <alignment horizontal="centerContinuous"/>
    </xf>
    <xf numFmtId="37" fontId="2" fillId="0" borderId="9" xfId="1" applyFont="1" applyBorder="1"/>
    <xf numFmtId="37" fontId="9" fillId="0" borderId="0" xfId="1" applyFont="1" applyAlignment="1">
      <alignment horizontal="center"/>
    </xf>
    <xf numFmtId="37" fontId="10" fillId="0" borderId="0" xfId="1" applyFont="1" applyAlignment="1">
      <alignment horizontal="center"/>
    </xf>
    <xf numFmtId="37" fontId="9" fillId="0" borderId="16" xfId="1" quotePrefix="1" applyFont="1" applyBorder="1" applyAlignment="1">
      <alignment horizontal="center"/>
    </xf>
    <xf numFmtId="37" fontId="9" fillId="0" borderId="17" xfId="1" quotePrefix="1" applyFont="1" applyBorder="1" applyAlignment="1">
      <alignment horizontal="center"/>
    </xf>
    <xf numFmtId="37" fontId="2" fillId="0" borderId="18" xfId="1" applyFont="1" applyBorder="1" applyAlignment="1">
      <alignment horizontal="center" wrapText="1"/>
    </xf>
    <xf numFmtId="37" fontId="2" fillId="0" borderId="1" xfId="1" applyFont="1" applyBorder="1"/>
    <xf numFmtId="165" fontId="2" fillId="0" borderId="1" xfId="4" applyNumberFormat="1" applyFont="1" applyBorder="1" applyAlignment="1">
      <alignment wrapText="1"/>
    </xf>
    <xf numFmtId="165" fontId="2" fillId="0" borderId="19" xfId="4" applyNumberFormat="1" applyFont="1" applyBorder="1" applyAlignment="1">
      <alignment wrapText="1"/>
    </xf>
    <xf numFmtId="37" fontId="2" fillId="0" borderId="0" xfId="1" applyFont="1" applyAlignment="1">
      <alignment wrapText="1"/>
    </xf>
    <xf numFmtId="37" fontId="2" fillId="0" borderId="1" xfId="1" applyFont="1" applyBorder="1" applyAlignment="1">
      <alignment horizontal="left" indent="1"/>
    </xf>
    <xf numFmtId="37" fontId="2" fillId="0" borderId="18" xfId="1" applyFont="1" applyBorder="1" applyAlignment="1">
      <alignment wrapText="1"/>
    </xf>
    <xf numFmtId="165" fontId="2" fillId="0" borderId="1" xfId="4" applyNumberFormat="1" applyFont="1" applyBorder="1" applyAlignment="1">
      <alignment horizontal="center" wrapText="1"/>
    </xf>
    <xf numFmtId="165" fontId="2" fillId="0" borderId="19" xfId="4" applyNumberFormat="1" applyFont="1" applyBorder="1" applyAlignment="1">
      <alignment horizontal="center" wrapText="1"/>
    </xf>
    <xf numFmtId="10" fontId="2" fillId="0" borderId="1" xfId="2" applyNumberFormat="1" applyFont="1" applyBorder="1" applyAlignment="1">
      <alignment wrapText="1"/>
    </xf>
    <xf numFmtId="10" fontId="2" fillId="0" borderId="19" xfId="2" applyNumberFormat="1" applyFont="1" applyBorder="1" applyAlignment="1">
      <alignment wrapText="1"/>
    </xf>
    <xf numFmtId="37" fontId="2" fillId="0" borderId="20" xfId="1" applyFont="1" applyBorder="1" applyAlignment="1">
      <alignment horizontal="center" wrapText="1"/>
    </xf>
    <xf numFmtId="37" fontId="2" fillId="0" borderId="21" xfId="1" applyFont="1" applyBorder="1"/>
    <xf numFmtId="37" fontId="2" fillId="0" borderId="0" xfId="1" applyFont="1" applyAlignment="1">
      <alignment horizontal="center" wrapText="1"/>
    </xf>
    <xf numFmtId="165" fontId="2" fillId="0" borderId="0" xfId="4" applyNumberFormat="1" applyFont="1"/>
    <xf numFmtId="166" fontId="2" fillId="0" borderId="0" xfId="2" applyNumberFormat="1" applyFont="1" applyBorder="1" applyAlignment="1">
      <alignment wrapText="1"/>
    </xf>
    <xf numFmtId="167" fontId="2" fillId="0" borderId="0" xfId="2" applyNumberFormat="1" applyFont="1" applyAlignment="1">
      <alignment wrapText="1"/>
    </xf>
    <xf numFmtId="167" fontId="2" fillId="0" borderId="0" xfId="4" applyNumberFormat="1" applyFont="1"/>
    <xf numFmtId="165" fontId="2" fillId="0" borderId="0" xfId="4" applyNumberFormat="1" applyFont="1" applyAlignment="1">
      <alignment wrapText="1"/>
    </xf>
    <xf numFmtId="0" fontId="4" fillId="0" borderId="8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3" fillId="0" borderId="33" xfId="0" applyFont="1" applyBorder="1" applyAlignment="1">
      <alignment horizontal="centerContinuous"/>
    </xf>
    <xf numFmtId="0" fontId="3" fillId="0" borderId="32" xfId="0" applyFont="1" applyBorder="1" applyAlignment="1">
      <alignment horizontal="centerContinuous"/>
    </xf>
    <xf numFmtId="0" fontId="3" fillId="0" borderId="34" xfId="0" applyFont="1" applyBorder="1" applyAlignment="1">
      <alignment horizontal="centerContinuous"/>
    </xf>
    <xf numFmtId="0" fontId="12" fillId="0" borderId="0" xfId="0" applyFont="1"/>
    <xf numFmtId="165" fontId="3" fillId="0" borderId="0" xfId="4" applyNumberFormat="1" applyFont="1" applyBorder="1"/>
    <xf numFmtId="165" fontId="3" fillId="0" borderId="0" xfId="4" applyNumberFormat="1" applyFont="1" applyFill="1" applyBorder="1"/>
    <xf numFmtId="42" fontId="12" fillId="0" borderId="1" xfId="0" applyNumberFormat="1" applyFont="1" applyBorder="1"/>
    <xf numFmtId="0" fontId="12" fillId="0" borderId="1" xfId="0" applyFont="1" applyBorder="1"/>
    <xf numFmtId="41" fontId="12" fillId="0" borderId="1" xfId="0" applyNumberFormat="1" applyFont="1" applyBorder="1"/>
    <xf numFmtId="41" fontId="1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9" fontId="12" fillId="0" borderId="0" xfId="0" applyNumberFormat="1" applyFont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 applyAlignment="1">
      <alignment horizontal="right"/>
    </xf>
    <xf numFmtId="0" fontId="12" fillId="0" borderId="8" xfId="0" applyFont="1" applyBorder="1"/>
    <xf numFmtId="0" fontId="12" fillId="0" borderId="9" xfId="0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/>
    <xf numFmtId="42" fontId="3" fillId="0" borderId="0" xfId="0" applyNumberFormat="1" applyFont="1"/>
    <xf numFmtId="9" fontId="3" fillId="0" borderId="0" xfId="0" applyNumberFormat="1" applyFont="1"/>
    <xf numFmtId="41" fontId="3" fillId="0" borderId="0" xfId="0" applyNumberFormat="1" applyFont="1"/>
    <xf numFmtId="42" fontId="3" fillId="0" borderId="1" xfId="0" applyNumberFormat="1" applyFont="1" applyBorder="1"/>
    <xf numFmtId="41" fontId="3" fillId="0" borderId="1" xfId="0" applyNumberFormat="1" applyFont="1" applyBorder="1"/>
    <xf numFmtId="164" fontId="3" fillId="0" borderId="1" xfId="2" applyNumberFormat="1" applyFont="1" applyFill="1" applyBorder="1"/>
    <xf numFmtId="165" fontId="2" fillId="0" borderId="1" xfId="4" applyNumberFormat="1" applyFont="1" applyFill="1" applyBorder="1" applyAlignment="1">
      <alignment wrapText="1"/>
    </xf>
    <xf numFmtId="165" fontId="2" fillId="0" borderId="19" xfId="4" applyNumberFormat="1" applyFont="1" applyFill="1" applyBorder="1" applyAlignment="1">
      <alignment wrapText="1"/>
    </xf>
    <xf numFmtId="43" fontId="3" fillId="0" borderId="0" xfId="5" applyFont="1"/>
    <xf numFmtId="43" fontId="3" fillId="0" borderId="0" xfId="3" applyNumberFormat="1"/>
    <xf numFmtId="0" fontId="3" fillId="0" borderId="31" xfId="3" applyBorder="1" applyAlignment="1">
      <alignment horizontal="centerContinuous"/>
    </xf>
    <xf numFmtId="0" fontId="3" fillId="0" borderId="30" xfId="3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6" fillId="0" borderId="0" xfId="0" applyFont="1" applyAlignment="1">
      <alignment vertical="center" wrapText="1"/>
    </xf>
    <xf numFmtId="17" fontId="6" fillId="0" borderId="0" xfId="0" applyNumberFormat="1" applyFont="1" applyAlignment="1">
      <alignment vertical="center" wrapText="1"/>
    </xf>
    <xf numFmtId="0" fontId="6" fillId="0" borderId="35" xfId="3" applyFont="1" applyBorder="1" applyAlignment="1">
      <alignment horizontal="center"/>
    </xf>
    <xf numFmtId="41" fontId="2" fillId="0" borderId="1" xfId="0" applyNumberFormat="1" applyFont="1" applyBorder="1"/>
    <xf numFmtId="41" fontId="2" fillId="0" borderId="19" xfId="0" applyNumberFormat="1" applyFont="1" applyBorder="1"/>
    <xf numFmtId="42" fontId="2" fillId="0" borderId="1" xfId="0" applyNumberFormat="1" applyFont="1" applyBorder="1"/>
    <xf numFmtId="42" fontId="2" fillId="0" borderId="19" xfId="0" applyNumberFormat="1" applyFont="1" applyBorder="1"/>
    <xf numFmtId="10" fontId="2" fillId="0" borderId="24" xfId="2" applyNumberFormat="1" applyFont="1" applyBorder="1" applyAlignment="1">
      <alignment wrapText="1"/>
    </xf>
    <xf numFmtId="10" fontId="2" fillId="0" borderId="25" xfId="2" applyNumberFormat="1" applyFont="1" applyBorder="1" applyAlignment="1">
      <alignment wrapText="1"/>
    </xf>
    <xf numFmtId="0" fontId="3" fillId="0" borderId="36" xfId="3" applyBorder="1"/>
    <xf numFmtId="0" fontId="6" fillId="0" borderId="0" xfId="3" applyFont="1" applyAlignment="1">
      <alignment horizontal="center"/>
    </xf>
    <xf numFmtId="0" fontId="12" fillId="0" borderId="0" xfId="0" applyFont="1" applyAlignment="1">
      <alignment horizontal="right"/>
    </xf>
    <xf numFmtId="0" fontId="3" fillId="0" borderId="0" xfId="3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0" xfId="3" applyFont="1" applyBorder="1" applyAlignment="1">
      <alignment horizontal="center"/>
    </xf>
    <xf numFmtId="0" fontId="6" fillId="0" borderId="31" xfId="3" applyFont="1" applyBorder="1" applyAlignment="1">
      <alignment horizontal="center"/>
    </xf>
  </cellXfs>
  <cellStyles count="6">
    <cellStyle name="Comma" xfId="5" builtinId="3"/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 2" xfId="2" xr:uid="{00000000-0005-0000-0000-000004000000}"/>
  </cellStyles>
  <dxfs count="0"/>
  <tableStyles count="0" defaultTableStyle="TableStyleMedium9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4"/>
  <sheetViews>
    <sheetView tabSelected="1" view="pageLayout" zoomScale="90" zoomScaleNormal="100" zoomScalePageLayoutView="90" workbookViewId="0">
      <selection activeCell="J21" sqref="J21"/>
    </sheetView>
  </sheetViews>
  <sheetFormatPr defaultColWidth="9.28515625" defaultRowHeight="15"/>
  <cols>
    <col min="1" max="1" width="7.7109375" style="91" customWidth="1"/>
    <col min="2" max="2" width="28" style="91" customWidth="1"/>
    <col min="3" max="3" width="12.7109375" style="91" customWidth="1"/>
    <col min="4" max="4" width="9.28515625" style="91"/>
    <col min="5" max="5" width="14.42578125" style="91" customWidth="1"/>
    <col min="6" max="6" width="9.28515625" style="91"/>
    <col min="7" max="7" width="13" style="91" customWidth="1"/>
    <col min="8" max="8" width="9.28515625" style="91"/>
    <col min="9" max="9" width="12.7109375" style="91" customWidth="1"/>
    <col min="10" max="10" width="9.28515625" style="91"/>
    <col min="11" max="11" width="12.7109375" style="91" customWidth="1"/>
    <col min="12" max="12" width="9.28515625" style="91"/>
    <col min="13" max="13" width="12.7109375" style="91" customWidth="1"/>
    <col min="14" max="14" width="9.28515625" style="91"/>
    <col min="15" max="15" width="12.7109375" style="91" customWidth="1"/>
    <col min="16" max="16" width="9.28515625" style="91"/>
    <col min="17" max="17" width="12.7109375" style="91" customWidth="1"/>
    <col min="18" max="18" width="9.28515625" style="91"/>
    <col min="19" max="19" width="12.7109375" style="91" customWidth="1"/>
    <col min="20" max="20" width="9.28515625" style="91"/>
    <col min="21" max="21" width="12.7109375" style="91" customWidth="1"/>
    <col min="22" max="22" width="9.28515625" style="91"/>
    <col min="23" max="23" width="12.7109375" style="91" customWidth="1"/>
    <col min="24" max="16384" width="9.28515625" style="91"/>
  </cols>
  <sheetData>
    <row r="2" spans="1:26">
      <c r="L2" s="141" t="s">
        <v>91</v>
      </c>
    </row>
    <row r="5" spans="1:26" ht="20.25" customHeight="1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26" ht="15.75" customHeight="1">
      <c r="A6" s="86" t="s">
        <v>87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26" ht="15.75" customHeight="1">
      <c r="A7" s="86" t="s">
        <v>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26" ht="15.75" customHeight="1">
      <c r="A8" s="86" t="s">
        <v>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26">
      <c r="A9" s="99" t="s">
        <v>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26">
      <c r="C10" s="147" t="s">
        <v>84</v>
      </c>
      <c r="D10" s="148"/>
      <c r="E10" s="132"/>
      <c r="F10" s="132"/>
      <c r="G10" s="132"/>
      <c r="H10" s="132"/>
      <c r="I10" s="128"/>
      <c r="J10" s="129"/>
      <c r="K10" s="128"/>
      <c r="L10" s="129"/>
      <c r="M10" s="128"/>
      <c r="N10" s="129"/>
    </row>
    <row r="11" spans="1:26" s="98" customFormat="1" ht="12.75">
      <c r="A11" s="143" t="s">
        <v>4</v>
      </c>
      <c r="B11" s="143" t="s">
        <v>5</v>
      </c>
      <c r="C11" s="144">
        <v>45536</v>
      </c>
      <c r="D11" s="145"/>
      <c r="E11" s="146">
        <f>+G11+1</f>
        <v>2023</v>
      </c>
      <c r="F11" s="145"/>
      <c r="G11" s="146">
        <f>+I11+1</f>
        <v>2022</v>
      </c>
      <c r="H11" s="145"/>
      <c r="I11" s="146">
        <f>+K11+1</f>
        <v>2021</v>
      </c>
      <c r="J11" s="145"/>
      <c r="K11" s="146">
        <f>+M11+1</f>
        <v>2020</v>
      </c>
      <c r="L11" s="145"/>
      <c r="M11" s="143">
        <v>2019</v>
      </c>
      <c r="N11" s="143"/>
      <c r="O11" s="130"/>
      <c r="P11" s="130"/>
      <c r="Q11" s="130"/>
      <c r="R11" s="130"/>
      <c r="S11" s="130"/>
      <c r="T11" s="130"/>
      <c r="U11" s="130"/>
      <c r="V11" s="130"/>
      <c r="W11" s="131"/>
      <c r="X11" s="130"/>
      <c r="Y11" s="130"/>
      <c r="Z11" s="130"/>
    </row>
    <row r="12" spans="1:26" s="98" customFormat="1" ht="12.75">
      <c r="A12" s="149"/>
      <c r="B12" s="149"/>
      <c r="C12" s="100" t="s">
        <v>6</v>
      </c>
      <c r="D12" s="100" t="s">
        <v>7</v>
      </c>
      <c r="E12" s="100" t="s">
        <v>6</v>
      </c>
      <c r="F12" s="100" t="s">
        <v>7</v>
      </c>
      <c r="G12" s="100" t="s">
        <v>6</v>
      </c>
      <c r="H12" s="100" t="s">
        <v>7</v>
      </c>
      <c r="I12" s="100" t="s">
        <v>6</v>
      </c>
      <c r="J12" s="100" t="s">
        <v>7</v>
      </c>
      <c r="K12" s="100" t="s">
        <v>6</v>
      </c>
      <c r="L12" s="100" t="s">
        <v>7</v>
      </c>
      <c r="M12" s="100" t="s">
        <v>6</v>
      </c>
      <c r="N12" s="100" t="s">
        <v>7</v>
      </c>
      <c r="O12" s="6"/>
      <c r="P12" s="6"/>
      <c r="Q12" s="6"/>
      <c r="R12" s="6"/>
      <c r="S12" s="6"/>
      <c r="T12" s="6"/>
      <c r="U12" s="6"/>
      <c r="V12" s="6"/>
      <c r="W12" s="6"/>
      <c r="X12" s="6"/>
      <c r="Z12" s="101"/>
    </row>
    <row r="13" spans="1:26" s="98" customFormat="1" ht="14.25">
      <c r="A13" s="114" t="s">
        <v>8</v>
      </c>
      <c r="B13" s="102" t="s">
        <v>81</v>
      </c>
      <c r="C13" s="119">
        <v>928882</v>
      </c>
      <c r="D13" s="115">
        <f>ROUND(C13/$C$17,3)</f>
        <v>0.46200000000000002</v>
      </c>
      <c r="E13" s="119">
        <v>704562</v>
      </c>
      <c r="F13" s="115">
        <f>ROUND(E13/$E$17,4)</f>
        <v>0.36549999999999999</v>
      </c>
      <c r="G13" s="119">
        <v>779158</v>
      </c>
      <c r="H13" s="115">
        <f>ROUND(G13/$G$17,3)</f>
        <v>0.44800000000000001</v>
      </c>
      <c r="I13" s="119">
        <v>729221</v>
      </c>
      <c r="J13" s="115">
        <f>ROUND(I13/$I$17,3)</f>
        <v>0.441</v>
      </c>
      <c r="K13" s="119">
        <v>728796</v>
      </c>
      <c r="L13" s="115">
        <f>ROUND(K13/$K$17,4)</f>
        <v>0.47870000000000001</v>
      </c>
      <c r="M13" s="119">
        <v>658807</v>
      </c>
      <c r="N13" s="115">
        <f>ROUND(M13/$M$17,3)</f>
        <v>0.47499999999999998</v>
      </c>
      <c r="O13" s="116"/>
      <c r="P13" s="117"/>
      <c r="Q13" s="116"/>
      <c r="R13" s="117"/>
      <c r="S13" s="116"/>
      <c r="T13" s="117"/>
      <c r="U13" s="116"/>
      <c r="V13" s="117"/>
      <c r="W13" s="116"/>
      <c r="X13" s="117"/>
    </row>
    <row r="14" spans="1:26" s="98" customFormat="1" ht="12.75">
      <c r="A14" s="114" t="s">
        <v>9</v>
      </c>
      <c r="B14" s="102" t="s">
        <v>10</v>
      </c>
      <c r="C14" s="120">
        <v>0</v>
      </c>
      <c r="D14" s="115">
        <f t="shared" ref="D14:D16" si="0">ROUND(C14/$C$17,3)</f>
        <v>0</v>
      </c>
      <c r="E14" s="120">
        <v>92903</v>
      </c>
      <c r="F14" s="115">
        <f>ROUND(E14/$E$17,4)</f>
        <v>4.82E-2</v>
      </c>
      <c r="G14" s="120">
        <v>81232</v>
      </c>
      <c r="H14" s="115">
        <f t="shared" ref="H14:H16" si="1">ROUND(G14/$G$17,3)</f>
        <v>4.7E-2</v>
      </c>
      <c r="I14" s="120">
        <v>102596</v>
      </c>
      <c r="J14" s="115">
        <f t="shared" ref="J14:J16" si="2">ROUND(I14/$I$17,3)</f>
        <v>6.2E-2</v>
      </c>
      <c r="K14" s="120">
        <v>75472</v>
      </c>
      <c r="L14" s="115">
        <f>ROUND(K14/$K$17,4)</f>
        <v>4.9599999999999998E-2</v>
      </c>
      <c r="M14" s="120">
        <v>82509</v>
      </c>
      <c r="N14" s="115">
        <f t="shared" ref="N14:N16" si="3">ROUND(M14/$M$17,3)</f>
        <v>0.06</v>
      </c>
      <c r="O14" s="118"/>
      <c r="P14" s="117"/>
      <c r="Q14" s="118"/>
      <c r="R14" s="117"/>
      <c r="S14" s="118"/>
      <c r="T14" s="117"/>
      <c r="U14" s="118"/>
      <c r="V14" s="117"/>
      <c r="W14" s="118"/>
      <c r="X14" s="117"/>
    </row>
    <row r="15" spans="1:26" s="98" customFormat="1" ht="12.75">
      <c r="A15" s="114" t="s">
        <v>11</v>
      </c>
      <c r="B15" s="102" t="s">
        <v>12</v>
      </c>
      <c r="C15" s="120">
        <v>0</v>
      </c>
      <c r="D15" s="115">
        <f t="shared" si="0"/>
        <v>0</v>
      </c>
      <c r="E15" s="120">
        <v>0</v>
      </c>
      <c r="F15" s="115">
        <f t="shared" ref="F15" si="4">ROUND(E15/$E$17,3)</f>
        <v>0</v>
      </c>
      <c r="G15" s="120">
        <v>0</v>
      </c>
      <c r="H15" s="115">
        <f t="shared" si="1"/>
        <v>0</v>
      </c>
      <c r="I15" s="120">
        <v>0</v>
      </c>
      <c r="J15" s="115">
        <f t="shared" si="2"/>
        <v>0</v>
      </c>
      <c r="K15" s="120">
        <v>0</v>
      </c>
      <c r="L15" s="115">
        <f t="shared" ref="L15" si="5">ROUND(K15/$K$17,3)</f>
        <v>0</v>
      </c>
      <c r="M15" s="120">
        <v>0</v>
      </c>
      <c r="N15" s="115">
        <f t="shared" si="3"/>
        <v>0</v>
      </c>
      <c r="O15" s="118"/>
      <c r="P15" s="117"/>
      <c r="Q15" s="118"/>
      <c r="R15" s="117"/>
      <c r="S15" s="118"/>
      <c r="T15" s="117"/>
      <c r="U15" s="118"/>
      <c r="V15" s="117"/>
      <c r="W15" s="118"/>
      <c r="X15" s="117"/>
    </row>
    <row r="16" spans="1:26" s="98" customFormat="1" ht="14.25">
      <c r="A16" s="114" t="s">
        <v>13</v>
      </c>
      <c r="B16" s="102" t="s">
        <v>14</v>
      </c>
      <c r="C16" s="120">
        <v>1079648</v>
      </c>
      <c r="D16" s="115">
        <f t="shared" si="0"/>
        <v>0.53800000000000003</v>
      </c>
      <c r="E16" s="120">
        <v>1130357</v>
      </c>
      <c r="F16" s="115">
        <f>ROUND(E16/$E$17,4)</f>
        <v>0.58630000000000004</v>
      </c>
      <c r="G16" s="120">
        <v>880194</v>
      </c>
      <c r="H16" s="115">
        <f t="shared" si="1"/>
        <v>0.50600000000000001</v>
      </c>
      <c r="I16" s="120">
        <v>821633</v>
      </c>
      <c r="J16" s="115">
        <f t="shared" si="2"/>
        <v>0.497</v>
      </c>
      <c r="K16" s="120">
        <v>718236</v>
      </c>
      <c r="L16" s="115">
        <f>ROUND(K16/$K$17,4)</f>
        <v>0.47170000000000001</v>
      </c>
      <c r="M16" s="120">
        <v>645094</v>
      </c>
      <c r="N16" s="115">
        <f t="shared" si="3"/>
        <v>0.46500000000000002</v>
      </c>
      <c r="O16" s="118"/>
      <c r="P16" s="117"/>
      <c r="Q16" s="118"/>
      <c r="R16" s="117"/>
      <c r="S16" s="118"/>
      <c r="T16" s="117"/>
      <c r="U16" s="118"/>
      <c r="V16" s="117"/>
      <c r="W16" s="118"/>
      <c r="X16" s="117"/>
    </row>
    <row r="17" spans="1:24" s="98" customFormat="1" ht="12.75">
      <c r="A17" s="114" t="s">
        <v>15</v>
      </c>
      <c r="B17" s="102" t="s">
        <v>16</v>
      </c>
      <c r="C17" s="119">
        <f>SUM(C13:C16)</f>
        <v>2008530</v>
      </c>
      <c r="D17" s="115">
        <f t="shared" ref="D17" si="6">SUM(D13:D16)</f>
        <v>1</v>
      </c>
      <c r="E17" s="119">
        <f>SUM(E13:E16)</f>
        <v>1927822</v>
      </c>
      <c r="F17" s="115">
        <f t="shared" ref="F17" si="7">SUM(F13:F16)</f>
        <v>1</v>
      </c>
      <c r="G17" s="119">
        <f>SUM(G13:G16)</f>
        <v>1740584</v>
      </c>
      <c r="H17" s="115">
        <f t="shared" ref="H17" si="8">SUM(H13:H16)</f>
        <v>1.0009999999999999</v>
      </c>
      <c r="I17" s="119">
        <f>SUM(I13:I16)</f>
        <v>1653450</v>
      </c>
      <c r="J17" s="115">
        <f t="shared" ref="J17" si="9">SUM(J13:J16)</f>
        <v>1</v>
      </c>
      <c r="K17" s="119">
        <f>SUM(K13:K16)</f>
        <v>1522504</v>
      </c>
      <c r="L17" s="115">
        <f t="shared" ref="L17" si="10">SUM(L13:L16)</f>
        <v>1</v>
      </c>
      <c r="M17" s="119">
        <f>SUM(M13:M16)</f>
        <v>1386410</v>
      </c>
      <c r="N17" s="115">
        <f t="shared" ref="N17" si="11">SUM(N13:N16)</f>
        <v>1</v>
      </c>
      <c r="O17" s="116"/>
      <c r="P17" s="117"/>
      <c r="Q17" s="116"/>
      <c r="R17" s="117"/>
      <c r="S17" s="116"/>
      <c r="T17" s="117"/>
      <c r="U17" s="116"/>
      <c r="V17" s="117"/>
      <c r="W17" s="116"/>
      <c r="X17" s="117"/>
    </row>
    <row r="18" spans="1:24" s="98" customFormat="1" ht="12.75"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7"/>
      <c r="Q18" s="118"/>
      <c r="R18" s="117"/>
      <c r="S18" s="118"/>
      <c r="T18" s="117"/>
      <c r="U18" s="118"/>
      <c r="V18" s="117"/>
      <c r="W18" s="118"/>
      <c r="X18" s="117"/>
    </row>
    <row r="19" spans="1:24">
      <c r="B19" s="91" t="s">
        <v>17</v>
      </c>
      <c r="C19" s="97"/>
      <c r="D19" s="103"/>
      <c r="E19" s="103"/>
      <c r="F19" s="103"/>
      <c r="G19" s="103"/>
      <c r="H19" s="103"/>
      <c r="I19" s="97"/>
      <c r="J19" s="103"/>
      <c r="K19" s="97"/>
      <c r="L19" s="103"/>
      <c r="M19" s="97"/>
      <c r="N19" s="103"/>
    </row>
    <row r="20" spans="1:24">
      <c r="B20" s="91" t="s">
        <v>18</v>
      </c>
      <c r="C20" s="97"/>
      <c r="D20" s="103"/>
      <c r="E20" s="103"/>
      <c r="F20" s="103"/>
      <c r="G20" s="103"/>
      <c r="H20" s="103"/>
      <c r="I20" s="97"/>
      <c r="J20" s="103"/>
      <c r="K20" s="97"/>
      <c r="L20" s="103"/>
      <c r="M20" s="97"/>
      <c r="N20" s="103"/>
    </row>
    <row r="21" spans="1:24">
      <c r="B21" s="21" t="s">
        <v>82</v>
      </c>
      <c r="C21" s="97"/>
      <c r="D21" s="103"/>
      <c r="E21" s="103"/>
      <c r="F21" s="103"/>
      <c r="G21" s="103"/>
      <c r="H21" s="103"/>
      <c r="I21" s="97"/>
      <c r="J21" s="103"/>
      <c r="K21" s="97"/>
      <c r="L21" s="103"/>
      <c r="M21" s="97"/>
      <c r="N21" s="103"/>
    </row>
    <row r="22" spans="1:24">
      <c r="C22" s="97"/>
      <c r="D22" s="103"/>
      <c r="E22" s="103"/>
      <c r="F22" s="103"/>
      <c r="G22" s="103"/>
      <c r="H22" s="103"/>
      <c r="I22" s="97"/>
      <c r="J22" s="103"/>
      <c r="K22" s="97"/>
      <c r="L22" s="103"/>
      <c r="M22" s="97"/>
      <c r="N22" s="103"/>
    </row>
    <row r="23" spans="1:24">
      <c r="A23" s="2"/>
      <c r="B23" s="91" t="s">
        <v>73</v>
      </c>
      <c r="C23" s="97"/>
      <c r="D23" s="103"/>
      <c r="E23" s="103"/>
      <c r="F23" s="103"/>
      <c r="G23" s="103"/>
      <c r="H23" s="103"/>
      <c r="I23" s="97"/>
      <c r="J23" s="103"/>
      <c r="K23" s="97"/>
      <c r="L23" s="103"/>
      <c r="M23" s="97"/>
      <c r="N23" s="103"/>
    </row>
    <row r="24" spans="1:24">
      <c r="B24" s="91" t="s">
        <v>74</v>
      </c>
      <c r="C24" s="97"/>
      <c r="I24" s="97"/>
      <c r="K24" s="97"/>
      <c r="M24" s="97"/>
    </row>
  </sheetData>
  <mergeCells count="9">
    <mergeCell ref="A11:A12"/>
    <mergeCell ref="B11:B12"/>
    <mergeCell ref="I11:J11"/>
    <mergeCell ref="K11:L11"/>
    <mergeCell ref="M11:N11"/>
    <mergeCell ref="C11:D11"/>
    <mergeCell ref="E11:F11"/>
    <mergeCell ref="G11:H11"/>
    <mergeCell ref="C10:D10"/>
  </mergeCells>
  <pageMargins left="0.7" right="0.7" top="0.75" bottom="0.75" header="0.3" footer="0.3"/>
  <pageSetup scale="72" orientation="landscape" r:id="rId1"/>
  <headerFooter>
    <oddHeader>&amp;R&amp;"Times New Roman,Bold"&amp;10KyPSC Case No. 2024-00354
STAFF-DR-01-022 Attachment
Page &amp;P of &amp;N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view="pageLayout" zoomScale="80" zoomScaleNormal="100" zoomScalePageLayoutView="80" workbookViewId="0">
      <selection activeCell="J21" sqref="J21"/>
    </sheetView>
  </sheetViews>
  <sheetFormatPr defaultColWidth="9.28515625" defaultRowHeight="15"/>
  <cols>
    <col min="1" max="1" width="9.28515625" style="91"/>
    <col min="2" max="2" width="43.7109375" style="91" customWidth="1"/>
    <col min="3" max="9" width="12.7109375" style="91" customWidth="1"/>
    <col min="10" max="16384" width="9.28515625" style="91"/>
  </cols>
  <sheetData>
    <row r="1" spans="1:14">
      <c r="A1" s="104"/>
      <c r="B1" s="105"/>
      <c r="C1" s="105"/>
      <c r="D1" s="105"/>
      <c r="E1" s="105"/>
      <c r="F1" s="105"/>
      <c r="G1" s="105"/>
      <c r="H1" s="3"/>
      <c r="I1" s="106"/>
    </row>
    <row r="2" spans="1:14">
      <c r="A2" s="107"/>
      <c r="H2" s="1"/>
      <c r="I2" s="108"/>
    </row>
    <row r="3" spans="1:14">
      <c r="A3" s="107"/>
      <c r="H3" s="1"/>
      <c r="I3" s="108" t="s">
        <v>83</v>
      </c>
    </row>
    <row r="4" spans="1:14">
      <c r="A4" s="107"/>
      <c r="H4" s="1"/>
      <c r="I4" s="108"/>
    </row>
    <row r="5" spans="1:14" ht="20.25" customHeight="1">
      <c r="A5" s="82" t="str">
        <f>'DEK 22(a)'!A5</f>
        <v>Duke Energy Kentucky, Inc.</v>
      </c>
      <c r="B5" s="83"/>
      <c r="C5" s="83"/>
      <c r="D5" s="83"/>
      <c r="E5" s="83"/>
      <c r="F5" s="83"/>
      <c r="G5" s="83"/>
      <c r="H5" s="83"/>
      <c r="I5" s="84"/>
      <c r="J5" s="4"/>
      <c r="K5" s="4"/>
      <c r="L5" s="4"/>
      <c r="M5" s="4"/>
      <c r="N5" s="4"/>
    </row>
    <row r="6" spans="1:14" ht="15.75" customHeight="1">
      <c r="A6" s="85" t="str">
        <f>'DEK 22(a)'!A6</f>
        <v>Case No. 2024-00354</v>
      </c>
      <c r="B6" s="86"/>
      <c r="C6" s="86"/>
      <c r="D6" s="86"/>
      <c r="E6" s="86"/>
      <c r="F6" s="86"/>
      <c r="G6" s="86"/>
      <c r="H6" s="86"/>
      <c r="I6" s="87"/>
      <c r="J6" s="5"/>
      <c r="K6" s="5"/>
      <c r="L6" s="5"/>
      <c r="M6" s="5"/>
      <c r="N6" s="5"/>
    </row>
    <row r="7" spans="1:14" ht="15.75" customHeight="1">
      <c r="A7" s="85" t="s">
        <v>19</v>
      </c>
      <c r="B7" s="86"/>
      <c r="C7" s="86"/>
      <c r="D7" s="86"/>
      <c r="E7" s="86"/>
      <c r="F7" s="86"/>
      <c r="G7" s="86"/>
      <c r="H7" s="86"/>
      <c r="I7" s="87"/>
      <c r="J7" s="5"/>
      <c r="K7" s="5"/>
      <c r="L7" s="5"/>
      <c r="M7" s="5"/>
      <c r="N7" s="5"/>
    </row>
    <row r="8" spans="1:14" ht="15.75" customHeight="1">
      <c r="A8" s="85" t="s">
        <v>86</v>
      </c>
      <c r="B8" s="86"/>
      <c r="C8" s="86"/>
      <c r="D8" s="86"/>
      <c r="E8" s="86"/>
      <c r="F8" s="86"/>
      <c r="G8" s="86"/>
      <c r="H8" s="86"/>
      <c r="I8" s="87"/>
      <c r="J8" s="5"/>
      <c r="K8" s="5"/>
      <c r="L8" s="5"/>
      <c r="M8" s="5"/>
      <c r="N8" s="5"/>
    </row>
    <row r="9" spans="1:14">
      <c r="A9" s="88" t="s">
        <v>3</v>
      </c>
      <c r="B9" s="89"/>
      <c r="C9" s="89"/>
      <c r="D9" s="89"/>
      <c r="E9" s="89"/>
      <c r="F9" s="89"/>
      <c r="G9" s="89"/>
      <c r="H9" s="89"/>
      <c r="I9" s="90"/>
      <c r="J9" s="6"/>
      <c r="K9" s="6"/>
      <c r="L9" s="6"/>
      <c r="M9" s="6"/>
      <c r="N9" s="6"/>
    </row>
    <row r="10" spans="1:14">
      <c r="A10" s="7"/>
      <c r="B10" s="8"/>
      <c r="C10" s="8"/>
      <c r="D10" s="8"/>
      <c r="E10" s="8"/>
      <c r="F10" s="8"/>
      <c r="G10" s="8"/>
      <c r="H10" s="8"/>
      <c r="I10" s="9" t="s">
        <v>20</v>
      </c>
      <c r="J10" s="6"/>
      <c r="K10" s="6"/>
      <c r="L10" s="6"/>
      <c r="M10" s="6"/>
      <c r="N10" s="6"/>
    </row>
    <row r="11" spans="1:14">
      <c r="A11" s="10" t="s">
        <v>21</v>
      </c>
      <c r="B11" s="11"/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27</v>
      </c>
      <c r="I11" s="12" t="s">
        <v>26</v>
      </c>
      <c r="J11" s="6"/>
      <c r="K11" s="6"/>
      <c r="L11" s="6"/>
      <c r="M11" s="6"/>
      <c r="N11" s="6"/>
    </row>
    <row r="12" spans="1:14">
      <c r="A12" s="13" t="s">
        <v>28</v>
      </c>
      <c r="B12" s="14" t="s">
        <v>29</v>
      </c>
      <c r="C12" s="14" t="s">
        <v>30</v>
      </c>
      <c r="D12" s="14" t="s">
        <v>31</v>
      </c>
      <c r="E12" s="14" t="s">
        <v>32</v>
      </c>
      <c r="F12" s="14" t="s">
        <v>33</v>
      </c>
      <c r="G12" s="14" t="s">
        <v>34</v>
      </c>
      <c r="H12" s="14" t="s">
        <v>35</v>
      </c>
      <c r="I12" s="15" t="s">
        <v>36</v>
      </c>
      <c r="J12" s="6"/>
      <c r="K12" s="6"/>
      <c r="L12" s="6"/>
      <c r="M12" s="6"/>
      <c r="N12" s="6"/>
    </row>
    <row r="13" spans="1:14">
      <c r="A13" s="16"/>
      <c r="B13" s="17" t="s">
        <v>37</v>
      </c>
      <c r="C13" s="17" t="s">
        <v>38</v>
      </c>
      <c r="D13" s="17" t="s">
        <v>39</v>
      </c>
      <c r="E13" s="17" t="s">
        <v>40</v>
      </c>
      <c r="F13" s="17" t="s">
        <v>41</v>
      </c>
      <c r="G13" s="17" t="s">
        <v>42</v>
      </c>
      <c r="H13" s="17" t="s">
        <v>43</v>
      </c>
      <c r="I13" s="18" t="s">
        <v>44</v>
      </c>
      <c r="J13" s="6"/>
      <c r="K13" s="6"/>
      <c r="L13" s="6"/>
      <c r="M13" s="6"/>
      <c r="N13" s="6"/>
    </row>
    <row r="14" spans="1:14">
      <c r="A14" s="109">
        <v>1</v>
      </c>
      <c r="B14" s="95" t="s">
        <v>88</v>
      </c>
      <c r="C14" s="122">
        <f>D14+E14+F14+I14</f>
        <v>1740584.05118</v>
      </c>
      <c r="D14" s="122">
        <v>779157.56282999995</v>
      </c>
      <c r="E14" s="122">
        <v>81232</v>
      </c>
      <c r="F14" s="122">
        <v>0</v>
      </c>
      <c r="G14" s="122">
        <v>301274.13</v>
      </c>
      <c r="H14" s="122">
        <v>578920.35834999999</v>
      </c>
      <c r="I14" s="123">
        <f>+G14+H14</f>
        <v>880194.48835</v>
      </c>
    </row>
    <row r="15" spans="1:14">
      <c r="A15" s="109">
        <v>2</v>
      </c>
      <c r="B15" s="95" t="s">
        <v>45</v>
      </c>
      <c r="C15" s="122">
        <f>D15+E15+F15+I15</f>
        <v>1740429.14059</v>
      </c>
      <c r="D15" s="122">
        <v>779185.75047000009</v>
      </c>
      <c r="E15" s="122">
        <v>71466</v>
      </c>
      <c r="F15" s="122">
        <v>0</v>
      </c>
      <c r="G15" s="122">
        <v>301274.13</v>
      </c>
      <c r="H15" s="122">
        <v>588503.26011999999</v>
      </c>
      <c r="I15" s="123">
        <f t="shared" ref="I15:I26" si="0">+G15+H15</f>
        <v>889777.39012</v>
      </c>
    </row>
    <row r="16" spans="1:14">
      <c r="A16" s="109">
        <v>3</v>
      </c>
      <c r="B16" s="95" t="s">
        <v>46</v>
      </c>
      <c r="C16" s="122">
        <f t="shared" ref="C16:C26" si="1">D16+E16+F16+I16</f>
        <v>1745350.7316999999</v>
      </c>
      <c r="D16" s="122">
        <v>779213.20766000007</v>
      </c>
      <c r="E16" s="122">
        <v>69533</v>
      </c>
      <c r="F16" s="122">
        <v>0</v>
      </c>
      <c r="G16" s="122">
        <v>301274.13</v>
      </c>
      <c r="H16" s="122">
        <v>595330.39403999993</v>
      </c>
      <c r="I16" s="123">
        <f t="shared" si="0"/>
        <v>896604.52403999993</v>
      </c>
    </row>
    <row r="17" spans="1:9">
      <c r="A17" s="109">
        <v>4</v>
      </c>
      <c r="B17" s="95" t="s">
        <v>47</v>
      </c>
      <c r="C17" s="122">
        <f t="shared" si="1"/>
        <v>1761701.7194000001</v>
      </c>
      <c r="D17" s="122">
        <v>779249.09305999998</v>
      </c>
      <c r="E17" s="122">
        <v>78075</v>
      </c>
      <c r="F17" s="122">
        <v>0</v>
      </c>
      <c r="G17" s="122">
        <v>301274.13</v>
      </c>
      <c r="H17" s="122">
        <v>603103.49634000007</v>
      </c>
      <c r="I17" s="123">
        <f t="shared" si="0"/>
        <v>904377.62634000008</v>
      </c>
    </row>
    <row r="18" spans="1:9">
      <c r="A18" s="109">
        <v>5</v>
      </c>
      <c r="B18" s="95" t="s">
        <v>48</v>
      </c>
      <c r="C18" s="122">
        <f t="shared" si="1"/>
        <v>1772098.3177100001</v>
      </c>
      <c r="D18" s="122">
        <v>779278.91454000003</v>
      </c>
      <c r="E18" s="122">
        <v>87669</v>
      </c>
      <c r="F18" s="122">
        <v>0</v>
      </c>
      <c r="G18" s="122">
        <v>301274.13</v>
      </c>
      <c r="H18" s="122">
        <v>603876.27317000006</v>
      </c>
      <c r="I18" s="123">
        <f t="shared" si="0"/>
        <v>905150.40317000006</v>
      </c>
    </row>
    <row r="19" spans="1:9">
      <c r="A19" s="109">
        <v>6</v>
      </c>
      <c r="B19" s="95" t="s">
        <v>49</v>
      </c>
      <c r="C19" s="122">
        <f t="shared" si="1"/>
        <v>1780739.0956899999</v>
      </c>
      <c r="D19" s="122">
        <v>779308.13861999998</v>
      </c>
      <c r="E19" s="122">
        <v>93784</v>
      </c>
      <c r="F19" s="122">
        <v>0</v>
      </c>
      <c r="G19" s="122">
        <v>301274.13</v>
      </c>
      <c r="H19" s="122">
        <v>606372.82706999988</v>
      </c>
      <c r="I19" s="123">
        <f t="shared" si="0"/>
        <v>907646.95706999989</v>
      </c>
    </row>
    <row r="20" spans="1:9">
      <c r="A20" s="109">
        <v>7</v>
      </c>
      <c r="B20" s="95" t="s">
        <v>50</v>
      </c>
      <c r="C20" s="122">
        <f t="shared" si="1"/>
        <v>1813700.9919199999</v>
      </c>
      <c r="D20" s="122">
        <v>779337.96009000007</v>
      </c>
      <c r="E20" s="122">
        <v>117322</v>
      </c>
      <c r="F20" s="122">
        <v>0</v>
      </c>
      <c r="G20" s="122">
        <v>301274.13</v>
      </c>
      <c r="H20" s="122">
        <v>615766.90182999987</v>
      </c>
      <c r="I20" s="123">
        <f t="shared" si="0"/>
        <v>917041.03182999988</v>
      </c>
    </row>
    <row r="21" spans="1:9">
      <c r="A21" s="109">
        <v>8</v>
      </c>
      <c r="B21" s="95" t="s">
        <v>51</v>
      </c>
      <c r="C21" s="122">
        <f t="shared" si="1"/>
        <v>1831165.31443</v>
      </c>
      <c r="D21" s="122">
        <v>779367.84548000002</v>
      </c>
      <c r="E21" s="122">
        <v>130419</v>
      </c>
      <c r="F21" s="122">
        <v>0</v>
      </c>
      <c r="G21" s="122">
        <v>301274.13</v>
      </c>
      <c r="H21" s="122">
        <v>620104.33895</v>
      </c>
      <c r="I21" s="123">
        <f t="shared" si="0"/>
        <v>921378.46895000001</v>
      </c>
    </row>
    <row r="22" spans="1:9">
      <c r="A22" s="109">
        <v>9</v>
      </c>
      <c r="B22" s="95" t="s">
        <v>52</v>
      </c>
      <c r="C22" s="122">
        <f t="shared" si="1"/>
        <v>1831713.4830800002</v>
      </c>
      <c r="D22" s="122">
        <v>779397.73086000001</v>
      </c>
      <c r="E22" s="122">
        <v>127424</v>
      </c>
      <c r="F22" s="122">
        <v>0</v>
      </c>
      <c r="G22" s="122">
        <v>301274.13</v>
      </c>
      <c r="H22" s="122">
        <v>623617.62222000002</v>
      </c>
      <c r="I22" s="123">
        <f t="shared" si="0"/>
        <v>924891.75222000002</v>
      </c>
    </row>
    <row r="23" spans="1:9">
      <c r="A23" s="109">
        <v>10</v>
      </c>
      <c r="B23" s="95" t="s">
        <v>53</v>
      </c>
      <c r="C23" s="122">
        <f t="shared" si="1"/>
        <v>1839291.5433899998</v>
      </c>
      <c r="D23" s="122">
        <v>779427.55232999998</v>
      </c>
      <c r="E23" s="122">
        <v>99856</v>
      </c>
      <c r="F23" s="122">
        <v>0</v>
      </c>
      <c r="G23" s="122">
        <v>336274.13</v>
      </c>
      <c r="H23" s="122">
        <v>623733.86105999991</v>
      </c>
      <c r="I23" s="123">
        <f t="shared" si="0"/>
        <v>960007.99105999991</v>
      </c>
    </row>
    <row r="24" spans="1:9">
      <c r="A24" s="109">
        <v>11</v>
      </c>
      <c r="B24" s="95" t="s">
        <v>54</v>
      </c>
      <c r="C24" s="122">
        <f>D24+E24+F24+I24</f>
        <v>1854349.2965199999</v>
      </c>
      <c r="D24" s="122">
        <v>779446.17752000003</v>
      </c>
      <c r="E24" s="122">
        <v>114765</v>
      </c>
      <c r="F24" s="122">
        <v>0</v>
      </c>
      <c r="G24" s="122">
        <v>336274.13</v>
      </c>
      <c r="H24" s="122">
        <v>623863.98899999994</v>
      </c>
      <c r="I24" s="123">
        <f t="shared" si="0"/>
        <v>960138.11899999995</v>
      </c>
    </row>
    <row r="25" spans="1:9">
      <c r="A25" s="109">
        <v>12</v>
      </c>
      <c r="B25" s="95" t="s">
        <v>55</v>
      </c>
      <c r="C25" s="122">
        <f t="shared" si="1"/>
        <v>1797519.6224400001</v>
      </c>
      <c r="D25" s="122">
        <v>704466.9423900001</v>
      </c>
      <c r="E25" s="122">
        <v>122700</v>
      </c>
      <c r="F25" s="122">
        <v>0</v>
      </c>
      <c r="G25" s="122">
        <v>336274.13</v>
      </c>
      <c r="H25" s="122">
        <v>634078.55004999996</v>
      </c>
      <c r="I25" s="123">
        <f t="shared" si="0"/>
        <v>970352.68004999997</v>
      </c>
    </row>
    <row r="26" spans="1:9">
      <c r="A26" s="109">
        <v>13</v>
      </c>
      <c r="B26" s="95" t="s">
        <v>56</v>
      </c>
      <c r="C26" s="122">
        <f t="shared" si="1"/>
        <v>1927821.7592699998</v>
      </c>
      <c r="D26" s="122">
        <v>704562.05521000002</v>
      </c>
      <c r="E26" s="122">
        <v>92903.000000000015</v>
      </c>
      <c r="F26" s="122">
        <v>0</v>
      </c>
      <c r="G26" s="122">
        <v>486274.13</v>
      </c>
      <c r="H26" s="122">
        <v>644082.5740599999</v>
      </c>
      <c r="I26" s="123">
        <f t="shared" si="0"/>
        <v>1130356.7040599999</v>
      </c>
    </row>
    <row r="27" spans="1:9">
      <c r="A27" s="109">
        <v>14</v>
      </c>
      <c r="B27" s="95" t="s">
        <v>57</v>
      </c>
      <c r="C27" s="133">
        <f>SUM(C14:C26)</f>
        <v>23436465.067319997</v>
      </c>
      <c r="D27" s="133">
        <f t="shared" ref="D27:I27" si="2">SUM(D14:D26)</f>
        <v>9981398.9310600013</v>
      </c>
      <c r="E27" s="133">
        <f t="shared" si="2"/>
        <v>1287148</v>
      </c>
      <c r="F27" s="133">
        <f t="shared" si="2"/>
        <v>0</v>
      </c>
      <c r="G27" s="133">
        <f t="shared" si="2"/>
        <v>4206563.6899999995</v>
      </c>
      <c r="H27" s="133">
        <f t="shared" si="2"/>
        <v>7961354.4462599987</v>
      </c>
      <c r="I27" s="134">
        <f t="shared" si="2"/>
        <v>12167918.136259999</v>
      </c>
    </row>
    <row r="28" spans="1:9">
      <c r="A28" s="109">
        <v>15</v>
      </c>
      <c r="B28" s="95" t="s">
        <v>58</v>
      </c>
      <c r="C28" s="135">
        <f>C27/13</f>
        <v>1802805.0051784613</v>
      </c>
      <c r="D28" s="135">
        <f t="shared" ref="D28:I28" si="3">D27/13</f>
        <v>767799.9177738463</v>
      </c>
      <c r="E28" s="135">
        <f t="shared" si="3"/>
        <v>99011.38461538461</v>
      </c>
      <c r="F28" s="135">
        <f t="shared" si="3"/>
        <v>0</v>
      </c>
      <c r="G28" s="135">
        <f t="shared" si="3"/>
        <v>323581.82230769226</v>
      </c>
      <c r="H28" s="135">
        <f t="shared" si="3"/>
        <v>612411.88048153836</v>
      </c>
      <c r="I28" s="136">
        <f t="shared" si="3"/>
        <v>935993.70278923074</v>
      </c>
    </row>
    <row r="29" spans="1:9" ht="15.75" thickBot="1">
      <c r="A29" s="110">
        <v>16</v>
      </c>
      <c r="B29" s="111" t="s">
        <v>59</v>
      </c>
      <c r="C29" s="19">
        <f>SUM(D29:F29)+I29</f>
        <v>1</v>
      </c>
      <c r="D29" s="19">
        <f>ROUND(D28/$C$28,4)</f>
        <v>0.4259</v>
      </c>
      <c r="E29" s="19">
        <f>ROUND(E28/$C$28,4)</f>
        <v>5.4899999999999997E-2</v>
      </c>
      <c r="F29" s="19">
        <f>IF(F28=0,0,+F28/$C$42)</f>
        <v>0</v>
      </c>
      <c r="G29" s="19">
        <f>ROUND(G28/$C$28,4)</f>
        <v>0.17949999999999999</v>
      </c>
      <c r="H29" s="19">
        <f>ROUND(H28/$C$28,4)</f>
        <v>0.3397</v>
      </c>
      <c r="I29" s="20">
        <f>ROUND(G29+H29,4)</f>
        <v>0.51919999999999999</v>
      </c>
    </row>
    <row r="30" spans="1:9" ht="15.75" thickBot="1">
      <c r="A30" s="112">
        <v>17</v>
      </c>
      <c r="B30" s="113" t="s">
        <v>60</v>
      </c>
      <c r="C30" s="137">
        <f>ROUND(SUM(D30:F30)+I30,0)</f>
        <v>1</v>
      </c>
      <c r="D30" s="137">
        <f>ROUND(D26/$C$26,4)</f>
        <v>0.36549999999999999</v>
      </c>
      <c r="E30" s="137">
        <f>ROUND(E26/$C$26,4)</f>
        <v>4.82E-2</v>
      </c>
      <c r="F30" s="137">
        <f>F26/$C$26</f>
        <v>0</v>
      </c>
      <c r="G30" s="137">
        <f>ROUND(G26/$C$26,4)</f>
        <v>0.25219999999999998</v>
      </c>
      <c r="H30" s="137">
        <f>ROUND(H26/$C$26,4)</f>
        <v>0.33410000000000001</v>
      </c>
      <c r="I30" s="138">
        <f>ROUND(G30+H30,4)</f>
        <v>0.58630000000000004</v>
      </c>
    </row>
    <row r="31" spans="1:9">
      <c r="C31" s="97"/>
      <c r="D31" s="97"/>
      <c r="E31" s="97"/>
      <c r="F31" s="97"/>
      <c r="G31" s="97"/>
      <c r="H31" s="97"/>
      <c r="I31" s="97"/>
    </row>
    <row r="32" spans="1:9">
      <c r="B32" s="91" t="s">
        <v>17</v>
      </c>
      <c r="C32" s="97"/>
      <c r="D32" s="97"/>
      <c r="E32" s="97"/>
      <c r="F32" s="97"/>
      <c r="G32" s="97"/>
      <c r="H32" s="97"/>
      <c r="I32" s="97"/>
    </row>
    <row r="33" spans="2:9">
      <c r="B33" s="91" t="s">
        <v>61</v>
      </c>
      <c r="C33" s="97"/>
      <c r="D33" s="97"/>
      <c r="E33" s="97"/>
      <c r="F33" s="97"/>
      <c r="G33" s="97"/>
      <c r="H33" s="97"/>
      <c r="I33" s="97"/>
    </row>
    <row r="34" spans="2:9">
      <c r="C34" s="97"/>
      <c r="D34" s="97"/>
      <c r="E34" s="97"/>
      <c r="F34" s="97"/>
      <c r="G34" s="97"/>
      <c r="H34" s="97"/>
      <c r="I34" s="97"/>
    </row>
    <row r="35" spans="2:9">
      <c r="B35" s="1"/>
      <c r="C35" s="97"/>
      <c r="D35" s="97"/>
      <c r="E35" s="97"/>
      <c r="F35" s="97"/>
      <c r="G35" s="97"/>
      <c r="H35" s="97"/>
      <c r="I35" s="97"/>
    </row>
    <row r="36" spans="2:9">
      <c r="B36" s="91" t="s">
        <v>75</v>
      </c>
    </row>
    <row r="37" spans="2:9">
      <c r="B37" s="91" t="s">
        <v>89</v>
      </c>
    </row>
    <row r="38" spans="2:9">
      <c r="B38" s="91" t="s">
        <v>90</v>
      </c>
    </row>
    <row r="40" spans="2:9">
      <c r="B40" s="91" t="s">
        <v>76</v>
      </c>
    </row>
  </sheetData>
  <pageMargins left="0.7" right="0.7" top="0.85221354166666663" bottom="0.75" header="0.3" footer="0.3"/>
  <pageSetup scale="83" orientation="landscape" r:id="rId1"/>
  <headerFooter>
    <oddHeader>&amp;R&amp;"Times New Roman,Bold"&amp;10KyPSC Case No. 2024-00354
STAFF-DR-01-022 Attachment
Page &amp;P of  &amp;N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N34"/>
  <sheetViews>
    <sheetView view="pageLayout" topLeftCell="B1" zoomScale="90" zoomScaleNormal="100" zoomScalePageLayoutView="90" workbookViewId="0">
      <selection activeCell="J21" sqref="J21"/>
    </sheetView>
  </sheetViews>
  <sheetFormatPr defaultColWidth="9.28515625" defaultRowHeight="12.75"/>
  <cols>
    <col min="1" max="1" width="9.28515625" style="21"/>
    <col min="2" max="2" width="25.42578125" style="21" customWidth="1"/>
    <col min="3" max="3" width="9.28515625" style="21" customWidth="1"/>
    <col min="4" max="4" width="9.28515625" style="21" bestFit="1" customWidth="1"/>
    <col min="5" max="5" width="9.7109375" style="21" customWidth="1"/>
    <col min="6" max="8" width="9.28515625" style="21" customWidth="1"/>
    <col min="9" max="9" width="9.42578125" style="21" bestFit="1" customWidth="1"/>
    <col min="10" max="10" width="9.28515625" style="21" bestFit="1" customWidth="1"/>
    <col min="11" max="11" width="10.28515625" style="21" customWidth="1"/>
    <col min="12" max="12" width="8.5703125" style="21" customWidth="1"/>
    <col min="13" max="13" width="9.5703125" style="21" customWidth="1"/>
    <col min="14" max="14" width="8.28515625" style="21" customWidth="1"/>
    <col min="15" max="16384" width="9.28515625" style="21"/>
  </cols>
  <sheetData>
    <row r="3" spans="1:14">
      <c r="J3" s="142" t="s">
        <v>91</v>
      </c>
    </row>
    <row r="5" spans="1:14" ht="20.25">
      <c r="A5" s="22" t="s">
        <v>66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5">
      <c r="A6" s="24" t="str">
        <f>'DEK 22(a)'!A6</f>
        <v>Case No. 2024-00354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5">
      <c r="A7" s="23" t="s">
        <v>1</v>
      </c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5">
      <c r="A8" s="23" t="s">
        <v>2</v>
      </c>
      <c r="B8" s="2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 t="s">
        <v>77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spans="1:14">
      <c r="A12" s="25"/>
      <c r="B12" s="26"/>
      <c r="C12" s="26"/>
      <c r="D12" s="27"/>
      <c r="E12" s="139"/>
      <c r="F12" s="139"/>
      <c r="G12" s="139"/>
      <c r="H12" s="139"/>
      <c r="I12" s="26"/>
      <c r="J12" s="27"/>
      <c r="K12" s="28"/>
      <c r="L12" s="29"/>
      <c r="M12" s="28" t="s">
        <v>62</v>
      </c>
      <c r="N12" s="29"/>
    </row>
    <row r="13" spans="1:14">
      <c r="A13" s="30"/>
      <c r="B13" s="31"/>
      <c r="C13" s="150" t="s">
        <v>84</v>
      </c>
      <c r="D13" s="151"/>
      <c r="E13" s="140"/>
      <c r="F13" s="140"/>
      <c r="G13" s="140"/>
      <c r="H13" s="140"/>
      <c r="I13" s="31"/>
      <c r="J13" s="32"/>
      <c r="K13" s="33"/>
      <c r="L13" s="34"/>
      <c r="M13" s="127" t="s">
        <v>62</v>
      </c>
      <c r="N13" s="126"/>
    </row>
    <row r="14" spans="1:14">
      <c r="A14" s="35" t="s">
        <v>21</v>
      </c>
      <c r="B14" s="36"/>
      <c r="C14" s="144">
        <v>45565</v>
      </c>
      <c r="D14" s="145"/>
      <c r="E14" s="146">
        <v>2023</v>
      </c>
      <c r="F14" s="145"/>
      <c r="G14" s="146">
        <v>2022</v>
      </c>
      <c r="H14" s="145"/>
      <c r="I14" s="146">
        <v>2021</v>
      </c>
      <c r="J14" s="145"/>
      <c r="K14" s="146">
        <f>+M14+1</f>
        <v>2020</v>
      </c>
      <c r="L14" s="145"/>
      <c r="M14" s="146">
        <v>2019</v>
      </c>
      <c r="N14" s="145"/>
    </row>
    <row r="15" spans="1:14">
      <c r="A15" s="38" t="s">
        <v>28</v>
      </c>
      <c r="B15" s="37" t="s">
        <v>5</v>
      </c>
      <c r="C15" s="39" t="s">
        <v>6</v>
      </c>
      <c r="D15" s="39" t="s">
        <v>7</v>
      </c>
      <c r="E15" s="39" t="s">
        <v>6</v>
      </c>
      <c r="F15" s="39" t="s">
        <v>7</v>
      </c>
      <c r="G15" s="39" t="s">
        <v>6</v>
      </c>
      <c r="H15" s="39" t="s">
        <v>7</v>
      </c>
      <c r="I15" s="39" t="s">
        <v>6</v>
      </c>
      <c r="J15" s="39" t="s">
        <v>7</v>
      </c>
      <c r="K15" s="39" t="s">
        <v>6</v>
      </c>
      <c r="L15" s="39" t="s">
        <v>7</v>
      </c>
      <c r="M15" s="39" t="s">
        <v>6</v>
      </c>
      <c r="N15" s="39" t="s">
        <v>7</v>
      </c>
    </row>
    <row r="16" spans="1:14" ht="15">
      <c r="A16" s="40" t="s">
        <v>8</v>
      </c>
      <c r="B16" s="41" t="s">
        <v>79</v>
      </c>
      <c r="C16" s="45">
        <v>80121</v>
      </c>
      <c r="D16" s="121">
        <f>ROUND(C16/C$21,3)</f>
        <v>0.59699999999999998</v>
      </c>
      <c r="E16" s="45">
        <v>75252</v>
      </c>
      <c r="F16" s="121">
        <f>ROUND(E16/E$21,3)</f>
        <v>0.57999999999999996</v>
      </c>
      <c r="G16" s="45">
        <v>69751</v>
      </c>
      <c r="H16" s="121">
        <f>ROUND(G16/G$21,3)</f>
        <v>0.55600000000000005</v>
      </c>
      <c r="I16" s="45">
        <v>63835</v>
      </c>
      <c r="J16" s="121">
        <f>ROUND(I16/I$21,3)</f>
        <v>0.54</v>
      </c>
      <c r="K16" s="94">
        <v>59862.972207886</v>
      </c>
      <c r="L16" s="121">
        <f>ROUNDUP(K16/K$21,3)</f>
        <v>0.53500000000000003</v>
      </c>
      <c r="M16" s="94">
        <v>58126.092435939994</v>
      </c>
      <c r="N16" s="121">
        <f>ROUND(M16/M$21,3)</f>
        <v>0.53200000000000003</v>
      </c>
    </row>
    <row r="17" spans="1:14" ht="15">
      <c r="A17" s="40" t="s">
        <v>9</v>
      </c>
      <c r="B17" s="41" t="s">
        <v>63</v>
      </c>
      <c r="C17" s="45">
        <v>3947</v>
      </c>
      <c r="D17" s="121">
        <f>ROUND(C17/C$21,3)</f>
        <v>2.9000000000000001E-2</v>
      </c>
      <c r="E17" s="45">
        <v>4288</v>
      </c>
      <c r="F17" s="121">
        <f>ROUNDDOWN(E17/E$21,3)</f>
        <v>3.3000000000000002E-2</v>
      </c>
      <c r="G17" s="45">
        <v>3952</v>
      </c>
      <c r="H17" s="121">
        <f>ROUNDDOWN(G17/G$21,3)</f>
        <v>3.1E-2</v>
      </c>
      <c r="I17" s="45">
        <v>3304</v>
      </c>
      <c r="J17" s="121">
        <f>ROUNDDOWN(I17/I$21,3)</f>
        <v>2.7E-2</v>
      </c>
      <c r="K17" s="96">
        <v>2872.893427298</v>
      </c>
      <c r="L17" s="121">
        <f>ROUNDDOWN(K17/K$21,3)</f>
        <v>2.5000000000000001E-2</v>
      </c>
      <c r="M17" s="96">
        <v>3134.9640396499999</v>
      </c>
      <c r="N17" s="121">
        <f t="shared" ref="N17:N20" si="0">ROUND(M17/M$21,3)</f>
        <v>2.9000000000000001E-2</v>
      </c>
    </row>
    <row r="18" spans="1:14" ht="15">
      <c r="A18" s="40" t="s">
        <v>11</v>
      </c>
      <c r="B18" s="44" t="s">
        <v>64</v>
      </c>
      <c r="C18" s="45">
        <v>0</v>
      </c>
      <c r="D18" s="121">
        <f t="shared" ref="D18:D19" si="1">ROUND(C18/C$21,3)</f>
        <v>0</v>
      </c>
      <c r="E18" s="45"/>
      <c r="F18" s="121">
        <f t="shared" ref="F18:J19" si="2">ROUND(E18/E$21,3)</f>
        <v>0</v>
      </c>
      <c r="G18" s="45"/>
      <c r="H18" s="121">
        <f t="shared" si="2"/>
        <v>0</v>
      </c>
      <c r="I18" s="45"/>
      <c r="J18" s="121">
        <f t="shared" si="2"/>
        <v>0</v>
      </c>
      <c r="K18" s="45">
        <v>0</v>
      </c>
      <c r="L18" s="121">
        <f t="shared" ref="L18:L20" si="3">ROUND(K18/K$21,3)</f>
        <v>0</v>
      </c>
      <c r="M18" s="96">
        <v>0</v>
      </c>
      <c r="N18" s="121">
        <f t="shared" si="0"/>
        <v>0</v>
      </c>
    </row>
    <row r="19" spans="1:14" ht="15">
      <c r="A19" s="40" t="s">
        <v>13</v>
      </c>
      <c r="B19" s="44" t="s">
        <v>12</v>
      </c>
      <c r="C19" s="45">
        <v>972</v>
      </c>
      <c r="D19" s="121">
        <f t="shared" si="1"/>
        <v>7.0000000000000001E-3</v>
      </c>
      <c r="E19" s="45">
        <v>1962</v>
      </c>
      <c r="F19" s="121">
        <f t="shared" si="2"/>
        <v>1.4999999999999999E-2</v>
      </c>
      <c r="G19" s="45">
        <v>1962</v>
      </c>
      <c r="H19" s="121">
        <f t="shared" si="2"/>
        <v>1.6E-2</v>
      </c>
      <c r="I19" s="45">
        <v>1962</v>
      </c>
      <c r="J19" s="121">
        <f t="shared" si="2"/>
        <v>1.7000000000000001E-2</v>
      </c>
      <c r="K19" s="45">
        <f>973+989</f>
        <v>1962</v>
      </c>
      <c r="L19" s="121">
        <f t="shared" si="3"/>
        <v>1.7999999999999999E-2</v>
      </c>
      <c r="M19" s="96">
        <f>973+989</f>
        <v>1962</v>
      </c>
      <c r="N19" s="121">
        <f t="shared" si="0"/>
        <v>1.7999999999999999E-2</v>
      </c>
    </row>
    <row r="20" spans="1:14" ht="15">
      <c r="A20" s="40" t="s">
        <v>15</v>
      </c>
      <c r="B20" s="41" t="s">
        <v>14</v>
      </c>
      <c r="C20" s="45">
        <v>49277</v>
      </c>
      <c r="D20" s="121">
        <f>ROUND(C20/C$21,3)</f>
        <v>0.36699999999999999</v>
      </c>
      <c r="E20" s="45">
        <v>48226</v>
      </c>
      <c r="F20" s="121">
        <f>ROUND(E20/E$21,3)</f>
        <v>0.372</v>
      </c>
      <c r="G20" s="45">
        <v>49892</v>
      </c>
      <c r="H20" s="121">
        <f>ROUND(G20/G$21,3)</f>
        <v>0.39700000000000002</v>
      </c>
      <c r="I20" s="45">
        <v>49174</v>
      </c>
      <c r="J20" s="121">
        <f>ROUND(I20/I$21,3)</f>
        <v>0.41599999999999998</v>
      </c>
      <c r="K20" s="96">
        <v>47222.224291354207</v>
      </c>
      <c r="L20" s="121">
        <f t="shared" si="3"/>
        <v>0.42199999999999999</v>
      </c>
      <c r="M20" s="96">
        <v>45988.977270380528</v>
      </c>
      <c r="N20" s="121">
        <f t="shared" si="0"/>
        <v>0.42099999999999999</v>
      </c>
    </row>
    <row r="21" spans="1:14">
      <c r="A21" s="40" t="s">
        <v>65</v>
      </c>
      <c r="B21" s="44" t="s">
        <v>16</v>
      </c>
      <c r="C21" s="42">
        <f t="shared" ref="C21:N21" si="4">SUM(C16:C20)</f>
        <v>134317</v>
      </c>
      <c r="D21" s="43">
        <f t="shared" si="4"/>
        <v>1</v>
      </c>
      <c r="E21" s="42">
        <f>SUM(E16:E20)</f>
        <v>129728</v>
      </c>
      <c r="F21" s="43">
        <f t="shared" si="4"/>
        <v>1</v>
      </c>
      <c r="G21" s="42">
        <f t="shared" si="4"/>
        <v>125557</v>
      </c>
      <c r="H21" s="43">
        <f t="shared" si="4"/>
        <v>1</v>
      </c>
      <c r="I21" s="42">
        <f t="shared" si="4"/>
        <v>118275</v>
      </c>
      <c r="J21" s="43">
        <f t="shared" si="4"/>
        <v>1</v>
      </c>
      <c r="K21" s="42">
        <f t="shared" si="4"/>
        <v>111920.0899265382</v>
      </c>
      <c r="L21" s="43">
        <f t="shared" si="4"/>
        <v>1</v>
      </c>
      <c r="M21" s="42">
        <f t="shared" si="4"/>
        <v>109212.03374597052</v>
      </c>
      <c r="N21" s="43">
        <f t="shared" si="4"/>
        <v>1</v>
      </c>
    </row>
    <row r="25" spans="1:14" ht="15">
      <c r="B25" s="91" t="s">
        <v>17</v>
      </c>
    </row>
    <row r="26" spans="1:14" ht="15">
      <c r="B26" s="91" t="s">
        <v>78</v>
      </c>
    </row>
    <row r="27" spans="1:14" ht="15">
      <c r="B27" s="91" t="s">
        <v>85</v>
      </c>
      <c r="K27" s="92"/>
    </row>
    <row r="28" spans="1:14">
      <c r="B28" s="21" t="s">
        <v>80</v>
      </c>
      <c r="K28" s="92"/>
    </row>
    <row r="29" spans="1:14">
      <c r="K29" s="92"/>
    </row>
    <row r="30" spans="1:14">
      <c r="K30" s="93"/>
    </row>
    <row r="31" spans="1:14">
      <c r="A31" s="2"/>
      <c r="K31" s="93"/>
    </row>
    <row r="32" spans="1:14">
      <c r="M32" s="124"/>
      <c r="N32" s="124"/>
    </row>
    <row r="33" spans="13:14">
      <c r="M33" s="124"/>
      <c r="N33" s="124"/>
    </row>
    <row r="34" spans="13:14">
      <c r="M34" s="125"/>
      <c r="N34" s="125"/>
    </row>
  </sheetData>
  <mergeCells count="7">
    <mergeCell ref="C13:D13"/>
    <mergeCell ref="C14:D14"/>
    <mergeCell ref="I14:J14"/>
    <mergeCell ref="K14:L14"/>
    <mergeCell ref="M14:N14"/>
    <mergeCell ref="G14:H14"/>
    <mergeCell ref="E14:F14"/>
  </mergeCells>
  <pageMargins left="0.25" right="0.25" top="0.75" bottom="0.75" header="0.3" footer="0.3"/>
  <pageSetup scale="91" orientation="landscape" r:id="rId1"/>
  <headerFooter>
    <oddHeader>&amp;R&amp;"Times New Roman,Bold"&amp;10KyPSC Case No. 2024-00354
STAFF-DR-01-022 Attachment
Page &amp;P of &amp;N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4"/>
  <sheetViews>
    <sheetView view="pageLayout" zoomScale="80" zoomScaleNormal="100" zoomScalePageLayoutView="80" workbookViewId="0">
      <selection activeCell="J21" sqref="J21"/>
    </sheetView>
  </sheetViews>
  <sheetFormatPr defaultColWidth="9.28515625" defaultRowHeight="12.75"/>
  <cols>
    <col min="1" max="1" width="4.42578125" style="1" customWidth="1"/>
    <col min="2" max="2" width="34.28515625" style="1" customWidth="1"/>
    <col min="3" max="6" width="12.7109375" style="1" customWidth="1"/>
    <col min="7" max="7" width="10.28515625" style="1" bestFit="1" customWidth="1"/>
    <col min="8" max="9" width="12.7109375" style="1" customWidth="1"/>
    <col min="10" max="11" width="9.28515625" style="1"/>
    <col min="12" max="12" width="10.28515625" style="1" bestFit="1" customWidth="1"/>
    <col min="13" max="16384" width="9.28515625" style="1"/>
  </cols>
  <sheetData>
    <row r="1" spans="1:10">
      <c r="A1" s="46"/>
      <c r="B1" s="3"/>
      <c r="C1" s="3"/>
      <c r="D1" s="3"/>
      <c r="E1" s="3"/>
      <c r="F1" s="3"/>
      <c r="G1" s="3"/>
      <c r="H1" s="3"/>
      <c r="I1" s="47"/>
    </row>
    <row r="2" spans="1:10">
      <c r="A2" s="48"/>
      <c r="I2" s="49"/>
    </row>
    <row r="3" spans="1:10">
      <c r="A3" s="48"/>
      <c r="I3" s="49" t="s">
        <v>83</v>
      </c>
    </row>
    <row r="4" spans="1:10">
      <c r="A4" s="48"/>
      <c r="I4" s="49"/>
    </row>
    <row r="5" spans="1:10" ht="20.25">
      <c r="A5" s="50" t="s">
        <v>66</v>
      </c>
      <c r="B5" s="51"/>
      <c r="C5" s="51"/>
      <c r="D5" s="51"/>
      <c r="E5" s="51"/>
      <c r="F5" s="52"/>
      <c r="G5" s="52"/>
      <c r="H5" s="52"/>
      <c r="I5" s="53"/>
      <c r="J5" s="54"/>
    </row>
    <row r="6" spans="1:10" ht="15">
      <c r="A6" s="55" t="str">
        <f>'DEK 22(a)'!A6</f>
        <v>Case No. 2024-00354</v>
      </c>
      <c r="B6" s="51"/>
      <c r="C6" s="51"/>
      <c r="D6" s="51"/>
      <c r="E6" s="51"/>
      <c r="F6" s="52"/>
      <c r="G6" s="52"/>
      <c r="H6" s="52"/>
      <c r="I6" s="53"/>
    </row>
    <row r="7" spans="1:10" ht="15">
      <c r="A7" s="55" t="s">
        <v>19</v>
      </c>
      <c r="B7" s="51"/>
      <c r="C7" s="51"/>
      <c r="D7" s="51"/>
      <c r="E7" s="51"/>
      <c r="F7" s="52"/>
      <c r="G7" s="52"/>
      <c r="H7" s="52"/>
      <c r="I7" s="53"/>
    </row>
    <row r="8" spans="1:10" ht="15">
      <c r="A8" s="55" t="str">
        <f>'DEK 22(b)'!A8</f>
        <v>12 Months Ended December 31, 2023</v>
      </c>
      <c r="B8" s="51"/>
      <c r="C8" s="51"/>
      <c r="D8" s="51"/>
      <c r="E8" s="51"/>
      <c r="F8" s="52"/>
      <c r="G8" s="52"/>
      <c r="H8" s="52"/>
      <c r="I8" s="53"/>
    </row>
    <row r="9" spans="1:10">
      <c r="A9" s="56" t="s">
        <v>77</v>
      </c>
      <c r="B9" s="51"/>
      <c r="C9" s="51"/>
      <c r="D9" s="51"/>
      <c r="E9" s="51"/>
      <c r="F9" s="52"/>
      <c r="G9" s="52"/>
      <c r="H9" s="52"/>
      <c r="I9" s="53"/>
    </row>
    <row r="10" spans="1:10">
      <c r="A10" s="57"/>
      <c r="B10" s="51"/>
      <c r="C10" s="51"/>
      <c r="D10" s="51"/>
      <c r="E10" s="51"/>
      <c r="F10" s="52"/>
      <c r="G10" s="52"/>
      <c r="H10" s="52"/>
      <c r="I10" s="53"/>
    </row>
    <row r="11" spans="1:10">
      <c r="A11" s="57"/>
      <c r="B11" s="51"/>
      <c r="C11" s="51"/>
      <c r="D11" s="51"/>
      <c r="E11" s="51"/>
      <c r="F11" s="52"/>
      <c r="G11" s="52"/>
      <c r="H11" s="52"/>
      <c r="I11" s="53"/>
    </row>
    <row r="12" spans="1:10">
      <c r="A12" s="57"/>
      <c r="B12" s="51"/>
      <c r="I12" s="58"/>
    </row>
    <row r="13" spans="1:10">
      <c r="A13" s="7"/>
      <c r="B13" s="8"/>
      <c r="C13" s="8"/>
      <c r="D13" s="8"/>
      <c r="E13" s="8"/>
      <c r="F13" s="8"/>
      <c r="G13" s="8"/>
      <c r="H13" s="8"/>
      <c r="I13" s="9" t="s">
        <v>20</v>
      </c>
    </row>
    <row r="14" spans="1:10" s="59" customFormat="1">
      <c r="A14" s="10" t="s">
        <v>21</v>
      </c>
      <c r="B14" s="11"/>
      <c r="C14" s="11" t="s">
        <v>22</v>
      </c>
      <c r="D14" s="11" t="s">
        <v>23</v>
      </c>
      <c r="E14" s="11" t="s">
        <v>24</v>
      </c>
      <c r="F14" s="11" t="s">
        <v>25</v>
      </c>
      <c r="G14" s="11" t="s">
        <v>26</v>
      </c>
      <c r="H14" s="11" t="s">
        <v>27</v>
      </c>
      <c r="I14" s="12" t="s">
        <v>26</v>
      </c>
    </row>
    <row r="15" spans="1:10" s="60" customFormat="1" ht="14.25">
      <c r="A15" s="13" t="s">
        <v>28</v>
      </c>
      <c r="B15" s="14" t="s">
        <v>29</v>
      </c>
      <c r="C15" s="14" t="s">
        <v>30</v>
      </c>
      <c r="D15" s="14" t="s">
        <v>31</v>
      </c>
      <c r="E15" s="14" t="s">
        <v>67</v>
      </c>
      <c r="F15" s="14" t="s">
        <v>33</v>
      </c>
      <c r="G15" s="14" t="s">
        <v>34</v>
      </c>
      <c r="H15" s="14" t="s">
        <v>68</v>
      </c>
      <c r="I15" s="15" t="s">
        <v>36</v>
      </c>
    </row>
    <row r="16" spans="1:10" s="59" customFormat="1">
      <c r="A16" s="16"/>
      <c r="B16" s="61" t="s">
        <v>37</v>
      </c>
      <c r="C16" s="61" t="s">
        <v>38</v>
      </c>
      <c r="D16" s="61" t="s">
        <v>39</v>
      </c>
      <c r="E16" s="61" t="s">
        <v>40</v>
      </c>
      <c r="F16" s="61" t="s">
        <v>41</v>
      </c>
      <c r="G16" s="61" t="s">
        <v>42</v>
      </c>
      <c r="H16" s="61" t="s">
        <v>43</v>
      </c>
      <c r="I16" s="62" t="s">
        <v>44</v>
      </c>
    </row>
    <row r="17" spans="1:18" s="67" customFormat="1">
      <c r="A17" s="63">
        <v>1</v>
      </c>
      <c r="B17" s="64" t="str">
        <f>'DEK 22(b)'!B14</f>
        <v>Balance at the beginning of Jan 1, 2023</v>
      </c>
      <c r="C17" s="122">
        <f>+D17+E17+F17+I17</f>
        <v>125557</v>
      </c>
      <c r="D17" s="122">
        <v>69751</v>
      </c>
      <c r="E17" s="122">
        <v>3952</v>
      </c>
      <c r="F17" s="122">
        <v>1962</v>
      </c>
      <c r="G17" s="122">
        <f>I17-H17</f>
        <v>44864</v>
      </c>
      <c r="H17" s="122">
        <v>5028</v>
      </c>
      <c r="I17" s="123">
        <v>49892</v>
      </c>
      <c r="R17" s="59"/>
    </row>
    <row r="18" spans="1:18" s="67" customFormat="1">
      <c r="A18" s="63">
        <f t="shared" ref="A18:A30" si="0">1+A17</f>
        <v>2</v>
      </c>
      <c r="B18" s="64" t="s">
        <v>45</v>
      </c>
      <c r="C18" s="122">
        <f t="shared" ref="C18:C29" si="1">+D18+E18+F18+I18</f>
        <v>126292</v>
      </c>
      <c r="D18" s="122">
        <v>71526</v>
      </c>
      <c r="E18" s="122">
        <v>3260</v>
      </c>
      <c r="F18" s="122">
        <v>1962</v>
      </c>
      <c r="G18" s="122">
        <f>I18-H18</f>
        <v>44844</v>
      </c>
      <c r="H18" s="122">
        <v>4700</v>
      </c>
      <c r="I18" s="123">
        <v>49544</v>
      </c>
      <c r="R18" s="59"/>
    </row>
    <row r="19" spans="1:18" s="67" customFormat="1">
      <c r="A19" s="63">
        <f t="shared" si="0"/>
        <v>3</v>
      </c>
      <c r="B19" s="64" t="s">
        <v>46</v>
      </c>
      <c r="C19" s="122">
        <f t="shared" si="1"/>
        <v>126853</v>
      </c>
      <c r="D19" s="122">
        <v>71528</v>
      </c>
      <c r="E19" s="122">
        <v>3536</v>
      </c>
      <c r="F19" s="122">
        <v>1962</v>
      </c>
      <c r="G19" s="122">
        <f t="shared" ref="G19:G28" si="2">I19-H19</f>
        <v>44837</v>
      </c>
      <c r="H19" s="122">
        <v>4990</v>
      </c>
      <c r="I19" s="123">
        <v>49827</v>
      </c>
      <c r="R19" s="59"/>
    </row>
    <row r="20" spans="1:18" s="67" customFormat="1">
      <c r="A20" s="63">
        <f t="shared" si="0"/>
        <v>4</v>
      </c>
      <c r="B20" s="64" t="s">
        <v>47</v>
      </c>
      <c r="C20" s="122">
        <f t="shared" si="1"/>
        <v>128119</v>
      </c>
      <c r="D20" s="122">
        <v>72437</v>
      </c>
      <c r="E20" s="122">
        <v>3731</v>
      </c>
      <c r="F20" s="122">
        <v>1962</v>
      </c>
      <c r="G20" s="122">
        <f t="shared" si="2"/>
        <v>44838</v>
      </c>
      <c r="H20" s="122">
        <v>5151</v>
      </c>
      <c r="I20" s="123">
        <v>49989</v>
      </c>
      <c r="R20" s="59"/>
    </row>
    <row r="21" spans="1:18" s="67" customFormat="1">
      <c r="A21" s="63">
        <f t="shared" si="0"/>
        <v>5</v>
      </c>
      <c r="B21" s="64" t="s">
        <v>48</v>
      </c>
      <c r="C21" s="122">
        <f t="shared" si="1"/>
        <v>128485</v>
      </c>
      <c r="D21" s="122">
        <v>73844</v>
      </c>
      <c r="E21" s="122">
        <v>2588</v>
      </c>
      <c r="F21" s="122">
        <v>1962</v>
      </c>
      <c r="G21" s="122">
        <f t="shared" si="2"/>
        <v>44846</v>
      </c>
      <c r="H21" s="122">
        <v>5245</v>
      </c>
      <c r="I21" s="123">
        <v>50091</v>
      </c>
      <c r="R21" s="59"/>
    </row>
    <row r="22" spans="1:18" s="67" customFormat="1">
      <c r="A22" s="63">
        <f t="shared" si="0"/>
        <v>6</v>
      </c>
      <c r="B22" s="64" t="s">
        <v>49</v>
      </c>
      <c r="C22" s="122">
        <f t="shared" si="1"/>
        <v>127973</v>
      </c>
      <c r="D22" s="122">
        <v>73872</v>
      </c>
      <c r="E22" s="122">
        <v>2641</v>
      </c>
      <c r="F22" s="122">
        <v>1962</v>
      </c>
      <c r="G22" s="122">
        <f t="shared" si="2"/>
        <v>44854</v>
      </c>
      <c r="H22" s="122">
        <v>4644</v>
      </c>
      <c r="I22" s="123">
        <v>49498</v>
      </c>
      <c r="R22" s="59"/>
    </row>
    <row r="23" spans="1:18" s="67" customFormat="1">
      <c r="A23" s="63">
        <f t="shared" si="0"/>
        <v>7</v>
      </c>
      <c r="B23" s="64" t="s">
        <v>50</v>
      </c>
      <c r="C23" s="122">
        <f t="shared" si="1"/>
        <v>129049</v>
      </c>
      <c r="D23" s="122">
        <v>74523</v>
      </c>
      <c r="E23" s="122">
        <v>3455</v>
      </c>
      <c r="F23" s="122">
        <v>1962</v>
      </c>
      <c r="G23" s="122">
        <f t="shared" si="2"/>
        <v>44867</v>
      </c>
      <c r="H23" s="122">
        <v>4242</v>
      </c>
      <c r="I23" s="123">
        <v>49109</v>
      </c>
      <c r="R23" s="59"/>
    </row>
    <row r="24" spans="1:18" s="67" customFormat="1">
      <c r="A24" s="63">
        <f t="shared" si="0"/>
        <v>8</v>
      </c>
      <c r="B24" s="64" t="s">
        <v>51</v>
      </c>
      <c r="C24" s="122">
        <f t="shared" si="1"/>
        <v>129503</v>
      </c>
      <c r="D24" s="122">
        <v>74540</v>
      </c>
      <c r="E24" s="122">
        <v>3353</v>
      </c>
      <c r="F24" s="122">
        <v>1962</v>
      </c>
      <c r="G24" s="122">
        <f t="shared" si="2"/>
        <v>44873</v>
      </c>
      <c r="H24" s="122">
        <v>4775</v>
      </c>
      <c r="I24" s="123">
        <v>49648</v>
      </c>
      <c r="R24" s="59"/>
    </row>
    <row r="25" spans="1:18" s="67" customFormat="1">
      <c r="A25" s="63">
        <f t="shared" si="0"/>
        <v>9</v>
      </c>
      <c r="B25" s="64" t="s">
        <v>52</v>
      </c>
      <c r="C25" s="122">
        <f t="shared" si="1"/>
        <v>130329</v>
      </c>
      <c r="D25" s="122">
        <v>74529</v>
      </c>
      <c r="E25" s="122">
        <v>3745</v>
      </c>
      <c r="F25" s="122">
        <v>1962</v>
      </c>
      <c r="G25" s="122">
        <f t="shared" si="2"/>
        <v>44881</v>
      </c>
      <c r="H25" s="122">
        <v>5212</v>
      </c>
      <c r="I25" s="123">
        <v>50093</v>
      </c>
      <c r="R25" s="59"/>
    </row>
    <row r="26" spans="1:18" s="67" customFormat="1">
      <c r="A26" s="63">
        <f t="shared" si="0"/>
        <v>10</v>
      </c>
      <c r="B26" s="64" t="s">
        <v>53</v>
      </c>
      <c r="C26" s="122">
        <f t="shared" si="1"/>
        <v>130368</v>
      </c>
      <c r="D26" s="122">
        <v>75387</v>
      </c>
      <c r="E26" s="122">
        <v>3154</v>
      </c>
      <c r="F26" s="122">
        <v>1962</v>
      </c>
      <c r="G26" s="122">
        <f t="shared" si="2"/>
        <v>44888</v>
      </c>
      <c r="H26" s="122">
        <v>4977</v>
      </c>
      <c r="I26" s="123">
        <v>49865</v>
      </c>
      <c r="R26" s="59"/>
    </row>
    <row r="27" spans="1:18" s="67" customFormat="1">
      <c r="A27" s="63">
        <f t="shared" si="0"/>
        <v>11</v>
      </c>
      <c r="B27" s="64" t="s">
        <v>54</v>
      </c>
      <c r="C27" s="122">
        <f t="shared" si="1"/>
        <v>128285</v>
      </c>
      <c r="D27" s="122">
        <v>74830</v>
      </c>
      <c r="E27" s="122">
        <v>3074</v>
      </c>
      <c r="F27" s="122">
        <v>1962</v>
      </c>
      <c r="G27" s="122">
        <f t="shared" si="2"/>
        <v>44896</v>
      </c>
      <c r="H27" s="122">
        <v>3523</v>
      </c>
      <c r="I27" s="123">
        <v>48419</v>
      </c>
      <c r="R27" s="59"/>
    </row>
    <row r="28" spans="1:18" s="67" customFormat="1">
      <c r="A28" s="63">
        <f t="shared" si="0"/>
        <v>12</v>
      </c>
      <c r="B28" s="64" t="s">
        <v>55</v>
      </c>
      <c r="C28" s="122">
        <f t="shared" si="1"/>
        <v>128132</v>
      </c>
      <c r="D28" s="122">
        <v>75269</v>
      </c>
      <c r="E28" s="122">
        <v>2825</v>
      </c>
      <c r="F28" s="122">
        <v>1962</v>
      </c>
      <c r="G28" s="122">
        <f t="shared" si="2"/>
        <v>44902</v>
      </c>
      <c r="H28" s="122">
        <v>3174</v>
      </c>
      <c r="I28" s="123">
        <v>48076</v>
      </c>
    </row>
    <row r="29" spans="1:18" s="67" customFormat="1">
      <c r="A29" s="63">
        <f t="shared" si="0"/>
        <v>13</v>
      </c>
      <c r="B29" s="64" t="s">
        <v>56</v>
      </c>
      <c r="C29" s="122">
        <f t="shared" si="1"/>
        <v>129728</v>
      </c>
      <c r="D29" s="122">
        <v>75252</v>
      </c>
      <c r="E29" s="122">
        <v>4288</v>
      </c>
      <c r="F29" s="122">
        <v>1962</v>
      </c>
      <c r="G29" s="122">
        <f>I29-H29</f>
        <v>44923</v>
      </c>
      <c r="H29" s="122">
        <v>3303</v>
      </c>
      <c r="I29" s="123">
        <v>48226</v>
      </c>
    </row>
    <row r="30" spans="1:18" s="67" customFormat="1">
      <c r="A30" s="63">
        <f t="shared" si="0"/>
        <v>14</v>
      </c>
      <c r="B30" s="68" t="s">
        <v>69</v>
      </c>
      <c r="C30" s="65">
        <f t="shared" ref="C30:I30" si="3">SUM(C17:C29)</f>
        <v>1668673</v>
      </c>
      <c r="D30" s="65">
        <f t="shared" si="3"/>
        <v>957288</v>
      </c>
      <c r="E30" s="65">
        <f t="shared" si="3"/>
        <v>43602</v>
      </c>
      <c r="F30" s="65">
        <f t="shared" si="3"/>
        <v>25506</v>
      </c>
      <c r="G30" s="65">
        <f t="shared" si="3"/>
        <v>583313</v>
      </c>
      <c r="H30" s="65">
        <f t="shared" si="3"/>
        <v>58964</v>
      </c>
      <c r="I30" s="66">
        <f t="shared" si="3"/>
        <v>642277</v>
      </c>
    </row>
    <row r="31" spans="1:18" s="67" customFormat="1">
      <c r="A31" s="69"/>
      <c r="B31" s="64"/>
      <c r="C31" s="65"/>
      <c r="D31" s="65"/>
      <c r="E31" s="65"/>
      <c r="F31" s="65"/>
      <c r="G31" s="65"/>
      <c r="H31" s="65"/>
      <c r="I31" s="66"/>
    </row>
    <row r="32" spans="1:18" s="67" customFormat="1">
      <c r="A32" s="63">
        <f>1+A30</f>
        <v>15</v>
      </c>
      <c r="B32" s="64" t="s">
        <v>70</v>
      </c>
      <c r="C32" s="70">
        <f t="shared" ref="C32:I32" si="4">IF(C18=0,"N/A",AVERAGE(C17:C29))</f>
        <v>128359.46153846153</v>
      </c>
      <c r="D32" s="70">
        <f t="shared" si="4"/>
        <v>73637.538461538468</v>
      </c>
      <c r="E32" s="70">
        <f t="shared" si="4"/>
        <v>3354</v>
      </c>
      <c r="F32" s="70">
        <f t="shared" si="4"/>
        <v>1962</v>
      </c>
      <c r="G32" s="70">
        <f t="shared" si="4"/>
        <v>44870.230769230766</v>
      </c>
      <c r="H32" s="70">
        <f t="shared" si="4"/>
        <v>4535.6923076923076</v>
      </c>
      <c r="I32" s="71">
        <f t="shared" si="4"/>
        <v>49405.923076923078</v>
      </c>
    </row>
    <row r="33" spans="1:9" s="67" customFormat="1">
      <c r="A33" s="63"/>
      <c r="B33" s="64"/>
      <c r="C33" s="70"/>
      <c r="D33" s="70"/>
      <c r="E33" s="70"/>
      <c r="F33" s="70"/>
      <c r="G33" s="70"/>
      <c r="H33" s="70"/>
      <c r="I33" s="71"/>
    </row>
    <row r="34" spans="1:9" s="67" customFormat="1">
      <c r="A34" s="63">
        <f>1+A32</f>
        <v>16</v>
      </c>
      <c r="B34" s="64" t="s">
        <v>71</v>
      </c>
      <c r="C34" s="72">
        <f>SUM(D34:F34)+I34</f>
        <v>0.99998519967662924</v>
      </c>
      <c r="D34" s="72">
        <f>ROUND(D32/$C$32,4)</f>
        <v>0.57369999999999999</v>
      </c>
      <c r="E34" s="72">
        <f>ROUND(E32/$C$32,4)</f>
        <v>2.6100000000000002E-2</v>
      </c>
      <c r="F34" s="72">
        <f>IF(F30=0,0,+F32/$C$32)</f>
        <v>1.5285199676629274E-2</v>
      </c>
      <c r="G34" s="72">
        <f>ROUND(G32/$C$32,4)</f>
        <v>0.34960000000000002</v>
      </c>
      <c r="H34" s="72">
        <f>ROUND(H32/$C$32,4)</f>
        <v>3.5299999999999998E-2</v>
      </c>
      <c r="I34" s="73">
        <f>+G34+H34</f>
        <v>0.38490000000000002</v>
      </c>
    </row>
    <row r="35" spans="1:9" s="67" customFormat="1">
      <c r="A35" s="63"/>
      <c r="B35" s="64"/>
      <c r="C35" s="65"/>
      <c r="D35" s="65"/>
      <c r="E35" s="65"/>
      <c r="F35" s="65"/>
      <c r="G35" s="65"/>
      <c r="H35" s="65"/>
      <c r="I35" s="66"/>
    </row>
    <row r="36" spans="1:9" s="67" customFormat="1" ht="12.75" customHeight="1" thickBot="1">
      <c r="A36" s="74">
        <f>1+A34</f>
        <v>17</v>
      </c>
      <c r="B36" s="75" t="s">
        <v>72</v>
      </c>
      <c r="C36" s="19">
        <f>ROUND(SUM(D36:F36)+I36,0)</f>
        <v>1</v>
      </c>
      <c r="D36" s="19">
        <f>ROUND(D29/$C$29,4)</f>
        <v>0.58009999999999995</v>
      </c>
      <c r="E36" s="19">
        <f>ROUND(E29/$C$29,4)</f>
        <v>3.3099999999999997E-2</v>
      </c>
      <c r="F36" s="19">
        <f>+F29/$C$29</f>
        <v>1.5123951652688702E-2</v>
      </c>
      <c r="G36" s="19">
        <f>ROUND(G29/$C$29,4)</f>
        <v>0.3463</v>
      </c>
      <c r="H36" s="19">
        <f>ROUND(H29/$C$29,4)</f>
        <v>2.5499999999999998E-2</v>
      </c>
      <c r="I36" s="20">
        <f>+G36+H36</f>
        <v>0.37180000000000002</v>
      </c>
    </row>
    <row r="37" spans="1:9">
      <c r="A37" s="76"/>
      <c r="C37" s="77"/>
      <c r="D37" s="77"/>
      <c r="E37" s="77"/>
      <c r="F37" s="77"/>
      <c r="G37" s="77"/>
      <c r="H37" s="77"/>
      <c r="I37" s="77"/>
    </row>
    <row r="38" spans="1:9" ht="15">
      <c r="A38" s="76"/>
      <c r="B38" t="s">
        <v>17</v>
      </c>
      <c r="C38" s="77"/>
      <c r="D38" s="77"/>
      <c r="E38" s="77"/>
      <c r="F38" s="77"/>
      <c r="G38" s="77"/>
      <c r="H38" s="77"/>
      <c r="I38" s="77"/>
    </row>
    <row r="39" spans="1:9" ht="15">
      <c r="A39" s="76"/>
      <c r="B39" t="s">
        <v>78</v>
      </c>
      <c r="C39" s="77"/>
      <c r="D39" s="77"/>
      <c r="E39" s="77"/>
      <c r="F39" s="77"/>
      <c r="G39" s="77"/>
      <c r="H39" s="77"/>
      <c r="I39" s="77"/>
    </row>
    <row r="40" spans="1:9" ht="15">
      <c r="A40" s="76"/>
      <c r="B40"/>
      <c r="C40" s="77"/>
      <c r="D40" s="77"/>
      <c r="E40" s="77"/>
      <c r="F40" s="77"/>
      <c r="G40" s="77"/>
      <c r="H40" s="77"/>
      <c r="I40" s="77"/>
    </row>
    <row r="41" spans="1:9">
      <c r="A41" s="76"/>
      <c r="C41" s="77"/>
      <c r="D41" s="78"/>
      <c r="E41" s="78"/>
      <c r="F41" s="77"/>
      <c r="G41" s="77"/>
      <c r="H41" s="77"/>
      <c r="I41" s="77"/>
    </row>
    <row r="42" spans="1:9">
      <c r="A42" s="76"/>
      <c r="C42" s="77"/>
      <c r="D42" s="77"/>
      <c r="E42" s="77"/>
      <c r="F42" s="77"/>
      <c r="G42" s="77"/>
      <c r="H42" s="77"/>
      <c r="I42" s="77"/>
    </row>
    <row r="43" spans="1:9">
      <c r="B43" s="2"/>
      <c r="C43" s="77"/>
      <c r="D43" s="77"/>
      <c r="E43" s="77"/>
      <c r="F43" s="77"/>
      <c r="G43" s="77"/>
      <c r="H43" s="77"/>
      <c r="I43" s="77"/>
    </row>
    <row r="44" spans="1:9">
      <c r="C44" s="77"/>
      <c r="D44" s="77"/>
      <c r="E44" s="77"/>
      <c r="F44" s="77"/>
      <c r="G44" s="77"/>
      <c r="H44" s="77"/>
      <c r="I44" s="77"/>
    </row>
    <row r="45" spans="1:9">
      <c r="C45" s="77"/>
      <c r="D45" s="79"/>
      <c r="E45" s="79"/>
      <c r="F45" s="80"/>
      <c r="G45" s="79"/>
      <c r="H45" s="79"/>
      <c r="I45" s="77"/>
    </row>
    <row r="46" spans="1:9">
      <c r="C46" s="77"/>
      <c r="D46" s="77"/>
      <c r="E46" s="77"/>
      <c r="F46" s="77"/>
      <c r="G46" s="77"/>
      <c r="H46" s="77"/>
      <c r="I46" s="77"/>
    </row>
    <row r="47" spans="1:9">
      <c r="C47" s="81"/>
      <c r="D47" s="81"/>
      <c r="I47" s="77"/>
    </row>
    <row r="48" spans="1:9">
      <c r="C48" s="81"/>
      <c r="D48" s="81"/>
      <c r="E48" s="77"/>
      <c r="F48" s="77"/>
      <c r="G48" s="77"/>
      <c r="I48" s="77"/>
    </row>
    <row r="49" spans="3:9">
      <c r="C49" s="81"/>
      <c r="D49" s="81"/>
      <c r="E49" s="77"/>
      <c r="F49" s="77"/>
      <c r="G49" s="77"/>
      <c r="I49" s="77"/>
    </row>
    <row r="50" spans="3:9">
      <c r="C50" s="81"/>
      <c r="D50" s="81"/>
      <c r="F50" s="77"/>
      <c r="G50" s="77"/>
      <c r="I50" s="77"/>
    </row>
    <row r="51" spans="3:9">
      <c r="C51" s="81"/>
      <c r="D51" s="81"/>
      <c r="F51" s="77"/>
      <c r="G51" s="77"/>
      <c r="I51" s="77"/>
    </row>
    <row r="52" spans="3:9">
      <c r="C52" s="81"/>
      <c r="D52" s="81"/>
      <c r="G52" s="77"/>
      <c r="I52" s="77"/>
    </row>
    <row r="53" spans="3:9">
      <c r="C53" s="81"/>
      <c r="D53" s="81"/>
      <c r="F53" s="77"/>
      <c r="G53" s="77"/>
      <c r="I53" s="77"/>
    </row>
    <row r="54" spans="3:9">
      <c r="C54" s="81"/>
      <c r="D54" s="81"/>
      <c r="F54" s="77"/>
      <c r="G54" s="77"/>
      <c r="I54" s="77"/>
    </row>
    <row r="55" spans="3:9">
      <c r="C55" s="81"/>
      <c r="D55" s="81"/>
      <c r="F55" s="77"/>
      <c r="G55" s="77"/>
      <c r="I55" s="77"/>
    </row>
    <row r="56" spans="3:9">
      <c r="C56" s="81"/>
      <c r="D56" s="81"/>
      <c r="F56" s="77"/>
      <c r="G56" s="77"/>
      <c r="I56" s="77"/>
    </row>
    <row r="57" spans="3:9">
      <c r="C57" s="81"/>
      <c r="D57" s="81"/>
      <c r="F57" s="77"/>
      <c r="G57" s="77"/>
      <c r="I57" s="77"/>
    </row>
    <row r="58" spans="3:9">
      <c r="C58" s="81"/>
      <c r="D58" s="81"/>
      <c r="F58" s="77"/>
      <c r="G58" s="77"/>
      <c r="I58" s="77"/>
    </row>
    <row r="59" spans="3:9">
      <c r="C59" s="81"/>
      <c r="D59" s="81"/>
      <c r="F59" s="77"/>
      <c r="G59" s="77"/>
      <c r="I59" s="77"/>
    </row>
    <row r="60" spans="3:9">
      <c r="C60" s="77"/>
      <c r="D60" s="77"/>
      <c r="E60" s="77"/>
      <c r="F60" s="77"/>
      <c r="G60" s="77"/>
      <c r="H60" s="77"/>
      <c r="I60" s="77"/>
    </row>
    <row r="61" spans="3:9">
      <c r="C61" s="77"/>
      <c r="D61" s="77"/>
      <c r="E61" s="77"/>
      <c r="F61" s="77"/>
      <c r="G61" s="77"/>
      <c r="H61" s="77"/>
      <c r="I61" s="77"/>
    </row>
    <row r="62" spans="3:9">
      <c r="C62" s="77"/>
      <c r="D62" s="77"/>
      <c r="E62" s="77"/>
      <c r="F62" s="77"/>
      <c r="G62" s="77"/>
      <c r="H62" s="77"/>
      <c r="I62" s="77"/>
    </row>
    <row r="63" spans="3:9">
      <c r="C63" s="77"/>
      <c r="D63" s="77"/>
      <c r="E63" s="77"/>
      <c r="F63" s="77"/>
      <c r="G63" s="77"/>
      <c r="H63" s="77"/>
      <c r="I63" s="77"/>
    </row>
    <row r="64" spans="3:9">
      <c r="C64" s="77"/>
      <c r="D64" s="77"/>
      <c r="E64" s="77"/>
      <c r="F64" s="77"/>
      <c r="G64" s="77"/>
      <c r="H64" s="77"/>
      <c r="I64" s="77"/>
    </row>
    <row r="65" spans="3:9">
      <c r="C65" s="77"/>
      <c r="D65" s="77"/>
      <c r="E65" s="77"/>
      <c r="F65" s="77"/>
      <c r="G65" s="77"/>
      <c r="H65" s="77"/>
      <c r="I65" s="77"/>
    </row>
    <row r="66" spans="3:9">
      <c r="C66" s="77"/>
      <c r="D66" s="77"/>
      <c r="E66" s="77"/>
      <c r="F66" s="77"/>
      <c r="G66" s="77"/>
      <c r="H66" s="77"/>
      <c r="I66" s="77"/>
    </row>
    <row r="67" spans="3:9">
      <c r="C67" s="77"/>
      <c r="D67" s="77"/>
      <c r="E67" s="77"/>
      <c r="F67" s="77"/>
      <c r="G67" s="77"/>
      <c r="H67" s="77"/>
      <c r="I67" s="77"/>
    </row>
    <row r="68" spans="3:9">
      <c r="C68" s="77"/>
      <c r="D68" s="77"/>
      <c r="E68" s="77"/>
      <c r="F68" s="77"/>
      <c r="G68" s="77"/>
      <c r="H68" s="77"/>
      <c r="I68" s="77"/>
    </row>
    <row r="69" spans="3:9">
      <c r="C69" s="77"/>
      <c r="D69" s="77"/>
      <c r="E69" s="77"/>
      <c r="F69" s="77"/>
      <c r="G69" s="77"/>
      <c r="H69" s="77"/>
      <c r="I69" s="77"/>
    </row>
    <row r="70" spans="3:9">
      <c r="C70" s="77"/>
      <c r="D70" s="77"/>
      <c r="E70" s="77"/>
      <c r="F70" s="77"/>
      <c r="G70" s="77"/>
      <c r="H70" s="77"/>
      <c r="I70" s="77"/>
    </row>
    <row r="71" spans="3:9">
      <c r="C71" s="77"/>
      <c r="D71" s="77"/>
      <c r="E71" s="77"/>
      <c r="F71" s="77"/>
      <c r="G71" s="77"/>
      <c r="H71" s="77"/>
      <c r="I71" s="77"/>
    </row>
    <row r="72" spans="3:9">
      <c r="C72" s="77"/>
      <c r="D72" s="77"/>
      <c r="E72" s="77"/>
      <c r="F72" s="77"/>
      <c r="G72" s="77"/>
      <c r="H72" s="77"/>
      <c r="I72" s="77"/>
    </row>
    <row r="73" spans="3:9">
      <c r="C73" s="77"/>
      <c r="D73" s="77"/>
      <c r="E73" s="77"/>
      <c r="F73" s="77"/>
      <c r="G73" s="77"/>
      <c r="H73" s="77"/>
      <c r="I73" s="77"/>
    </row>
    <row r="74" spans="3:9">
      <c r="C74" s="77"/>
      <c r="D74" s="77"/>
      <c r="E74" s="77"/>
      <c r="F74" s="77"/>
      <c r="G74" s="77"/>
      <c r="H74" s="77"/>
      <c r="I74" s="77"/>
    </row>
  </sheetData>
  <pageMargins left="0.7" right="0.7" top="0.95989583333333328" bottom="0.75" header="0.3" footer="0.3"/>
  <pageSetup scale="97" orientation="landscape" r:id="rId1"/>
  <headerFooter>
    <oddHeader>&amp;R&amp;"Times New Roman,Bold"&amp;10KyPSC Case No. 2024-00354
STAFF-DR-01-022 Attachment
Page &amp;P of &amp;N</odd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Witness xmlns="9d26d66c-7442-4f2f-84b5-fd9d62aa5613">
      <UserInfo>
        <DisplayName/>
        <AccountId xsi:nil="true"/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36CBAD03-05F7-410E-BE2B-D449A98B3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743503-FD1B-4FDD-84ED-E9043AE0C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DB48D6-31AC-4313-8897-6A57DB91DEC9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9d26d66c-7442-4f2f-84b5-fd9d62aa561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DEK 22(a)</vt:lpstr>
      <vt:lpstr>DEK 22(b)</vt:lpstr>
      <vt:lpstr>DEC 22(a)</vt:lpstr>
      <vt:lpstr>DEC 22(b)</vt:lpstr>
      <vt:lpstr>'DEC 22(a)'!Print_Area</vt:lpstr>
      <vt:lpstr>'DEC 22(b)'!Print_Area</vt:lpstr>
      <vt:lpstr>'DEK 22(a)'!Print_Area</vt:lpstr>
      <vt:lpstr>'DEK 22(b)'!Print_Area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Capital Structure for prior periods</dc:subject>
  <dc:creator>Melendez, Brenda R</dc:creator>
  <cp:lastModifiedBy>Sunderman, Minna</cp:lastModifiedBy>
  <cp:lastPrinted>2024-12-16T13:58:00Z</cp:lastPrinted>
  <dcterms:created xsi:type="dcterms:W3CDTF">2009-07-09T21:51:05Z</dcterms:created>
  <dcterms:modified xsi:type="dcterms:W3CDTF">2024-12-16T13:58:17Z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