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hidePivotFieldList="1"/>
  <mc:AlternateContent xmlns:mc="http://schemas.openxmlformats.org/markup-compatibility/2006">
    <mc:Choice Requires="x15">
      <x15ac:absPath xmlns:x15ac="http://schemas.microsoft.com/office/spreadsheetml/2010/11/ac" url="https://dukeenergy-my.sharepoint.com/personal/minna_sunderman_duke-energy_com/Documents/Desktop/Electronic Filing/AG 2nd Set/Ecels/"/>
    </mc:Choice>
  </mc:AlternateContent>
  <xr:revisionPtr revIDLastSave="0" documentId="8_{B25AA59C-DFF6-48A0-944A-A37BEDA7E271}" xr6:coauthVersionLast="47" xr6:coauthVersionMax="47" xr10:uidLastSave="{00000000-0000-0000-0000-000000000000}"/>
  <bookViews>
    <workbookView xWindow="-120" yWindow="-120" windowWidth="29040" windowHeight="15720" tabRatio="930" xr2:uid="{00000000-000D-0000-FFFF-FFFF00000000}"/>
  </bookViews>
  <sheets>
    <sheet name="Rate Summaries" sheetId="1" r:id="rId1"/>
    <sheet name="Rate Calculation" sheetId="2" r:id="rId2"/>
    <sheet name="DEK Charge-offs" sheetId="9" r:id="rId3"/>
    <sheet name="DEK Late Charges" sheetId="10" r:id="rId4"/>
    <sheet name="DEK TURNOVER" sheetId="11"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s>
  <definedNames>
    <definedName name="_xlnm.Print_Area" localSheetId="2">'DEK Charge-offs'!$A$1:$DF$21</definedName>
    <definedName name="_xlnm.Print_Area" localSheetId="3">'DEK Late Charges'!$A$1:$DF$18</definedName>
    <definedName name="_xlnm.Print_Area" localSheetId="1">'Rate Calculation'!$A$1:$CH$40</definedName>
    <definedName name="_xlnm.Print_Area" localSheetId="0">'Rate Summaries'!$A$1:$CH$25</definedName>
    <definedName name="_xlnm.Print_Titles" localSheetId="2">'DEK Charge-offs'!$A:$A</definedName>
    <definedName name="_xlnm.Print_Titles" localSheetId="3">'DEK Late Charges'!$A:$A</definedName>
    <definedName name="_xlnm.Print_Titles" localSheetId="4">'DEK TURNOVER'!$A:$B</definedName>
    <definedName name="_xlnm.Print_Titles" localSheetId="1">'Rate Calculation'!$A:$B</definedName>
    <definedName name="_xlnm.Print_Titles" localSheetId="0">'Rate Summaries'!$A:$B</definedName>
    <definedName name="solver_typ" localSheetId="0" hidden="1">2</definedName>
    <definedName name="solver_ver" localSheetId="0" hidden="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H25" i="1" l="1"/>
  <c r="CH25" i="2"/>
  <c r="CH28" i="2" s="1"/>
  <c r="CH20" i="2"/>
  <c r="CH23" i="2" s="1"/>
  <c r="CH15" i="2"/>
  <c r="CH18" i="2" s="1"/>
  <c r="CH11" i="2"/>
  <c r="CH7" i="1" s="1"/>
  <c r="CH5" i="2"/>
  <c r="CH30" i="2" l="1"/>
  <c r="CH32" i="2" l="1"/>
  <c r="CH11" i="1" s="1"/>
  <c r="CH15" i="1"/>
  <c r="CH14" i="1"/>
  <c r="CH13" i="1"/>
  <c r="CG25" i="1"/>
  <c r="CG7" i="1"/>
  <c r="CH16" i="1" l="1"/>
  <c r="CH17" i="1" l="1"/>
  <c r="CG11" i="1"/>
  <c r="CG14" i="1"/>
  <c r="CG13" i="1"/>
  <c r="CG15" i="1"/>
  <c r="CF25" i="1"/>
  <c r="CF7" i="1"/>
  <c r="CG16" i="1" l="1"/>
  <c r="CG17" i="1" l="1"/>
  <c r="CF11" i="1"/>
  <c r="CF15" i="1"/>
  <c r="CF14" i="1"/>
  <c r="CF13" i="1"/>
  <c r="CF16" i="1" l="1"/>
  <c r="CH19" i="1" s="1"/>
  <c r="DB7" i="9"/>
  <c r="DB4" i="10"/>
  <c r="CF17" i="1" l="1"/>
  <c r="CD7" i="1"/>
  <c r="CD11" i="1"/>
  <c r="CD13" i="1"/>
  <c r="CD14" i="1"/>
  <c r="CD15" i="1"/>
  <c r="CD25" i="1"/>
  <c r="CE25" i="1"/>
  <c r="CE7" i="1"/>
  <c r="CE5" i="2"/>
  <c r="CC11" i="1"/>
  <c r="DB28" i="11"/>
  <c r="CD5" i="2"/>
  <c r="DB1" i="10"/>
  <c r="CQ3" i="10"/>
  <c r="CQ4" i="10"/>
  <c r="CE4" i="10"/>
  <c r="CF4" i="10"/>
  <c r="CG4" i="10"/>
  <c r="CH4" i="10"/>
  <c r="CI4" i="10"/>
  <c r="CJ4" i="10"/>
  <c r="CK4" i="10"/>
  <c r="CL4" i="10"/>
  <c r="CM4" i="10"/>
  <c r="CN4" i="10"/>
  <c r="CO4" i="10"/>
  <c r="CP4" i="10"/>
  <c r="CE3" i="10"/>
  <c r="CF3" i="10"/>
  <c r="CG3" i="10"/>
  <c r="CH3" i="10"/>
  <c r="CI3" i="10"/>
  <c r="CJ3" i="10"/>
  <c r="CK3" i="10"/>
  <c r="CL3" i="10"/>
  <c r="CM3" i="10"/>
  <c r="CN3" i="10"/>
  <c r="CO3" i="10"/>
  <c r="CP3" i="10"/>
  <c r="BS4" i="10"/>
  <c r="BT4" i="10"/>
  <c r="BU4" i="10"/>
  <c r="BV4" i="10"/>
  <c r="BW4" i="10"/>
  <c r="BX4" i="10"/>
  <c r="BY4" i="10"/>
  <c r="BZ4" i="10"/>
  <c r="CA4" i="10"/>
  <c r="CB4" i="10"/>
  <c r="CC4" i="10"/>
  <c r="CD4" i="10"/>
  <c r="BS3" i="10"/>
  <c r="BT3" i="10"/>
  <c r="BU3" i="10"/>
  <c r="BV3" i="10"/>
  <c r="BW3" i="10"/>
  <c r="BX3" i="10"/>
  <c r="BY3" i="10"/>
  <c r="BZ3" i="10"/>
  <c r="CC3" i="10"/>
  <c r="CD3" i="10"/>
  <c r="CA3" i="10"/>
  <c r="CB3" i="10"/>
  <c r="CQ4" i="9"/>
  <c r="CQ5" i="9"/>
  <c r="CH7" i="9"/>
  <c r="CI7" i="9"/>
  <c r="CJ7" i="9"/>
  <c r="CK7" i="9"/>
  <c r="CL7" i="9"/>
  <c r="CM7" i="9"/>
  <c r="CN7" i="9"/>
  <c r="CO7" i="9"/>
  <c r="CP7" i="9"/>
  <c r="CQ7" i="9"/>
  <c r="BV7" i="9"/>
  <c r="BW7" i="9"/>
  <c r="BX7" i="9"/>
  <c r="BY7" i="9"/>
  <c r="BZ7" i="9"/>
  <c r="CA7" i="9"/>
  <c r="CB7" i="9"/>
  <c r="CC7" i="9"/>
  <c r="CD7" i="9"/>
  <c r="CE7" i="9"/>
  <c r="CF7" i="9"/>
  <c r="CG7" i="9"/>
  <c r="CE4" i="9"/>
  <c r="CE5" i="9"/>
  <c r="CF4" i="9"/>
  <c r="CF5" i="9"/>
  <c r="CG4" i="9"/>
  <c r="CG5" i="9"/>
  <c r="CH4" i="9"/>
  <c r="CH5" i="9"/>
  <c r="CI4" i="9"/>
  <c r="CI5" i="9"/>
  <c r="CJ4" i="9"/>
  <c r="CJ5" i="9"/>
  <c r="CK4" i="9"/>
  <c r="CK5" i="9"/>
  <c r="CL4" i="9"/>
  <c r="CL5" i="9"/>
  <c r="CM4" i="9"/>
  <c r="CM5" i="9"/>
  <c r="CN4" i="9"/>
  <c r="CN5" i="9"/>
  <c r="CO4" i="9"/>
  <c r="CO5" i="9"/>
  <c r="CP4" i="9"/>
  <c r="CP5" i="9"/>
  <c r="BJ7" i="9"/>
  <c r="BK7" i="9"/>
  <c r="BL7" i="9"/>
  <c r="BM7" i="9"/>
  <c r="BN7" i="9"/>
  <c r="BO7" i="9"/>
  <c r="BP7" i="9"/>
  <c r="BQ7" i="9"/>
  <c r="BR7" i="9"/>
  <c r="BS7" i="9"/>
  <c r="BT7" i="9"/>
  <c r="BU7" i="9"/>
  <c r="BS4" i="9"/>
  <c r="BS5" i="9"/>
  <c r="BT4" i="9"/>
  <c r="BT5" i="9"/>
  <c r="BU4" i="9"/>
  <c r="BU5" i="9"/>
  <c r="BV4" i="9"/>
  <c r="BV5" i="9"/>
  <c r="BW4" i="9"/>
  <c r="BW5" i="9"/>
  <c r="BX4" i="9"/>
  <c r="BX5" i="9"/>
  <c r="BY4" i="9"/>
  <c r="BY5" i="9"/>
  <c r="BZ4" i="9"/>
  <c r="BZ5" i="9"/>
  <c r="CC4" i="9"/>
  <c r="CC5" i="9"/>
  <c r="CD4" i="9"/>
  <c r="CD5" i="9"/>
  <c r="CA4" i="9"/>
  <c r="CA5" i="9"/>
  <c r="CB4" i="9"/>
  <c r="CB5" i="9"/>
  <c r="CC25" i="1"/>
  <c r="CC15" i="1"/>
  <c r="CB11" i="1"/>
  <c r="CB13" i="1"/>
  <c r="CB14" i="1"/>
  <c r="CB15" i="1"/>
  <c r="CA11" i="1"/>
  <c r="CA13" i="1"/>
  <c r="CA14" i="1"/>
  <c r="CA15" i="1"/>
  <c r="CC7" i="1"/>
  <c r="DB1" i="11"/>
  <c r="BR4" i="10"/>
  <c r="BR3" i="10"/>
  <c r="BI7" i="9"/>
  <c r="BR4" i="9"/>
  <c r="BR5" i="9"/>
  <c r="CB25" i="1"/>
  <c r="CB7" i="1"/>
  <c r="CZ1" i="10"/>
  <c r="CA25" i="1"/>
  <c r="CA7" i="1"/>
  <c r="BY7" i="1"/>
  <c r="BY11" i="1"/>
  <c r="BY13" i="1"/>
  <c r="BY14" i="1"/>
  <c r="BY15" i="1"/>
  <c r="BZ11" i="1"/>
  <c r="BZ13" i="1"/>
  <c r="BZ14" i="1"/>
  <c r="BZ15" i="1"/>
  <c r="BZ7" i="1"/>
  <c r="BZ5" i="2"/>
  <c r="BY5" i="2"/>
  <c r="BZ25" i="1"/>
  <c r="BY25" i="1"/>
  <c r="CW1" i="10"/>
  <c r="BX5" i="2"/>
  <c r="BX25" i="1"/>
  <c r="BX7" i="1"/>
  <c r="BX11" i="1"/>
  <c r="BX15" i="1"/>
  <c r="BX14" i="1"/>
  <c r="BX13" i="1"/>
  <c r="BW25" i="1"/>
  <c r="BW7" i="1"/>
  <c r="BW5" i="2"/>
  <c r="BW11" i="1"/>
  <c r="BW13" i="1"/>
  <c r="BW14" i="1"/>
  <c r="BW15" i="1"/>
  <c r="BV25" i="1"/>
  <c r="BK4" i="10"/>
  <c r="BL4" i="10"/>
  <c r="BM4" i="10"/>
  <c r="BN4" i="10"/>
  <c r="BO4" i="10"/>
  <c r="BP4" i="10"/>
  <c r="BQ4" i="10"/>
  <c r="BK3" i="10"/>
  <c r="BL3" i="10"/>
  <c r="BM3" i="10"/>
  <c r="BN3" i="10"/>
  <c r="BO3" i="10"/>
  <c r="BP3" i="10"/>
  <c r="BQ3" i="10"/>
  <c r="BB7" i="9"/>
  <c r="BC7" i="9"/>
  <c r="BD7" i="9"/>
  <c r="BE7" i="9"/>
  <c r="BF7" i="9"/>
  <c r="BG7" i="9"/>
  <c r="BH7" i="9"/>
  <c r="BK4" i="9"/>
  <c r="BK5" i="9"/>
  <c r="BL4" i="9"/>
  <c r="BL5" i="9"/>
  <c r="BM4" i="9"/>
  <c r="BM5" i="9"/>
  <c r="BN4" i="9"/>
  <c r="BN5" i="9"/>
  <c r="BO4" i="9"/>
  <c r="BO5" i="9"/>
  <c r="BP4" i="9"/>
  <c r="BP5" i="9"/>
  <c r="BQ4" i="9"/>
  <c r="BQ5" i="9"/>
  <c r="BU25" i="1"/>
  <c r="BT25" i="1"/>
  <c r="CQ15" i="10"/>
  <c r="CQ18" i="9"/>
  <c r="CP15" i="10"/>
  <c r="CP18" i="9"/>
  <c r="CO18" i="9"/>
  <c r="CO15" i="10"/>
  <c r="CN15" i="10"/>
  <c r="CN18" i="9"/>
  <c r="CN1" i="9"/>
  <c r="CN1" i="10" s="1"/>
  <c r="BO25" i="1"/>
  <c r="CM15" i="10"/>
  <c r="CM18" i="9"/>
  <c r="CL15" i="10"/>
  <c r="CL18" i="9"/>
  <c r="CL1" i="9"/>
  <c r="CL1" i="10" s="1"/>
  <c r="CK15" i="10"/>
  <c r="CK18" i="9"/>
  <c r="CK1" i="9"/>
  <c r="CK1" i="10" s="1"/>
  <c r="CJ15" i="10"/>
  <c r="CJ18" i="9"/>
  <c r="CI15" i="10"/>
  <c r="CI18" i="9"/>
  <c r="CI1" i="9"/>
  <c r="CI1" i="10" s="1"/>
  <c r="CH15" i="10"/>
  <c r="CH18" i="9"/>
  <c r="CG15" i="10"/>
  <c r="CG18" i="9"/>
  <c r="CF15" i="10"/>
  <c r="CF18" i="9"/>
  <c r="CE15" i="10"/>
  <c r="CE18" i="9"/>
  <c r="CD15" i="10"/>
  <c r="CD18" i="9"/>
  <c r="CC15" i="10"/>
  <c r="CC18" i="9"/>
  <c r="CB15" i="10"/>
  <c r="CB18" i="9"/>
  <c r="CA1" i="9"/>
  <c r="CA1" i="10" s="1"/>
  <c r="CA15" i="10"/>
  <c r="CA18" i="9"/>
  <c r="BZ15" i="10"/>
  <c r="BZ18" i="9"/>
  <c r="BY15" i="10"/>
  <c r="BY18" i="9"/>
  <c r="BZ1" i="11"/>
  <c r="BX15" i="10"/>
  <c r="BX18" i="9"/>
  <c r="BW15" i="10"/>
  <c r="BW18" i="9"/>
  <c r="BV15" i="10"/>
  <c r="BV18" i="9"/>
  <c r="BU15" i="10"/>
  <c r="BU18" i="9"/>
  <c r="BV1" i="11"/>
  <c r="AV25" i="1"/>
  <c r="AV7" i="1"/>
  <c r="BT15" i="10"/>
  <c r="BT18" i="9"/>
  <c r="BT1" i="9"/>
  <c r="BT1" i="10" s="1"/>
  <c r="BS15" i="10"/>
  <c r="BS18" i="9"/>
  <c r="BR15" i="10"/>
  <c r="BR18" i="9"/>
  <c r="AS5" i="2"/>
  <c r="AS25" i="2"/>
  <c r="AS28" i="2" s="1"/>
  <c r="AS11" i="2"/>
  <c r="BQ15" i="10"/>
  <c r="BQ18" i="9"/>
  <c r="BP15" i="10"/>
  <c r="BP18" i="9"/>
  <c r="BO15" i="10"/>
  <c r="BO18" i="9"/>
  <c r="AP25" i="1"/>
  <c r="AP25" i="2"/>
  <c r="AP28" i="2" s="1"/>
  <c r="AP11" i="2"/>
  <c r="AP7" i="1" s="1"/>
  <c r="AP5" i="2"/>
  <c r="BN15" i="10"/>
  <c r="BN18" i="9"/>
  <c r="AO25" i="2"/>
  <c r="AO28" i="2" s="1"/>
  <c r="AO11" i="2"/>
  <c r="AO7" i="1" s="1"/>
  <c r="AO5" i="2"/>
  <c r="AO25" i="1"/>
  <c r="BM15" i="10"/>
  <c r="BM18" i="9"/>
  <c r="AN25" i="1"/>
  <c r="AN25" i="2"/>
  <c r="AN28" i="2" s="1"/>
  <c r="AN11" i="2"/>
  <c r="AN7" i="1" s="1"/>
  <c r="AN5" i="2"/>
  <c r="BL15" i="10"/>
  <c r="BL18" i="9"/>
  <c r="AM25" i="1"/>
  <c r="AM25" i="2"/>
  <c r="AM28" i="2" s="1"/>
  <c r="AM11" i="2"/>
  <c r="AM7" i="1" s="1"/>
  <c r="AM5" i="2"/>
  <c r="BK15" i="10"/>
  <c r="BK18" i="9"/>
  <c r="AL25" i="1"/>
  <c r="AL25" i="2"/>
  <c r="AL28" i="2" s="1"/>
  <c r="AL11" i="2"/>
  <c r="AL7" i="1" s="1"/>
  <c r="AL5" i="2"/>
  <c r="BJ3" i="10"/>
  <c r="BJ5" i="9"/>
  <c r="BJ4" i="9"/>
  <c r="BJ15" i="10"/>
  <c r="BJ18" i="9"/>
  <c r="AK25" i="1"/>
  <c r="AK25" i="2"/>
  <c r="AK28" i="2" s="1"/>
  <c r="AK11" i="2"/>
  <c r="AK7" i="1" s="1"/>
  <c r="AK5" i="2"/>
  <c r="BI3" i="10"/>
  <c r="BI5" i="9"/>
  <c r="BI4" i="9"/>
  <c r="BJ4" i="10"/>
  <c r="BI15" i="10"/>
  <c r="BI18" i="9"/>
  <c r="BH3" i="10"/>
  <c r="BH5" i="9"/>
  <c r="BH4" i="9"/>
  <c r="AJ25" i="1"/>
  <c r="AJ25" i="2"/>
  <c r="AJ28" i="2" s="1"/>
  <c r="AJ11" i="2"/>
  <c r="AJ7" i="1" s="1"/>
  <c r="AJ5" i="2"/>
  <c r="BH15" i="10"/>
  <c r="BH18" i="9"/>
  <c r="BI4" i="10"/>
  <c r="AI25" i="1"/>
  <c r="AI25" i="2"/>
  <c r="AI28" i="2" s="1"/>
  <c r="AI11" i="2"/>
  <c r="AI7" i="1" s="1"/>
  <c r="AI5" i="2"/>
  <c r="BG3" i="10"/>
  <c r="BG5" i="9"/>
  <c r="BG4" i="9"/>
  <c r="BG15" i="10"/>
  <c r="BG18" i="9"/>
  <c r="BH4" i="10"/>
  <c r="BF3" i="10"/>
  <c r="BF5" i="9"/>
  <c r="BF4" i="9"/>
  <c r="BF15" i="10"/>
  <c r="BF18" i="9"/>
  <c r="AH25" i="1"/>
  <c r="AH25" i="2"/>
  <c r="AH28" i="2" s="1"/>
  <c r="AH11" i="2"/>
  <c r="AH7" i="1" s="1"/>
  <c r="AH5" i="2"/>
  <c r="BG4" i="10"/>
  <c r="BE3" i="10"/>
  <c r="BE5" i="9"/>
  <c r="BE4" i="9"/>
  <c r="BE15" i="10"/>
  <c r="BE18" i="9"/>
  <c r="BF4" i="10"/>
  <c r="BD3" i="10"/>
  <c r="BD5" i="9"/>
  <c r="BD4" i="9"/>
  <c r="BD15" i="10"/>
  <c r="BD18" i="9"/>
  <c r="BE4" i="10"/>
  <c r="BC3" i="10"/>
  <c r="BC5" i="9"/>
  <c r="BC4" i="9"/>
  <c r="BD1" i="9"/>
  <c r="BD1" i="10" s="1"/>
  <c r="BD4" i="10"/>
  <c r="BC15" i="10"/>
  <c r="BC18" i="9"/>
  <c r="BC1" i="9"/>
  <c r="BC1" i="10" s="1"/>
  <c r="BB3" i="10"/>
  <c r="BB5" i="9"/>
  <c r="BB4" i="9"/>
  <c r="BC4" i="10"/>
  <c r="BB15" i="10"/>
  <c r="BB4" i="10"/>
  <c r="BB18" i="9"/>
  <c r="BA3" i="10"/>
  <c r="BA5" i="9"/>
  <c r="BA4" i="9"/>
  <c r="BA15" i="10"/>
  <c r="BA18" i="9"/>
  <c r="BA1" i="9"/>
  <c r="BA1" i="10" s="1"/>
  <c r="AZ3" i="10"/>
  <c r="AZ5" i="9"/>
  <c r="AZ4" i="9"/>
  <c r="AZ15" i="10"/>
  <c r="AZ18" i="9"/>
  <c r="AZ1" i="9"/>
  <c r="AZ1" i="10" s="1"/>
  <c r="BA4" i="10"/>
  <c r="BA7" i="9"/>
  <c r="AZ4" i="10"/>
  <c r="AZ7" i="9"/>
  <c r="AY3" i="10"/>
  <c r="AY5" i="9"/>
  <c r="AY4" i="9"/>
  <c r="AY15" i="10"/>
  <c r="AY18" i="9"/>
  <c r="AX3" i="10"/>
  <c r="AX5" i="9"/>
  <c r="AX4" i="9"/>
  <c r="AX15" i="10"/>
  <c r="AX18" i="9"/>
  <c r="AY4" i="10"/>
  <c r="AY7" i="9"/>
  <c r="AW3" i="10"/>
  <c r="AW5" i="9"/>
  <c r="AW4" i="9"/>
  <c r="AW15" i="10"/>
  <c r="AW18" i="9"/>
  <c r="AW1" i="9"/>
  <c r="AW1" i="10" s="1"/>
  <c r="AX7" i="9"/>
  <c r="AX4" i="10"/>
  <c r="AW4" i="10"/>
  <c r="AV3" i="10"/>
  <c r="AV5" i="9"/>
  <c r="AV4" i="9"/>
  <c r="AV15" i="10"/>
  <c r="AV18" i="9"/>
  <c r="AW7" i="9"/>
  <c r="W25" i="1"/>
  <c r="W25" i="2"/>
  <c r="W28" i="2" s="1"/>
  <c r="W11" i="2"/>
  <c r="W7" i="1" s="1"/>
  <c r="W5" i="2"/>
  <c r="AU3" i="10"/>
  <c r="AU5" i="9"/>
  <c r="AU4" i="9"/>
  <c r="AU15" i="10"/>
  <c r="AU18" i="9"/>
  <c r="AV4" i="10"/>
  <c r="AV7" i="9"/>
  <c r="AU7" i="9"/>
  <c r="AU4" i="10"/>
  <c r="AT3" i="10"/>
  <c r="AT5" i="9"/>
  <c r="AT4" i="9"/>
  <c r="V25" i="1"/>
  <c r="V11" i="2"/>
  <c r="V7" i="1" s="1"/>
  <c r="V5" i="2"/>
  <c r="AT15" i="10"/>
  <c r="AT18" i="9"/>
  <c r="AS3" i="10"/>
  <c r="AS5" i="9"/>
  <c r="AS4" i="9"/>
  <c r="U25" i="2"/>
  <c r="U28" i="2" s="1"/>
  <c r="U11" i="2"/>
  <c r="U7" i="1" s="1"/>
  <c r="U5" i="2"/>
  <c r="AT1" i="9" s="1"/>
  <c r="AT1" i="10" s="1"/>
  <c r="U25" i="1"/>
  <c r="AS15" i="10"/>
  <c r="AS18" i="9"/>
  <c r="T25" i="1"/>
  <c r="T25" i="2"/>
  <c r="T28" i="2" s="1"/>
  <c r="T11" i="2"/>
  <c r="T7" i="1"/>
  <c r="T5" i="2"/>
  <c r="AR5" i="9"/>
  <c r="AR4" i="9"/>
  <c r="AR3" i="10"/>
  <c r="AR15" i="10"/>
  <c r="AR18" i="9"/>
  <c r="AT4" i="10"/>
  <c r="AT7" i="9"/>
  <c r="AS4" i="10"/>
  <c r="AS7" i="9"/>
  <c r="AQ3" i="10"/>
  <c r="AQ5" i="9"/>
  <c r="AQ4" i="9"/>
  <c r="AQ15" i="10"/>
  <c r="AQ18" i="9"/>
  <c r="S5" i="2"/>
  <c r="R5" i="2"/>
  <c r="S11" i="2"/>
  <c r="S7" i="1" s="1"/>
  <c r="S25" i="1"/>
  <c r="AR4" i="10"/>
  <c r="AR7" i="9"/>
  <c r="AQ7" i="9"/>
  <c r="AQ4" i="10"/>
  <c r="AP3" i="10"/>
  <c r="AP5" i="9"/>
  <c r="AP4" i="9"/>
  <c r="AP15" i="10"/>
  <c r="AP18" i="9"/>
  <c r="R25" i="1"/>
  <c r="R11" i="2"/>
  <c r="R7" i="1" s="1"/>
  <c r="AP18" i="11"/>
  <c r="AP21" i="11" s="1"/>
  <c r="AP14" i="11"/>
  <c r="AO3" i="10"/>
  <c r="AP15" i="11"/>
  <c r="AP17" i="11" s="1"/>
  <c r="AP16" i="11"/>
  <c r="AP19" i="11"/>
  <c r="AP20" i="11"/>
  <c r="AP35" i="11"/>
  <c r="AO15" i="10"/>
  <c r="AO1" i="9"/>
  <c r="AO1" i="10" s="1"/>
  <c r="AO3" i="9"/>
  <c r="AO18" i="9"/>
  <c r="Q25" i="1"/>
  <c r="Q11" i="2"/>
  <c r="Q7" i="1" s="1"/>
  <c r="AP4" i="10"/>
  <c r="AP7" i="9"/>
  <c r="AO18" i="11"/>
  <c r="AO14" i="11"/>
  <c r="AN3" i="10"/>
  <c r="AO15" i="11"/>
  <c r="AO16" i="11"/>
  <c r="AO19" i="11"/>
  <c r="AO20" i="11"/>
  <c r="AO35" i="11"/>
  <c r="AN15" i="10"/>
  <c r="AN1" i="9"/>
  <c r="AN1" i="10" s="1"/>
  <c r="AN3" i="9"/>
  <c r="AN18" i="9"/>
  <c r="P25" i="1"/>
  <c r="P11" i="2"/>
  <c r="P7" i="1" s="1"/>
  <c r="AN18" i="11"/>
  <c r="AN14" i="11"/>
  <c r="AM3" i="10"/>
  <c r="AN15" i="11"/>
  <c r="AN16" i="11"/>
  <c r="AN19" i="11"/>
  <c r="AN20" i="11"/>
  <c r="AN35" i="11"/>
  <c r="AM15" i="10"/>
  <c r="AM1" i="9"/>
  <c r="AM1" i="10" s="1"/>
  <c r="AM3" i="9"/>
  <c r="AM18" i="9"/>
  <c r="O25" i="1"/>
  <c r="O11" i="2"/>
  <c r="O7" i="1" s="1"/>
  <c r="AM18" i="11"/>
  <c r="AM14" i="11"/>
  <c r="AL3" i="10"/>
  <c r="AM15" i="11"/>
  <c r="AM16" i="11"/>
  <c r="AM19" i="11"/>
  <c r="AM20" i="11"/>
  <c r="AM35" i="11"/>
  <c r="AL15" i="10"/>
  <c r="AL1" i="9"/>
  <c r="AL1" i="10" s="1"/>
  <c r="AL3" i="9"/>
  <c r="AL18" i="9"/>
  <c r="N25" i="1"/>
  <c r="N11" i="2"/>
  <c r="N7" i="1" s="1"/>
  <c r="AL18" i="11"/>
  <c r="AL14" i="11"/>
  <c r="AK3" i="10"/>
  <c r="AK18" i="9"/>
  <c r="AK3" i="9"/>
  <c r="AK15" i="10"/>
  <c r="AL35" i="11"/>
  <c r="AL20" i="11"/>
  <c r="AL19" i="11"/>
  <c r="AL16" i="11"/>
  <c r="AL17" i="11" s="1"/>
  <c r="AL15" i="11"/>
  <c r="AK1" i="9"/>
  <c r="AK1" i="10" s="1"/>
  <c r="M25" i="1"/>
  <c r="M11" i="2"/>
  <c r="M7" i="1" s="1"/>
  <c r="AK18" i="11"/>
  <c r="AK14" i="11"/>
  <c r="AJ3" i="10"/>
  <c r="AK15" i="11"/>
  <c r="AK17" i="11" s="1"/>
  <c r="AK16" i="11"/>
  <c r="AK19" i="11"/>
  <c r="AK20" i="11"/>
  <c r="AK35" i="11"/>
  <c r="AJ15" i="10"/>
  <c r="AJ1" i="9"/>
  <c r="AJ1" i="10" s="1"/>
  <c r="AJ3" i="9"/>
  <c r="AJ18" i="9"/>
  <c r="L25" i="1"/>
  <c r="L11" i="2"/>
  <c r="L7" i="1" s="1"/>
  <c r="AJ18" i="11"/>
  <c r="AJ14" i="11"/>
  <c r="AI3" i="10"/>
  <c r="AI15" i="10"/>
  <c r="AI18" i="9"/>
  <c r="AI3" i="9"/>
  <c r="AJ35" i="11"/>
  <c r="AJ20" i="11"/>
  <c r="AJ19" i="11"/>
  <c r="AJ16" i="11"/>
  <c r="AJ15" i="11"/>
  <c r="AI1" i="9"/>
  <c r="AI1" i="10" s="1"/>
  <c r="K25" i="1"/>
  <c r="K11" i="2"/>
  <c r="K7" i="1" s="1"/>
  <c r="AI18" i="11"/>
  <c r="AI14" i="11"/>
  <c r="AH3" i="10"/>
  <c r="AH15" i="10"/>
  <c r="AH18" i="9"/>
  <c r="AH3" i="9"/>
  <c r="AI35" i="11"/>
  <c r="AI20" i="11"/>
  <c r="AI19" i="11"/>
  <c r="AI16" i="11"/>
  <c r="AI15" i="11"/>
  <c r="AH1" i="9"/>
  <c r="AH1" i="10" s="1"/>
  <c r="J25" i="1"/>
  <c r="J11" i="2"/>
  <c r="J7" i="1" s="1"/>
  <c r="AH18" i="11"/>
  <c r="AH21" i="11" s="1"/>
  <c r="AH14" i="11"/>
  <c r="AG3" i="10"/>
  <c r="AH35" i="11"/>
  <c r="AH20" i="11"/>
  <c r="AH19" i="11"/>
  <c r="AH16" i="11"/>
  <c r="AH15" i="11"/>
  <c r="AG15" i="10"/>
  <c r="AG18" i="9"/>
  <c r="AG3" i="9"/>
  <c r="AG1" i="9"/>
  <c r="AG1" i="10" s="1"/>
  <c r="I25" i="1"/>
  <c r="I11" i="2"/>
  <c r="I7" i="1" s="1"/>
  <c r="AG18" i="11"/>
  <c r="AG21" i="11" s="1"/>
  <c r="AG14" i="11"/>
  <c r="AF3" i="10"/>
  <c r="G11" i="2"/>
  <c r="G7" i="1" s="1"/>
  <c r="H11" i="2"/>
  <c r="H7" i="1" s="1"/>
  <c r="AG35" i="11"/>
  <c r="AG20" i="11"/>
  <c r="AG19" i="11"/>
  <c r="AG16" i="11"/>
  <c r="AG15" i="11"/>
  <c r="AF15" i="10"/>
  <c r="AF18" i="9"/>
  <c r="AF3" i="9"/>
  <c r="AF1" i="9"/>
  <c r="AF1" i="10" s="1"/>
  <c r="H25" i="1"/>
  <c r="AF18" i="11"/>
  <c r="AF21" i="11" s="1"/>
  <c r="AF14" i="11"/>
  <c r="AF17" i="11" s="1"/>
  <c r="AE3" i="10"/>
  <c r="AF35" i="11"/>
  <c r="AF20" i="11"/>
  <c r="AF19" i="11"/>
  <c r="AF16" i="11"/>
  <c r="AF15" i="11"/>
  <c r="AE15" i="10"/>
  <c r="AE18" i="9"/>
  <c r="AE3" i="9"/>
  <c r="AE1" i="9"/>
  <c r="AE1" i="10" s="1"/>
  <c r="G25" i="1"/>
  <c r="F11" i="2"/>
  <c r="F7" i="1" s="1"/>
  <c r="AE18" i="11"/>
  <c r="AE14" i="11"/>
  <c r="AD3" i="10"/>
  <c r="AE35" i="11"/>
  <c r="AE20" i="11"/>
  <c r="AE19" i="11"/>
  <c r="AE16" i="11"/>
  <c r="AE15" i="11"/>
  <c r="AD15" i="10"/>
  <c r="AD18" i="9"/>
  <c r="AD3" i="9"/>
  <c r="AD1" i="9"/>
  <c r="AD1" i="10" s="1"/>
  <c r="F25" i="1"/>
  <c r="AD18" i="11"/>
  <c r="AD14" i="11"/>
  <c r="AC3" i="10"/>
  <c r="AD35" i="11"/>
  <c r="AD20" i="11"/>
  <c r="AD19" i="11"/>
  <c r="AD16" i="11"/>
  <c r="AD15" i="11"/>
  <c r="AC15" i="10"/>
  <c r="AC18" i="9"/>
  <c r="AC3" i="9"/>
  <c r="AC1" i="9"/>
  <c r="AC1" i="10" s="1"/>
  <c r="E11" i="2"/>
  <c r="E7" i="1" s="1"/>
  <c r="E25" i="1"/>
  <c r="AC18" i="11"/>
  <c r="AC14" i="11"/>
  <c r="AC17" i="11" s="1"/>
  <c r="AB3" i="10"/>
  <c r="AC35" i="11"/>
  <c r="AC20" i="11"/>
  <c r="AC19" i="11"/>
  <c r="AC16" i="11"/>
  <c r="AC15" i="11"/>
  <c r="AB15" i="10"/>
  <c r="AB18" i="9"/>
  <c r="AB3" i="9"/>
  <c r="AB1" i="9"/>
  <c r="AB1" i="10" s="1"/>
  <c r="D11" i="2"/>
  <c r="D7" i="1" s="1"/>
  <c r="D25" i="1"/>
  <c r="AB18" i="11"/>
  <c r="AB14" i="11"/>
  <c r="AA3" i="10"/>
  <c r="AB35" i="11"/>
  <c r="AB20" i="11"/>
  <c r="AB19" i="11"/>
  <c r="AB16" i="11"/>
  <c r="AB15" i="11"/>
  <c r="AA15" i="10"/>
  <c r="AA18" i="9"/>
  <c r="AA3" i="9"/>
  <c r="AA1" i="9"/>
  <c r="AA1" i="10" s="1"/>
  <c r="C11" i="2"/>
  <c r="C7" i="1" s="1"/>
  <c r="C25" i="1"/>
  <c r="AA18" i="11"/>
  <c r="AA14" i="11"/>
  <c r="Z3" i="10"/>
  <c r="Z6" i="10" s="1"/>
  <c r="AA35" i="11"/>
  <c r="AA20" i="11"/>
  <c r="AA19" i="11"/>
  <c r="AA21" i="11" s="1"/>
  <c r="AA16" i="11"/>
  <c r="AA15" i="11"/>
  <c r="Z15" i="10"/>
  <c r="Z18" i="9"/>
  <c r="Z3" i="9"/>
  <c r="Z1" i="9"/>
  <c r="Z1" i="10" s="1"/>
  <c r="AV11" i="1"/>
  <c r="AV13" i="1"/>
  <c r="AV14" i="1"/>
  <c r="AV15" i="1"/>
  <c r="AH10" i="9"/>
  <c r="AG10" i="9"/>
  <c r="AF10" i="9"/>
  <c r="AE10" i="9"/>
  <c r="AD10" i="9"/>
  <c r="AC10" i="9"/>
  <c r="AB10" i="9"/>
  <c r="AA10" i="9"/>
  <c r="Z10" i="9"/>
  <c r="AA5" i="11"/>
  <c r="AB5" i="11" s="1"/>
  <c r="V25" i="2"/>
  <c r="V28" i="2" s="1"/>
  <c r="S25" i="2"/>
  <c r="S28" i="2" s="1"/>
  <c r="AM17" i="11"/>
  <c r="AO21" i="11"/>
  <c r="BW1" i="9"/>
  <c r="BW1" i="10" s="1"/>
  <c r="AO17" i="11"/>
  <c r="AI17" i="11"/>
  <c r="Z9" i="9"/>
  <c r="AN17" i="11"/>
  <c r="AO9" i="9"/>
  <c r="CE1" i="9"/>
  <c r="CE1" i="10" s="1"/>
  <c r="CC1" i="9"/>
  <c r="CC1" i="10" s="1"/>
  <c r="CP1" i="9"/>
  <c r="CP1" i="10" s="1"/>
  <c r="CJ1" i="9" l="1"/>
  <c r="CJ1" i="10" s="1"/>
  <c r="CQ1" i="9"/>
  <c r="CQ1" i="10" s="1"/>
  <c r="CF1" i="9"/>
  <c r="CF1" i="10" s="1"/>
  <c r="AA9" i="9"/>
  <c r="BK10" i="9"/>
  <c r="AI21" i="11"/>
  <c r="AD21" i="11"/>
  <c r="BM3" i="9"/>
  <c r="BK1" i="9"/>
  <c r="BK1" i="10" s="1"/>
  <c r="CA16" i="1"/>
  <c r="BA7" i="10"/>
  <c r="AJ21" i="11"/>
  <c r="AK21" i="11"/>
  <c r="AK22" i="11" s="1"/>
  <c r="AJ7" i="9" s="1"/>
  <c r="AE17" i="11"/>
  <c r="AE21" i="11"/>
  <c r="BI7" i="10"/>
  <c r="AN9" i="9"/>
  <c r="AV1" i="9"/>
  <c r="AV1" i="10" s="1"/>
  <c r="BJ3" i="9"/>
  <c r="BR1" i="9"/>
  <c r="BR1" i="10" s="1"/>
  <c r="CB16" i="1"/>
  <c r="CB17" i="1" s="1"/>
  <c r="AG17" i="11"/>
  <c r="AA11" i="11"/>
  <c r="AA17" i="11"/>
  <c r="AA22" i="11" s="1"/>
  <c r="Z7" i="9" s="1"/>
  <c r="AD17" i="11"/>
  <c r="BO10" i="9"/>
  <c r="BV7" i="10"/>
  <c r="AM9" i="9"/>
  <c r="Z12" i="9"/>
  <c r="Z20" i="9" s="1"/>
  <c r="C15" i="2" s="1"/>
  <c r="C18" i="2" s="1"/>
  <c r="AJ9" i="9"/>
  <c r="BV1" i="9"/>
  <c r="BV1" i="10" s="1"/>
  <c r="CG1" i="9"/>
  <c r="CG1" i="10" s="1"/>
  <c r="CD1" i="9"/>
  <c r="CD1" i="10" s="1"/>
  <c r="CO1" i="9"/>
  <c r="CO1" i="10" s="1"/>
  <c r="CB1" i="9"/>
  <c r="CB1" i="10" s="1"/>
  <c r="BR3" i="9"/>
  <c r="BF3" i="9"/>
  <c r="BP3" i="9"/>
  <c r="BL3" i="9"/>
  <c r="BL1" i="9"/>
  <c r="BL1" i="10" s="1"/>
  <c r="BU1" i="9"/>
  <c r="BU1" i="10" s="1"/>
  <c r="BW16" i="1"/>
  <c r="BX16" i="1"/>
  <c r="CM1" i="9"/>
  <c r="CM1" i="10" s="1"/>
  <c r="AF22" i="11"/>
  <c r="AE4" i="10" s="1"/>
  <c r="AL21" i="11"/>
  <c r="AN21" i="11"/>
  <c r="AN22" i="11" s="1"/>
  <c r="AN23" i="11" s="1"/>
  <c r="AN25" i="11" s="1"/>
  <c r="AG22" i="11"/>
  <c r="AG23" i="11" s="1"/>
  <c r="AG25" i="11" s="1"/>
  <c r="AB17" i="11"/>
  <c r="AB21" i="11"/>
  <c r="AB22" i="11" s="1"/>
  <c r="AC21" i="11"/>
  <c r="AH17" i="11"/>
  <c r="AJ17" i="11"/>
  <c r="AM21" i="11"/>
  <c r="AM22" i="11" s="1"/>
  <c r="CI7" i="10"/>
  <c r="BD7" i="10"/>
  <c r="CA7" i="10"/>
  <c r="BW7" i="10"/>
  <c r="AJ6" i="10"/>
  <c r="AA6" i="10"/>
  <c r="AJ22" i="11"/>
  <c r="AI7" i="9" s="1"/>
  <c r="BN7" i="10"/>
  <c r="AF6" i="10"/>
  <c r="AP22" i="11"/>
  <c r="AO4" i="10" s="1"/>
  <c r="CP7" i="10"/>
  <c r="AA12" i="9"/>
  <c r="AA20" i="9" s="1"/>
  <c r="D15" i="2" s="1"/>
  <c r="D18" i="2" s="1"/>
  <c r="BN10" i="9"/>
  <c r="CH10" i="9"/>
  <c r="CE10" i="9"/>
  <c r="BO3" i="9"/>
  <c r="BP1" i="9"/>
  <c r="BP1" i="10" s="1"/>
  <c r="DC1" i="11"/>
  <c r="BQ1" i="9"/>
  <c r="BQ1" i="10" s="1"/>
  <c r="BS1" i="9"/>
  <c r="BS1" i="10" s="1"/>
  <c r="DA1" i="10"/>
  <c r="BN3" i="9"/>
  <c r="BU3" i="9"/>
  <c r="AQ1" i="9"/>
  <c r="AQ1" i="10" s="1"/>
  <c r="BN1" i="9"/>
  <c r="BN1" i="10" s="1"/>
  <c r="BZ16" i="1"/>
  <c r="BZ17" i="1" s="1"/>
  <c r="BY16" i="1"/>
  <c r="BH1" i="9"/>
  <c r="BH1" i="10" s="1"/>
  <c r="CD16" i="1"/>
  <c r="AU1" i="9"/>
  <c r="AU1" i="10" s="1"/>
  <c r="BM1" i="9"/>
  <c r="BM1" i="10" s="1"/>
  <c r="BX17" i="1"/>
  <c r="DC1" i="10"/>
  <c r="DD1" i="11"/>
  <c r="CX1" i="11"/>
  <c r="BG1" i="9"/>
  <c r="BG1" i="10" s="1"/>
  <c r="BY1" i="9"/>
  <c r="BY1" i="10" s="1"/>
  <c r="AV16" i="1"/>
  <c r="AV19" i="1" s="1"/>
  <c r="CA17" i="1"/>
  <c r="BB1" i="9"/>
  <c r="BB1" i="10" s="1"/>
  <c r="AR1" i="9"/>
  <c r="AR1" i="10" s="1"/>
  <c r="BE1" i="9"/>
  <c r="BE1" i="10" s="1"/>
  <c r="BZ1" i="9"/>
  <c r="BZ1" i="10" s="1"/>
  <c r="BI1" i="9"/>
  <c r="BI1" i="10" s="1"/>
  <c r="CO3" i="9"/>
  <c r="CK3" i="9"/>
  <c r="AP3" i="9"/>
  <c r="AP9" i="9" s="1"/>
  <c r="BJ6" i="10"/>
  <c r="BB3" i="9"/>
  <c r="BO6" i="10"/>
  <c r="BX3" i="9"/>
  <c r="BV3" i="9"/>
  <c r="CL3" i="9"/>
  <c r="CM3" i="9"/>
  <c r="CI3" i="9"/>
  <c r="BA3" i="9"/>
  <c r="BD3" i="9"/>
  <c r="BE3" i="9"/>
  <c r="BI6" i="10"/>
  <c r="BI9" i="10" s="1"/>
  <c r="BH3" i="9"/>
  <c r="BY6" i="10"/>
  <c r="AD22" i="11"/>
  <c r="AH22" i="11"/>
  <c r="AH23" i="11" s="1"/>
  <c r="AH25" i="11" s="1"/>
  <c r="AI22" i="11"/>
  <c r="AI23" i="11" s="1"/>
  <c r="AI25" i="11" s="1"/>
  <c r="AL22" i="11"/>
  <c r="AL23" i="11" s="1"/>
  <c r="AL25" i="11" s="1"/>
  <c r="AC5" i="11"/>
  <c r="AB11" i="11"/>
  <c r="BB7" i="10"/>
  <c r="BL10" i="9"/>
  <c r="BZ7" i="10"/>
  <c r="AO22" i="11"/>
  <c r="AO23" i="11" s="1"/>
  <c r="AO25" i="11" s="1"/>
  <c r="BJ10" i="9"/>
  <c r="CC10" i="9"/>
  <c r="CK10" i="9"/>
  <c r="CM7" i="10"/>
  <c r="CN7" i="10"/>
  <c r="CL7" i="10"/>
  <c r="CH7" i="10"/>
  <c r="CJ7" i="10"/>
  <c r="CK7" i="10"/>
  <c r="CC7" i="10"/>
  <c r="CE7" i="10"/>
  <c r="CG7" i="10"/>
  <c r="CF7" i="10"/>
  <c r="CQ7" i="10"/>
  <c r="CO7" i="10"/>
  <c r="AF23" i="11"/>
  <c r="AF25" i="11" s="1"/>
  <c r="AM6" i="10"/>
  <c r="AI6" i="10"/>
  <c r="AE6" i="10"/>
  <c r="AC22" i="11"/>
  <c r="AC6" i="10"/>
  <c r="AH6" i="10"/>
  <c r="AD6" i="10"/>
  <c r="AB6" i="10"/>
  <c r="AG6" i="10"/>
  <c r="AL6" i="10"/>
  <c r="AK6" i="10"/>
  <c r="AO6" i="10"/>
  <c r="AN6" i="10"/>
  <c r="BE7" i="10"/>
  <c r="BG7" i="10"/>
  <c r="BH7" i="10"/>
  <c r="BC7" i="10"/>
  <c r="BF7" i="10"/>
  <c r="BJ7" i="10"/>
  <c r="BK7" i="10"/>
  <c r="BO7" i="10"/>
  <c r="BO9" i="10" s="1"/>
  <c r="BP7" i="10"/>
  <c r="BM7" i="10"/>
  <c r="BQ7" i="10"/>
  <c r="BL7" i="10"/>
  <c r="BY7" i="10"/>
  <c r="CB7" i="10"/>
  <c r="BX7" i="10"/>
  <c r="BU7" i="10"/>
  <c r="BT7" i="10"/>
  <c r="BS7" i="10"/>
  <c r="BR7" i="10"/>
  <c r="CD7" i="10"/>
  <c r="AT6" i="10"/>
  <c r="BL6" i="10"/>
  <c r="CA6" i="10"/>
  <c r="CA9" i="10" s="1"/>
  <c r="BQ6" i="10"/>
  <c r="BR6" i="10"/>
  <c r="CH6" i="10"/>
  <c r="CO6" i="10"/>
  <c r="BG6" i="10"/>
  <c r="AE9" i="9"/>
  <c r="AE12" i="9" s="1"/>
  <c r="AE20" i="9" s="1"/>
  <c r="H15" i="2" s="1"/>
  <c r="H18" i="2" s="1"/>
  <c r="AD9" i="9"/>
  <c r="AD12" i="9" s="1"/>
  <c r="AD20" i="9" s="1"/>
  <c r="G15" i="2" s="1"/>
  <c r="G18" i="2" s="1"/>
  <c r="AI9" i="9"/>
  <c r="AH9" i="9"/>
  <c r="AH12" i="9" s="1"/>
  <c r="AH20" i="9" s="1"/>
  <c r="K15" i="2" s="1"/>
  <c r="K18" i="2" s="1"/>
  <c r="AC9" i="9"/>
  <c r="AC12" i="9" s="1"/>
  <c r="AC20" i="9" s="1"/>
  <c r="F15" i="2" s="1"/>
  <c r="F18" i="2" s="1"/>
  <c r="AK9" i="9"/>
  <c r="CB10" i="9"/>
  <c r="CA10" i="9"/>
  <c r="BU10" i="9"/>
  <c r="BT10" i="9"/>
  <c r="BX10" i="9"/>
  <c r="BS10" i="9"/>
  <c r="BR10" i="9"/>
  <c r="BV10" i="9"/>
  <c r="CD10" i="9"/>
  <c r="CQ10" i="9"/>
  <c r="BY10" i="9"/>
  <c r="CA3" i="9"/>
  <c r="CP10" i="9"/>
  <c r="CM10" i="9"/>
  <c r="CN10" i="9"/>
  <c r="CO10" i="9"/>
  <c r="CL10" i="9"/>
  <c r="CG10" i="9"/>
  <c r="BZ10" i="9"/>
  <c r="BW10" i="9"/>
  <c r="AB9" i="9"/>
  <c r="AB12" i="9" s="1"/>
  <c r="AB20" i="9" s="1"/>
  <c r="E15" i="2" s="1"/>
  <c r="E18" i="2" s="1"/>
  <c r="CF10" i="9"/>
  <c r="CJ10" i="9"/>
  <c r="CI10" i="9"/>
  <c r="AF9" i="9"/>
  <c r="AF12" i="9" s="1"/>
  <c r="AF20" i="9" s="1"/>
  <c r="I15" i="2" s="1"/>
  <c r="I18" i="2" s="1"/>
  <c r="AL9" i="9"/>
  <c r="AG9" i="9"/>
  <c r="AG12" i="9" s="1"/>
  <c r="AG20" i="9" s="1"/>
  <c r="J15" i="2" s="1"/>
  <c r="J18" i="2" s="1"/>
  <c r="BM10" i="9"/>
  <c r="BQ10" i="9"/>
  <c r="BP10" i="9"/>
  <c r="CG3" i="9"/>
  <c r="AS3" i="9"/>
  <c r="AV3" i="9"/>
  <c r="CC3" i="9"/>
  <c r="BY3" i="9"/>
  <c r="CP3" i="9"/>
  <c r="CE3" i="9"/>
  <c r="AR3" i="9"/>
  <c r="AU3" i="9"/>
  <c r="BG3" i="9"/>
  <c r="CB3" i="9"/>
  <c r="CD3" i="9"/>
  <c r="BS3" i="9"/>
  <c r="CJ3" i="9"/>
  <c r="CH3" i="9"/>
  <c r="BC3" i="9"/>
  <c r="BT3" i="9"/>
  <c r="CY1" i="11"/>
  <c r="CX1" i="10"/>
  <c r="BX1" i="9"/>
  <c r="BX1" i="10" s="1"/>
  <c r="BY1" i="11"/>
  <c r="AP1" i="9"/>
  <c r="AP1" i="10" s="1"/>
  <c r="AS1" i="9"/>
  <c r="AS1" i="10" s="1"/>
  <c r="AX1" i="9"/>
  <c r="AX1" i="10" s="1"/>
  <c r="AY1" i="9"/>
  <c r="AY1" i="10" s="1"/>
  <c r="BJ1" i="9"/>
  <c r="BJ1" i="10" s="1"/>
  <c r="BO1" i="9"/>
  <c r="BO1" i="10" s="1"/>
  <c r="CH1" i="9"/>
  <c r="CH1" i="10" s="1"/>
  <c r="BF1" i="9"/>
  <c r="BF1" i="10" s="1"/>
  <c r="DA1" i="11"/>
  <c r="CQ6" i="10"/>
  <c r="AZ3" i="9"/>
  <c r="BP6" i="10"/>
  <c r="BI3" i="9"/>
  <c r="BQ3" i="9"/>
  <c r="BK3" i="9"/>
  <c r="BZ3" i="9"/>
  <c r="BN6" i="10"/>
  <c r="BM6" i="10"/>
  <c r="AQ3" i="9"/>
  <c r="AT3" i="9"/>
  <c r="AX3" i="9"/>
  <c r="CC14" i="1"/>
  <c r="CC13" i="1"/>
  <c r="CC6" i="10"/>
  <c r="CB6" i="10"/>
  <c r="CB9" i="10" s="1"/>
  <c r="CM6" i="10"/>
  <c r="CL6" i="10"/>
  <c r="CI6" i="10"/>
  <c r="CK6" i="10"/>
  <c r="CJ6" i="10"/>
  <c r="CG6" i="10"/>
  <c r="CD6" i="10"/>
  <c r="CE6" i="10"/>
  <c r="CF6" i="10"/>
  <c r="CF9" i="10" s="1"/>
  <c r="AS6" i="10"/>
  <c r="AX6" i="10"/>
  <c r="AZ6" i="10"/>
  <c r="AY6" i="10"/>
  <c r="AP6" i="10"/>
  <c r="AR6" i="10"/>
  <c r="AQ6" i="10"/>
  <c r="AV6" i="10"/>
  <c r="AW6" i="10"/>
  <c r="BA6" i="10"/>
  <c r="BA9" i="10" s="1"/>
  <c r="AU6" i="10"/>
  <c r="BD6" i="10"/>
  <c r="BC6" i="10"/>
  <c r="BB6" i="10"/>
  <c r="BU6" i="10"/>
  <c r="BW6" i="10"/>
  <c r="BW3" i="9"/>
  <c r="CN3" i="9"/>
  <c r="CF3" i="9"/>
  <c r="CQ3" i="9"/>
  <c r="DB9" i="9" s="1"/>
  <c r="CP6" i="10"/>
  <c r="BF6" i="10"/>
  <c r="BE6" i="10"/>
  <c r="AW3" i="9"/>
  <c r="AY3" i="9"/>
  <c r="BK6" i="10"/>
  <c r="BH6" i="10"/>
  <c r="BT6" i="10"/>
  <c r="BT9" i="10" s="1"/>
  <c r="BS6" i="10"/>
  <c r="BX6" i="10"/>
  <c r="BZ6" i="10"/>
  <c r="BV6" i="10"/>
  <c r="CN6" i="10"/>
  <c r="BX19" i="1" l="1"/>
  <c r="BW19" i="1"/>
  <c r="BW17" i="1"/>
  <c r="BY19" i="1"/>
  <c r="BS9" i="10"/>
  <c r="CH9" i="10"/>
  <c r="BW9" i="10"/>
  <c r="BM9" i="10"/>
  <c r="BK9" i="10"/>
  <c r="CE9" i="10"/>
  <c r="BZ9" i="10"/>
  <c r="BZ17" i="10" s="1"/>
  <c r="CK9" i="10"/>
  <c r="BX9" i="10"/>
  <c r="CC9" i="10"/>
  <c r="AB23" i="11"/>
  <c r="AB25" i="11" s="1"/>
  <c r="AA7" i="9"/>
  <c r="AJ10" i="9" s="1"/>
  <c r="AJ12" i="9" s="1"/>
  <c r="AJ20" i="9" s="1"/>
  <c r="M15" i="2" s="1"/>
  <c r="M18" i="2" s="1"/>
  <c r="AA4" i="10"/>
  <c r="AO7" i="9"/>
  <c r="BI10" i="9" s="1"/>
  <c r="AB27" i="11"/>
  <c r="AB29" i="11" s="1"/>
  <c r="AB28" i="11" s="1"/>
  <c r="AP23" i="11"/>
  <c r="AP25" i="11" s="1"/>
  <c r="AE22" i="11"/>
  <c r="AF4" i="10"/>
  <c r="BC9" i="10"/>
  <c r="CA17" i="10" s="1"/>
  <c r="BP9" i="10"/>
  <c r="CN17" i="10" s="1"/>
  <c r="AF7" i="9"/>
  <c r="BH9" i="10"/>
  <c r="BL9" i="10"/>
  <c r="CN9" i="10"/>
  <c r="CJ9" i="10"/>
  <c r="BE9" i="10"/>
  <c r="CL9" i="10"/>
  <c r="BF9" i="10"/>
  <c r="CP9" i="10"/>
  <c r="CM9" i="10"/>
  <c r="CQ9" i="10"/>
  <c r="BR9" i="10"/>
  <c r="CD9" i="10"/>
  <c r="CI9" i="10"/>
  <c r="CI17" i="10" s="1"/>
  <c r="BN9" i="10"/>
  <c r="AJ23" i="11"/>
  <c r="AJ25" i="11" s="1"/>
  <c r="AA23" i="11"/>
  <c r="AA25" i="11" s="1"/>
  <c r="AA27" i="11" s="1"/>
  <c r="AA29" i="11" s="1"/>
  <c r="AA28" i="11" s="1"/>
  <c r="AI4" i="10"/>
  <c r="AK23" i="11"/>
  <c r="AK25" i="11" s="1"/>
  <c r="BD9" i="10"/>
  <c r="AE7" i="9"/>
  <c r="AJ4" i="10"/>
  <c r="BV9" i="10"/>
  <c r="BU9" i="10"/>
  <c r="BB9" i="10"/>
  <c r="CG9" i="10"/>
  <c r="CO9" i="10"/>
  <c r="Z4" i="10"/>
  <c r="Z7" i="10" s="1"/>
  <c r="Z9" i="10" s="1"/>
  <c r="Z17" i="10" s="1"/>
  <c r="C20" i="2" s="1"/>
  <c r="C23" i="2" s="1"/>
  <c r="AK7" i="9"/>
  <c r="BZ19" i="1"/>
  <c r="CD17" i="1"/>
  <c r="CB19" i="1"/>
  <c r="BY9" i="10"/>
  <c r="BY17" i="10" s="1"/>
  <c r="BY17" i="1"/>
  <c r="AL7" i="9"/>
  <c r="AL4" i="10"/>
  <c r="AI10" i="9"/>
  <c r="AI12" i="9" s="1"/>
  <c r="AI20" i="9" s="1"/>
  <c r="L15" i="2" s="1"/>
  <c r="L18" i="2" s="1"/>
  <c r="AM23" i="11"/>
  <c r="AM25" i="11" s="1"/>
  <c r="AK4" i="10"/>
  <c r="CD9" i="9"/>
  <c r="CD12" i="9" s="1"/>
  <c r="AS9" i="9"/>
  <c r="BJ9" i="10"/>
  <c r="CA19" i="1"/>
  <c r="CC16" i="1"/>
  <c r="CC19" i="1" s="1"/>
  <c r="AV17" i="1"/>
  <c r="BM9" i="9"/>
  <c r="BM12" i="9" s="1"/>
  <c r="BT9" i="9"/>
  <c r="BT12" i="9" s="1"/>
  <c r="BO9" i="9"/>
  <c r="BO12" i="9" s="1"/>
  <c r="AT9" i="9"/>
  <c r="AC7" i="9"/>
  <c r="AC4" i="10"/>
  <c r="AN7" i="9"/>
  <c r="BH10" i="9" s="1"/>
  <c r="AN4" i="10"/>
  <c r="AY7" i="10" s="1"/>
  <c r="AY9" i="10" s="1"/>
  <c r="BW17" i="10" s="1"/>
  <c r="AM4" i="10"/>
  <c r="AM7" i="9"/>
  <c r="AG7" i="9"/>
  <c r="AG4" i="10"/>
  <c r="AD23" i="11"/>
  <c r="AD25" i="11" s="1"/>
  <c r="AD5" i="11"/>
  <c r="AC11" i="11"/>
  <c r="AH7" i="9"/>
  <c r="AH4" i="10"/>
  <c r="CM17" i="10"/>
  <c r="BG9" i="10"/>
  <c r="CE17" i="10" s="1"/>
  <c r="BQ9" i="10"/>
  <c r="AB4" i="10"/>
  <c r="AB7" i="9"/>
  <c r="AC23" i="11"/>
  <c r="AC25" i="11" s="1"/>
  <c r="AZ7" i="10"/>
  <c r="AZ9" i="10" s="1"/>
  <c r="AR9" i="9"/>
  <c r="BR9" i="9"/>
  <c r="BR12" i="9" s="1"/>
  <c r="AX9" i="9"/>
  <c r="CL9" i="9"/>
  <c r="CL12" i="9" s="1"/>
  <c r="AV9" i="9"/>
  <c r="BX9" i="9"/>
  <c r="BX12" i="9" s="1"/>
  <c r="BA9" i="9"/>
  <c r="CA9" i="9"/>
  <c r="CA12" i="9" s="1"/>
  <c r="BV9" i="9"/>
  <c r="BV12" i="9" s="1"/>
  <c r="BQ9" i="9"/>
  <c r="BQ12" i="9" s="1"/>
  <c r="BS9" i="9"/>
  <c r="BS12" i="9" s="1"/>
  <c r="CG9" i="9"/>
  <c r="CG12" i="9" s="1"/>
  <c r="BU9" i="9"/>
  <c r="BU12" i="9" s="1"/>
  <c r="BP9" i="9"/>
  <c r="BP12" i="9" s="1"/>
  <c r="AU9" i="9"/>
  <c r="AQ9" i="9"/>
  <c r="BK9" i="9"/>
  <c r="BK12" i="9" s="1"/>
  <c r="BL9" i="9"/>
  <c r="BL12" i="9" s="1"/>
  <c r="CG17" i="10"/>
  <c r="BN9" i="9"/>
  <c r="BN12" i="9" s="1"/>
  <c r="BJ9" i="9"/>
  <c r="BJ12" i="9" s="1"/>
  <c r="CQ9" i="9"/>
  <c r="CQ12" i="9" s="1"/>
  <c r="CM9" i="9"/>
  <c r="CM12" i="9" s="1"/>
  <c r="CK9" i="9"/>
  <c r="CK12" i="9" s="1"/>
  <c r="BI9" i="9"/>
  <c r="BE9" i="9"/>
  <c r="AZ9" i="9"/>
  <c r="AW9" i="9"/>
  <c r="BB9" i="9"/>
  <c r="BZ9" i="9"/>
  <c r="BZ12" i="9" s="1"/>
  <c r="CF17" i="10"/>
  <c r="CJ17" i="10"/>
  <c r="CC9" i="9"/>
  <c r="CC12" i="9" s="1"/>
  <c r="CN9" i="9"/>
  <c r="CN12" i="9" s="1"/>
  <c r="CI9" i="9"/>
  <c r="CI12" i="9" s="1"/>
  <c r="BD9" i="9"/>
  <c r="AY9" i="9"/>
  <c r="CQ17" i="10"/>
  <c r="CO9" i="9"/>
  <c r="CO12" i="9" s="1"/>
  <c r="BF9" i="9"/>
  <c r="BG9" i="9"/>
  <c r="BC9" i="9"/>
  <c r="BH9" i="9"/>
  <c r="CF9" i="9"/>
  <c r="CF12" i="9" s="1"/>
  <c r="CH9" i="9"/>
  <c r="CH12" i="9" s="1"/>
  <c r="BY9" i="9"/>
  <c r="BY12" i="9" s="1"/>
  <c r="CP9" i="9"/>
  <c r="CP12" i="9" s="1"/>
  <c r="CB9" i="9"/>
  <c r="CB12" i="9" s="1"/>
  <c r="CE9" i="9"/>
  <c r="CE12" i="9" s="1"/>
  <c r="CJ9" i="9"/>
  <c r="CJ12" i="9" s="1"/>
  <c r="BW9" i="9"/>
  <c r="BW12" i="9" s="1"/>
  <c r="CC17" i="1" l="1"/>
  <c r="CD19" i="1"/>
  <c r="AT7" i="10"/>
  <c r="AT9" i="10" s="1"/>
  <c r="CK17" i="10"/>
  <c r="CD17" i="10"/>
  <c r="CB17" i="10"/>
  <c r="CP17" i="10"/>
  <c r="AS7" i="10"/>
  <c r="AS9" i="10" s="1"/>
  <c r="AX7" i="10"/>
  <c r="AX9" i="10" s="1"/>
  <c r="BV17" i="10" s="1"/>
  <c r="CL17" i="10"/>
  <c r="CC17" i="10"/>
  <c r="AD4" i="10"/>
  <c r="AO7" i="10" s="1"/>
  <c r="AO9" i="10" s="1"/>
  <c r="AD7" i="9"/>
  <c r="AT10" i="9" s="1"/>
  <c r="AT12" i="9" s="1"/>
  <c r="AT20" i="9" s="1"/>
  <c r="W15" i="2" s="1"/>
  <c r="W18" i="2" s="1"/>
  <c r="AA37" i="11"/>
  <c r="C25" i="2" s="1"/>
  <c r="C28" i="2" s="1"/>
  <c r="C30" i="2" s="1"/>
  <c r="C32" i="2" s="1"/>
  <c r="C11" i="1" s="1"/>
  <c r="BH12" i="9"/>
  <c r="AE23" i="11"/>
  <c r="AE25" i="11" s="1"/>
  <c r="AB37" i="11"/>
  <c r="D25" i="2" s="1"/>
  <c r="D28" i="2" s="1"/>
  <c r="BI12" i="9"/>
  <c r="CG20" i="9" s="1"/>
  <c r="DB20" i="9"/>
  <c r="CE13" i="1" s="1"/>
  <c r="AC27" i="11"/>
  <c r="AC29" i="11" s="1"/>
  <c r="AC37" i="11" s="1"/>
  <c r="E25" i="2" s="1"/>
  <c r="E28" i="2" s="1"/>
  <c r="AA7" i="10"/>
  <c r="AA9" i="10" s="1"/>
  <c r="AA17" i="10" s="1"/>
  <c r="D20" i="2" s="1"/>
  <c r="D23" i="2" s="1"/>
  <c r="CH17" i="10"/>
  <c r="BD10" i="9"/>
  <c r="BD12" i="9" s="1"/>
  <c r="CB20" i="9" s="1"/>
  <c r="AD7" i="10"/>
  <c r="AD9" i="10" s="1"/>
  <c r="AD17" i="10" s="1"/>
  <c r="G20" i="2" s="1"/>
  <c r="G23" i="2" s="1"/>
  <c r="AW10" i="9"/>
  <c r="AW12" i="9" s="1"/>
  <c r="AB7" i="10"/>
  <c r="AB9" i="10" s="1"/>
  <c r="AB17" i="10" s="1"/>
  <c r="E20" i="2" s="1"/>
  <c r="E23" i="2" s="1"/>
  <c r="AF7" i="10"/>
  <c r="AF9" i="10" s="1"/>
  <c r="AF17" i="10" s="1"/>
  <c r="I20" i="2" s="1"/>
  <c r="I23" i="2" s="1"/>
  <c r="AJ7" i="10"/>
  <c r="AJ9" i="10" s="1"/>
  <c r="AJ17" i="10" s="1"/>
  <c r="M20" i="2" s="1"/>
  <c r="M23" i="2" s="1"/>
  <c r="AC7" i="10"/>
  <c r="AC9" i="10" s="1"/>
  <c r="AC17" i="10" s="1"/>
  <c r="F20" i="2" s="1"/>
  <c r="F23" i="2" s="1"/>
  <c r="BB10" i="9"/>
  <c r="BB12" i="9" s="1"/>
  <c r="BZ20" i="9" s="1"/>
  <c r="CO20" i="9"/>
  <c r="CN20" i="9"/>
  <c r="CE14" i="1"/>
  <c r="CE15" i="1"/>
  <c r="CE11" i="1"/>
  <c r="CM20" i="9"/>
  <c r="CP20" i="9"/>
  <c r="CO17" i="10"/>
  <c r="CJ20" i="9"/>
  <c r="AD11" i="11"/>
  <c r="AD27" i="11" s="1"/>
  <c r="AD29" i="11" s="1"/>
  <c r="AE5" i="11"/>
  <c r="BA10" i="9"/>
  <c r="BA12" i="9" s="1"/>
  <c r="BY20" i="9" s="1"/>
  <c r="AY10" i="9"/>
  <c r="AY12" i="9" s="1"/>
  <c r="BW20" i="9" s="1"/>
  <c r="AZ10" i="9"/>
  <c r="AZ12" i="9" s="1"/>
  <c r="BX20" i="9" s="1"/>
  <c r="BF10" i="9"/>
  <c r="BF12" i="9" s="1"/>
  <c r="BG10" i="9"/>
  <c r="BG12" i="9" s="1"/>
  <c r="CE20" i="9" s="1"/>
  <c r="BC10" i="9"/>
  <c r="BC12" i="9" s="1"/>
  <c r="BE10" i="9"/>
  <c r="BE12" i="9" s="1"/>
  <c r="CC20" i="9" s="1"/>
  <c r="AV7" i="10"/>
  <c r="AV9" i="10" s="1"/>
  <c r="AW7" i="10"/>
  <c r="AW9" i="10" s="1"/>
  <c r="BU17" i="10" s="1"/>
  <c r="AU7" i="10"/>
  <c r="AU9" i="10" s="1"/>
  <c r="BS17" i="10" s="1"/>
  <c r="AR7" i="10"/>
  <c r="AR9" i="10" s="1"/>
  <c r="AP7" i="10"/>
  <c r="AP9" i="10" s="1"/>
  <c r="BN17" i="10" s="1"/>
  <c r="AQ7" i="10"/>
  <c r="AQ9" i="10" s="1"/>
  <c r="BO17" i="10" s="1"/>
  <c r="BQ17" i="10"/>
  <c r="BR17" i="10"/>
  <c r="BX17" i="10"/>
  <c r="CF20" i="9"/>
  <c r="AL10" i="9"/>
  <c r="AL12" i="9" s="1"/>
  <c r="AL20" i="9" s="1"/>
  <c r="O15" i="2" s="1"/>
  <c r="O18" i="2" s="1"/>
  <c r="AK10" i="9"/>
  <c r="AK12" i="9" s="1"/>
  <c r="AK20" i="9" s="1"/>
  <c r="N15" i="2" s="1"/>
  <c r="N18" i="2" s="1"/>
  <c r="CH20" i="9"/>
  <c r="CQ20" i="9"/>
  <c r="CI20" i="9"/>
  <c r="CK20" i="9"/>
  <c r="CL20" i="9"/>
  <c r="D30" i="2" l="1"/>
  <c r="E30" i="2"/>
  <c r="AN10" i="9"/>
  <c r="AN12" i="9" s="1"/>
  <c r="AN20" i="9" s="1"/>
  <c r="Q15" i="2" s="1"/>
  <c r="Q18" i="2" s="1"/>
  <c r="AU10" i="9"/>
  <c r="AU12" i="9" s="1"/>
  <c r="AO10" i="9"/>
  <c r="AO12" i="9" s="1"/>
  <c r="AQ10" i="9"/>
  <c r="AQ12" i="9" s="1"/>
  <c r="AQ20" i="9" s="1"/>
  <c r="T15" i="2" s="1"/>
  <c r="T18" i="2" s="1"/>
  <c r="AM10" i="9"/>
  <c r="AM12" i="9" s="1"/>
  <c r="AM20" i="9" s="1"/>
  <c r="P15" i="2" s="1"/>
  <c r="P18" i="2" s="1"/>
  <c r="D14" i="1"/>
  <c r="D13" i="1"/>
  <c r="D15" i="1"/>
  <c r="D32" i="2"/>
  <c r="D11" i="1" s="1"/>
  <c r="C13" i="1"/>
  <c r="AM7" i="10"/>
  <c r="AM9" i="10" s="1"/>
  <c r="AM17" i="10" s="1"/>
  <c r="P20" i="2" s="1"/>
  <c r="P23" i="2" s="1"/>
  <c r="AH7" i="10"/>
  <c r="AH9" i="10" s="1"/>
  <c r="AH17" i="10" s="1"/>
  <c r="K20" i="2" s="1"/>
  <c r="K23" i="2" s="1"/>
  <c r="AV17" i="10"/>
  <c r="AX10" i="9"/>
  <c r="AX12" i="9" s="1"/>
  <c r="BV20" i="9" s="1"/>
  <c r="AK7" i="10"/>
  <c r="AK9" i="10" s="1"/>
  <c r="AK17" i="10" s="1"/>
  <c r="N20" i="2" s="1"/>
  <c r="N23" i="2" s="1"/>
  <c r="AS10" i="9"/>
  <c r="AS12" i="9" s="1"/>
  <c r="AS20" i="9" s="1"/>
  <c r="V15" i="2" s="1"/>
  <c r="V18" i="2" s="1"/>
  <c r="AL7" i="10"/>
  <c r="AL9" i="10" s="1"/>
  <c r="AL17" i="10" s="1"/>
  <c r="O20" i="2" s="1"/>
  <c r="O23" i="2" s="1"/>
  <c r="AG7" i="10"/>
  <c r="AG9" i="10" s="1"/>
  <c r="AN7" i="10"/>
  <c r="AN9" i="10" s="1"/>
  <c r="AZ17" i="10" s="1"/>
  <c r="AP10" i="9"/>
  <c r="AP12" i="9" s="1"/>
  <c r="AP20" i="9" s="1"/>
  <c r="S15" i="2" s="1"/>
  <c r="S18" i="2" s="1"/>
  <c r="AR10" i="9"/>
  <c r="AR12" i="9" s="1"/>
  <c r="AR20" i="9" s="1"/>
  <c r="U15" i="2" s="1"/>
  <c r="U18" i="2" s="1"/>
  <c r="AV10" i="9"/>
  <c r="AV12" i="9" s="1"/>
  <c r="AV20" i="9" s="1"/>
  <c r="AI7" i="10"/>
  <c r="AI9" i="10" s="1"/>
  <c r="AI17" i="10" s="1"/>
  <c r="L20" i="2" s="1"/>
  <c r="L23" i="2" s="1"/>
  <c r="AE7" i="10"/>
  <c r="AE9" i="10" s="1"/>
  <c r="AE17" i="10" s="1"/>
  <c r="H20" i="2" s="1"/>
  <c r="H23" i="2" s="1"/>
  <c r="BM17" i="10"/>
  <c r="AP20" i="2" s="1"/>
  <c r="AP23" i="2" s="1"/>
  <c r="BA17" i="10"/>
  <c r="AO17" i="10"/>
  <c r="R20" i="2" s="1"/>
  <c r="R23" i="2" s="1"/>
  <c r="BU20" i="9"/>
  <c r="AC28" i="11"/>
  <c r="BB17" i="10"/>
  <c r="AR17" i="10"/>
  <c r="U20" i="2" s="1"/>
  <c r="U23" i="2" s="1"/>
  <c r="U30" i="2" s="1"/>
  <c r="U32" i="2" s="1"/>
  <c r="U11" i="1" s="1"/>
  <c r="CE16" i="1"/>
  <c r="CG19" i="1" s="1"/>
  <c r="C14" i="1"/>
  <c r="C15" i="1"/>
  <c r="BQ20" i="9"/>
  <c r="BA20" i="9"/>
  <c r="BR20" i="9"/>
  <c r="BF20" i="9"/>
  <c r="AI15" i="2" s="1"/>
  <c r="AI18" i="2" s="1"/>
  <c r="CD20" i="9"/>
  <c r="AD28" i="11"/>
  <c r="AD37" i="11"/>
  <c r="F25" i="2" s="1"/>
  <c r="F28" i="2" s="1"/>
  <c r="F30" i="2" s="1"/>
  <c r="CA20" i="9"/>
  <c r="BJ17" i="10"/>
  <c r="AM20" i="2" s="1"/>
  <c r="AM23" i="2" s="1"/>
  <c r="BH17" i="10"/>
  <c r="AK20" i="2" s="1"/>
  <c r="AK23" i="2" s="1"/>
  <c r="BT17" i="10"/>
  <c r="AP17" i="10"/>
  <c r="S20" i="2" s="1"/>
  <c r="S23" i="2" s="1"/>
  <c r="BP17" i="10"/>
  <c r="AS20" i="2" s="1"/>
  <c r="AS23" i="2" s="1"/>
  <c r="BD17" i="10"/>
  <c r="AE11" i="11"/>
  <c r="AE27" i="11" s="1"/>
  <c r="AE29" i="11" s="1"/>
  <c r="AF5" i="11"/>
  <c r="E32" i="2"/>
  <c r="E11" i="1" s="1"/>
  <c r="E15" i="1"/>
  <c r="E13" i="1"/>
  <c r="E14" i="1"/>
  <c r="BH20" i="9"/>
  <c r="AK15" i="2" s="1"/>
  <c r="AK18" i="2" s="1"/>
  <c r="BT20" i="9"/>
  <c r="AU20" i="9"/>
  <c r="BS20" i="9"/>
  <c r="BG20" i="9"/>
  <c r="AJ15" i="2" s="1"/>
  <c r="AJ18" i="2" s="1"/>
  <c r="BI20" i="9"/>
  <c r="AL15" i="2" s="1"/>
  <c r="AL18" i="2" s="1"/>
  <c r="BK20" i="9"/>
  <c r="AN15" i="2" s="1"/>
  <c r="AN18" i="2" s="1"/>
  <c r="AO20" i="9"/>
  <c r="R15" i="2" s="1"/>
  <c r="R18" i="2" s="1"/>
  <c r="BM20" i="9"/>
  <c r="AP15" i="2" s="1"/>
  <c r="AP18" i="2" s="1"/>
  <c r="AZ20" i="9"/>
  <c r="BL20" i="9"/>
  <c r="AO15" i="2" s="1"/>
  <c r="AO18" i="2" s="1"/>
  <c r="AY20" i="9"/>
  <c r="BP20" i="9"/>
  <c r="AS15" i="2" s="1"/>
  <c r="AS18" i="2" s="1"/>
  <c r="BJ20" i="9"/>
  <c r="AM15" i="2" s="1"/>
  <c r="AM18" i="2" s="1"/>
  <c r="AW20" i="9"/>
  <c r="D16" i="1" l="1"/>
  <c r="D17" i="1" s="1"/>
  <c r="CE17" i="1"/>
  <c r="S30" i="2"/>
  <c r="BN20" i="9"/>
  <c r="AX20" i="9"/>
  <c r="BO20" i="9"/>
  <c r="BC20" i="9"/>
  <c r="BB20" i="9"/>
  <c r="AU17" i="10"/>
  <c r="AP30" i="2"/>
  <c r="AP15" i="1" s="1"/>
  <c r="AG17" i="10"/>
  <c r="J20" i="2" s="1"/>
  <c r="J23" i="2" s="1"/>
  <c r="BE17" i="10"/>
  <c r="AH20" i="2" s="1"/>
  <c r="AH23" i="2" s="1"/>
  <c r="AS17" i="10"/>
  <c r="V20" i="2" s="1"/>
  <c r="V23" i="2" s="1"/>
  <c r="V30" i="2" s="1"/>
  <c r="BE20" i="9"/>
  <c r="AH15" i="2" s="1"/>
  <c r="AH18" i="2" s="1"/>
  <c r="AH30" i="2" s="1"/>
  <c r="AQ17" i="10"/>
  <c r="T20" i="2" s="1"/>
  <c r="T23" i="2" s="1"/>
  <c r="T30" i="2" s="1"/>
  <c r="T15" i="1" s="1"/>
  <c r="BL17" i="10"/>
  <c r="AO20" i="2" s="1"/>
  <c r="AO23" i="2" s="1"/>
  <c r="AO30" i="2" s="1"/>
  <c r="AO32" i="2" s="1"/>
  <c r="AO11" i="1" s="1"/>
  <c r="AW17" i="10"/>
  <c r="AT17" i="10"/>
  <c r="W20" i="2" s="1"/>
  <c r="W23" i="2" s="1"/>
  <c r="W30" i="2" s="1"/>
  <c r="W13" i="1" s="1"/>
  <c r="BK17" i="10"/>
  <c r="AN20" i="2" s="1"/>
  <c r="AN23" i="2" s="1"/>
  <c r="AN30" i="2" s="1"/>
  <c r="AN17" i="10"/>
  <c r="Q20" i="2" s="1"/>
  <c r="Q23" i="2" s="1"/>
  <c r="BC17" i="10"/>
  <c r="AX17" i="10"/>
  <c r="BF17" i="10"/>
  <c r="AI20" i="2" s="1"/>
  <c r="AI23" i="2" s="1"/>
  <c r="AI30" i="2" s="1"/>
  <c r="BD20" i="9"/>
  <c r="AY17" i="10"/>
  <c r="BI17" i="10"/>
  <c r="AL20" i="2" s="1"/>
  <c r="AL23" i="2" s="1"/>
  <c r="AL30" i="2" s="1"/>
  <c r="AL13" i="1" s="1"/>
  <c r="BG17" i="10"/>
  <c r="AJ20" i="2" s="1"/>
  <c r="AJ23" i="2" s="1"/>
  <c r="CE19" i="1"/>
  <c r="CF19" i="1"/>
  <c r="U13" i="1"/>
  <c r="AK30" i="2"/>
  <c r="AK15" i="1" s="1"/>
  <c r="AS30" i="2"/>
  <c r="AS32" i="2" s="1"/>
  <c r="C16" i="1"/>
  <c r="C17" i="1" s="1"/>
  <c r="E16" i="1"/>
  <c r="E17" i="1" s="1"/>
  <c r="U14" i="1"/>
  <c r="AJ30" i="2"/>
  <c r="U15" i="1"/>
  <c r="AM30" i="2"/>
  <c r="AG5" i="11"/>
  <c r="AF11" i="11"/>
  <c r="AF27" i="11" s="1"/>
  <c r="AF29" i="11" s="1"/>
  <c r="AE28" i="11"/>
  <c r="AE37" i="11"/>
  <c r="G25" i="2" s="1"/>
  <c r="G28" i="2" s="1"/>
  <c r="G30" i="2" s="1"/>
  <c r="G13" i="1" s="1"/>
  <c r="S14" i="1"/>
  <c r="S13" i="1"/>
  <c r="S32" i="2"/>
  <c r="S11" i="1" s="1"/>
  <c r="S15" i="1"/>
  <c r="F15" i="1"/>
  <c r="F13" i="1"/>
  <c r="F32" i="2"/>
  <c r="F11" i="1" s="1"/>
  <c r="F14" i="1"/>
  <c r="T14" i="1" l="1"/>
  <c r="T13" i="1"/>
  <c r="T32" i="2"/>
  <c r="T11" i="1" s="1"/>
  <c r="T16" i="1" s="1"/>
  <c r="T17" i="1" s="1"/>
  <c r="AP14" i="1"/>
  <c r="AP13" i="1"/>
  <c r="AP32" i="2"/>
  <c r="AP11" i="1" s="1"/>
  <c r="AI32" i="2"/>
  <c r="AI11" i="1" s="1"/>
  <c r="AI14" i="1"/>
  <c r="AI15" i="1"/>
  <c r="AI13" i="1"/>
  <c r="V14" i="1"/>
  <c r="V15" i="1"/>
  <c r="V32" i="2"/>
  <c r="V11" i="1" s="1"/>
  <c r="V13" i="1"/>
  <c r="AO13" i="1"/>
  <c r="AH13" i="1"/>
  <c r="AO15" i="1"/>
  <c r="W14" i="1"/>
  <c r="W15" i="1"/>
  <c r="W32" i="2"/>
  <c r="W11" i="1" s="1"/>
  <c r="W16" i="1" s="1"/>
  <c r="W17" i="1" s="1"/>
  <c r="AO14" i="1"/>
  <c r="AH15" i="1"/>
  <c r="AH14" i="1"/>
  <c r="AH32" i="2"/>
  <c r="AH11" i="1" s="1"/>
  <c r="AK14" i="1"/>
  <c r="AK13" i="1"/>
  <c r="AK32" i="2"/>
  <c r="AK11" i="1" s="1"/>
  <c r="AP16" i="1"/>
  <c r="AP17" i="1" s="1"/>
  <c r="G15" i="1"/>
  <c r="G14" i="1"/>
  <c r="G32" i="2"/>
  <c r="G11" i="1" s="1"/>
  <c r="C19" i="1"/>
  <c r="E19" i="1"/>
  <c r="D19" i="1"/>
  <c r="F16" i="1"/>
  <c r="F19" i="1" s="1"/>
  <c r="AL32" i="2"/>
  <c r="AL11" i="1" s="1"/>
  <c r="AL14" i="1"/>
  <c r="AL15" i="1"/>
  <c r="AJ13" i="1"/>
  <c r="AJ32" i="2"/>
  <c r="AJ11" i="1" s="1"/>
  <c r="AJ15" i="1"/>
  <c r="AJ14" i="1"/>
  <c r="U16" i="1"/>
  <c r="U17" i="1" s="1"/>
  <c r="AM14" i="1"/>
  <c r="AM15" i="1"/>
  <c r="AM32" i="2"/>
  <c r="AM11" i="1" s="1"/>
  <c r="AM13" i="1"/>
  <c r="S16" i="1"/>
  <c r="AF28" i="11"/>
  <c r="AF37" i="11"/>
  <c r="H25" i="2" s="1"/>
  <c r="H28" i="2" s="1"/>
  <c r="H30" i="2" s="1"/>
  <c r="AH5" i="11"/>
  <c r="AG11" i="11"/>
  <c r="AG27" i="11" s="1"/>
  <c r="AG29" i="11" s="1"/>
  <c r="AN15" i="1"/>
  <c r="AN32" i="2"/>
  <c r="AN11" i="1" s="1"/>
  <c r="AN13" i="1"/>
  <c r="AN14" i="1"/>
  <c r="V16" i="1" l="1"/>
  <c r="V17" i="1" s="1"/>
  <c r="AK16" i="1"/>
  <c r="AH16" i="1"/>
  <c r="AH17" i="1" s="1"/>
  <c r="AO16" i="1"/>
  <c r="AO17" i="1" s="1"/>
  <c r="AH19" i="1"/>
  <c r="AI16" i="1"/>
  <c r="AI17" i="1" s="1"/>
  <c r="V19" i="1"/>
  <c r="U19" i="1"/>
  <c r="G16" i="1"/>
  <c r="G17" i="1" s="1"/>
  <c r="AL16" i="1"/>
  <c r="AL17" i="1" s="1"/>
  <c r="F17" i="1"/>
  <c r="S17" i="1"/>
  <c r="AJ16" i="1"/>
  <c r="AM16" i="1"/>
  <c r="AM17" i="1" s="1"/>
  <c r="W19" i="1"/>
  <c r="H32" i="2"/>
  <c r="H11" i="1" s="1"/>
  <c r="H13" i="1"/>
  <c r="H15" i="1"/>
  <c r="H14" i="1"/>
  <c r="AN16" i="1"/>
  <c r="AN17" i="1" s="1"/>
  <c r="AG28" i="11"/>
  <c r="AG37" i="11"/>
  <c r="I25" i="2" s="1"/>
  <c r="I28" i="2" s="1"/>
  <c r="I30" i="2" s="1"/>
  <c r="AH11" i="11"/>
  <c r="AH27" i="11" s="1"/>
  <c r="AH29" i="11" s="1"/>
  <c r="AI5" i="11"/>
  <c r="AK17" i="1"/>
  <c r="AJ19" i="1" l="1"/>
  <c r="AI19" i="1"/>
  <c r="AM19" i="1"/>
  <c r="G19" i="1"/>
  <c r="AJ17" i="1"/>
  <c r="AK19" i="1"/>
  <c r="H16" i="1"/>
  <c r="H17" i="1" s="1"/>
  <c r="AO19" i="1"/>
  <c r="AL19" i="1"/>
  <c r="AP19" i="1"/>
  <c r="I14" i="1"/>
  <c r="I15" i="1"/>
  <c r="I13" i="1"/>
  <c r="I32" i="2"/>
  <c r="I11" i="1" s="1"/>
  <c r="AN19" i="1"/>
  <c r="AI11" i="11"/>
  <c r="AI27" i="11" s="1"/>
  <c r="AI29" i="11" s="1"/>
  <c r="AJ5" i="11"/>
  <c r="AH28" i="11"/>
  <c r="AH37" i="11"/>
  <c r="J25" i="2" s="1"/>
  <c r="J28" i="2" s="1"/>
  <c r="J30" i="2" s="1"/>
  <c r="H19" i="1" l="1"/>
  <c r="I16" i="1"/>
  <c r="I19" i="1" s="1"/>
  <c r="J15" i="1"/>
  <c r="J13" i="1"/>
  <c r="J32" i="2"/>
  <c r="J11" i="1" s="1"/>
  <c r="J14" i="1"/>
  <c r="AK5" i="11"/>
  <c r="AJ11" i="11"/>
  <c r="AJ27" i="11" s="1"/>
  <c r="AJ29" i="11" s="1"/>
  <c r="AI28" i="11"/>
  <c r="AI37" i="11"/>
  <c r="K25" i="2" s="1"/>
  <c r="K28" i="2" s="1"/>
  <c r="K30" i="2" s="1"/>
  <c r="I17" i="1" l="1"/>
  <c r="J16" i="1"/>
  <c r="J19" i="1" s="1"/>
  <c r="AK11" i="11"/>
  <c r="AK27" i="11" s="1"/>
  <c r="AK29" i="11" s="1"/>
  <c r="AL5" i="11"/>
  <c r="AJ28" i="11"/>
  <c r="AJ37" i="11"/>
  <c r="L25" i="2" s="1"/>
  <c r="L28" i="2" s="1"/>
  <c r="L30" i="2" s="1"/>
  <c r="K15" i="1"/>
  <c r="K13" i="1"/>
  <c r="K32" i="2"/>
  <c r="K11" i="1" s="1"/>
  <c r="K14" i="1"/>
  <c r="J17" i="1" l="1"/>
  <c r="K16" i="1"/>
  <c r="K19" i="1" s="1"/>
  <c r="L32" i="2"/>
  <c r="L11" i="1" s="1"/>
  <c r="L15" i="1"/>
  <c r="L14" i="1"/>
  <c r="L13" i="1"/>
  <c r="AL11" i="11"/>
  <c r="AL27" i="11" s="1"/>
  <c r="AL29" i="11" s="1"/>
  <c r="AM5" i="11"/>
  <c r="AK28" i="11"/>
  <c r="AK37" i="11"/>
  <c r="M25" i="2" s="1"/>
  <c r="M28" i="2" s="1"/>
  <c r="M30" i="2" s="1"/>
  <c r="K17" i="1" l="1"/>
  <c r="AL28" i="11"/>
  <c r="AL37" i="11"/>
  <c r="N25" i="2" s="1"/>
  <c r="N28" i="2" s="1"/>
  <c r="N30" i="2" s="1"/>
  <c r="AM11" i="11"/>
  <c r="AM27" i="11" s="1"/>
  <c r="AM29" i="11" s="1"/>
  <c r="AN5" i="11"/>
  <c r="L16" i="1"/>
  <c r="L17" i="1" s="1"/>
  <c r="M14" i="1"/>
  <c r="M32" i="2"/>
  <c r="M11" i="1" s="1"/>
  <c r="M13" i="1"/>
  <c r="M15" i="1"/>
  <c r="M16" i="1" l="1"/>
  <c r="M19" i="1" s="1"/>
  <c r="AN11" i="11"/>
  <c r="AN27" i="11" s="1"/>
  <c r="AN29" i="11" s="1"/>
  <c r="AO5" i="11"/>
  <c r="AM28" i="11"/>
  <c r="AM37" i="11"/>
  <c r="O25" i="2" s="1"/>
  <c r="O28" i="2" s="1"/>
  <c r="O30" i="2" s="1"/>
  <c r="N32" i="2"/>
  <c r="N11" i="1" s="1"/>
  <c r="N14" i="1"/>
  <c r="N15" i="1"/>
  <c r="N13" i="1"/>
  <c r="M17" i="1"/>
  <c r="L19" i="1"/>
  <c r="N16" i="1" l="1"/>
  <c r="N19" i="1" s="1"/>
  <c r="AP5" i="11"/>
  <c r="AP11" i="11" s="1"/>
  <c r="AP27" i="11" s="1"/>
  <c r="AP29" i="11" s="1"/>
  <c r="AO11" i="11"/>
  <c r="AO27" i="11" s="1"/>
  <c r="AO29" i="11" s="1"/>
  <c r="O32" i="2"/>
  <c r="O11" i="1" s="1"/>
  <c r="O13" i="1"/>
  <c r="O15" i="1"/>
  <c r="O14" i="1"/>
  <c r="AN28" i="11"/>
  <c r="AN37" i="11"/>
  <c r="P25" i="2" s="1"/>
  <c r="P28" i="2" s="1"/>
  <c r="P30" i="2" s="1"/>
  <c r="N17" i="1" l="1"/>
  <c r="O16" i="1"/>
  <c r="O19" i="1" s="1"/>
  <c r="AO28" i="11"/>
  <c r="AO37" i="11"/>
  <c r="Q25" i="2" s="1"/>
  <c r="Q28" i="2" s="1"/>
  <c r="Q30" i="2" s="1"/>
  <c r="P32" i="2"/>
  <c r="P11" i="1" s="1"/>
  <c r="P13" i="1"/>
  <c r="P15" i="1"/>
  <c r="P14" i="1"/>
  <c r="AP28" i="11"/>
  <c r="AP37" i="11"/>
  <c r="R25" i="2" s="1"/>
  <c r="R28" i="2" s="1"/>
  <c r="R30" i="2" s="1"/>
  <c r="O17" i="1" l="1"/>
  <c r="P16" i="1"/>
  <c r="P19" i="1" s="1"/>
  <c r="Q13" i="1"/>
  <c r="Q14" i="1"/>
  <c r="Q32" i="2"/>
  <c r="Q11" i="1" s="1"/>
  <c r="Q15" i="1"/>
  <c r="R32" i="2"/>
  <c r="R11" i="1" s="1"/>
  <c r="R13" i="1"/>
  <c r="R14" i="1"/>
  <c r="R15" i="1"/>
  <c r="P17" i="1"/>
  <c r="Q16" i="1" l="1"/>
  <c r="R16" i="1"/>
  <c r="T19" i="1" s="1"/>
  <c r="R17" i="1"/>
  <c r="Q19" i="1"/>
  <c r="Q17" i="1"/>
  <c r="S19" i="1" l="1"/>
  <c r="R19"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C:\Users\tallen3\OneDrive - Duke Energy\Documents\My Data Sources\WCLTENASDIMP02_PROD_AS FIHUBAS_GL General Ledger.odc" keepAlive="1" name="General Ledger Cube" description="General Ledger Cube" type="5" refreshedVersion="8" background="1">
    <dbPr connection="Provider=MSOLAP.8;Integrated Security=SSPI;Persist Security Info=True;Initial Catalog=FIHUBAS_GL;Data Source=WCLTENASDIMP02\PROD_AS;MDX Compatibility=1;Safety Options=2;MDX Missing Member Mode=Error;Update Isolation Level=2" command="General Ledger" commandType="1"/>
    <olapPr sendLocale="1" rowDrillCount="1000"/>
  </connection>
</connections>
</file>

<file path=xl/sharedStrings.xml><?xml version="1.0" encoding="utf-8"?>
<sst xmlns="http://schemas.openxmlformats.org/spreadsheetml/2006/main" count="104" uniqueCount="79">
  <si>
    <t xml:space="preserve"> CUST ACCTS REC - UTILITY SERVI</t>
  </si>
  <si>
    <t xml:space="preserve"> CUST ACCTS REC - ELEC UNBILLED</t>
  </si>
  <si>
    <t xml:space="preserve"> CUST ACCTS REC - GAS UNBILLED</t>
  </si>
  <si>
    <t xml:space="preserve"> A/R DP&amp;L CD/CCD OPERATIONS</t>
  </si>
  <si>
    <t xml:space="preserve"> A/R CSP CD/CCD OPERATIONS</t>
  </si>
  <si>
    <t>REC BALANCE / MONTHLY BILLINGS</t>
  </si>
  <si>
    <t>TURNOVER RATE</t>
  </si>
  <si>
    <t>DAYS</t>
  </si>
  <si>
    <t>Prior Unbilled</t>
  </si>
  <si>
    <t>Current Unbilled</t>
  </si>
  <si>
    <t>Total Retail Sales</t>
  </si>
  <si>
    <t>Total Receivables Originated</t>
  </si>
  <si>
    <t>Total</t>
  </si>
  <si>
    <t>Electric Billings</t>
  </si>
  <si>
    <t>Gas Billings</t>
  </si>
  <si>
    <t xml:space="preserve">    Total Electric</t>
  </si>
  <si>
    <t xml:space="preserve">    Total Gas</t>
  </si>
  <si>
    <t xml:space="preserve">    CD/CCD Sales</t>
  </si>
  <si>
    <t>Weightings</t>
  </si>
  <si>
    <t>Current 12 months</t>
  </si>
  <si>
    <t>Preceeding 12 months</t>
  </si>
  <si>
    <t>Oldest 12 months</t>
  </si>
  <si>
    <t>Weighted Turnover Rate</t>
  </si>
  <si>
    <t>Notes</t>
  </si>
  <si>
    <t>- Items in red are inputs</t>
  </si>
  <si>
    <t>Receivables Balances Data</t>
  </si>
  <si>
    <t>Sales Data</t>
  </si>
  <si>
    <t>Net Charge off %</t>
  </si>
  <si>
    <t>Override</t>
  </si>
  <si>
    <t>Factor</t>
  </si>
  <si>
    <t>Net Charge off %, as calculated</t>
  </si>
  <si>
    <t>Late Charge %, as calculated</t>
  </si>
  <si>
    <t>Late Charge %</t>
  </si>
  <si>
    <t>Turnover Rate, as calculated</t>
  </si>
  <si>
    <t xml:space="preserve">Turnover Rate  </t>
  </si>
  <si>
    <t>Collection Charge</t>
  </si>
  <si>
    <t>Discount Rate</t>
  </si>
  <si>
    <t>Spread over index</t>
  </si>
  <si>
    <t>Billings</t>
  </si>
  <si>
    <t>Gross Charge offs</t>
  </si>
  <si>
    <t>Net Charge offs</t>
  </si>
  <si>
    <t>12 month billings (9 month lagging)</t>
  </si>
  <si>
    <t>12 months NCO's</t>
  </si>
  <si>
    <t>Charge off %</t>
  </si>
  <si>
    <t>Discount for activity during month of:</t>
  </si>
  <si>
    <t>Discount Formula:</t>
  </si>
  <si>
    <t>Required Discount - Rounded to 0.XX%</t>
  </si>
  <si>
    <t>12 month billings</t>
  </si>
  <si>
    <t>Late Charges</t>
  </si>
  <si>
    <t>12 months Late Charges</t>
  </si>
  <si>
    <t>Weighted Late Charges</t>
  </si>
  <si>
    <t>Note</t>
  </si>
  <si>
    <t/>
  </si>
  <si>
    <t>Weighted Charge-offs</t>
  </si>
  <si>
    <t xml:space="preserve"> A/R - Government Assistance</t>
  </si>
  <si>
    <t>Other (a)</t>
  </si>
  <si>
    <t>CUST ACCTS REC - GAS TRANS UNBILLED</t>
  </si>
  <si>
    <t>(a)  Represents amounts billed for miscellaneous charges included in the balances above.</t>
  </si>
  <si>
    <t>Collection Charge - per agreement</t>
  </si>
  <si>
    <t>Charge-off's</t>
  </si>
  <si>
    <t>Collection Costs</t>
  </si>
  <si>
    <t>Time Value</t>
  </si>
  <si>
    <t xml:space="preserve">     Proof</t>
  </si>
  <si>
    <t>Current month</t>
  </si>
  <si>
    <t>One month back</t>
  </si>
  <si>
    <t>Two months back</t>
  </si>
  <si>
    <t>142865/173150 *</t>
  </si>
  <si>
    <t>* Unbilled account #'s changed in July 2003.  Accounts 142850, 142855, 142860, and 142865 will not be used going forward</t>
  </si>
  <si>
    <t>LIBOR Rate @ last day of prior month</t>
  </si>
  <si>
    <t>Total Recoveries</t>
  </si>
  <si>
    <t>0142200</t>
  </si>
  <si>
    <t>0143605</t>
  </si>
  <si>
    <t>0143610</t>
  </si>
  <si>
    <t>0173100</t>
  </si>
  <si>
    <t>0142100</t>
  </si>
  <si>
    <t xml:space="preserve">DE Kentucky Required Discount </t>
  </si>
  <si>
    <t>DE Kentucky Revenue Factor</t>
  </si>
  <si>
    <t>DEK</t>
  </si>
  <si>
    <t>Secured Overnight Financing Rate Data - FEDERAL RESERVE BANK of NEW YORK (newyorkfed.org)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</si>
</sst>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_);_(* \(#,##0\);_(* &quot;-&quot;??_);_(@_)"/>
    <numFmt numFmtId="165" formatCode="0.000%"/>
    <numFmt numFmtId="166" formatCode="0.0%"/>
    <numFmt numFmtId="167" formatCode="0.0000%"/>
  </numFmts>
  <fonts count="19" x14ac:knownFonts="1">
    <font>
      <sz val="10"/>
      <name val="Arial"/>
    </font>
    <font>
      <sz val="11"/>
      <color theme="1"/>
      <name val="Calibri"/>
      <family val="2"/>
      <scheme val="minor"/>
    </font>
    <font>
      <sz val="10"/>
      <name val="Arial"/>
      <family val="2"/>
    </font>
    <font>
      <b/>
      <u/>
      <sz val="10"/>
      <name val="Arial"/>
      <family val="2"/>
    </font>
    <font>
      <b/>
      <sz val="10"/>
      <name val="Arial"/>
      <family val="2"/>
    </font>
    <font>
      <sz val="10"/>
      <color indexed="10"/>
      <name val="Arial"/>
      <family val="2"/>
    </font>
    <font>
      <sz val="10"/>
      <name val="Arial"/>
      <family val="2"/>
    </font>
    <font>
      <b/>
      <sz val="10"/>
      <color indexed="10"/>
      <name val="Arial"/>
      <family val="2"/>
    </font>
    <font>
      <b/>
      <sz val="10"/>
      <name val="Helv"/>
    </font>
    <font>
      <sz val="10"/>
      <name val="Arial"/>
      <family val="2"/>
    </font>
    <font>
      <sz val="10"/>
      <name val="Helv"/>
    </font>
    <font>
      <b/>
      <sz val="10"/>
      <name val="Arial"/>
      <family val="2"/>
    </font>
    <font>
      <u/>
      <sz val="10"/>
      <name val="Arial"/>
      <family val="2"/>
    </font>
    <font>
      <u/>
      <sz val="8"/>
      <color theme="10"/>
      <name val="Arial"/>
      <family val="2"/>
    </font>
    <font>
      <b/>
      <sz val="10"/>
      <color rgb="FFFF0000"/>
      <name val="Arial"/>
      <family val="2"/>
    </font>
    <font>
      <b/>
      <sz val="10"/>
      <color rgb="FF0000FF"/>
      <name val="Arial"/>
      <family val="2"/>
    </font>
    <font>
      <sz val="10"/>
      <color rgb="FF0000FF"/>
      <name val="Arial"/>
      <family val="2"/>
    </font>
    <font>
      <sz val="10"/>
      <name val="MS Sans Serif"/>
    </font>
    <font>
      <sz val="10"/>
      <name val="MS Sans Serif"/>
      <family val="2"/>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12">
    <border>
      <left/>
      <right/>
      <top/>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9">
    <xf numFmtId="0" fontId="0" fillId="0" borderId="0"/>
    <xf numFmtId="43" fontId="2" fillId="0" borderId="0" applyFont="0" applyFill="0" applyBorder="0" applyAlignment="0" applyProtection="0"/>
    <xf numFmtId="9" fontId="2" fillId="0" borderId="0" applyFont="0" applyFill="0" applyBorder="0" applyAlignment="0" applyProtection="0"/>
    <xf numFmtId="0" fontId="13" fillId="0" borderId="0" applyNumberFormat="0" applyFill="0" applyBorder="0" applyAlignment="0" applyProtection="0">
      <alignment vertical="top"/>
      <protection locked="0"/>
    </xf>
    <xf numFmtId="0" fontId="1" fillId="0" borderId="0"/>
    <xf numFmtId="0" fontId="17" fillId="0" borderId="0"/>
    <xf numFmtId="40" fontId="18" fillId="0" borderId="0" applyFont="0" applyFill="0" applyBorder="0" applyAlignment="0" applyProtection="0"/>
    <xf numFmtId="9" fontId="18" fillId="0" borderId="0" applyFont="0" applyFill="0" applyBorder="0" applyAlignment="0" applyProtection="0"/>
    <xf numFmtId="0" fontId="18" fillId="0" borderId="0"/>
  </cellStyleXfs>
  <cellXfs count="81">
    <xf numFmtId="0" fontId="0" fillId="0" borderId="0" xfId="0"/>
    <xf numFmtId="0" fontId="3" fillId="0" borderId="0" xfId="0" applyFont="1"/>
    <xf numFmtId="0" fontId="0" fillId="0" borderId="0" xfId="0" quotePrefix="1"/>
    <xf numFmtId="10" fontId="2" fillId="0" borderId="0" xfId="2" applyNumberFormat="1"/>
    <xf numFmtId="10" fontId="0" fillId="0" borderId="0" xfId="0" applyNumberFormat="1"/>
    <xf numFmtId="41" fontId="0" fillId="0" borderId="0" xfId="0" applyNumberFormat="1"/>
    <xf numFmtId="0" fontId="0" fillId="0" borderId="0" xfId="0" applyAlignment="1">
      <alignment horizontal="center"/>
    </xf>
    <xf numFmtId="0" fontId="4" fillId="0" borderId="0" xfId="0" applyFont="1"/>
    <xf numFmtId="0" fontId="4" fillId="0" borderId="0" xfId="0" applyFont="1" applyAlignment="1">
      <alignment horizontal="center"/>
    </xf>
    <xf numFmtId="17" fontId="4" fillId="0" borderId="0" xfId="0" applyNumberFormat="1" applyFont="1" applyAlignment="1">
      <alignment horizontal="center"/>
    </xf>
    <xf numFmtId="164" fontId="2" fillId="0" borderId="0" xfId="1" applyNumberFormat="1"/>
    <xf numFmtId="10" fontId="6" fillId="0" borderId="0" xfId="0" applyNumberFormat="1" applyFont="1" applyAlignment="1">
      <alignment horizontal="right"/>
    </xf>
    <xf numFmtId="10" fontId="0" fillId="0" borderId="0" xfId="2" applyNumberFormat="1" applyFont="1" applyBorder="1"/>
    <xf numFmtId="41" fontId="7" fillId="0" borderId="0" xfId="0" applyNumberFormat="1" applyFont="1" applyAlignment="1">
      <alignment horizontal="center"/>
    </xf>
    <xf numFmtId="10" fontId="5" fillId="0" borderId="0" xfId="0" applyNumberFormat="1" applyFont="1"/>
    <xf numFmtId="10" fontId="6" fillId="0" borderId="4" xfId="0" applyNumberFormat="1" applyFont="1" applyBorder="1" applyAlignment="1">
      <alignment horizontal="right"/>
    </xf>
    <xf numFmtId="10" fontId="0" fillId="0" borderId="0" xfId="2" applyNumberFormat="1" applyFont="1"/>
    <xf numFmtId="164" fontId="0" fillId="0" borderId="0" xfId="0" applyNumberFormat="1"/>
    <xf numFmtId="164" fontId="9" fillId="0" borderId="0" xfId="1" applyNumberFormat="1" applyFont="1"/>
    <xf numFmtId="0" fontId="8" fillId="0" borderId="0" xfId="0" applyFont="1" applyAlignment="1">
      <alignment horizontal="center"/>
    </xf>
    <xf numFmtId="164" fontId="10" fillId="0" borderId="0" xfId="1" applyNumberFormat="1" applyFont="1" applyBorder="1" applyAlignment="1" applyProtection="1">
      <alignment horizontal="left"/>
    </xf>
    <xf numFmtId="0" fontId="11" fillId="0" borderId="0" xfId="0" applyFont="1"/>
    <xf numFmtId="164" fontId="6" fillId="0" borderId="0" xfId="1" applyNumberFormat="1" applyFont="1" applyBorder="1" applyAlignment="1" applyProtection="1">
      <alignment horizontal="left"/>
    </xf>
    <xf numFmtId="0" fontId="6" fillId="0" borderId="0" xfId="0" applyFont="1"/>
    <xf numFmtId="10" fontId="6" fillId="0" borderId="0" xfId="0" applyNumberFormat="1" applyFont="1"/>
    <xf numFmtId="165" fontId="0" fillId="0" borderId="0" xfId="2" applyNumberFormat="1" applyFont="1"/>
    <xf numFmtId="166" fontId="0" fillId="0" borderId="0" xfId="2" applyNumberFormat="1" applyFont="1"/>
    <xf numFmtId="165" fontId="4" fillId="0" borderId="0" xfId="2" applyNumberFormat="1" applyFont="1"/>
    <xf numFmtId="10" fontId="2" fillId="2" borderId="3" xfId="2" applyNumberFormat="1" applyFont="1" applyFill="1" applyBorder="1"/>
    <xf numFmtId="164" fontId="2" fillId="0" borderId="0" xfId="1" applyNumberFormat="1" applyFont="1"/>
    <xf numFmtId="10" fontId="2" fillId="2" borderId="3" xfId="2" applyNumberFormat="1" applyFont="1" applyFill="1" applyBorder="1" applyAlignment="1">
      <alignment horizontal="right"/>
    </xf>
    <xf numFmtId="0" fontId="0" fillId="0" borderId="5" xfId="0" applyBorder="1"/>
    <xf numFmtId="10" fontId="6" fillId="0" borderId="6" xfId="0" applyNumberFormat="1" applyFont="1" applyBorder="1" applyAlignment="1">
      <alignment horizontal="right"/>
    </xf>
    <xf numFmtId="0" fontId="0" fillId="0" borderId="7" xfId="0" applyBorder="1"/>
    <xf numFmtId="10" fontId="6" fillId="0" borderId="8" xfId="0" applyNumberFormat="1" applyFont="1" applyBorder="1" applyAlignment="1">
      <alignment horizontal="right"/>
    </xf>
    <xf numFmtId="0" fontId="0" fillId="0" borderId="9" xfId="0" applyBorder="1"/>
    <xf numFmtId="10" fontId="0" fillId="0" borderId="10" xfId="0" applyNumberFormat="1" applyBorder="1"/>
    <xf numFmtId="0" fontId="2" fillId="0" borderId="0" xfId="0" applyFont="1"/>
    <xf numFmtId="41" fontId="5" fillId="0" borderId="0" xfId="0" applyNumberFormat="1" applyFont="1" applyProtection="1">
      <protection locked="0"/>
    </xf>
    <xf numFmtId="166" fontId="2" fillId="0" borderId="0" xfId="2" applyNumberFormat="1" applyFont="1"/>
    <xf numFmtId="166" fontId="2" fillId="0" borderId="0" xfId="2" applyNumberFormat="1"/>
    <xf numFmtId="10" fontId="0" fillId="0" borderId="3" xfId="0" applyNumberFormat="1" applyBorder="1"/>
    <xf numFmtId="10" fontId="2" fillId="0" borderId="0" xfId="2" applyNumberFormat="1" applyFont="1" applyFill="1" applyBorder="1"/>
    <xf numFmtId="10" fontId="12" fillId="0" borderId="0" xfId="0" applyNumberFormat="1" applyFont="1"/>
    <xf numFmtId="10" fontId="2" fillId="0" borderId="0" xfId="2" applyNumberFormat="1" applyFont="1" applyFill="1" applyBorder="1" applyAlignment="1">
      <alignment horizontal="right"/>
    </xf>
    <xf numFmtId="9" fontId="0" fillId="0" borderId="0" xfId="0" applyNumberFormat="1"/>
    <xf numFmtId="17" fontId="11" fillId="0" borderId="0" xfId="0" applyNumberFormat="1" applyFont="1" applyAlignment="1">
      <alignment horizontal="center"/>
    </xf>
    <xf numFmtId="164" fontId="2" fillId="0" borderId="0" xfId="1" applyNumberFormat="1" applyFont="1" applyFill="1" applyAlignment="1" applyProtection="1">
      <alignment horizontal="right"/>
      <protection locked="0"/>
    </xf>
    <xf numFmtId="17" fontId="6" fillId="0" borderId="0" xfId="0" applyNumberFormat="1" applyFont="1" applyAlignment="1">
      <alignment horizontal="center"/>
    </xf>
    <xf numFmtId="14" fontId="0" fillId="0" borderId="0" xfId="0" applyNumberFormat="1"/>
    <xf numFmtId="0" fontId="0" fillId="0" borderId="0" xfId="0" quotePrefix="1" applyAlignment="1">
      <alignment horizontal="center"/>
    </xf>
    <xf numFmtId="164" fontId="2" fillId="0" borderId="2" xfId="1" applyNumberFormat="1" applyFont="1" applyFill="1" applyBorder="1"/>
    <xf numFmtId="10" fontId="2" fillId="0" borderId="0" xfId="0" applyNumberFormat="1" applyFont="1"/>
    <xf numFmtId="41" fontId="2" fillId="0" borderId="2" xfId="0" applyNumberFormat="1" applyFont="1" applyBorder="1"/>
    <xf numFmtId="41" fontId="2" fillId="0" borderId="0" xfId="0" applyNumberFormat="1" applyFont="1"/>
    <xf numFmtId="164" fontId="2" fillId="0" borderId="0" xfId="1" applyNumberFormat="1" applyFont="1" applyFill="1"/>
    <xf numFmtId="164" fontId="2" fillId="0" borderId="1" xfId="1" applyNumberFormat="1" applyFont="1" applyFill="1" applyBorder="1"/>
    <xf numFmtId="43" fontId="2" fillId="0" borderId="0" xfId="0" applyNumberFormat="1" applyFont="1"/>
    <xf numFmtId="43" fontId="2" fillId="0" borderId="0" xfId="1" applyFont="1" applyFill="1"/>
    <xf numFmtId="10" fontId="2" fillId="0" borderId="0" xfId="2" applyNumberFormat="1" applyFont="1" applyFill="1"/>
    <xf numFmtId="10" fontId="7" fillId="0" borderId="11" xfId="0" applyNumberFormat="1" applyFont="1" applyBorder="1" applyAlignment="1">
      <alignment horizontal="right"/>
    </xf>
    <xf numFmtId="164" fontId="15" fillId="0" borderId="0" xfId="1" applyNumberFormat="1" applyFont="1" applyFill="1" applyProtection="1">
      <protection locked="0"/>
    </xf>
    <xf numFmtId="164" fontId="15" fillId="0" borderId="0" xfId="1" applyNumberFormat="1" applyFont="1" applyFill="1" applyAlignment="1" applyProtection="1">
      <alignment horizontal="right"/>
      <protection locked="0"/>
    </xf>
    <xf numFmtId="41" fontId="15" fillId="0" borderId="0" xfId="0" applyNumberFormat="1" applyFont="1" applyProtection="1">
      <protection locked="0"/>
    </xf>
    <xf numFmtId="164" fontId="15" fillId="0" borderId="1" xfId="1" applyNumberFormat="1" applyFont="1" applyFill="1" applyBorder="1"/>
    <xf numFmtId="164" fontId="15" fillId="0" borderId="6" xfId="1" applyNumberFormat="1" applyFont="1" applyFill="1" applyBorder="1"/>
    <xf numFmtId="9" fontId="16" fillId="0" borderId="0" xfId="0" applyNumberFormat="1" applyFont="1"/>
    <xf numFmtId="41" fontId="16" fillId="0" borderId="0" xfId="0" applyNumberFormat="1" applyFont="1" applyProtection="1">
      <protection locked="0"/>
    </xf>
    <xf numFmtId="164" fontId="16" fillId="0" borderId="1" xfId="1" applyNumberFormat="1" applyFont="1" applyFill="1" applyBorder="1"/>
    <xf numFmtId="165" fontId="15" fillId="0" borderId="0" xfId="2" applyNumberFormat="1" applyFont="1" applyFill="1" applyBorder="1" applyAlignment="1" applyProtection="1">
      <alignment horizontal="right"/>
      <protection locked="0"/>
    </xf>
    <xf numFmtId="41" fontId="15" fillId="3" borderId="0" xfId="0" applyNumberFormat="1" applyFont="1" applyFill="1" applyProtection="1">
      <protection locked="0"/>
    </xf>
    <xf numFmtId="0" fontId="14" fillId="0" borderId="0" xfId="0" applyFont="1"/>
    <xf numFmtId="164" fontId="16" fillId="0" borderId="0" xfId="1" applyNumberFormat="1" applyFont="1" applyFill="1" applyProtection="1">
      <protection locked="0"/>
    </xf>
    <xf numFmtId="41" fontId="2" fillId="0" borderId="0" xfId="0" applyNumberFormat="1" applyFont="1" applyProtection="1">
      <protection locked="0"/>
    </xf>
    <xf numFmtId="164" fontId="2" fillId="0" borderId="0" xfId="1" applyNumberFormat="1" applyFont="1" applyFill="1" applyProtection="1">
      <protection locked="0"/>
    </xf>
    <xf numFmtId="165" fontId="15" fillId="3" borderId="0" xfId="2" applyNumberFormat="1" applyFont="1" applyFill="1" applyBorder="1" applyAlignment="1" applyProtection="1">
      <alignment horizontal="right"/>
      <protection locked="0"/>
    </xf>
    <xf numFmtId="17" fontId="15" fillId="0" borderId="0" xfId="0" applyNumberFormat="1" applyFont="1" applyAlignment="1">
      <alignment horizontal="center"/>
    </xf>
    <xf numFmtId="167" fontId="15" fillId="3" borderId="0" xfId="2" applyNumberFormat="1" applyFont="1" applyFill="1" applyBorder="1" applyAlignment="1" applyProtection="1">
      <alignment horizontal="right"/>
      <protection locked="0"/>
    </xf>
    <xf numFmtId="0" fontId="13" fillId="0" borderId="0" xfId="3" applyAlignment="1" applyProtection="1"/>
    <xf numFmtId="0" fontId="2" fillId="0" borderId="7" xfId="0" applyFont="1" applyBorder="1"/>
    <xf numFmtId="0" fontId="4" fillId="0" borderId="0" xfId="0" applyFont="1" applyAlignment="1">
      <alignment horizontal="right" vertical="center"/>
    </xf>
  </cellXfs>
  <cellStyles count="9">
    <cellStyle name="Comma" xfId="1" builtinId="3"/>
    <cellStyle name="Comma 2" xfId="6" xr:uid="{0CBAF3DA-7870-40BB-9BD4-ECEC0B9F2CF0}"/>
    <cellStyle name="Hyperlink" xfId="3" builtinId="8"/>
    <cellStyle name="Normal" xfId="0" builtinId="0"/>
    <cellStyle name="Normal 2" xfId="4" xr:uid="{00000000-0005-0000-0000-000003000000}"/>
    <cellStyle name="Normal 2 2" xfId="8" xr:uid="{2D31E6BC-919E-4EF7-B6CF-00051FF08E4C}"/>
    <cellStyle name="Normal 3" xfId="5" xr:uid="{30FED301-C9B0-4D2D-8AE5-D1696DE8E784}"/>
    <cellStyle name="Percent" xfId="2" builtinId="5"/>
    <cellStyle name="Percent 2" xfId="7" xr:uid="{8D3836C7-C3C6-47DF-8A8C-8BBCBAE08E31}"/>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1.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50" Type="http://schemas.openxmlformats.org/officeDocument/2006/relationships/externalLink" Target="externalLinks/externalLink45.xml"/><Relationship Id="rId55" Type="http://schemas.openxmlformats.org/officeDocument/2006/relationships/externalLink" Target="externalLinks/externalLink50.xml"/><Relationship Id="rId63" Type="http://schemas.openxmlformats.org/officeDocument/2006/relationships/sharedStrings" Target="sharedStrings.xml"/><Relationship Id="rId68" Type="http://schemas.openxmlformats.org/officeDocument/2006/relationships/customXml" Target="../customXml/item4.xml"/><Relationship Id="rId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1.xml"/><Relationship Id="rId29" Type="http://schemas.openxmlformats.org/officeDocument/2006/relationships/externalLink" Target="externalLinks/externalLink24.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3" Type="http://schemas.openxmlformats.org/officeDocument/2006/relationships/externalLink" Target="externalLinks/externalLink48.xml"/><Relationship Id="rId58" Type="http://schemas.openxmlformats.org/officeDocument/2006/relationships/externalLink" Target="externalLinks/externalLink53.xml"/><Relationship Id="rId66" Type="http://schemas.openxmlformats.org/officeDocument/2006/relationships/customXml" Target="../customXml/item2.xml"/><Relationship Id="rId5" Type="http://schemas.openxmlformats.org/officeDocument/2006/relationships/worksheet" Target="worksheets/sheet5.xml"/><Relationship Id="rId61" Type="http://schemas.openxmlformats.org/officeDocument/2006/relationships/connections" Target="connections.xml"/><Relationship Id="rId19" Type="http://schemas.openxmlformats.org/officeDocument/2006/relationships/externalLink" Target="externalLinks/externalLink1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56" Type="http://schemas.openxmlformats.org/officeDocument/2006/relationships/externalLink" Target="externalLinks/externalLink51.xml"/><Relationship Id="rId64" Type="http://schemas.openxmlformats.org/officeDocument/2006/relationships/calcChain" Target="calcChain.xml"/><Relationship Id="rId8" Type="http://schemas.openxmlformats.org/officeDocument/2006/relationships/externalLink" Target="externalLinks/externalLink3.xml"/><Relationship Id="rId51" Type="http://schemas.openxmlformats.org/officeDocument/2006/relationships/externalLink" Target="externalLinks/externalLink46.xml"/><Relationship Id="rId3" Type="http://schemas.openxmlformats.org/officeDocument/2006/relationships/worksheet" Target="worksheets/sheet3.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59" Type="http://schemas.openxmlformats.org/officeDocument/2006/relationships/externalLink" Target="externalLinks/externalLink54.xml"/><Relationship Id="rId67" Type="http://schemas.openxmlformats.org/officeDocument/2006/relationships/customXml" Target="../customXml/item3.xml"/><Relationship Id="rId20" Type="http://schemas.openxmlformats.org/officeDocument/2006/relationships/externalLink" Target="externalLinks/externalLink15.xml"/><Relationship Id="rId41" Type="http://schemas.openxmlformats.org/officeDocument/2006/relationships/externalLink" Target="externalLinks/externalLink36.xml"/><Relationship Id="rId54" Type="http://schemas.openxmlformats.org/officeDocument/2006/relationships/externalLink" Target="externalLinks/externalLink49.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externalLink" Target="externalLinks/externalLink44.xml"/><Relationship Id="rId57" Type="http://schemas.openxmlformats.org/officeDocument/2006/relationships/externalLink" Target="externalLinks/externalLink52.xml"/><Relationship Id="rId10" Type="http://schemas.openxmlformats.org/officeDocument/2006/relationships/externalLink" Target="externalLinks/externalLink5.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52" Type="http://schemas.openxmlformats.org/officeDocument/2006/relationships/externalLink" Target="externalLinks/externalLink47.xml"/><Relationship Id="rId60" Type="http://schemas.openxmlformats.org/officeDocument/2006/relationships/theme" Target="theme/theme1.xml"/><Relationship Id="rId65"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4.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9" Type="http://schemas.openxmlformats.org/officeDocument/2006/relationships/externalLink" Target="externalLinks/externalLink34.xml"/></Relationships>
</file>

<file path=xl/drawings/drawing1.xml><?xml version="1.0" encoding="utf-8"?>
<xdr:wsDr xmlns:xdr="http://schemas.openxmlformats.org/drawingml/2006/spreadsheetDrawing" xmlns:a="http://schemas.openxmlformats.org/drawingml/2006/main">
  <xdr:twoCellAnchor>
    <xdr:from>
      <xdr:col>1</xdr:col>
      <xdr:colOff>390525</xdr:colOff>
      <xdr:row>34</xdr:row>
      <xdr:rowOff>9525</xdr:rowOff>
    </xdr:from>
    <xdr:to>
      <xdr:col>2</xdr:col>
      <xdr:colOff>0</xdr:colOff>
      <xdr:row>39</xdr:row>
      <xdr:rowOff>47625</xdr:rowOff>
    </xdr:to>
    <xdr:sp macro="" textlink="">
      <xdr:nvSpPr>
        <xdr:cNvPr id="2051" name="Text Box 3">
          <a:extLst>
            <a:ext uri="{FF2B5EF4-FFF2-40B4-BE49-F238E27FC236}">
              <a16:creationId xmlns:a16="http://schemas.microsoft.com/office/drawing/2014/main" id="{00000000-0008-0000-0100-000003080000}"/>
            </a:ext>
          </a:extLst>
        </xdr:cNvPr>
        <xdr:cNvSpPr txBox="1">
          <a:spLocks noChangeArrowheads="1"/>
        </xdr:cNvSpPr>
      </xdr:nvSpPr>
      <xdr:spPr bwMode="auto">
        <a:xfrm>
          <a:off x="742950" y="11887200"/>
          <a:ext cx="1905000" cy="8477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The Required Discount is calculated from data on a one-month lag, as per the agreement terms, with the exception of the Prime Rate, which is the rate in effect at the beginning of the respective month.  For example, data through the month of Jan-02 is used in the March-02 Discount Calculation, except for the Prime Rate which is the rate in effect on March 1, 2002.</a:t>
          </a: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Cells that require input are shown in red and are the only unprotected cells.  Sheet protection has been activated in Excel only to ensure that formulas are not inadvertently erased; as such there is no password used in the protection.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PRepAn\Sale%20of%20Receivables\CRC\Sale%20of%20AR%20JE%20&amp;%20Discount%20Worksheets\2018\05.18\5-2018%20%20AR%20Sale%20Journal%20Entries.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DPRepAn\Sale%20of%20Receivables\CRC\Sale%20of%20AR%20JE%20&amp;%20Discount%20Worksheets\2019\02.19\02-2019%20%20AR%20Sale%20Journal%20Entrie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DPRepAn\Sale%20of%20Receivables\CRC\Sale%20of%20AR%20JE%20&amp;%20Discount%20Worksheets\2019\03.19\03-2019%20%20AR%20Sale%20Journal%20Entries.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DPRepAn\Sale%20of%20Receivables\CRC\Sale%20of%20AR%20JE%20&amp;%20Discount%20Worksheets\2019\04.19\04-2019%20%20AR%20Sale%20Journal%20Entrie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DPRepAn\Sale%20of%20Receivables\CRC\Sale%20of%20AR%20JE%20&amp;%20Discount%20Worksheets\2019\05.19\05-2019%20%20AR%20Sale%20Journal%20Entries.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G:\DPRepAn\Sale%20of%20Receivables\CRC\Sale%20of%20AR%20JE%20&amp;%20Discount%20Worksheets\2019\06.19\06-2019%20%20AR%20Sale%20Journal%20Entries%20-%20Corrected%20not%20posted.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DPRepAn\Sale%20of%20Receivables\CRC\Sale%20of%20AR%20JE%20&amp;%20Discount%20Worksheets\2019\07.19\07-2019%20%20AR%20Sale%20Journal%20Entries.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DPRepAn\Sale%20of%20Receivables\CRC\Sale%20of%20AR%20JE%20&amp;%20Discount%20Worksheets\2019\08.19\08-2019%20%20AR%20Sale%20Journal%20Entries.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DPRepAn\Sale%20of%20Receivables\CRC\Sale%20of%20AR%20JE%20&amp;%20Discount%20Worksheets\2019\09.19\09-2019%20%20AR%20Sale%20Journal%20Entries.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DPRepAn\Sale%20of%20Receivables\CRC\Sale%20of%20AR%20JE%20&amp;%20Discount%20Worksheets\2019\10.19\10-2019%20%20AR%20Sale%20Journal%20Entries.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G:\DPRepAn\Sale%20of%20Receivables\CRC\Sale%20of%20AR%20JE%20&amp;%20Discount%20Worksheets\2019\11.19\11-2019%20%20AR%20Sale%20Journal%20Entri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PRepAn\Sale%20of%20Receivables\CRC\Sale%20of%20AR%20JE%20&amp;%20Discount%20Worksheets\2018\06.18\06-2018%20%20AR%20Sale%20Journal%20Entries.xlsm"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G:\DPRepAn\Sale%20of%20Receivables\CRC\Sale%20of%20AR%20JE%20&amp;%20Discount%20Worksheets\2019\12.19\12-2019%20%20AR%20Sale%20Journal%20Entries.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G:\DPRepAn\Sale%20of%20Receivables\CRC\Sale%20of%20AR%20JE%20&amp;%20Discount%20Worksheets\2020\01.2020\01-2020%20%20AR%20Sale%20Journal%20Entries.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G:\DPRepAn\Sale%20of%20Receivables\CRC\Sale%20of%20AR%20JE%20&amp;%20Discount%20Worksheets\2020\02.2020\02-2020%20%20AR%20Sale%20Journal%20Entries.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G:\DPRepAn\Sale%20of%20Receivables\CRC\Sale%20of%20AR%20JE%20&amp;%20Discount%20Worksheets\2020\03.2020\03-2020%20%20AR%20Sale%20Journal%20Entries.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G:\DPRepAn\Sale%20of%20Receivables\CRC\Sale%20of%20AR%20JE%20&amp;%20Discount%20Worksheets\2020\04.2020\04-2020%20%20AR%20Sale%20Journal%20Entries.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G:\DPRepAn\Sale%20of%20Receivables\CRC\Sale%20of%20AR%20JE%20&amp;%20Discount%20Worksheets\2020\05.2020\05-2020%20%20AR%20Sale%20Journal%20Entries.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G:\DPRepAn\Sale%20of%20Receivables\CRC\Sale%20of%20AR%20JE%20&amp;%20Discount%20Worksheets\2020\06.2020\06-2020%20%20AR%20Sale%20Journal%20Entries.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G:\DPRepAn\Sale%20of%20Receivables\CRC\Sale%20of%20AR%20JE%20&amp;%20Discount%20Worksheets\2020\07.2020\07-2020%20%20AR%20Sale%20Journal%20Entries.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G:\DPRepAn\Sale%20of%20Receivables\CRC\Sale%20of%20AR%20JE%20&amp;%20Discount%20Worksheets\2020\08.2020\08-2020%20%20AR%20Sale%20Journal%20Entries.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G:\DPRepAn\Sale%20of%20Receivables\CRC\Sale%20of%20AR%20JE%20&amp;%20Discount%20Worksheets\2020\09.2020\09-2020%20%20AR%20Sale%20Journal%20Entri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harf02\dprepan\DPRepAn\Sale%20of%20Receivables\CRC\Sale%20of%20AR%20JE%20&amp;%20Discount%20Worksheets\2018\07.18\07-2018%20%20AR%20Sale%20Journal%20Entries.xlsm"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G:\DPRepAn\Sale%20of%20Receivables\CRC\Sale%20of%20AR%20JE%20&amp;%20Discount%20Worksheets\2020\10.2020\10-2020%20%20AR%20Sale%20Journal%20Entries.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G:\DPRepAn\Sale%20of%20Receivables\CRC\Sale%20of%20AR%20JE%20&amp;%20Discount%20Worksheets\2020\11.2020\11-2020%20%20AR%20Sale%20Journal%20Entries.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G:\DPRepAn\Sale%20of%20Receivables\CRC\Sale%20of%20AR%20JE%20&amp;%20Discount%20Worksheets\2020\12.2020\12-2020%20%20AR%20Sale%20Journal%20Entries.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G:\DPRepAn\Sale%20of%20Receivables\CRC\Sale%20of%20AR%20JE%20&amp;%20Discount%20Worksheets\2021\01.2021\01-2021%20%20AR%20Sale%20Journal%20Entries%20-%20updated%2002.05.21%20PM.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G:\DPRepAn\Sale%20of%20Receivables\CRC\Sale%20of%20AR%20JE%20&amp;%20Discount%20Worksheets\2021\02.2021\02-2021%20%20AR%20Sale%20Journal%20Entries.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G:\DPRepAn\Sale%20of%20Receivables\CRC\Sale%20of%20AR%20JE%20&amp;%20Discount%20Worksheets\2021\03.2021\03-2021%20%20AR%20Sale%20Journal%20Entries.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G:\DPRepAn\Sale%20of%20Receivables\CRC\Sale%20of%20AR%20JE%20&amp;%20Discount%20Worksheets\2021\04.2021\04-2021%20%20AR%20Sale%20Journal%20Entries.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G:\DPRepAn\Sale%20of%20Receivables\CRC\Sale%20of%20AR%20JE%20&amp;%20Discount%20Worksheets\2021\05.2021\05-2021%20%20AR%20Sale%20Journal%20Entries.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D:\DPRepAn\Sale%20of%20Receivables\CRC\Sale%20of%20AR%20JE%20&amp;%20Discount%20Worksheets\2021\06.2021\06-2021%20%20AR%20Sale%20Journal%20Entries.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D:\DPRepAn\Sale%20of%20Receivables\CRC\Sale%20of%20AR%20JE%20&amp;%20Discount%20Worksheets\2021\07.2021\07-2021%20%20AR%20Sale%20Journal%20Entri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PRepAn\Sale%20of%20Receivables\CRC\Sale%20of%20AR%20JE%20&amp;%20Discount%20Worksheets\2018\08.18\08-2018%20%20AR%20Sale%20Journal%20Entries.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G:\DPRepAn\Sale%20of%20Receivables\CRC\Sale%20of%20AR%20JE%20&amp;%20Discount%20Worksheets\2021\08.2021\08-2021%20AR%20Sale%20Journal%20Entries.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G:\DPRepAn\Sale%20of%20Receivables\CRC\Sale%20of%20AR%20JE%20&amp;%20Discount%20Worksheets\2021\09.2021\09-2021%20AR%20Sale%20Journal%20Entries.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G:\DPRepAn\Sale%20of%20Receivables\CRC\Sale%20of%20AR%20JE%20&amp;%20Discount%20Worksheets\2021\10.2021\10-2021%20AR%20Sale%20Journal%20Entries.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G:\DPRepAn\Sale%20of%20Receivables\CRC\Sale%20of%20AR%20JE%20&amp;%20Discount%20Worksheets\2021\11.2021\11-2021%20AR%20Sale%20Journal%20Entries.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G:\DPRepAn\Sale%20of%20Receivables\CRC\Sale%20of%20AR%20JE%20&amp;%20Discount%20Worksheets\2021\12.2021\12-2021%20AR%20Sale%20Journal%20Entries.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G:\DPRepAn\Sale%20of%20Receivables\CRC\Sale%20of%20AR%20JE%20&amp;%20Discount%20Worksheets\2022\01.2022\01-2022%20AR%20Sale%20Journal%20Entries.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G:\DPRepAn\Sale%20of%20Receivables\CRC\Sale%20of%20AR%20JE%20&amp;%20Discount%20Worksheets\2022\02.2022\02-2022%20AR%20Sale%20Journal%20Entries.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G:\DPRepAn\Sale%20of%20Receivables\CRC\Sale%20of%20AR%20JE%20&amp;%20Discount%20Worksheets\2022\03.2022\03-2022%20AR%20Sale%20Journal%20Entries.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G:\DPRepAn\Sale%20of%20Receivables\CRC\Sale%20of%20AR%20JE%20&amp;%20Discount%20Worksheets\2022\04.2022\04-2022%20AR%20Sale%20Journal%20Entries-updated%2007.04.2022.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G:\DPRepAn\Sale%20of%20Receivables\CRC\Sale%20of%20AR%20JE%20&amp;%20Discount%20Worksheets\2022\05.2022\05-2022%20AR%20Sale%20Journal%20Entries-updated%2007.04.20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DPRepAn\Sale%20of%20Receivables\CRC\Sale%20of%20AR%20JE%20&amp;%20Discount%20Worksheets\2018\09.18\09-2018%20%20AR%20Sale%20Journal%20Entries.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G:\DPRepAn\Sale%20of%20Receivables\CRC\Sale%20of%20AR%20JE%20&amp;%20Discount%20Worksheets\2022\06.2022\06-2022%20AR%20Sale%20Journal%20Entries.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G:\DPRepAn\Sale%20of%20Receivables\CRC\Sale%20of%20AR%20JE%20&amp;%20Discount%20Worksheets\2022\07.2022\07-2022%20AR%20Sale%20Journal%20Entries.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G:\DPRepAn\Sale%20of%20Receivables\CRC\Sale%20of%20AR%20JE%20&amp;%20Discount%20Worksheets\2022\08.2022\08-2022%20AR%20Sale%20Journal%20Entries.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G:\DPRepAn\Sale%20of%20Receivables\CRC\Sale%20of%20AR%20JE%20&amp;%20Discount%20Worksheets\2022\09.2022\09-2022%20AR%20Sale%20Journal%20Entries.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G:\DPRepAn\Sale%20of%20Receivables\CRC\Sale%20of%20AR%20JE%20&amp;%20Discount%20Worksheets\2022\10.2022\10-2022%20AR%20Sale%20Journal%20Entrie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DPRepAn\Sale%20of%20Receivables\CRC\Sale%20of%20AR%20JE%20&amp;%20Discount%20Worksheets\2018\10.18\10-2018%20%20AR%20Sale%20Journal%20Entrie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DPRepAn\Sale%20of%20Receivables\CRC\Sale%20of%20AR%20JE%20&amp;%20Discount%20Worksheets\2018\11.18\11-2018%20%20AR%20Sale%20Journal%20Entrie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PRepAn\Sale%20of%20Receivables\CRC\Sale%20of%20AR%20JE%20&amp;%20Discount%20Worksheets\2018\12.18\12-2018%20%20AR%20Sale%20Journal%20Entrie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DPRepAn\Sale%20of%20Receivables\CRC\Sale%20of%20AR%20JE%20&amp;%20Discount%20Worksheets\2019\01.19\01-2019%20%20AR%20Sale%20Journal%20Entri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DEO"/>
      <sheetName val="CRC"/>
      <sheetName val="DEK"/>
      <sheetName val="DEI"/>
      <sheetName val="Cinergy Corp. 75800"/>
      <sheetName val="Tie-Out 123"/>
      <sheetName val="A. Rate Summary"/>
      <sheetName val="B. IN JO"/>
      <sheetName val="C. Unbilled"/>
      <sheetName val="D. OH AR Accts"/>
      <sheetName val="E. IN AR Acct"/>
      <sheetName val="F. KY AR Acct"/>
      <sheetName val="I. 0232892"/>
      <sheetName val="J. 0431300"/>
      <sheetName val="K. 0428100"/>
      <sheetName val="N. Check"/>
      <sheetName val="O. 0145891"/>
      <sheetName val="P. OH Chargeoff%"/>
      <sheetName val="CRC Upld"/>
      <sheetName val="DEK Upld"/>
      <sheetName val="DEO Upld"/>
      <sheetName val="DEI Upld"/>
      <sheetName val="VIE"/>
      <sheetName val="Data"/>
    </sheetNames>
    <sheetDataSet>
      <sheetData sheetId="0">
        <row r="12">
          <cell r="B12">
            <v>407711.08</v>
          </cell>
          <cell r="D12">
            <v>131417.16</v>
          </cell>
        </row>
        <row r="14">
          <cell r="D14">
            <v>62018.55</v>
          </cell>
        </row>
        <row r="24">
          <cell r="D24">
            <v>205657.47</v>
          </cell>
        </row>
        <row r="55">
          <cell r="D55">
            <v>48957.56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DEO"/>
      <sheetName val="CRC"/>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CRC Upld"/>
      <sheetName val="DEK Upld"/>
      <sheetName val="DEI Upld"/>
      <sheetName val="DEO Upld"/>
      <sheetName val="VIE"/>
      <sheetName val="Data"/>
    </sheetNames>
    <sheetDataSet>
      <sheetData sheetId="0">
        <row r="12">
          <cell r="C12">
            <v>432863.44</v>
          </cell>
          <cell r="G12">
            <v>155868.14000000001</v>
          </cell>
        </row>
        <row r="14">
          <cell r="G14">
            <v>114307.13</v>
          </cell>
        </row>
        <row r="24">
          <cell r="G24">
            <v>157527.14000000001</v>
          </cell>
        </row>
        <row r="55">
          <cell r="G55">
            <v>65921.08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DEO"/>
      <sheetName val="CRC"/>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CRC Upld"/>
      <sheetName val="DEK Upld"/>
      <sheetName val="DEI Upld"/>
      <sheetName val="DEO Upld"/>
      <sheetName val="VIE"/>
      <sheetName val="Data"/>
    </sheetNames>
    <sheetDataSet>
      <sheetData sheetId="0">
        <row r="12">
          <cell r="C12">
            <v>434971.24</v>
          </cell>
          <cell r="G12">
            <v>155949.91</v>
          </cell>
        </row>
        <row r="14">
          <cell r="G14">
            <v>85751.02</v>
          </cell>
        </row>
        <row r="24">
          <cell r="G24">
            <v>205757.91</v>
          </cell>
        </row>
        <row r="55">
          <cell r="G55">
            <v>81553.64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DEO"/>
      <sheetName val="CRC"/>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04-2019 Correcting JEs from Mar"/>
      <sheetName val="04-2019 Correcting JEs from CM"/>
      <sheetName val="CRC Upld"/>
      <sheetName val="DEK Upld"/>
      <sheetName val="DEI Upld"/>
      <sheetName val="DEO Upld"/>
      <sheetName val="VIE"/>
      <sheetName val="Data"/>
    </sheetNames>
    <sheetDataSet>
      <sheetData sheetId="0">
        <row r="12">
          <cell r="C12">
            <v>410999.73</v>
          </cell>
          <cell r="G12">
            <v>122478.65</v>
          </cell>
        </row>
        <row r="14">
          <cell r="G14">
            <v>66996.56</v>
          </cell>
        </row>
        <row r="24">
          <cell r="G24">
            <v>168710.1</v>
          </cell>
        </row>
        <row r="55">
          <cell r="G55">
            <v>57336.06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DEO"/>
      <sheetName val="CRC"/>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CRC Upld"/>
      <sheetName val="DEK Upld"/>
      <sheetName val="DEI Upld"/>
      <sheetName val="DEO Upld"/>
      <sheetName val="VIE"/>
      <sheetName val="Data"/>
    </sheetNames>
    <sheetDataSet>
      <sheetData sheetId="0">
        <row r="12">
          <cell r="C12">
            <v>380934.57</v>
          </cell>
          <cell r="G12">
            <v>122659.2</v>
          </cell>
        </row>
        <row r="14">
          <cell r="G14">
            <v>39356.31</v>
          </cell>
        </row>
        <row r="24">
          <cell r="G24">
            <v>218221.49</v>
          </cell>
        </row>
        <row r="55">
          <cell r="G55">
            <v>53877.34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DEO"/>
      <sheetName val="CRC"/>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05 and 06-2019 Changes"/>
      <sheetName val="CRC Upld"/>
      <sheetName val="DEK Upld"/>
      <sheetName val="DEI Upld"/>
      <sheetName val="DEO Upld"/>
      <sheetName val="VIE"/>
      <sheetName val="Data"/>
    </sheetNames>
    <sheetDataSet>
      <sheetData sheetId="0">
        <row r="12">
          <cell r="C12">
            <v>327129.99</v>
          </cell>
          <cell r="G12">
            <v>92558.19</v>
          </cell>
        </row>
        <row r="14">
          <cell r="G14">
            <v>27532.84</v>
          </cell>
        </row>
        <row r="24">
          <cell r="G24">
            <v>205260.9</v>
          </cell>
        </row>
        <row r="55">
          <cell r="G55">
            <v>37837.67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DEO"/>
      <sheetName val="CRC"/>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06-2019 Corrections"/>
      <sheetName val="CRC Upld"/>
      <sheetName val="DEK Upld"/>
      <sheetName val="DEI Upld"/>
      <sheetName val="DEO Upld"/>
      <sheetName val="VIE"/>
      <sheetName val="Data"/>
    </sheetNames>
    <sheetDataSet>
      <sheetData sheetId="0">
        <row r="12">
          <cell r="C12">
            <v>401510.7</v>
          </cell>
          <cell r="G12">
            <v>156887.15</v>
          </cell>
        </row>
        <row r="14">
          <cell r="G14">
            <v>27004.66</v>
          </cell>
        </row>
        <row r="24">
          <cell r="G24">
            <v>218773.1</v>
          </cell>
        </row>
        <row r="55">
          <cell r="G55">
            <v>50356.41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DEO"/>
      <sheetName val="CRC"/>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CRC Upld"/>
      <sheetName val="DEK Upld"/>
      <sheetName val="DEI Upld"/>
      <sheetName val="DEO Upld"/>
      <sheetName val="VIE"/>
      <sheetName val="Data"/>
    </sheetNames>
    <sheetDataSet>
      <sheetData sheetId="0">
        <row r="12">
          <cell r="C12">
            <v>500462.98</v>
          </cell>
          <cell r="G12">
            <v>171500.51</v>
          </cell>
        </row>
        <row r="14">
          <cell r="G14">
            <v>27208.560000000001</v>
          </cell>
        </row>
        <row r="24">
          <cell r="G24">
            <v>196404.49</v>
          </cell>
        </row>
        <row r="55">
          <cell r="G55">
            <v>46609.81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DEO"/>
      <sheetName val="CRC"/>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CRC Upld"/>
      <sheetName val="DEK Upld"/>
      <sheetName val="DEI Upld"/>
      <sheetName val="DEO Upld"/>
      <sheetName val="VIE"/>
      <sheetName val="Data"/>
    </sheetNames>
    <sheetDataSet>
      <sheetData sheetId="0">
        <row r="12">
          <cell r="C12">
            <v>509958.94</v>
          </cell>
          <cell r="G12">
            <v>140765.69</v>
          </cell>
        </row>
        <row r="14">
          <cell r="G14">
            <v>28154.7</v>
          </cell>
        </row>
        <row r="24">
          <cell r="G24">
            <v>214067.65</v>
          </cell>
        </row>
        <row r="55">
          <cell r="G55">
            <v>49304.75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DEO"/>
      <sheetName val="CRC"/>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10-2019 Corrections"/>
      <sheetName val="CRC Upld"/>
      <sheetName val="DEK Upld"/>
      <sheetName val="DEI Upld"/>
      <sheetName val="DEO Upld"/>
      <sheetName val="CRC Corp"/>
      <sheetName val="VIE"/>
      <sheetName val="Data"/>
    </sheetNames>
    <sheetDataSet>
      <sheetData sheetId="0">
        <row r="12">
          <cell r="C12">
            <v>468773.06</v>
          </cell>
          <cell r="G12">
            <v>159070.35</v>
          </cell>
        </row>
        <row r="14">
          <cell r="G14">
            <v>30111.33</v>
          </cell>
        </row>
        <row r="24">
          <cell r="G24">
            <v>168638.67</v>
          </cell>
        </row>
        <row r="55">
          <cell r="G55">
            <v>52546.559999999998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DEO"/>
      <sheetName val="CRC"/>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CRC Upld"/>
      <sheetName val="DEK Upld"/>
      <sheetName val="DEI Upld"/>
      <sheetName val="DEO Upld"/>
      <sheetName val="CRC Corp"/>
      <sheetName val="VIE"/>
      <sheetName val="Data"/>
    </sheetNames>
    <sheetDataSet>
      <sheetData sheetId="0">
        <row r="12">
          <cell r="C12">
            <v>495750</v>
          </cell>
          <cell r="G12">
            <v>145256.81</v>
          </cell>
        </row>
        <row r="14">
          <cell r="G14">
            <v>34259.19</v>
          </cell>
        </row>
        <row r="24">
          <cell r="G24">
            <v>213678.96</v>
          </cell>
        </row>
        <row r="55">
          <cell r="G55">
            <v>71059.77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DEO"/>
      <sheetName val="CRC"/>
      <sheetName val="DEK"/>
      <sheetName val="DEI"/>
      <sheetName val="Cinergy Corp. 75800"/>
      <sheetName val="Tie-Out 123"/>
      <sheetName val="A. Rate Summary"/>
      <sheetName val="B. IN JO"/>
      <sheetName val="C. Unbilled"/>
      <sheetName val="D. OH AR Accts"/>
      <sheetName val="E. IN AR Acct"/>
      <sheetName val="F. KY AR Acct"/>
      <sheetName val="I. 0232892"/>
      <sheetName val="J. 0431300"/>
      <sheetName val="K. 0428100"/>
      <sheetName val="N. Check"/>
      <sheetName val="O. 0145891"/>
      <sheetName val="P. OH Chargeoff%"/>
      <sheetName val="CRC Upld"/>
      <sheetName val="DEK Upld"/>
      <sheetName val="DEI Upld"/>
      <sheetName val="DEO Upld"/>
      <sheetName val="VIE"/>
      <sheetName val="Data"/>
      <sheetName val="06-2018  AR Sale Journal Entrie"/>
    </sheetNames>
    <sheetDataSet>
      <sheetData sheetId="0">
        <row r="12">
          <cell r="B12">
            <v>362510.28</v>
          </cell>
          <cell r="D12">
            <v>106932.44</v>
          </cell>
        </row>
        <row r="14">
          <cell r="D14">
            <v>30570.240000000002</v>
          </cell>
        </row>
        <row r="24">
          <cell r="D24">
            <v>240763.55</v>
          </cell>
        </row>
        <row r="55">
          <cell r="D55">
            <v>43016.46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DEO"/>
      <sheetName val="CRC"/>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11-2019 Corrections"/>
      <sheetName val="CRC Upld"/>
      <sheetName val="DEK Upld"/>
      <sheetName val="DEI Upld"/>
      <sheetName val="DEO Upld"/>
      <sheetName val="CRC Corp"/>
      <sheetName val="VIE"/>
      <sheetName val="Data"/>
    </sheetNames>
    <sheetDataSet>
      <sheetData sheetId="0">
        <row r="12">
          <cell r="C12">
            <v>474496.57</v>
          </cell>
          <cell r="G12">
            <v>190084.87</v>
          </cell>
        </row>
        <row r="14">
          <cell r="G14">
            <v>82428.17</v>
          </cell>
        </row>
        <row r="24">
          <cell r="G24">
            <v>224510.84</v>
          </cell>
        </row>
        <row r="55">
          <cell r="G55">
            <v>40331.15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DEO"/>
      <sheetName val="CRC"/>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CRC Upld"/>
      <sheetName val="DEK Upld"/>
      <sheetName val="DEI Upld"/>
      <sheetName val="DEO Upld"/>
      <sheetName val="CRC Corp"/>
      <sheetName val="VIE"/>
      <sheetName val="Data"/>
    </sheetNames>
    <sheetDataSet>
      <sheetData sheetId="0">
        <row r="12">
          <cell r="C12">
            <v>313435.28999999998</v>
          </cell>
          <cell r="G12">
            <v>150317.75</v>
          </cell>
        </row>
        <row r="14">
          <cell r="G14">
            <v>75678.759999999995</v>
          </cell>
        </row>
        <row r="24">
          <cell r="G24">
            <v>142207.29999999999</v>
          </cell>
        </row>
        <row r="55">
          <cell r="G55">
            <v>45104.69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DEO"/>
      <sheetName val="CRC"/>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02-2020 Corrections"/>
      <sheetName val="CRC Upld"/>
      <sheetName val="DEK Upld"/>
      <sheetName val="DEI Upld"/>
      <sheetName val="DEO Upld"/>
      <sheetName val="CRC Corp"/>
      <sheetName val="VIE"/>
      <sheetName val="Data"/>
    </sheetNames>
    <sheetDataSet>
      <sheetData sheetId="0">
        <row r="12">
          <cell r="C12">
            <v>438053.66</v>
          </cell>
          <cell r="G12">
            <v>160315.1</v>
          </cell>
        </row>
        <row r="14">
          <cell r="G14">
            <v>110930.91</v>
          </cell>
        </row>
        <row r="24">
          <cell r="G24">
            <v>98599.8</v>
          </cell>
        </row>
        <row r="55">
          <cell r="G55">
            <v>71249.440000000002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DEO"/>
      <sheetName val="CRC"/>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CRC Upld"/>
      <sheetName val="DEK Upld"/>
      <sheetName val="DEI Upld"/>
      <sheetName val="DEO Upld"/>
      <sheetName val="CRC Corp"/>
      <sheetName val="VIE"/>
      <sheetName val="Data"/>
    </sheetNames>
    <sheetDataSet>
      <sheetData sheetId="0">
        <row r="12">
          <cell r="C12">
            <v>269369.17</v>
          </cell>
          <cell r="G12">
            <v>72744.22</v>
          </cell>
        </row>
        <row r="14">
          <cell r="G14">
            <v>54828.160000000003</v>
          </cell>
        </row>
        <row r="24">
          <cell r="G24">
            <v>133862.69</v>
          </cell>
        </row>
        <row r="55">
          <cell r="G55">
            <v>63558.75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DEO"/>
      <sheetName val="CRC"/>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CRC Upld"/>
      <sheetName val="DEK Upld"/>
      <sheetName val="DEI Upld"/>
      <sheetName val="DEO Upld"/>
      <sheetName val="CRC Corp"/>
      <sheetName val="VIE"/>
      <sheetName val="Data"/>
    </sheetNames>
    <sheetDataSet>
      <sheetData sheetId="0">
        <row r="12">
          <cell r="C12">
            <v>-494.29</v>
          </cell>
          <cell r="G12">
            <v>-3910.17</v>
          </cell>
        </row>
        <row r="14">
          <cell r="G14">
            <v>-4488.13</v>
          </cell>
        </row>
        <row r="24">
          <cell r="G24">
            <v>115634.72</v>
          </cell>
        </row>
        <row r="55">
          <cell r="G55">
            <v>61202.89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DEO"/>
      <sheetName val="CRC"/>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CRC Upld"/>
      <sheetName val="DEK Upld"/>
      <sheetName val="DEI Upld"/>
      <sheetName val="DEO Upld"/>
      <sheetName val="CRC Corp"/>
      <sheetName val="VIE"/>
      <sheetName val="Data"/>
      <sheetName val="Sheet1"/>
    </sheetNames>
    <sheetDataSet>
      <sheetData sheetId="0">
        <row r="12">
          <cell r="C12">
            <v>3354.97</v>
          </cell>
          <cell r="G12">
            <v>5302.4</v>
          </cell>
        </row>
        <row r="14">
          <cell r="G14">
            <v>1406.3</v>
          </cell>
        </row>
        <row r="24">
          <cell r="G24">
            <v>146866.91</v>
          </cell>
        </row>
        <row r="55">
          <cell r="G55">
            <v>66827.91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DEO"/>
      <sheetName val="CRC"/>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CRC Upld"/>
      <sheetName val="DEK Upld"/>
      <sheetName val="DEI Upld"/>
      <sheetName val="DEO Upld"/>
      <sheetName val="CRC Corp"/>
      <sheetName val="VIE"/>
      <sheetName val="Data"/>
      <sheetName val="06-2020  AR Sale Journal Entrie"/>
    </sheetNames>
    <sheetDataSet>
      <sheetData sheetId="0">
        <row r="12">
          <cell r="C12">
            <v>-2681.02</v>
          </cell>
          <cell r="G12">
            <v>-6068.97</v>
          </cell>
        </row>
        <row r="14">
          <cell r="G14">
            <v>-5726.94</v>
          </cell>
        </row>
        <row r="24">
          <cell r="G24">
            <v>209267.39</v>
          </cell>
        </row>
        <row r="55">
          <cell r="G55">
            <v>56774.02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DEO"/>
      <sheetName val="CRC"/>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CRC Upld"/>
      <sheetName val="DEK Upld"/>
      <sheetName val="DEI Upld"/>
      <sheetName val="DEO Upld"/>
      <sheetName val="CRC Corp"/>
      <sheetName val="VIE"/>
      <sheetName val="Data"/>
    </sheetNames>
    <sheetDataSet>
      <sheetData sheetId="0">
        <row r="12">
          <cell r="C12">
            <v>1845.56</v>
          </cell>
          <cell r="G12">
            <v>26851.200000000001</v>
          </cell>
        </row>
        <row r="14">
          <cell r="G14">
            <v>-1503.91</v>
          </cell>
        </row>
        <row r="24">
          <cell r="G24">
            <v>117675.49</v>
          </cell>
        </row>
        <row r="55">
          <cell r="G55">
            <v>60082.46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DEO"/>
      <sheetName val="CRC"/>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CRC Upld"/>
      <sheetName val="DEK Upld"/>
      <sheetName val="DEI Upld"/>
      <sheetName val="DEO Upld"/>
      <sheetName val="CRC Corp"/>
      <sheetName val="VIE"/>
      <sheetName val="Data"/>
    </sheetNames>
    <sheetDataSet>
      <sheetData sheetId="0">
        <row r="12">
          <cell r="C12">
            <v>7585.48</v>
          </cell>
          <cell r="G12">
            <v>-18692.11</v>
          </cell>
        </row>
        <row r="14">
          <cell r="G14">
            <v>104.67</v>
          </cell>
        </row>
        <row r="24">
          <cell r="G24">
            <v>58377.599999999999</v>
          </cell>
        </row>
        <row r="55">
          <cell r="G55">
            <v>41274.870000000003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DEO"/>
      <sheetName val="CRC"/>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CRC Upld"/>
      <sheetName val="DEK Upld"/>
      <sheetName val="DEI Upld"/>
      <sheetName val="DEO Upld"/>
      <sheetName val="CRC Corp"/>
      <sheetName val="VIE"/>
      <sheetName val="Data"/>
    </sheetNames>
    <sheetDataSet>
      <sheetData sheetId="0">
        <row r="12">
          <cell r="C12">
            <v>377187.83</v>
          </cell>
          <cell r="G12">
            <v>12922.23</v>
          </cell>
        </row>
        <row r="14">
          <cell r="G14">
            <v>1162.17</v>
          </cell>
        </row>
        <row r="24">
          <cell r="G24">
            <v>112222.05</v>
          </cell>
        </row>
        <row r="55">
          <cell r="G55">
            <v>38513.050000000003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DEO"/>
      <sheetName val="CRC"/>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CRC Upld"/>
      <sheetName val="DEK Upld"/>
      <sheetName val="DEI Upld"/>
      <sheetName val="DEO Upld"/>
      <sheetName val="VIE"/>
      <sheetName val="Data"/>
    </sheetNames>
    <sheetDataSet>
      <sheetData sheetId="0">
        <row r="12">
          <cell r="B12">
            <v>479876.75</v>
          </cell>
          <cell r="D12">
            <v>198601.73</v>
          </cell>
        </row>
        <row r="14">
          <cell r="D14">
            <v>32461.39</v>
          </cell>
        </row>
        <row r="24">
          <cell r="D24">
            <v>259216.88</v>
          </cell>
        </row>
        <row r="55">
          <cell r="D55">
            <v>46645.88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DEO"/>
      <sheetName val="CRC"/>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CRC Upld"/>
      <sheetName val="DEK Upld"/>
      <sheetName val="DEI Upld"/>
      <sheetName val="DEO Upld"/>
      <sheetName val="CRC Corp"/>
      <sheetName val="VIE"/>
      <sheetName val="Data"/>
    </sheetNames>
    <sheetDataSet>
      <sheetData sheetId="0">
        <row r="12">
          <cell r="C12">
            <v>613528.05000000005</v>
          </cell>
          <cell r="G12">
            <v>11595.31</v>
          </cell>
        </row>
        <row r="14">
          <cell r="G14">
            <v>2177.48</v>
          </cell>
        </row>
        <row r="24">
          <cell r="G24">
            <v>86990.57</v>
          </cell>
        </row>
        <row r="55">
          <cell r="G55">
            <v>52775.57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DEO"/>
      <sheetName val="CRC"/>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CRC Upld"/>
      <sheetName val="DEK Upld"/>
      <sheetName val="DEI Upld"/>
      <sheetName val="DEO Upld"/>
      <sheetName val="CRC Corp"/>
      <sheetName val="VIE"/>
      <sheetName val="Data"/>
    </sheetNames>
    <sheetDataSet>
      <sheetData sheetId="0">
        <row r="12">
          <cell r="C12">
            <v>567017.88</v>
          </cell>
          <cell r="G12">
            <v>21130.49</v>
          </cell>
        </row>
        <row r="14">
          <cell r="G14">
            <v>11604.74</v>
          </cell>
        </row>
        <row r="24">
          <cell r="G24">
            <v>128362.65</v>
          </cell>
        </row>
        <row r="55">
          <cell r="G55">
            <v>42764.15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DEO"/>
      <sheetName val="CRC"/>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CRC Upld"/>
      <sheetName val="DEK Upld"/>
      <sheetName val="DEI Upld"/>
      <sheetName val="DEO Upld"/>
      <sheetName val="CRC Corp"/>
      <sheetName val="VIE"/>
      <sheetName val="Data"/>
    </sheetNames>
    <sheetDataSet>
      <sheetData sheetId="0">
        <row r="12">
          <cell r="C12">
            <v>491282.02</v>
          </cell>
          <cell r="G12">
            <v>49554.27</v>
          </cell>
        </row>
        <row r="14">
          <cell r="G14">
            <v>15035.6</v>
          </cell>
        </row>
        <row r="24">
          <cell r="G24">
            <v>309118.23</v>
          </cell>
        </row>
        <row r="55">
          <cell r="G55">
            <v>43139.44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DEO"/>
      <sheetName val="CRC"/>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CRC Upld"/>
      <sheetName val="DEK Upld"/>
      <sheetName val="DEI Upld"/>
      <sheetName val="DEO Upld"/>
      <sheetName val="CRC Corp"/>
      <sheetName val="VIE"/>
      <sheetName val="Data"/>
    </sheetNames>
    <sheetDataSet>
      <sheetData sheetId="0">
        <row r="12">
          <cell r="C12">
            <v>383717.06</v>
          </cell>
          <cell r="G12">
            <v>215217.23</v>
          </cell>
        </row>
        <row r="14">
          <cell r="G14">
            <v>100736.49</v>
          </cell>
        </row>
        <row r="24">
          <cell r="G24">
            <v>191202.5</v>
          </cell>
        </row>
        <row r="55">
          <cell r="G55">
            <v>46686.48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CRC"/>
      <sheetName val="DEO"/>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CRC Upld"/>
      <sheetName val="DEK Upld"/>
      <sheetName val="DEI Upld"/>
      <sheetName val="DEO Upld"/>
      <sheetName val="CRC Corp"/>
      <sheetName val="VIE"/>
      <sheetName val="Data"/>
    </sheetNames>
    <sheetDataSet>
      <sheetData sheetId="0">
        <row r="12">
          <cell r="C12">
            <v>378902.29</v>
          </cell>
          <cell r="G12">
            <v>118728.05</v>
          </cell>
        </row>
        <row r="14">
          <cell r="G14">
            <v>107781.29</v>
          </cell>
        </row>
        <row r="24">
          <cell r="G24">
            <v>213227.34</v>
          </cell>
        </row>
        <row r="55">
          <cell r="G55">
            <v>45728.29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CRC"/>
      <sheetName val="DEO"/>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CRC Upld"/>
      <sheetName val="DEK Upld"/>
      <sheetName val="DEI Upld"/>
      <sheetName val="DEO Upld"/>
      <sheetName val="CRC Corp"/>
      <sheetName val="VIE"/>
      <sheetName val="Data"/>
    </sheetNames>
    <sheetDataSet>
      <sheetData sheetId="0">
        <row r="12">
          <cell r="C12">
            <v>436793.91</v>
          </cell>
          <cell r="G12">
            <v>139296.56</v>
          </cell>
        </row>
        <row r="14">
          <cell r="G14">
            <v>94733.7</v>
          </cell>
        </row>
        <row r="24">
          <cell r="G24">
            <v>152190.81</v>
          </cell>
        </row>
        <row r="55">
          <cell r="G55">
            <v>98865.31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CRC"/>
      <sheetName val="DEO"/>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CRC Upld"/>
      <sheetName val="DEK Upld"/>
      <sheetName val="DEI Upld"/>
      <sheetName val="DEO Upld"/>
      <sheetName val="CRC Corp"/>
      <sheetName val="VIE"/>
      <sheetName val="Data"/>
    </sheetNames>
    <sheetDataSet>
      <sheetData sheetId="0">
        <row r="12">
          <cell r="C12">
            <v>360188.4</v>
          </cell>
          <cell r="G12">
            <v>102127.41</v>
          </cell>
        </row>
        <row r="14">
          <cell r="G14">
            <v>60328.73</v>
          </cell>
        </row>
        <row r="24">
          <cell r="G24">
            <v>391106.51</v>
          </cell>
        </row>
        <row r="55">
          <cell r="G55">
            <v>70167.94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CRC"/>
      <sheetName val="DEO"/>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CRC Upld"/>
      <sheetName val="DEK Upld"/>
      <sheetName val="DEI Upld"/>
      <sheetName val="DEO Upld"/>
      <sheetName val="CRC Corp"/>
      <sheetName val="VIE"/>
      <sheetName val="Data"/>
      <sheetName val="05-2021  AR Sale Journal Entrie"/>
    </sheetNames>
    <sheetDataSet>
      <sheetData sheetId="0">
        <row r="12">
          <cell r="C12">
            <v>370409.02</v>
          </cell>
          <cell r="G12">
            <v>102328.13</v>
          </cell>
        </row>
        <row r="14">
          <cell r="G14">
            <v>33354.78</v>
          </cell>
        </row>
        <row r="24">
          <cell r="G24">
            <v>402122.74</v>
          </cell>
        </row>
        <row r="55">
          <cell r="G55">
            <v>42753.67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CRC"/>
      <sheetName val="DEO"/>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CRC Upld"/>
      <sheetName val="DEK Upld"/>
      <sheetName val="DEI Upld"/>
      <sheetName val="DEO Upld"/>
      <sheetName val="CRC Corp"/>
      <sheetName val="VIE"/>
      <sheetName val="Data"/>
    </sheetNames>
    <sheetDataSet>
      <sheetData sheetId="0">
        <row r="12">
          <cell r="C12">
            <v>324857.71999999997</v>
          </cell>
          <cell r="G12">
            <v>124732.4</v>
          </cell>
        </row>
        <row r="14">
          <cell r="G14">
            <v>26555.83</v>
          </cell>
        </row>
        <row r="24">
          <cell r="G24">
            <v>266949.92</v>
          </cell>
        </row>
        <row r="55">
          <cell r="G55">
            <v>46236.28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CRC"/>
      <sheetName val="DEO"/>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CRC Upld"/>
      <sheetName val="DEK Upld"/>
      <sheetName val="DEI Upld"/>
      <sheetName val="DEO Upld"/>
      <sheetName val="CRC Corp"/>
      <sheetName val="VIE"/>
      <sheetName val="Data"/>
    </sheetNames>
    <sheetDataSet>
      <sheetData sheetId="0" refreshError="1">
        <row r="12">
          <cell r="C12">
            <v>454121.38</v>
          </cell>
          <cell r="G12">
            <v>201978.92</v>
          </cell>
        </row>
        <row r="14">
          <cell r="G14">
            <v>32243.25</v>
          </cell>
        </row>
        <row r="24">
          <cell r="G24">
            <v>302327.38</v>
          </cell>
        </row>
        <row r="55">
          <cell r="G55">
            <v>45639.4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DEO"/>
      <sheetName val="CRC"/>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CRC Upld"/>
      <sheetName val="DEK Upld"/>
      <sheetName val="DEI Upld"/>
      <sheetName val="DEO Upld"/>
      <sheetName val="VIE"/>
      <sheetName val="Data"/>
    </sheetNames>
    <sheetDataSet>
      <sheetData sheetId="0">
        <row r="12">
          <cell r="C12">
            <v>512712.25</v>
          </cell>
          <cell r="G12">
            <v>176541.67</v>
          </cell>
        </row>
        <row r="14">
          <cell r="G14">
            <v>27948.45</v>
          </cell>
        </row>
        <row r="24">
          <cell r="G24">
            <v>236856.63</v>
          </cell>
        </row>
        <row r="55">
          <cell r="G55">
            <v>53897.25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CRC"/>
      <sheetName val="DEO"/>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CRC Upld"/>
      <sheetName val="DEK Upld"/>
      <sheetName val="DEI Upld"/>
      <sheetName val="DEO Upld"/>
      <sheetName val="CRC Corp"/>
      <sheetName val="VIE"/>
      <sheetName val="Data"/>
    </sheetNames>
    <sheetDataSet>
      <sheetData sheetId="0">
        <row r="12">
          <cell r="C12">
            <v>468116.19</v>
          </cell>
          <cell r="G12">
            <v>195518.17</v>
          </cell>
        </row>
        <row r="14">
          <cell r="G14">
            <v>25149.14</v>
          </cell>
        </row>
        <row r="24">
          <cell r="G24">
            <v>230007.25</v>
          </cell>
        </row>
        <row r="55">
          <cell r="G55">
            <v>44062.559999999998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CRC"/>
      <sheetName val="DEO"/>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CRC Upld"/>
      <sheetName val="DEK Upld"/>
      <sheetName val="DEI Upld"/>
      <sheetName val="DEO Upld"/>
      <sheetName val="CRC Corp"/>
      <sheetName val="VIE"/>
      <sheetName val="Data"/>
    </sheetNames>
    <sheetDataSet>
      <sheetData sheetId="0">
        <row r="12">
          <cell r="C12">
            <v>483794.19</v>
          </cell>
          <cell r="G12">
            <v>192280.81</v>
          </cell>
        </row>
        <row r="14">
          <cell r="G14">
            <v>21711.89</v>
          </cell>
        </row>
        <row r="24">
          <cell r="G24">
            <v>289744.44</v>
          </cell>
        </row>
        <row r="55">
          <cell r="G55">
            <v>50907.37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CRC"/>
      <sheetName val="DEO"/>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CRC Upld"/>
      <sheetName val="DEK Upld"/>
      <sheetName val="DEI Upld"/>
      <sheetName val="DEO Upld"/>
      <sheetName val="CRC Corp"/>
      <sheetName val="VIE"/>
      <sheetName val="Data"/>
    </sheetNames>
    <sheetDataSet>
      <sheetData sheetId="0">
        <row r="12">
          <cell r="C12">
            <v>460773.59</v>
          </cell>
          <cell r="G12">
            <v>190412.97</v>
          </cell>
        </row>
        <row r="14">
          <cell r="G14">
            <v>33673.01</v>
          </cell>
        </row>
        <row r="24">
          <cell r="G24">
            <v>209140.37</v>
          </cell>
        </row>
        <row r="55">
          <cell r="G55">
            <v>176057.5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CRC"/>
      <sheetName val="DEO"/>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CRC Upld"/>
      <sheetName val="DEK Upld"/>
      <sheetName val="DEI Upld"/>
      <sheetName val="DEO Upld"/>
      <sheetName val="CRC Corp"/>
      <sheetName val="VIE"/>
      <sheetName val="Data"/>
    </sheetNames>
    <sheetDataSet>
      <sheetData sheetId="0">
        <row r="12">
          <cell r="C12">
            <v>435170.03</v>
          </cell>
          <cell r="G12">
            <v>130335.27</v>
          </cell>
        </row>
        <row r="14">
          <cell r="G14">
            <v>28735</v>
          </cell>
        </row>
        <row r="24">
          <cell r="G24">
            <v>241193.03</v>
          </cell>
        </row>
        <row r="55">
          <cell r="G55">
            <v>53257.29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CRC"/>
      <sheetName val="DEO"/>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CRC Upld"/>
      <sheetName val="DEK Upld"/>
      <sheetName val="DEI Upld"/>
      <sheetName val="DEO Upld"/>
      <sheetName val="CRC Corp"/>
      <sheetName val="VIE"/>
      <sheetName val="Data"/>
    </sheetNames>
    <sheetDataSet>
      <sheetData sheetId="0">
        <row r="12">
          <cell r="C12">
            <v>432502.99</v>
          </cell>
          <cell r="G12">
            <v>228361.94</v>
          </cell>
        </row>
        <row r="14">
          <cell r="G14">
            <v>87137.39</v>
          </cell>
        </row>
        <row r="24">
          <cell r="G24">
            <v>420306.42</v>
          </cell>
        </row>
        <row r="55">
          <cell r="G55">
            <v>44051.18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CRC"/>
      <sheetName val="DEO"/>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CRC Upld"/>
      <sheetName val="DEK Upld"/>
      <sheetName val="DEI Upld"/>
      <sheetName val="DEO Upld"/>
      <sheetName val="CRC Corp"/>
      <sheetName val="VIE"/>
      <sheetName val="Data"/>
    </sheetNames>
    <sheetDataSet>
      <sheetData sheetId="0">
        <row r="12">
          <cell r="C12">
            <v>366965.57</v>
          </cell>
          <cell r="G12">
            <v>297207.11</v>
          </cell>
        </row>
        <row r="14">
          <cell r="G14">
            <v>147401.85999999999</v>
          </cell>
        </row>
        <row r="24">
          <cell r="G24">
            <v>173220.33</v>
          </cell>
        </row>
        <row r="55">
          <cell r="G55">
            <v>39678.53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CRC"/>
      <sheetName val="DEO"/>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CRC Upld"/>
      <sheetName val="DEK Upld"/>
      <sheetName val="DEI Upld"/>
      <sheetName val="DEO Upld"/>
      <sheetName val="CRC Corp"/>
      <sheetName val="VIE"/>
      <sheetName val="Data"/>
    </sheetNames>
    <sheetDataSet>
      <sheetData sheetId="0">
        <row r="12">
          <cell r="C12">
            <v>433255.66</v>
          </cell>
          <cell r="G12">
            <v>257147.79</v>
          </cell>
        </row>
        <row r="14">
          <cell r="G14">
            <v>150598.13</v>
          </cell>
        </row>
        <row r="24">
          <cell r="G24">
            <v>150925.09</v>
          </cell>
        </row>
        <row r="55">
          <cell r="G55">
            <v>42880.59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CRC"/>
      <sheetName val="DEO"/>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CRC Upld"/>
      <sheetName val="DEK Upld"/>
      <sheetName val="DEI Upld"/>
      <sheetName val="DEO Upld"/>
      <sheetName val="CRC Corp"/>
      <sheetName val="VIE"/>
      <sheetName val="Data"/>
    </sheetNames>
    <sheetDataSet>
      <sheetData sheetId="0">
        <row r="12">
          <cell r="C12">
            <v>363164.56</v>
          </cell>
          <cell r="G12">
            <v>151368.29999999999</v>
          </cell>
        </row>
        <row r="14">
          <cell r="G14">
            <v>145406.70000000001</v>
          </cell>
        </row>
        <row r="24">
          <cell r="G24">
            <v>286522.55</v>
          </cell>
        </row>
        <row r="55">
          <cell r="G55">
            <v>71330.28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CRC"/>
      <sheetName val="DEO"/>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CRC Upld"/>
      <sheetName val="DEK Upld"/>
      <sheetName val="DEI Upld"/>
      <sheetName val="DEO Upld"/>
      <sheetName val="CRC Corp"/>
      <sheetName val="VIE"/>
      <sheetName val="Data"/>
      <sheetName val="04-2022 AR Sale Journal Entries"/>
    </sheetNames>
    <sheetDataSet>
      <sheetData sheetId="0">
        <row r="12">
          <cell r="C12">
            <v>-2390.63</v>
          </cell>
          <cell r="G12">
            <v>-1037.93</v>
          </cell>
        </row>
        <row r="14">
          <cell r="G14">
            <v>0</v>
          </cell>
        </row>
        <row r="24">
          <cell r="G24">
            <v>9418.8100000000013</v>
          </cell>
        </row>
        <row r="55">
          <cell r="G55">
            <v>34203.279999999999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CRC"/>
      <sheetName val="DEO"/>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CRC Upld"/>
      <sheetName val="DEK Upld"/>
      <sheetName val="DEI Upld"/>
      <sheetName val="DEO Upld"/>
      <sheetName val="CRC Corp"/>
      <sheetName val="VIE"/>
      <sheetName val="Data"/>
    </sheetNames>
    <sheetDataSet>
      <sheetData sheetId="0">
        <row r="12">
          <cell r="C12">
            <v>-2999.04</v>
          </cell>
          <cell r="G12">
            <v>-3535.47</v>
          </cell>
        </row>
        <row r="14">
          <cell r="G14">
            <v>0</v>
          </cell>
        </row>
        <row r="24">
          <cell r="G24">
            <v>13505.2</v>
          </cell>
        </row>
        <row r="55">
          <cell r="G55">
            <v>42950.520000000004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DEO"/>
      <sheetName val="CRC"/>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CRC Upld"/>
      <sheetName val="DEK Upld"/>
      <sheetName val="DEI Upld"/>
      <sheetName val="DEO Upld"/>
      <sheetName val="VIE"/>
      <sheetName val="Data"/>
    </sheetNames>
    <sheetDataSet>
      <sheetData sheetId="0">
        <row r="12">
          <cell r="C12">
            <v>505225.47</v>
          </cell>
          <cell r="G12">
            <v>184617.52</v>
          </cell>
        </row>
        <row r="14">
          <cell r="G14">
            <v>27125.79</v>
          </cell>
        </row>
        <row r="24">
          <cell r="G24">
            <v>216397.21</v>
          </cell>
        </row>
        <row r="55">
          <cell r="G55">
            <v>40693.089999999997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CRC"/>
      <sheetName val="DEO"/>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CRC Upld"/>
      <sheetName val="DEK Upld"/>
      <sheetName val="DEI Upld"/>
      <sheetName val="DEO Upld"/>
      <sheetName val="CRC Corp"/>
      <sheetName val="VIE"/>
      <sheetName val="Data"/>
    </sheetNames>
    <sheetDataSet>
      <sheetData sheetId="0">
        <row r="12">
          <cell r="C12">
            <v>-712.16</v>
          </cell>
          <cell r="G12">
            <v>-1332.33</v>
          </cell>
        </row>
        <row r="14">
          <cell r="G14">
            <v>-30.51</v>
          </cell>
        </row>
        <row r="24">
          <cell r="G24">
            <v>163517.99</v>
          </cell>
        </row>
        <row r="55">
          <cell r="G55">
            <v>29227.14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CRC"/>
      <sheetName val="DEO"/>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CRC Upld"/>
      <sheetName val="DEK Upld"/>
      <sheetName val="DEI Upld"/>
      <sheetName val="DEO Upld"/>
      <sheetName val="CRC Corp"/>
      <sheetName val="VIE"/>
      <sheetName val="Data"/>
    </sheetNames>
    <sheetDataSet>
      <sheetData sheetId="0">
        <row r="12">
          <cell r="C12">
            <v>383150.54</v>
          </cell>
          <cell r="G12">
            <v>197428.81</v>
          </cell>
        </row>
        <row r="14">
          <cell r="G14">
            <v>40116.65</v>
          </cell>
        </row>
        <row r="24">
          <cell r="G24">
            <v>234685.55000000002</v>
          </cell>
        </row>
        <row r="55">
          <cell r="G55">
            <v>47537.69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CRC"/>
      <sheetName val="DEO"/>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CRC Upld"/>
      <sheetName val="DEK Upld"/>
      <sheetName val="DEI Upld"/>
      <sheetName val="DEO Upld"/>
      <sheetName val="CRC Corp"/>
      <sheetName val="VIE"/>
      <sheetName val="Data"/>
    </sheetNames>
    <sheetDataSet>
      <sheetData sheetId="0">
        <row r="12">
          <cell r="C12">
            <v>361543.79</v>
          </cell>
          <cell r="G12">
            <v>214797.55</v>
          </cell>
        </row>
        <row r="14">
          <cell r="G14">
            <v>42179.07</v>
          </cell>
        </row>
        <row r="24">
          <cell r="G24">
            <v>301819.66000000003</v>
          </cell>
        </row>
        <row r="55">
          <cell r="G55">
            <v>59307.31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CRC"/>
      <sheetName val="DEO"/>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CRC Upld"/>
      <sheetName val="DEK Upld"/>
      <sheetName val="DEI Upld"/>
      <sheetName val="DEO Upld"/>
      <sheetName val="CRC Corp"/>
      <sheetName val="VIE"/>
      <sheetName val="Data"/>
    </sheetNames>
    <sheetDataSet>
      <sheetData sheetId="0">
        <row r="12">
          <cell r="C12">
            <v>528950.1</v>
          </cell>
          <cell r="G12">
            <v>230775.34</v>
          </cell>
        </row>
        <row r="14">
          <cell r="G14">
            <v>33654.36</v>
          </cell>
        </row>
        <row r="24">
          <cell r="G24">
            <v>341858.38</v>
          </cell>
        </row>
        <row r="55">
          <cell r="G55">
            <v>99908.650000000009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CRC"/>
      <sheetName val="DEO"/>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CRC Upld"/>
      <sheetName val="DEK Upld"/>
      <sheetName val="DEI Upld"/>
      <sheetName val="DEO Upld"/>
      <sheetName val="CRC Corp"/>
      <sheetName val="VIE"/>
      <sheetName val="Data"/>
    </sheetNames>
    <sheetDataSet>
      <sheetData sheetId="0">
        <row r="12">
          <cell r="C12">
            <v>325190.03000000003</v>
          </cell>
          <cell r="G12">
            <v>123948.76</v>
          </cell>
        </row>
        <row r="14">
          <cell r="G14">
            <v>21775.360000000001</v>
          </cell>
        </row>
        <row r="24">
          <cell r="G24">
            <v>755008.46</v>
          </cell>
        </row>
        <row r="55">
          <cell r="G55">
            <v>53304.7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DEO"/>
      <sheetName val="CRC"/>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CRC Upld"/>
      <sheetName val="DEK Upld"/>
      <sheetName val="DEI Upld"/>
      <sheetName val="DEO Upld"/>
      <sheetName val="VIE"/>
      <sheetName val="Data"/>
    </sheetNames>
    <sheetDataSet>
      <sheetData sheetId="0">
        <row r="12">
          <cell r="C12">
            <v>531044.67000000004</v>
          </cell>
          <cell r="G12">
            <v>176454.69</v>
          </cell>
        </row>
        <row r="14">
          <cell r="G14">
            <v>32616.37</v>
          </cell>
        </row>
        <row r="24">
          <cell r="G24">
            <v>187027.64</v>
          </cell>
        </row>
        <row r="55">
          <cell r="G55">
            <v>71891.17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DEO"/>
      <sheetName val="CRC"/>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CRC Upld"/>
      <sheetName val="DEK Upld"/>
      <sheetName val="DEI Upld"/>
      <sheetName val="DEO Upld"/>
      <sheetName val="VIE"/>
      <sheetName val="Data"/>
    </sheetNames>
    <sheetDataSet>
      <sheetData sheetId="0">
        <row r="12">
          <cell r="C12">
            <v>485491.44</v>
          </cell>
          <cell r="G12">
            <v>125948.96</v>
          </cell>
        </row>
        <row r="14">
          <cell r="G14">
            <v>37880.19</v>
          </cell>
        </row>
        <row r="24">
          <cell r="G24">
            <v>269953.84999999998</v>
          </cell>
        </row>
        <row r="55">
          <cell r="G55">
            <v>53942.12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DEO"/>
      <sheetName val="CRC"/>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CRC Upld"/>
      <sheetName val="DEK Upld"/>
      <sheetName val="DEI Upld"/>
      <sheetName val="DEO Upld"/>
      <sheetName val="VIE"/>
      <sheetName val="Data"/>
    </sheetNames>
    <sheetDataSet>
      <sheetData sheetId="0">
        <row r="12">
          <cell r="C12">
            <v>524595.31999999995</v>
          </cell>
          <cell r="G12">
            <v>237307.39</v>
          </cell>
        </row>
        <row r="14">
          <cell r="G14">
            <v>108808.99</v>
          </cell>
        </row>
        <row r="24">
          <cell r="G24">
            <v>241229.96</v>
          </cell>
        </row>
        <row r="55">
          <cell r="G55">
            <v>34510.949999999997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DEO"/>
      <sheetName val="CRC"/>
      <sheetName val="DEK"/>
      <sheetName val="DEI"/>
      <sheetName val="Cinergy Corp. 75800"/>
      <sheetName val="Tie-Out 123"/>
      <sheetName val="B - Rate Summary"/>
      <sheetName val="C - IN JO"/>
      <sheetName val="D - Unbilled"/>
      <sheetName val="E - OH AR Accts"/>
      <sheetName val="F - IN AR Accts"/>
      <sheetName val="G - KY AR Accts"/>
      <sheetName val="I - 0232892"/>
      <sheetName val="J - 0431300"/>
      <sheetName val="K - 0428100"/>
      <sheetName val="N - Check"/>
      <sheetName val="O - 0145891"/>
      <sheetName val="P - OH Chargeoff%"/>
      <sheetName val="CRC Upld"/>
      <sheetName val="DEK Upld"/>
      <sheetName val="DEI Upld"/>
      <sheetName val="DEO Upld"/>
      <sheetName val="VIE"/>
      <sheetName val="Data"/>
    </sheetNames>
    <sheetDataSet>
      <sheetData sheetId="0">
        <row r="12">
          <cell r="C12">
            <v>365764.09</v>
          </cell>
          <cell r="G12">
            <v>189116.12</v>
          </cell>
        </row>
        <row r="14">
          <cell r="G14">
            <v>96073.15</v>
          </cell>
        </row>
        <row r="24">
          <cell r="G24">
            <v>213972.42</v>
          </cell>
        </row>
        <row r="55">
          <cell r="G55">
            <v>53708.67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hyperlink" Target="https://www.newyorkfed.org/markets/reference-rates/sofr"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CH25"/>
  <sheetViews>
    <sheetView tabSelected="1" view="pageLayout" topLeftCell="BV1" zoomScaleNormal="90" zoomScaleSheetLayoutView="75" workbookViewId="0">
      <selection activeCell="CA87" sqref="CA87"/>
    </sheetView>
  </sheetViews>
  <sheetFormatPr defaultColWidth="14.85546875" defaultRowHeight="12.75" outlineLevelCol="1" x14ac:dyDescent="0.2"/>
  <cols>
    <col min="1" max="1" width="5.28515625" customWidth="1"/>
    <col min="2" max="2" width="34.42578125" bestFit="1" customWidth="1"/>
    <col min="3" max="5" width="10.140625" hidden="1" customWidth="1" outlineLevel="1"/>
    <col min="6" max="6" width="10.140625" hidden="1" customWidth="1" outlineLevel="1" collapsed="1"/>
    <col min="7" max="10" width="10.140625" hidden="1" customWidth="1" outlineLevel="1"/>
    <col min="11" max="11" width="10.140625" hidden="1" customWidth="1" outlineLevel="1" collapsed="1"/>
    <col min="12" max="14" width="10.140625" hidden="1" customWidth="1" outlineLevel="1"/>
    <col min="15" max="17" width="12.28515625" hidden="1" customWidth="1" outlineLevel="1"/>
    <col min="18" max="18" width="12.28515625" hidden="1" customWidth="1" outlineLevel="1" collapsed="1"/>
    <col min="19" max="19" width="12.28515625" hidden="1" customWidth="1" outlineLevel="1"/>
    <col min="20" max="22" width="12.28515625" hidden="1" customWidth="1" outlineLevel="1" collapsed="1"/>
    <col min="23" max="24" width="12.28515625" hidden="1" customWidth="1" outlineLevel="1"/>
    <col min="25" max="25" width="12.28515625" hidden="1" customWidth="1" outlineLevel="1" collapsed="1"/>
    <col min="26" max="29" width="12.28515625" hidden="1" customWidth="1" outlineLevel="1"/>
    <col min="30" max="30" width="12.28515625" hidden="1" customWidth="1" outlineLevel="1" collapsed="1"/>
    <col min="31" max="32" width="12.28515625" hidden="1" customWidth="1" outlineLevel="1"/>
    <col min="33" max="33" width="12.28515625" hidden="1" customWidth="1" outlineLevel="1" collapsed="1"/>
    <col min="34" max="35" width="12.28515625" hidden="1" customWidth="1" outlineLevel="1"/>
    <col min="36" max="36" width="12.28515625" hidden="1" customWidth="1" outlineLevel="1" collapsed="1"/>
    <col min="37" max="47" width="12.28515625" hidden="1" customWidth="1" outlineLevel="1"/>
    <col min="48" max="48" width="12.28515625" hidden="1" customWidth="1" outlineLevel="1" collapsed="1"/>
    <col min="49" max="59" width="12.28515625" hidden="1" customWidth="1" outlineLevel="1"/>
    <col min="60" max="60" width="12.28515625" hidden="1" customWidth="1" outlineLevel="1" collapsed="1"/>
    <col min="61" max="61" width="12.28515625" hidden="1" customWidth="1" outlineLevel="1"/>
    <col min="62" max="62" width="12.28515625" hidden="1" customWidth="1" collapsed="1"/>
    <col min="63" max="67" width="12.28515625" hidden="1" customWidth="1"/>
    <col min="68" max="69" width="11.28515625" hidden="1" customWidth="1"/>
    <col min="70" max="71" width="8.5703125" hidden="1" customWidth="1"/>
    <col min="72" max="72" width="8.85546875" hidden="1" customWidth="1"/>
    <col min="73" max="73" width="10.5703125" customWidth="1"/>
  </cols>
  <sheetData>
    <row r="3" spans="1:86" x14ac:dyDescent="0.2">
      <c r="A3" s="7" t="s">
        <v>44</v>
      </c>
      <c r="C3" s="9">
        <v>42795</v>
      </c>
      <c r="D3" s="9">
        <v>42826</v>
      </c>
      <c r="E3" s="9">
        <v>42856</v>
      </c>
      <c r="F3" s="9">
        <v>42887</v>
      </c>
      <c r="G3" s="9">
        <v>42917</v>
      </c>
      <c r="H3" s="9">
        <v>42948</v>
      </c>
      <c r="I3" s="9">
        <v>42979</v>
      </c>
      <c r="J3" s="9">
        <v>43009</v>
      </c>
      <c r="K3" s="9">
        <v>43040</v>
      </c>
      <c r="L3" s="9">
        <v>43070</v>
      </c>
      <c r="M3" s="9">
        <v>43101</v>
      </c>
      <c r="N3" s="9">
        <v>43132</v>
      </c>
      <c r="O3" s="9">
        <v>43160</v>
      </c>
      <c r="P3" s="9">
        <v>43191</v>
      </c>
      <c r="Q3" s="9">
        <v>43221</v>
      </c>
      <c r="R3" s="76">
        <v>43252</v>
      </c>
      <c r="S3" s="76">
        <v>43282</v>
      </c>
      <c r="T3" s="76">
        <v>43313</v>
      </c>
      <c r="U3" s="76">
        <v>43344</v>
      </c>
      <c r="V3" s="76">
        <v>43374</v>
      </c>
      <c r="W3" s="76">
        <v>43405</v>
      </c>
      <c r="X3" s="76">
        <v>43435</v>
      </c>
      <c r="Y3" s="76">
        <v>43466</v>
      </c>
      <c r="Z3" s="76">
        <v>43497</v>
      </c>
      <c r="AA3" s="76">
        <v>43525</v>
      </c>
      <c r="AB3" s="76">
        <v>43556</v>
      </c>
      <c r="AC3" s="76">
        <v>43586</v>
      </c>
      <c r="AD3" s="76">
        <v>43617</v>
      </c>
      <c r="AE3" s="76">
        <v>43647</v>
      </c>
      <c r="AF3" s="76">
        <v>43678</v>
      </c>
      <c r="AG3" s="76">
        <v>43709</v>
      </c>
      <c r="AH3" s="76">
        <v>43739</v>
      </c>
      <c r="AI3" s="76">
        <v>43770</v>
      </c>
      <c r="AJ3" s="76">
        <v>43800</v>
      </c>
      <c r="AK3" s="76">
        <v>43831</v>
      </c>
      <c r="AL3" s="76">
        <v>43862</v>
      </c>
      <c r="AM3" s="76">
        <v>43891</v>
      </c>
      <c r="AN3" s="76">
        <v>43922</v>
      </c>
      <c r="AO3" s="76">
        <v>43952</v>
      </c>
      <c r="AP3" s="76">
        <v>43983</v>
      </c>
      <c r="AQ3" s="76">
        <v>44013</v>
      </c>
      <c r="AR3" s="76">
        <v>44044</v>
      </c>
      <c r="AS3" s="76">
        <v>44075</v>
      </c>
      <c r="AT3" s="76">
        <v>44105</v>
      </c>
      <c r="AU3" s="76">
        <v>44136</v>
      </c>
      <c r="AV3" s="76">
        <v>44166</v>
      </c>
      <c r="AW3" s="76">
        <v>44197</v>
      </c>
      <c r="AX3" s="76">
        <v>44228</v>
      </c>
      <c r="AY3" s="76">
        <v>44256</v>
      </c>
      <c r="AZ3" s="76">
        <v>44287</v>
      </c>
      <c r="BA3" s="76">
        <v>44317</v>
      </c>
      <c r="BB3" s="76">
        <v>44348</v>
      </c>
      <c r="BC3" s="76">
        <v>44378</v>
      </c>
      <c r="BD3" s="76">
        <v>44409</v>
      </c>
      <c r="BE3" s="76">
        <v>44440</v>
      </c>
      <c r="BF3" s="76">
        <v>44470</v>
      </c>
      <c r="BG3" s="76">
        <v>44501</v>
      </c>
      <c r="BH3" s="76">
        <v>44531</v>
      </c>
      <c r="BI3" s="76">
        <v>44562</v>
      </c>
      <c r="BJ3" s="76">
        <v>44593</v>
      </c>
      <c r="BK3" s="76">
        <v>44621</v>
      </c>
      <c r="BL3" s="76">
        <v>44652</v>
      </c>
      <c r="BM3" s="76">
        <v>44682</v>
      </c>
      <c r="BN3" s="76">
        <v>44713</v>
      </c>
      <c r="BO3" s="76">
        <v>44743</v>
      </c>
      <c r="BP3" s="76">
        <v>44774</v>
      </c>
      <c r="BQ3" s="76">
        <v>44805</v>
      </c>
      <c r="BR3" s="76">
        <v>44835</v>
      </c>
      <c r="BS3" s="76">
        <v>44866</v>
      </c>
      <c r="BT3" s="76">
        <v>44896</v>
      </c>
      <c r="BU3" s="76">
        <v>44927</v>
      </c>
      <c r="BV3" s="76">
        <v>44958</v>
      </c>
      <c r="BW3" s="76">
        <v>44986</v>
      </c>
      <c r="BX3" s="76">
        <v>45017</v>
      </c>
      <c r="BY3" s="76">
        <v>45047</v>
      </c>
      <c r="BZ3" s="76">
        <v>45078</v>
      </c>
      <c r="CA3" s="76">
        <v>45108</v>
      </c>
      <c r="CB3" s="76">
        <v>45139</v>
      </c>
      <c r="CC3" s="76">
        <v>45170</v>
      </c>
      <c r="CD3" s="76">
        <v>45200</v>
      </c>
      <c r="CE3" s="76">
        <v>45231</v>
      </c>
      <c r="CF3" s="76">
        <v>45261</v>
      </c>
      <c r="CG3" s="76">
        <v>45292</v>
      </c>
      <c r="CH3" s="76">
        <v>45323</v>
      </c>
    </row>
    <row r="4" spans="1:86" x14ac:dyDescent="0.2">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row>
    <row r="5" spans="1:86" x14ac:dyDescent="0.2">
      <c r="B5" s="31" t="s">
        <v>58</v>
      </c>
      <c r="C5" s="60">
        <v>5.0000000000000001E-4</v>
      </c>
      <c r="D5" s="60">
        <v>5.0000000000000001E-4</v>
      </c>
      <c r="E5" s="60">
        <v>5.0000000000000001E-4</v>
      </c>
      <c r="F5" s="60">
        <v>5.0000000000000001E-4</v>
      </c>
      <c r="G5" s="60">
        <v>5.0000000000000001E-4</v>
      </c>
      <c r="H5" s="60">
        <v>5.0000000000000001E-4</v>
      </c>
      <c r="I5" s="60">
        <v>5.0000000000000001E-4</v>
      </c>
      <c r="J5" s="60">
        <v>5.0000000000000001E-4</v>
      </c>
      <c r="K5" s="60">
        <v>5.0000000000000001E-4</v>
      </c>
      <c r="L5" s="60">
        <v>5.0000000000000001E-4</v>
      </c>
      <c r="M5" s="60">
        <v>5.0000000000000001E-4</v>
      </c>
      <c r="N5" s="60">
        <v>5.0000000000000001E-4</v>
      </c>
      <c r="O5" s="60">
        <v>5.0000000000000001E-4</v>
      </c>
      <c r="P5" s="60">
        <v>5.0000000000000001E-4</v>
      </c>
      <c r="Q5" s="60">
        <v>5.0000000000000001E-4</v>
      </c>
      <c r="R5" s="60">
        <v>5.0000000000000001E-4</v>
      </c>
      <c r="S5" s="60">
        <v>5.0000000000000001E-4</v>
      </c>
      <c r="T5" s="60">
        <v>5.0000000000000001E-4</v>
      </c>
      <c r="U5" s="60">
        <v>5.0000000000000001E-4</v>
      </c>
      <c r="V5" s="60">
        <v>5.0000000000000001E-4</v>
      </c>
      <c r="W5" s="60">
        <v>5.0000000000000001E-4</v>
      </c>
      <c r="X5" s="60">
        <v>5.0000000000000001E-4</v>
      </c>
      <c r="Y5" s="60">
        <v>5.0000000000000001E-4</v>
      </c>
      <c r="Z5" s="60">
        <v>5.0000000000000001E-4</v>
      </c>
      <c r="AA5" s="60">
        <v>5.0000000000000001E-4</v>
      </c>
      <c r="AB5" s="60">
        <v>5.0000000000000001E-4</v>
      </c>
      <c r="AC5" s="60">
        <v>5.0000000000000001E-4</v>
      </c>
      <c r="AD5" s="60">
        <v>5.0000000000000001E-4</v>
      </c>
      <c r="AE5" s="60">
        <v>5.0000000000000001E-4</v>
      </c>
      <c r="AF5" s="60">
        <v>5.0000000000000001E-4</v>
      </c>
      <c r="AG5" s="60">
        <v>5.0000000000000001E-4</v>
      </c>
      <c r="AH5" s="60">
        <v>5.0000000000000001E-4</v>
      </c>
      <c r="AI5" s="60">
        <v>5.0000000000000001E-4</v>
      </c>
      <c r="AJ5" s="60">
        <v>5.0000000000000001E-4</v>
      </c>
      <c r="AK5" s="60">
        <v>5.0000000000000001E-4</v>
      </c>
      <c r="AL5" s="60">
        <v>5.0000000000000001E-4</v>
      </c>
      <c r="AM5" s="60">
        <v>5.0000000000000001E-4</v>
      </c>
      <c r="AN5" s="60">
        <v>5.0000000000000001E-4</v>
      </c>
      <c r="AO5" s="60">
        <v>5.0000000000000001E-4</v>
      </c>
      <c r="AP5" s="60">
        <v>5.0000000000000001E-4</v>
      </c>
      <c r="AQ5" s="60">
        <v>5.0000000000000001E-4</v>
      </c>
      <c r="AR5" s="60">
        <v>5.0000000000000001E-4</v>
      </c>
      <c r="AS5" s="60">
        <v>5.0000000000000001E-4</v>
      </c>
      <c r="AT5" s="60">
        <v>5.0000000000000001E-4</v>
      </c>
      <c r="AU5" s="60">
        <v>5.0000000000000001E-4</v>
      </c>
      <c r="AV5" s="60">
        <v>5.0000000000000001E-4</v>
      </c>
      <c r="AW5" s="60">
        <v>5.0000000000000001E-4</v>
      </c>
      <c r="AX5" s="60">
        <v>5.0000000000000001E-4</v>
      </c>
      <c r="AY5" s="60">
        <v>5.0000000000000001E-4</v>
      </c>
      <c r="AZ5" s="60">
        <v>5.0000000000000001E-4</v>
      </c>
      <c r="BA5" s="60">
        <v>5.0000000000000001E-4</v>
      </c>
      <c r="BB5" s="60">
        <v>5.0000000000000001E-4</v>
      </c>
      <c r="BC5" s="60">
        <v>5.0000000000000001E-4</v>
      </c>
      <c r="BD5" s="60">
        <v>5.0000000000000001E-4</v>
      </c>
      <c r="BE5" s="60">
        <v>5.0000000000000001E-4</v>
      </c>
      <c r="BF5" s="60">
        <v>5.0000000000000001E-4</v>
      </c>
      <c r="BG5" s="60">
        <v>5.0000000000000001E-4</v>
      </c>
      <c r="BH5" s="60">
        <v>5.0000000000000001E-4</v>
      </c>
      <c r="BI5" s="60">
        <v>5.0000000000000001E-4</v>
      </c>
      <c r="BJ5" s="60">
        <v>5.0000000000000001E-4</v>
      </c>
      <c r="BK5" s="60">
        <v>5.0000000000000001E-4</v>
      </c>
      <c r="BL5" s="60">
        <v>5.0000000000000001E-4</v>
      </c>
      <c r="BM5" s="60">
        <v>5.0000000000000001E-4</v>
      </c>
      <c r="BN5" s="60">
        <v>5.0000000000000001E-4</v>
      </c>
      <c r="BO5" s="60">
        <v>5.0000000000000001E-4</v>
      </c>
      <c r="BP5" s="60">
        <v>5.0000000000000001E-4</v>
      </c>
      <c r="BQ5" s="60">
        <v>5.0000000000000001E-4</v>
      </c>
      <c r="BR5" s="60">
        <v>5.0000000000000001E-4</v>
      </c>
      <c r="BS5" s="60">
        <v>5.0000000000000001E-4</v>
      </c>
      <c r="BT5" s="60">
        <v>5.0000000000000001E-4</v>
      </c>
      <c r="BU5" s="60">
        <v>5.0000000000000001E-4</v>
      </c>
      <c r="BV5" s="60">
        <v>5.0000000000000001E-4</v>
      </c>
      <c r="BW5" s="60">
        <v>5.0000000000000001E-4</v>
      </c>
      <c r="BX5" s="60">
        <v>5.0000000000000001E-4</v>
      </c>
      <c r="BY5" s="60">
        <v>5.0000000000000001E-4</v>
      </c>
      <c r="BZ5" s="60">
        <v>5.0000000000000001E-4</v>
      </c>
      <c r="CA5" s="60">
        <v>5.0000000000000001E-4</v>
      </c>
      <c r="CB5" s="60">
        <v>5.0000000000000001E-4</v>
      </c>
      <c r="CC5" s="60">
        <v>5.0000000000000001E-4</v>
      </c>
      <c r="CD5" s="60">
        <v>5.0000000000000001E-4</v>
      </c>
      <c r="CE5" s="60">
        <v>5.0000000000000001E-4</v>
      </c>
      <c r="CF5" s="60">
        <v>5.0000000000000001E-4</v>
      </c>
      <c r="CG5" s="60">
        <v>5.0000000000000001E-4</v>
      </c>
      <c r="CH5" s="60">
        <v>5.0000000000000001E-4</v>
      </c>
    </row>
    <row r="6" spans="1:86" x14ac:dyDescent="0.2">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row>
    <row r="7" spans="1:86" x14ac:dyDescent="0.2">
      <c r="B7" s="35" t="s">
        <v>36</v>
      </c>
      <c r="C7" s="36">
        <f>IF('Rate Calculation'!C11&gt;0,'Rate Calculation'!C11," ")</f>
        <v>1.7888899999999999E-2</v>
      </c>
      <c r="D7" s="36">
        <f>IF('Rate Calculation'!D11&gt;0,'Rate Calculation'!D11," ")</f>
        <v>1.9827890000000001E-2</v>
      </c>
      <c r="E7" s="36">
        <f>IF('Rate Calculation'!E11&gt;0,'Rate Calculation'!E11," ")</f>
        <v>1.9950000000000002E-2</v>
      </c>
      <c r="F7" s="36">
        <f>IF('Rate Calculation'!F11&gt;0,'Rate Calculation'!F11," ")</f>
        <v>2.0603299999999998E-2</v>
      </c>
      <c r="G7" s="36">
        <f>IF('Rate Calculation'!G11&gt;0,'Rate Calculation'!G11," ")</f>
        <v>2.2238899999999999E-2</v>
      </c>
      <c r="H7" s="36">
        <f>IF('Rate Calculation'!H11&gt;0,'Rate Calculation'!H11," ")</f>
        <v>2.2316700000000002E-2</v>
      </c>
      <c r="I7" s="36">
        <f>IF('Rate Calculation'!I11&gt;0,'Rate Calculation'!I11," ")</f>
        <v>2.2316700000000002E-2</v>
      </c>
      <c r="J7" s="36">
        <f>IF('Rate Calculation'!J11&gt;0,'Rate Calculation'!J11," ")</f>
        <v>2.23222E-2</v>
      </c>
      <c r="K7" s="36">
        <f>IF('Rate Calculation'!K11&gt;0,'Rate Calculation'!K11," ")</f>
        <v>2.24333E-2</v>
      </c>
      <c r="L7" s="36">
        <f>IF('Rate Calculation'!L11&gt;0,'Rate Calculation'!L11," ")</f>
        <v>2.3718799999999998E-2</v>
      </c>
      <c r="M7" s="36">
        <f>IF('Rate Calculation'!M11&gt;0,'Rate Calculation'!M11," ")</f>
        <v>2.5642499999999999E-2</v>
      </c>
      <c r="N7" s="36">
        <f>IF('Rate Calculation'!N11&gt;0,'Rate Calculation'!N11," ")</f>
        <v>2.5797E-2</v>
      </c>
      <c r="O7" s="36">
        <f>IF('Rate Calculation'!O11&gt;0,'Rate Calculation'!O11," ")</f>
        <v>2.6700700000000001E-2</v>
      </c>
      <c r="P7" s="36">
        <f>IF('Rate Calculation'!P11&gt;0,'Rate Calculation'!P11," ")</f>
        <v>2.8831299999999997E-2</v>
      </c>
      <c r="Q7" s="36">
        <f>IF('Rate Calculation'!Q11&gt;0,'Rate Calculation'!Q11," ")</f>
        <v>2.90932E-2</v>
      </c>
      <c r="R7" s="36">
        <f>IF('Rate Calculation'!R11&gt;0,'Rate Calculation'!R11," ")</f>
        <v>3.0006999999999999E-2</v>
      </c>
      <c r="S7" s="36">
        <f>IF('Rate Calculation'!S11&gt;0,'Rate Calculation'!S11," ")</f>
        <v>3.0902499999999999E-2</v>
      </c>
      <c r="T7" s="36">
        <f>IF('Rate Calculation'!T11&gt;0,'Rate Calculation'!T11," ")</f>
        <v>3.0813800000000002E-2</v>
      </c>
      <c r="U7" s="36">
        <f>IF('Rate Calculation'!U11&gt;0,'Rate Calculation'!U11," ")</f>
        <v>3.1137499999999999E-2</v>
      </c>
      <c r="V7" s="36">
        <f>IF('Rate Calculation'!V11&gt;0,'Rate Calculation'!V11," ")</f>
        <v>3.2605599999999998E-2</v>
      </c>
      <c r="W7" s="36">
        <f>IF('Rate Calculation'!W11&gt;0,'Rate Calculation'!W11," ")</f>
        <v>3.3068800000000002E-2</v>
      </c>
      <c r="X7" s="36">
        <v>3.3469400000000003E-2</v>
      </c>
      <c r="Y7" s="36">
        <v>3.50269E-2</v>
      </c>
      <c r="Z7" s="36">
        <v>3.5137500000000002E-2</v>
      </c>
      <c r="AA7" s="36">
        <v>3.4903799999999999E-2</v>
      </c>
      <c r="AB7" s="36">
        <v>3.4944999999999997E-2</v>
      </c>
      <c r="AC7" s="36">
        <v>3.4805000000000003E-2</v>
      </c>
      <c r="AD7" s="36">
        <v>3.4305000000000002E-2</v>
      </c>
      <c r="AE7" s="36">
        <v>3.3980000000000003E-2</v>
      </c>
      <c r="AF7" s="36">
        <v>3.22425E-2</v>
      </c>
      <c r="AG7" s="36">
        <v>3.0890000000000001E-2</v>
      </c>
      <c r="AH7" s="36">
        <f>IF('Rate Calculation'!AH11&gt;0,'Rate Calculation'!AH11," ")</f>
        <v>3.0156299999999997E-2</v>
      </c>
      <c r="AI7" s="36">
        <f>IF('Rate Calculation'!AI11&gt;0,'Rate Calculation'!AI11," ")</f>
        <v>2.78488E-2</v>
      </c>
      <c r="AJ7" s="36">
        <f>IF('Rate Calculation'!AJ11&gt;0,'Rate Calculation'!AJ11," ")</f>
        <v>2.6971300000000004E-2</v>
      </c>
      <c r="AK7" s="36">
        <f>IF('Rate Calculation'!AK11&gt;0,'Rate Calculation'!AK11," ")</f>
        <v>2.7624999999999997E-2</v>
      </c>
      <c r="AL7" s="36">
        <f>IF('Rate Calculation'!AL11&gt;0,'Rate Calculation'!AL11," ")</f>
        <v>2.6618799999999998E-2</v>
      </c>
      <c r="AM7" s="36">
        <f>IF('Rate Calculation'!AM11&gt;0,'Rate Calculation'!AM11," ")</f>
        <v>2.5152500000000001E-2</v>
      </c>
      <c r="AN7" s="36">
        <f>IF('Rate Calculation'!AN11&gt;0,'Rate Calculation'!AN11," ")</f>
        <v>1.99288E-2</v>
      </c>
      <c r="AO7" s="36">
        <f>IF('Rate Calculation'!AO11&gt;0,'Rate Calculation'!AO11," ")</f>
        <v>1.32963E-2</v>
      </c>
      <c r="AP7" s="36">
        <f>IF('Rate Calculation'!AP11&gt;0,'Rate Calculation'!AP11," ")</f>
        <v>1.1825E-2</v>
      </c>
      <c r="AQ7" s="36">
        <v>1.1622500000000001E-2</v>
      </c>
      <c r="AR7" s="36">
        <v>1.15488E-2</v>
      </c>
      <c r="AS7" s="36">
        <v>1.15675E-2</v>
      </c>
      <c r="AT7" s="36">
        <v>1.14825E-2</v>
      </c>
      <c r="AU7" s="36">
        <v>1.1402499999999999E-2</v>
      </c>
      <c r="AV7" s="36">
        <f>IF('Rate Calculation'!AV11&gt;0,'Rate Calculation'!AV11," ")</f>
        <v>1.15338E-2</v>
      </c>
      <c r="AW7" s="36">
        <v>1.1438800000000001E-2</v>
      </c>
      <c r="AX7" s="36">
        <v>1.1195E-2</v>
      </c>
      <c r="AY7" s="36">
        <v>1.1185E-2</v>
      </c>
      <c r="AZ7" s="36">
        <v>1.1111300000000001E-2</v>
      </c>
      <c r="BA7" s="36">
        <v>1.1072500000000001E-2</v>
      </c>
      <c r="BB7" s="36">
        <v>1.08588E-2</v>
      </c>
      <c r="BC7" s="36">
        <v>1.1005000000000001E-2</v>
      </c>
      <c r="BD7" s="36">
        <v>1.0905E-2</v>
      </c>
      <c r="BE7" s="36">
        <v>1.0825E-2</v>
      </c>
      <c r="BF7" s="36">
        <v>1.08025E-2</v>
      </c>
      <c r="BG7" s="36">
        <v>1.0875000000000001E-2</v>
      </c>
      <c r="BH7" s="36">
        <v>1.094E-2</v>
      </c>
      <c r="BI7" s="36">
        <v>1.10125E-2</v>
      </c>
      <c r="BJ7" s="36">
        <v>1.10686E-2</v>
      </c>
      <c r="BK7" s="36">
        <v>1.24143E-2</v>
      </c>
      <c r="BL7" s="36">
        <v>1.452E-2</v>
      </c>
      <c r="BM7" s="36">
        <v>1.8032900000000001E-2</v>
      </c>
      <c r="BN7" s="36">
        <v>2.1198599999999998E-2</v>
      </c>
      <c r="BO7" s="36">
        <v>2.7867099999999999E-2</v>
      </c>
      <c r="BP7" s="36">
        <v>3.3622899999999997E-2</v>
      </c>
      <c r="BQ7" s="36">
        <v>3.5534299999999998E-2</v>
      </c>
      <c r="BR7" s="36">
        <v>4.1427100000000001E-2</v>
      </c>
      <c r="BS7" s="36">
        <v>4.8048600000000004E-2</v>
      </c>
      <c r="BT7" s="36">
        <v>5.142E-2</v>
      </c>
      <c r="BU7" s="36">
        <v>5.3915700000000004E-2</v>
      </c>
      <c r="BV7" s="36">
        <v>5.5742900000000005E-2</v>
      </c>
      <c r="BW7" s="36">
        <f>IF('Rate Calculation'!BW11&gt;0,'Rate Calculation'!BW11," ")</f>
        <v>5.6694300000000003E-2</v>
      </c>
      <c r="BX7" s="36">
        <f>IF('Rate Calculation'!BX11&gt;0,'Rate Calculation'!BX11," ")</f>
        <v>5.85771E-2</v>
      </c>
      <c r="BY7" s="36">
        <f>IF('Rate Calculation'!BY11&gt;0,'Rate Calculation'!BY11," ")</f>
        <v>6.0621399999999999E-2</v>
      </c>
      <c r="BZ7" s="36">
        <f>IF('Rate Calculation'!BZ11&gt;0,'Rate Calculation'!BZ11," ")</f>
        <v>6.1929999999999999E-2</v>
      </c>
      <c r="CA7" s="36">
        <f>IF('Rate Calculation'!CA11&gt;0,'Rate Calculation'!CA11," ")</f>
        <v>6.2171000000000004E-2</v>
      </c>
      <c r="CB7" s="36">
        <f>IF('Rate Calculation'!CB11&gt;0,'Rate Calculation'!CB11," ")</f>
        <v>6.3100000000000003E-2</v>
      </c>
      <c r="CC7" s="36">
        <f>IF('Rate Calculation'!CC11&gt;0,'Rate Calculation'!CC11," ")</f>
        <v>6.3100000000000003E-2</v>
      </c>
      <c r="CD7" s="36">
        <f>IF('Rate Calculation'!CD11&gt;0,'Rate Calculation'!CD11," ")</f>
        <v>6.3500000000000001E-2</v>
      </c>
      <c r="CE7" s="36">
        <f>IF('Rate Calculation'!CE11&gt;0,'Rate Calculation'!CE11," ")</f>
        <v>6.3299999999999995E-2</v>
      </c>
      <c r="CF7" s="36">
        <f>IF('Rate Calculation'!CF11&gt;0,'Rate Calculation'!CF11," ")</f>
        <v>6.3799999999999996E-2</v>
      </c>
      <c r="CG7" s="36">
        <f>IF('Rate Calculation'!CG11&gt;0,'Rate Calculation'!CG11," ")</f>
        <v>6.3199999999999992E-2</v>
      </c>
      <c r="CH7" s="36">
        <f>IF('Rate Calculation'!CH11&gt;0,'Rate Calculation'!CH11," ")</f>
        <v>6.3199999999999992E-2</v>
      </c>
    </row>
    <row r="8" spans="1:86" x14ac:dyDescent="0.2">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row>
    <row r="9" spans="1:86" x14ac:dyDescent="0.2">
      <c r="A9" s="1" t="s">
        <v>77</v>
      </c>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row>
    <row r="10" spans="1:86" ht="13.5" thickBot="1" x14ac:dyDescent="0.25"/>
    <row r="11" spans="1:86" ht="13.5" thickBot="1" x14ac:dyDescent="0.25">
      <c r="A11" s="39" t="s">
        <v>75</v>
      </c>
      <c r="B11" s="40"/>
      <c r="C11" s="41">
        <f>IF('Rate Calculation'!C30&gt;0,'Rate Calculation'!C32," ")</f>
        <v>3.8E-3</v>
      </c>
      <c r="D11" s="41">
        <f>IF('Rate Calculation'!D30&gt;0,'Rate Calculation'!D32," ")</f>
        <v>4.1000000000000003E-3</v>
      </c>
      <c r="E11" s="41">
        <f>IF('Rate Calculation'!E30&gt;0,'Rate Calculation'!E32," ")</f>
        <v>4.1000000000000003E-3</v>
      </c>
      <c r="F11" s="41">
        <f>IF('Rate Calculation'!F30&gt;0,'Rate Calculation'!F32," ")</f>
        <v>4.3E-3</v>
      </c>
      <c r="G11" s="41">
        <f>IF('Rate Calculation'!G30&gt;0,'Rate Calculation'!G32," ")</f>
        <v>4.4999999999999997E-3</v>
      </c>
      <c r="H11" s="41">
        <f>IF('Rate Calculation'!H30&gt;0,'Rate Calculation'!H32," ")</f>
        <v>4.4999999999999997E-3</v>
      </c>
      <c r="I11" s="41">
        <f>IF('Rate Calculation'!I30&gt;0,'Rate Calculation'!I32," ")</f>
        <v>4.4000000000000003E-3</v>
      </c>
      <c r="J11" s="41">
        <f>IF('Rate Calculation'!J30&gt;0,'Rate Calculation'!J32," ")</f>
        <v>4.1999999999999997E-3</v>
      </c>
      <c r="K11" s="41">
        <f>IF('Rate Calculation'!K30&gt;0,'Rate Calculation'!K32," ")</f>
        <v>4.1000000000000003E-3</v>
      </c>
      <c r="L11" s="41">
        <f>IF('Rate Calculation'!L30&gt;0,'Rate Calculation'!L32," ")</f>
        <v>4.1000000000000003E-3</v>
      </c>
      <c r="M11" s="41">
        <f>IF('Rate Calculation'!M30&gt;0,'Rate Calculation'!M32," ")</f>
        <v>4.4000000000000003E-3</v>
      </c>
      <c r="N11" s="41">
        <f>IF('Rate Calculation'!N30&gt;0,'Rate Calculation'!N32," ")</f>
        <v>4.4000000000000003E-3</v>
      </c>
      <c r="O11" s="41">
        <f>IF('Rate Calculation'!O30&gt;0,'Rate Calculation'!O32," ")</f>
        <v>4.4999999999999997E-3</v>
      </c>
      <c r="P11" s="41">
        <f>IF('Rate Calculation'!P30&gt;0,'Rate Calculation'!P32," ")</f>
        <v>4.5999999999999999E-3</v>
      </c>
      <c r="Q11" s="41">
        <f>IF('Rate Calculation'!Q30&gt;0,'Rate Calculation'!Q32," ")</f>
        <v>4.7000000000000002E-3</v>
      </c>
      <c r="R11" s="41">
        <f>IF('Rate Calculation'!R30&gt;0,'Rate Calculation'!R32," ")</f>
        <v>4.7999999999999996E-3</v>
      </c>
      <c r="S11" s="41">
        <f>IF('Rate Calculation'!S30&gt;0,'Rate Calculation'!S32," ")</f>
        <v>4.8999999999999998E-3</v>
      </c>
      <c r="T11" s="41">
        <f>IF('Rate Calculation'!T30&gt;0,'Rate Calculation'!T32," ")</f>
        <v>5.0000000000000001E-3</v>
      </c>
      <c r="U11" s="41">
        <f>IF('Rate Calculation'!U30&gt;0,'Rate Calculation'!U32," ")</f>
        <v>5.0000000000000001E-3</v>
      </c>
      <c r="V11" s="41">
        <f>IF('Rate Calculation'!V30&gt;0,'Rate Calculation'!V32," ")</f>
        <v>5.1000000000000004E-3</v>
      </c>
      <c r="W11" s="41">
        <f>IF('Rate Calculation'!W30&gt;0,'Rate Calculation'!W32," ")</f>
        <v>5.1000000000000004E-3</v>
      </c>
      <c r="X11" s="41">
        <v>5.0000000000000001E-3</v>
      </c>
      <c r="Y11" s="41">
        <v>5.1999999999999998E-3</v>
      </c>
      <c r="Z11" s="41">
        <v>5.1999999999999998E-3</v>
      </c>
      <c r="AA11" s="41">
        <v>5.1000000000000004E-3</v>
      </c>
      <c r="AB11" s="41">
        <v>5.1000000000000004E-3</v>
      </c>
      <c r="AC11" s="41">
        <v>5.1999999999999998E-3</v>
      </c>
      <c r="AD11" s="41">
        <v>5.1000000000000004E-3</v>
      </c>
      <c r="AE11" s="41">
        <v>5.1000000000000004E-3</v>
      </c>
      <c r="AF11" s="41">
        <v>4.8999999999999998E-3</v>
      </c>
      <c r="AG11" s="41">
        <v>4.7999999999999996E-3</v>
      </c>
      <c r="AH11" s="41">
        <f>IF('Rate Calculation'!AH30&gt;0,'Rate Calculation'!AH32," ")</f>
        <v>4.7000000000000002E-3</v>
      </c>
      <c r="AI11" s="41">
        <f>IF('Rate Calculation'!AI30&gt;0,'Rate Calculation'!AI32," ")</f>
        <v>4.4000000000000003E-3</v>
      </c>
      <c r="AJ11" s="41">
        <f>IF('Rate Calculation'!AJ30&gt;0,'Rate Calculation'!AJ32," ")</f>
        <v>4.3E-3</v>
      </c>
      <c r="AK11" s="41">
        <f>IF('Rate Calculation'!AK30&gt;0,'Rate Calculation'!AK32," ")</f>
        <v>4.3E-3</v>
      </c>
      <c r="AL11" s="41">
        <f>IF('Rate Calculation'!AL30&gt;0,'Rate Calculation'!AL32," ")</f>
        <v>4.3E-3</v>
      </c>
      <c r="AM11" s="41">
        <f>IF('Rate Calculation'!AM30&gt;0,'Rate Calculation'!AM32," ")</f>
        <v>4.0000000000000001E-3</v>
      </c>
      <c r="AN11" s="41">
        <f>IF('Rate Calculation'!AN30&gt;0,'Rate Calculation'!AN32," ")</f>
        <v>3.3E-3</v>
      </c>
      <c r="AO11" s="41">
        <f>IF('Rate Calculation'!AO30&gt;0,'Rate Calculation'!AO32," ")</f>
        <v>2.5999999999999999E-3</v>
      </c>
      <c r="AP11" s="41">
        <f>IF('Rate Calculation'!AP30&gt;0,'Rate Calculation'!AP32," ")</f>
        <v>2.5000000000000001E-3</v>
      </c>
      <c r="AQ11" s="41">
        <v>2.5000000000000001E-3</v>
      </c>
      <c r="AR11" s="41">
        <v>2.5999999999999999E-3</v>
      </c>
      <c r="AS11" s="41">
        <v>2.5999999999999999E-3</v>
      </c>
      <c r="AT11" s="41">
        <v>2.7000000000000001E-3</v>
      </c>
      <c r="AU11" s="41">
        <v>2.7000000000000001E-3</v>
      </c>
      <c r="AV11" s="41">
        <f>IF('Rate Calculation'!AV30&gt;0,'Rate Calculation'!AV32," ")</f>
        <v>2.8E-3</v>
      </c>
      <c r="AW11" s="41">
        <v>2.8E-3</v>
      </c>
      <c r="AX11" s="41">
        <v>3.0000000000000001E-3</v>
      </c>
      <c r="AY11" s="41">
        <v>2.8999999999999998E-3</v>
      </c>
      <c r="AZ11" s="41">
        <v>3.0999999999999999E-3</v>
      </c>
      <c r="BA11" s="41">
        <v>3.0999999999999999E-3</v>
      </c>
      <c r="BB11" s="41">
        <v>3.2000000000000002E-3</v>
      </c>
      <c r="BC11" s="41">
        <v>3.3999999999999998E-3</v>
      </c>
      <c r="BD11" s="41">
        <v>3.3999999999999998E-3</v>
      </c>
      <c r="BE11" s="41">
        <v>3.3999999999999998E-3</v>
      </c>
      <c r="BF11" s="41">
        <v>3.3999999999999998E-3</v>
      </c>
      <c r="BG11" s="41">
        <v>3.3999999999999998E-3</v>
      </c>
      <c r="BH11" s="41">
        <v>3.3999999999999998E-3</v>
      </c>
      <c r="BI11" s="41">
        <v>3.3999999999999998E-3</v>
      </c>
      <c r="BJ11" s="41">
        <v>3.5000000000000001E-3</v>
      </c>
      <c r="BK11" s="41">
        <v>3.5999999999999999E-3</v>
      </c>
      <c r="BL11" s="41">
        <v>3.8E-3</v>
      </c>
      <c r="BM11" s="41">
        <v>4.3E-3</v>
      </c>
      <c r="BN11" s="41">
        <v>4.5999999999999999E-3</v>
      </c>
      <c r="BO11" s="41">
        <v>5.4000000000000003E-3</v>
      </c>
      <c r="BP11" s="41">
        <v>6.1000000000000004E-3</v>
      </c>
      <c r="BQ11" s="41">
        <v>6.4000000000000003E-3</v>
      </c>
      <c r="BR11" s="41">
        <v>7.1000000000000004E-3</v>
      </c>
      <c r="BS11" s="41">
        <v>7.9000000000000008E-3</v>
      </c>
      <c r="BT11" s="41">
        <v>8.6999999999999994E-3</v>
      </c>
      <c r="BU11" s="41">
        <v>9.1999999999999998E-3</v>
      </c>
      <c r="BV11" s="41">
        <v>9.5999999999999992E-3</v>
      </c>
      <c r="BW11" s="41">
        <f>IF('Rate Calculation'!BW30&gt;0,'Rate Calculation'!BW32," ")</f>
        <v>9.9000000000000008E-3</v>
      </c>
      <c r="BX11" s="41">
        <f>IF('Rate Calculation'!BX30&gt;0,'Rate Calculation'!BX32," ")</f>
        <v>1.0200000000000001E-2</v>
      </c>
      <c r="BY11" s="41">
        <f>IF('Rate Calculation'!BY30&gt;0,'Rate Calculation'!BY32," ")</f>
        <v>1.0500000000000001E-2</v>
      </c>
      <c r="BZ11" s="41">
        <f>IF('Rate Calculation'!BZ30&gt;0,'Rate Calculation'!BZ32," ")</f>
        <v>1.0699999999999999E-2</v>
      </c>
      <c r="CA11" s="41">
        <f>IF('Rate Calculation'!CA30&gt;0,'Rate Calculation'!CA32," ")</f>
        <v>1.09E-2</v>
      </c>
      <c r="CB11" s="41">
        <f>IF('Rate Calculation'!CB30&gt;0,'Rate Calculation'!CB32," ")</f>
        <v>1.0999999999999999E-2</v>
      </c>
      <c r="CC11" s="41">
        <f>IF('Rate Calculation'!CC30&gt;0,'Rate Calculation'!CC32," ")</f>
        <v>1.11E-2</v>
      </c>
      <c r="CD11" s="41">
        <f>IF('Rate Calculation'!CD30&gt;0,'Rate Calculation'!CD32," ")</f>
        <v>1.12E-2</v>
      </c>
      <c r="CE11" s="41">
        <f>IF('Rate Calculation'!CE30&gt;0,'Rate Calculation'!CE32," ")</f>
        <v>1.0999999999999999E-2</v>
      </c>
      <c r="CF11" s="41">
        <f>IF('Rate Calculation'!CF30&gt;0,'Rate Calculation'!CF32," ")</f>
        <v>1.12E-2</v>
      </c>
      <c r="CG11" s="41">
        <f>IF('Rate Calculation'!CG30&gt;0,'Rate Calculation'!CG32," ")</f>
        <v>1.12E-2</v>
      </c>
      <c r="CH11" s="41">
        <f>IF('Rate Calculation'!CH30&gt;0,'Rate Calculation'!CH32," ")</f>
        <v>1.12E-2</v>
      </c>
    </row>
    <row r="12" spans="1:86" x14ac:dyDescent="0.2">
      <c r="A12" s="39"/>
      <c r="B12" s="40"/>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row>
    <row r="13" spans="1:86" x14ac:dyDescent="0.2">
      <c r="A13" s="39"/>
      <c r="B13" s="39" t="s">
        <v>59</v>
      </c>
      <c r="C13" s="4">
        <f>IF('Rate Calculation'!C30&gt;0,'Rate Calculation'!C18," ")</f>
        <v>4.6418025037319862E-3</v>
      </c>
      <c r="D13" s="4">
        <f>IF('Rate Calculation'!D30&gt;0,'Rate Calculation'!D18," ")</f>
        <v>4.6965272059611282E-3</v>
      </c>
      <c r="E13" s="4">
        <f>IF('Rate Calculation'!E30&gt;0,'Rate Calculation'!E18," ")</f>
        <v>4.6462118075209086E-3</v>
      </c>
      <c r="F13" s="4">
        <f>IF('Rate Calculation'!F30&gt;0,'Rate Calculation'!F18," ")</f>
        <v>4.6886296932911716E-3</v>
      </c>
      <c r="G13" s="4">
        <f>IF('Rate Calculation'!G30&gt;0,'Rate Calculation'!G18," ")</f>
        <v>4.715413311833421E-3</v>
      </c>
      <c r="H13" s="4">
        <f>IF('Rate Calculation'!H30&gt;0,'Rate Calculation'!H18," ")</f>
        <v>4.6594513833306799E-3</v>
      </c>
      <c r="I13" s="4">
        <f>IF('Rate Calculation'!I30&gt;0,'Rate Calculation'!I18," ")</f>
        <v>4.5958136299643999E-3</v>
      </c>
      <c r="J13" s="4">
        <f>IF('Rate Calculation'!J30&gt;0,'Rate Calculation'!J18," ")</f>
        <v>4.4130625936623959E-3</v>
      </c>
      <c r="K13" s="4">
        <f>IF('Rate Calculation'!K30&gt;0,'Rate Calculation'!K18," ")</f>
        <v>4.3322701579183946E-3</v>
      </c>
      <c r="L13" s="4">
        <f>IF('Rate Calculation'!L30&gt;0,'Rate Calculation'!L18," ")</f>
        <v>4.255226714100278E-3</v>
      </c>
      <c r="M13" s="4">
        <f>IF('Rate Calculation'!M30&gt;0,'Rate Calculation'!M18," ")</f>
        <v>4.2677585260342508E-3</v>
      </c>
      <c r="N13" s="4">
        <f>IF('Rate Calculation'!N30&gt;0,'Rate Calculation'!N18," ")</f>
        <v>4.2492332667645686E-3</v>
      </c>
      <c r="O13" s="4">
        <f>IF('Rate Calculation'!O30&gt;0,'Rate Calculation'!O18," ")</f>
        <v>4.1946057114815661E-3</v>
      </c>
      <c r="P13" s="4">
        <f>IF('Rate Calculation'!P30&gt;0,'Rate Calculation'!P18," ")</f>
        <v>4.1691788188996607E-3</v>
      </c>
      <c r="Q13" s="4">
        <f>IF('Rate Calculation'!Q30&gt;0,'Rate Calculation'!Q18," ")</f>
        <v>4.1764547742595883E-3</v>
      </c>
      <c r="R13" s="4">
        <f>IF('Rate Calculation'!R30&gt;0,'Rate Calculation'!R18," ")</f>
        <v>4.1127480703435247E-3</v>
      </c>
      <c r="S13" s="4">
        <f>IF('Rate Calculation'!S30&gt;0,'Rate Calculation'!S18," ")</f>
        <v>4.1461180424068912E-3</v>
      </c>
      <c r="T13" s="4">
        <f>IF('Rate Calculation'!T30&gt;0,'Rate Calculation'!T18," ")</f>
        <v>4.1827272974244555E-3</v>
      </c>
      <c r="U13" s="4">
        <f>IF('Rate Calculation'!U30&gt;0,'Rate Calculation'!U18," ")</f>
        <v>4.1595833604210746E-3</v>
      </c>
      <c r="V13" s="4">
        <f>IF('Rate Calculation'!V30&gt;0,'Rate Calculation'!V18," ")</f>
        <v>4.135125214619291E-3</v>
      </c>
      <c r="W13" s="4">
        <f>IF('Rate Calculation'!W30&gt;0,'Rate Calculation'!W18," ")</f>
        <v>4.1198925347173268E-3</v>
      </c>
      <c r="X13" s="4">
        <v>3.9947508414786082E-3</v>
      </c>
      <c r="Y13" s="4">
        <v>3.9795469767501881E-3</v>
      </c>
      <c r="Z13" s="4">
        <v>4.0279738243898496E-3</v>
      </c>
      <c r="AA13" s="4">
        <v>3.9757989383159102E-3</v>
      </c>
      <c r="AB13" s="4">
        <v>3.9758719158928838E-3</v>
      </c>
      <c r="AC13" s="4">
        <v>4.0013283919101885E-3</v>
      </c>
      <c r="AD13" s="4">
        <v>4.018325491129634E-3</v>
      </c>
      <c r="AE13" s="4">
        <v>4.0656069238615726E-3</v>
      </c>
      <c r="AF13" s="4">
        <v>4.0704833206144896E-3</v>
      </c>
      <c r="AG13" s="4">
        <v>4.0660305279358643E-3</v>
      </c>
      <c r="AH13" s="4">
        <f>IF('Rate Calculation'!AH30&gt;0,'Rate Calculation'!AH18," ")</f>
        <v>4.0409608090377479E-3</v>
      </c>
      <c r="AI13" s="4">
        <f>IF('Rate Calculation'!AI30&gt;0,'Rate Calculation'!AI18," ")</f>
        <v>4.024247935870388E-3</v>
      </c>
      <c r="AJ13" s="4">
        <f>IF('Rate Calculation'!AJ30&gt;0,'Rate Calculation'!AJ18," ")</f>
        <v>3.9649416265608818E-3</v>
      </c>
      <c r="AK13" s="4">
        <f>IF('Rate Calculation'!AK30&gt;0,'Rate Calculation'!AK18," ")</f>
        <v>3.9557604626504796E-3</v>
      </c>
      <c r="AL13" s="4">
        <f>IF('Rate Calculation'!AL30&gt;0,'Rate Calculation'!AL18," ")</f>
        <v>3.9776858155257345E-3</v>
      </c>
      <c r="AM13" s="4">
        <f>IF('Rate Calculation'!AM30&gt;0,'Rate Calculation'!AM18," ")</f>
        <v>3.8869167242931053E-3</v>
      </c>
      <c r="AN13" s="4">
        <f>IF('Rate Calculation'!AN30&gt;0,'Rate Calculation'!AN18," ")</f>
        <v>3.8010716059540405E-3</v>
      </c>
      <c r="AO13" s="4">
        <f>IF('Rate Calculation'!AO30&gt;0,'Rate Calculation'!AO18," ")</f>
        <v>3.7910338282454679E-3</v>
      </c>
      <c r="AP13" s="4">
        <f>IF('Rate Calculation'!AP30&gt;0,'Rate Calculation'!AP18," ")</f>
        <v>3.7141908774401388E-3</v>
      </c>
      <c r="AQ13" s="4">
        <v>3.6698724706025411E-3</v>
      </c>
      <c r="AR13" s="4">
        <v>3.6578084644912062E-3</v>
      </c>
      <c r="AS13" s="4">
        <v>3.5584894282827944E-3</v>
      </c>
      <c r="AT13" s="4">
        <v>3.4773726586359143E-3</v>
      </c>
      <c r="AU13" s="4">
        <v>3.3745124405482546E-3</v>
      </c>
      <c r="AV13" s="4">
        <f>IF('Rate Calculation'!AV30&gt;0,'Rate Calculation'!AV18," ")</f>
        <v>3.284834430499524E-3</v>
      </c>
      <c r="AW13" s="4">
        <v>3.2141888113647772E-3</v>
      </c>
      <c r="AX13" s="4">
        <v>3.2807369113080154E-3</v>
      </c>
      <c r="AY13" s="4">
        <v>3.2852940553552029E-3</v>
      </c>
      <c r="AZ13" s="4">
        <v>3.359620478481924E-3</v>
      </c>
      <c r="BA13" s="4">
        <v>3.3400756409821108E-3</v>
      </c>
      <c r="BB13" s="4">
        <v>3.5172883673780173E-3</v>
      </c>
      <c r="BC13" s="4">
        <v>3.6591632955216709E-3</v>
      </c>
      <c r="BD13" s="4">
        <v>3.6563766553120609E-3</v>
      </c>
      <c r="BE13" s="4">
        <v>3.6833814639357235E-3</v>
      </c>
      <c r="BF13" s="4">
        <v>3.6857181418460715E-3</v>
      </c>
      <c r="BG13" s="4">
        <v>3.7221649517482479E-3</v>
      </c>
      <c r="BH13" s="4">
        <v>3.6651309841574742E-3</v>
      </c>
      <c r="BI13" s="4">
        <v>3.6193768966098433E-3</v>
      </c>
      <c r="BJ13" s="4">
        <v>3.710882634395844E-3</v>
      </c>
      <c r="BK13" s="4">
        <v>3.6849198101184854E-3</v>
      </c>
      <c r="BL13" s="4">
        <v>3.688941231688639E-3</v>
      </c>
      <c r="BM13" s="4">
        <v>3.7506277809665235E-3</v>
      </c>
      <c r="BN13" s="4">
        <v>3.6597653460288385E-3</v>
      </c>
      <c r="BO13" s="4">
        <v>3.5255057380171517E-3</v>
      </c>
      <c r="BP13" s="4">
        <v>3.4964077372409423E-3</v>
      </c>
      <c r="BQ13" s="4">
        <v>3.5233154517075285E-3</v>
      </c>
      <c r="BR13" s="4">
        <v>3.5816341806787248E-3</v>
      </c>
      <c r="BS13" s="4">
        <v>3.6185760070782573E-3</v>
      </c>
      <c r="BT13" s="4">
        <v>3.9301247975177039E-3</v>
      </c>
      <c r="BU13" s="4">
        <v>4.0221623476027054E-3</v>
      </c>
      <c r="BV13" s="4">
        <v>4.0945796784179391E-3</v>
      </c>
      <c r="BW13" s="4">
        <f>IF('Rate Calculation'!BW30&gt;0,'Rate Calculation'!BW18," ")</f>
        <v>4.3043992920647626E-3</v>
      </c>
      <c r="BX13" s="4">
        <f>IF('Rate Calculation'!BX30&gt;0,'Rate Calculation'!BX18," ")</f>
        <v>4.4374150977603399E-3</v>
      </c>
      <c r="BY13" s="4">
        <f>IF('Rate Calculation'!BY30&gt;0,'Rate Calculation'!BY18," ")</f>
        <v>4.5584964184367631E-3</v>
      </c>
      <c r="BZ13" s="4">
        <f>IF('Rate Calculation'!BZ30&gt;0,'Rate Calculation'!BZ18," ")</f>
        <v>4.6140621301547094E-3</v>
      </c>
      <c r="CA13" s="4">
        <f>IF('Rate Calculation'!CA30&gt;0,'Rate Calculation'!CA18," ")</f>
        <v>4.85468367196548E-3</v>
      </c>
      <c r="CB13" s="4">
        <f>IF('Rate Calculation'!CB30&gt;0,'Rate Calculation'!CB18," ")</f>
        <v>4.8996804417362396E-3</v>
      </c>
      <c r="CC13" s="4">
        <f>IF('Rate Calculation'!CC30&gt;0,'Rate Calculation'!CC18," ")</f>
        <v>5.03621328880253E-3</v>
      </c>
      <c r="CD13" s="4">
        <f>IF('Rate Calculation'!CD30&gt;0,'Rate Calculation'!CD18," ")</f>
        <v>5.17105844912442E-3</v>
      </c>
      <c r="CE13" s="4">
        <f>IF('Rate Calculation'!CE30&gt;0,'Rate Calculation'!CE18," ")</f>
        <v>5.1809772882975341E-3</v>
      </c>
      <c r="CF13" s="4">
        <f>IF('Rate Calculation'!CF30&gt;0,'Rate Calculation'!CF18," ")</f>
        <v>5.3390867341228023E-3</v>
      </c>
      <c r="CG13" s="4">
        <f>IF('Rate Calculation'!CG30&gt;0,'Rate Calculation'!CG18," ")</f>
        <v>5.4363724256672602E-3</v>
      </c>
      <c r="CH13" s="4">
        <f>IF('Rate Calculation'!CH30&gt;0,'Rate Calculation'!CH18," ")</f>
        <v>5.3980982835472348E-3</v>
      </c>
    </row>
    <row r="14" spans="1:86" x14ac:dyDescent="0.2">
      <c r="A14" s="39"/>
      <c r="B14" s="39" t="s">
        <v>60</v>
      </c>
      <c r="C14" s="4">
        <f>IF('Rate Calculation'!C30&gt;0,C$5," ")</f>
        <v>5.0000000000000001E-4</v>
      </c>
      <c r="D14" s="4">
        <f>IF('Rate Calculation'!D30&gt;0,D$5," ")</f>
        <v>5.0000000000000001E-4</v>
      </c>
      <c r="E14" s="4">
        <f>IF('Rate Calculation'!E30&gt;0,E$5," ")</f>
        <v>5.0000000000000001E-4</v>
      </c>
      <c r="F14" s="4">
        <f>IF('Rate Calculation'!F30&gt;0,F$5," ")</f>
        <v>5.0000000000000001E-4</v>
      </c>
      <c r="G14" s="4">
        <f>IF('Rate Calculation'!G30&gt;0,G$5," ")</f>
        <v>5.0000000000000001E-4</v>
      </c>
      <c r="H14" s="4">
        <f>IF('Rate Calculation'!H30&gt;0,H$5," ")</f>
        <v>5.0000000000000001E-4</v>
      </c>
      <c r="I14" s="4">
        <f>IF('Rate Calculation'!I30&gt;0,I$5," ")</f>
        <v>5.0000000000000001E-4</v>
      </c>
      <c r="J14" s="4">
        <f>IF('Rate Calculation'!J30&gt;0,J$5," ")</f>
        <v>5.0000000000000001E-4</v>
      </c>
      <c r="K14" s="4">
        <f>IF('Rate Calculation'!K30&gt;0,K$5," ")</f>
        <v>5.0000000000000001E-4</v>
      </c>
      <c r="L14" s="4">
        <f>IF('Rate Calculation'!L30&gt;0,L$5," ")</f>
        <v>5.0000000000000001E-4</v>
      </c>
      <c r="M14" s="4">
        <f>IF('Rate Calculation'!M30&gt;0,M$5," ")</f>
        <v>5.0000000000000001E-4</v>
      </c>
      <c r="N14" s="4">
        <f>IF('Rate Calculation'!N30&gt;0,N$5," ")</f>
        <v>5.0000000000000001E-4</v>
      </c>
      <c r="O14" s="4">
        <f>IF('Rate Calculation'!O30&gt;0,O$5," ")</f>
        <v>5.0000000000000001E-4</v>
      </c>
      <c r="P14" s="4">
        <f>IF('Rate Calculation'!P30&gt;0,P$5," ")</f>
        <v>5.0000000000000001E-4</v>
      </c>
      <c r="Q14" s="4">
        <f>IF('Rate Calculation'!Q30&gt;0,Q$5," ")</f>
        <v>5.0000000000000001E-4</v>
      </c>
      <c r="R14" s="4">
        <f>IF('Rate Calculation'!R30&gt;0,R$5," ")</f>
        <v>5.0000000000000001E-4</v>
      </c>
      <c r="S14" s="4">
        <f>IF('Rate Calculation'!S30&gt;0,S$5," ")</f>
        <v>5.0000000000000001E-4</v>
      </c>
      <c r="T14" s="4">
        <f>IF('Rate Calculation'!T30&gt;0,T$5," ")</f>
        <v>5.0000000000000001E-4</v>
      </c>
      <c r="U14" s="4">
        <f>IF('Rate Calculation'!U30&gt;0,U$5," ")</f>
        <v>5.0000000000000001E-4</v>
      </c>
      <c r="V14" s="4">
        <f>IF('Rate Calculation'!V30&gt;0,V$5," ")</f>
        <v>5.0000000000000001E-4</v>
      </c>
      <c r="W14" s="4">
        <f>IF('Rate Calculation'!W30&gt;0,W$5," ")</f>
        <v>5.0000000000000001E-4</v>
      </c>
      <c r="X14" s="4">
        <v>5.0000000000000001E-4</v>
      </c>
      <c r="Y14" s="4">
        <v>5.0000000000000001E-4</v>
      </c>
      <c r="Z14" s="4">
        <v>5.0000000000000001E-4</v>
      </c>
      <c r="AA14" s="4">
        <v>5.0000000000000001E-4</v>
      </c>
      <c r="AB14" s="4">
        <v>5.0000000000000001E-4</v>
      </c>
      <c r="AC14" s="4">
        <v>5.0000000000000001E-4</v>
      </c>
      <c r="AD14" s="4">
        <v>5.0000000000000001E-4</v>
      </c>
      <c r="AE14" s="4">
        <v>5.0000000000000001E-4</v>
      </c>
      <c r="AF14" s="4">
        <v>5.0000000000000001E-4</v>
      </c>
      <c r="AG14" s="4">
        <v>5.0000000000000001E-4</v>
      </c>
      <c r="AH14" s="4">
        <f>IF('Rate Calculation'!AH30&gt;0,AH$5," ")</f>
        <v>5.0000000000000001E-4</v>
      </c>
      <c r="AI14" s="4">
        <f>IF('Rate Calculation'!AI30&gt;0,AI$5," ")</f>
        <v>5.0000000000000001E-4</v>
      </c>
      <c r="AJ14" s="4">
        <f>IF('Rate Calculation'!AJ30&gt;0,AJ$5," ")</f>
        <v>5.0000000000000001E-4</v>
      </c>
      <c r="AK14" s="4">
        <f>IF('Rate Calculation'!AK30&gt;0,AK$5," ")</f>
        <v>5.0000000000000001E-4</v>
      </c>
      <c r="AL14" s="4">
        <f>IF('Rate Calculation'!AL30&gt;0,AL$5," ")</f>
        <v>5.0000000000000001E-4</v>
      </c>
      <c r="AM14" s="4">
        <f>IF('Rate Calculation'!AM30&gt;0,AM$5," ")</f>
        <v>5.0000000000000001E-4</v>
      </c>
      <c r="AN14" s="4">
        <f>IF('Rate Calculation'!AN30&gt;0,AN$5," ")</f>
        <v>5.0000000000000001E-4</v>
      </c>
      <c r="AO14" s="4">
        <f>IF('Rate Calculation'!AO30&gt;0,AO$5," ")</f>
        <v>5.0000000000000001E-4</v>
      </c>
      <c r="AP14" s="4">
        <f>IF('Rate Calculation'!AP30&gt;0,AP$5," ")</f>
        <v>5.0000000000000001E-4</v>
      </c>
      <c r="AQ14" s="4">
        <v>5.0000000000000001E-4</v>
      </c>
      <c r="AR14" s="4">
        <v>5.0000000000000001E-4</v>
      </c>
      <c r="AS14" s="4">
        <v>5.0000000000000001E-4</v>
      </c>
      <c r="AT14" s="4">
        <v>5.0000000000000001E-4</v>
      </c>
      <c r="AU14" s="4">
        <v>5.0000000000000001E-4</v>
      </c>
      <c r="AV14" s="4">
        <f>IF('Rate Calculation'!AV30&gt;0,AV$5," ")</f>
        <v>5.0000000000000001E-4</v>
      </c>
      <c r="AW14" s="4">
        <v>5.0000000000000001E-4</v>
      </c>
      <c r="AX14" s="4">
        <v>5.0000000000000001E-4</v>
      </c>
      <c r="AY14" s="4">
        <v>5.0000000000000001E-4</v>
      </c>
      <c r="AZ14" s="4">
        <v>5.0000000000000001E-4</v>
      </c>
      <c r="BA14" s="4">
        <v>5.0000000000000001E-4</v>
      </c>
      <c r="BB14" s="4">
        <v>5.0000000000000001E-4</v>
      </c>
      <c r="BC14" s="4">
        <v>5.0000000000000001E-4</v>
      </c>
      <c r="BD14" s="4">
        <v>5.0000000000000001E-4</v>
      </c>
      <c r="BE14" s="4">
        <v>5.0000000000000001E-4</v>
      </c>
      <c r="BF14" s="4">
        <v>5.0000000000000001E-4</v>
      </c>
      <c r="BG14" s="4">
        <v>5.0000000000000001E-4</v>
      </c>
      <c r="BH14" s="4">
        <v>5.0000000000000001E-4</v>
      </c>
      <c r="BI14" s="4">
        <v>5.0000000000000001E-4</v>
      </c>
      <c r="BJ14" s="4">
        <v>5.0000000000000001E-4</v>
      </c>
      <c r="BK14" s="4">
        <v>5.0000000000000001E-4</v>
      </c>
      <c r="BL14" s="4">
        <v>5.0000000000000001E-4</v>
      </c>
      <c r="BM14" s="4">
        <v>5.0000000000000001E-4</v>
      </c>
      <c r="BN14" s="4">
        <v>5.0000000000000001E-4</v>
      </c>
      <c r="BO14" s="4">
        <v>5.0000000000000001E-4</v>
      </c>
      <c r="BP14" s="4">
        <v>5.0000000000000001E-4</v>
      </c>
      <c r="BQ14" s="4">
        <v>5.0000000000000001E-4</v>
      </c>
      <c r="BR14" s="4">
        <v>5.0000000000000001E-4</v>
      </c>
      <c r="BS14" s="4">
        <v>5.0000000000000001E-4</v>
      </c>
      <c r="BT14" s="4">
        <v>5.0000000000000001E-4</v>
      </c>
      <c r="BU14" s="4">
        <v>5.0000000000000001E-4</v>
      </c>
      <c r="BV14" s="4">
        <v>5.0000000000000001E-4</v>
      </c>
      <c r="BW14" s="4">
        <f>IF('Rate Calculation'!BW30&gt;0,BW$5," ")</f>
        <v>5.0000000000000001E-4</v>
      </c>
      <c r="BX14" s="4">
        <f>IF('Rate Calculation'!BX30&gt;0,BX$5," ")</f>
        <v>5.0000000000000001E-4</v>
      </c>
      <c r="BY14" s="4">
        <f>IF('Rate Calculation'!BY30&gt;0,BY$5," ")</f>
        <v>5.0000000000000001E-4</v>
      </c>
      <c r="BZ14" s="4">
        <f>IF('Rate Calculation'!BZ30&gt;0,BZ$5," ")</f>
        <v>5.0000000000000001E-4</v>
      </c>
      <c r="CA14" s="4">
        <f>IF('Rate Calculation'!CA30&gt;0,CA$5," ")</f>
        <v>5.0000000000000001E-4</v>
      </c>
      <c r="CB14" s="4">
        <f>IF('Rate Calculation'!CB30&gt;0,CB$5," ")</f>
        <v>5.0000000000000001E-4</v>
      </c>
      <c r="CC14" s="4">
        <f>IF('Rate Calculation'!CC30&gt;0,CC$5," ")</f>
        <v>5.0000000000000001E-4</v>
      </c>
      <c r="CD14" s="4">
        <f>IF('Rate Calculation'!CD30&gt;0,CD$5," ")</f>
        <v>5.0000000000000001E-4</v>
      </c>
      <c r="CE14" s="4">
        <f>IF('Rate Calculation'!CE30&gt;0,CE$5," ")</f>
        <v>5.0000000000000001E-4</v>
      </c>
      <c r="CF14" s="4">
        <f>IF('Rate Calculation'!CF30&gt;0,CF$5," ")</f>
        <v>5.0000000000000001E-4</v>
      </c>
      <c r="CG14" s="4">
        <f>IF('Rate Calculation'!CG30&gt;0,CG$5," ")</f>
        <v>5.0000000000000001E-4</v>
      </c>
      <c r="CH14" s="4">
        <f>IF('Rate Calculation'!CH30&gt;0,CH$5," ")</f>
        <v>5.0000000000000001E-4</v>
      </c>
    </row>
    <row r="15" spans="1:86" x14ac:dyDescent="0.2">
      <c r="A15" s="39"/>
      <c r="B15" s="39" t="s">
        <v>48</v>
      </c>
      <c r="C15" s="4">
        <f>IF('Rate Calculation'!C30&gt;0,-'Rate Calculation'!C23," ")</f>
        <v>-5.3980841305443549E-3</v>
      </c>
      <c r="D15" s="4">
        <f>IF('Rate Calculation'!D30&gt;0,-'Rate Calculation'!D23," ")</f>
        <v>-5.3953934085350964E-3</v>
      </c>
      <c r="E15" s="4">
        <f>IF('Rate Calculation'!E30&gt;0,-'Rate Calculation'!E23," ")</f>
        <v>-5.321387909825703E-3</v>
      </c>
      <c r="F15" s="4">
        <f>IF('Rate Calculation'!F30&gt;0,-'Rate Calculation'!F23," ")</f>
        <v>-5.2889421967087236E-3</v>
      </c>
      <c r="G15" s="4">
        <f>IF('Rate Calculation'!G30&gt;0,-'Rate Calculation'!G23," ")</f>
        <v>-5.2752669025704375E-3</v>
      </c>
      <c r="H15" s="4">
        <f>IF('Rate Calculation'!H30&gt;0,-'Rate Calculation'!H23," ")</f>
        <v>-5.2801524407303773E-3</v>
      </c>
      <c r="I15" s="4">
        <f>IF('Rate Calculation'!I30&gt;0,-'Rate Calculation'!I23," ")</f>
        <v>-5.2965478792160094E-3</v>
      </c>
      <c r="J15" s="4">
        <f>IF('Rate Calculation'!J30&gt;0,-'Rate Calculation'!J23," ")</f>
        <v>-5.3204770351210628E-3</v>
      </c>
      <c r="K15" s="4">
        <f>IF('Rate Calculation'!K30&gt;0,-'Rate Calculation'!K23," ")</f>
        <v>-5.3380243593086352E-3</v>
      </c>
      <c r="L15" s="4">
        <f>IF('Rate Calculation'!L30&gt;0,-'Rate Calculation'!L23," ")</f>
        <v>-5.3408474063138082E-3</v>
      </c>
      <c r="M15" s="4">
        <f>IF('Rate Calculation'!M30&gt;0,-'Rate Calculation'!M23," ")</f>
        <v>-5.3355229490977835E-3</v>
      </c>
      <c r="N15" s="4">
        <f>IF('Rate Calculation'!N30&gt;0,-'Rate Calculation'!N23," ")</f>
        <v>-5.3318294011628483E-3</v>
      </c>
      <c r="O15" s="4">
        <f>IF('Rate Calculation'!O30&gt;0,-'Rate Calculation'!O23," ")</f>
        <v>-5.2804656183356811E-3</v>
      </c>
      <c r="P15" s="4">
        <f>IF('Rate Calculation'!P30&gt;0,-'Rate Calculation'!P23," ")</f>
        <v>-5.3353959946423508E-3</v>
      </c>
      <c r="Q15" s="4">
        <f>IF('Rate Calculation'!Q30&gt;0,-'Rate Calculation'!Q23," ")</f>
        <v>-5.3340887906487425E-3</v>
      </c>
      <c r="R15" s="4">
        <f>IF('Rate Calculation'!R30&gt;0,-'Rate Calculation'!R23," ")</f>
        <v>-5.2408536593524712E-3</v>
      </c>
      <c r="S15" s="4">
        <f>IF('Rate Calculation'!S30&gt;0,-'Rate Calculation'!S23," ")</f>
        <v>-5.2686003940097346E-3</v>
      </c>
      <c r="T15" s="4">
        <f>IF('Rate Calculation'!T30&gt;0,-'Rate Calculation'!T23," ")</f>
        <v>-5.2388718247975462E-3</v>
      </c>
      <c r="U15" s="4">
        <f>IF('Rate Calculation'!U30&gt;0,-'Rate Calculation'!U23," ")</f>
        <v>-5.2460331255639201E-3</v>
      </c>
      <c r="V15" s="4">
        <f>IF('Rate Calculation'!V30&gt;0,-'Rate Calculation'!V23," ")</f>
        <v>-5.2449605414717389E-3</v>
      </c>
      <c r="W15" s="4">
        <f>IF('Rate Calculation'!W30&gt;0,-'Rate Calculation'!W23," ")</f>
        <v>-5.2785670981341992E-3</v>
      </c>
      <c r="X15" s="4">
        <v>-5.2853891334551286E-3</v>
      </c>
      <c r="Y15" s="4">
        <v>-5.2713773258904759E-3</v>
      </c>
      <c r="Z15" s="4">
        <v>-5.3037788203196433E-3</v>
      </c>
      <c r="AA15" s="4">
        <v>-5.3360527227417996E-3</v>
      </c>
      <c r="AB15" s="4">
        <v>-5.3092099286373463E-3</v>
      </c>
      <c r="AC15" s="4">
        <v>-5.2914521822974092E-3</v>
      </c>
      <c r="AD15" s="4">
        <v>-5.3057244963246961E-3</v>
      </c>
      <c r="AE15" s="4">
        <v>-5.2960949223158941E-3</v>
      </c>
      <c r="AF15" s="4">
        <v>-5.2843514056489004E-3</v>
      </c>
      <c r="AG15" s="4">
        <v>-5.2593767549584287E-3</v>
      </c>
      <c r="AH15" s="4">
        <f>IF('Rate Calculation'!AH30&gt;0,-'Rate Calculation'!AH23," ")</f>
        <v>-5.2676787183536028E-3</v>
      </c>
      <c r="AI15" s="4">
        <f>IF('Rate Calculation'!AI30&gt;0,-'Rate Calculation'!AI23," ")</f>
        <v>-5.2481337327972034E-3</v>
      </c>
      <c r="AJ15" s="4">
        <f>IF('Rate Calculation'!AJ30&gt;0,-'Rate Calculation'!AJ23," ")</f>
        <v>-5.2289268767901215E-3</v>
      </c>
      <c r="AK15" s="4">
        <f>IF('Rate Calculation'!AK30&gt;0,-'Rate Calculation'!AK23," ")</f>
        <v>-5.2375284334234308E-3</v>
      </c>
      <c r="AL15" s="4">
        <f>IF('Rate Calculation'!AL30&gt;0,-'Rate Calculation'!AL23," ")</f>
        <v>-5.2300136428042676E-3</v>
      </c>
      <c r="AM15" s="4">
        <f>IF('Rate Calculation'!AM30&gt;0,-'Rate Calculation'!AM23," ")</f>
        <v>-5.2344699886503754E-3</v>
      </c>
      <c r="AN15" s="4">
        <f>IF('Rate Calculation'!AN30&gt;0,-'Rate Calculation'!AN23," ")</f>
        <v>-5.2118399120858073E-3</v>
      </c>
      <c r="AO15" s="4">
        <f>IF('Rate Calculation'!AO30&gt;0,-'Rate Calculation'!AO23," ")</f>
        <v>-5.1993420105697638E-3</v>
      </c>
      <c r="AP15" s="4">
        <f>IF('Rate Calculation'!AP30&gt;0,-'Rate Calculation'!AP23," ")</f>
        <v>-5.0496191575953569E-3</v>
      </c>
      <c r="AQ15" s="4">
        <v>-4.9696065346394895E-3</v>
      </c>
      <c r="AR15" s="4">
        <v>-4.8670597738353621E-3</v>
      </c>
      <c r="AS15" s="4">
        <v>-4.7332131464462562E-3</v>
      </c>
      <c r="AT15" s="4">
        <v>-4.5470186045129986E-3</v>
      </c>
      <c r="AU15" s="4">
        <v>-4.4084220709355798E-3</v>
      </c>
      <c r="AV15" s="4">
        <f>IF('Rate Calculation'!AV30&gt;0,-'Rate Calculation'!AV23," ")</f>
        <v>-4.2991650536020904E-3</v>
      </c>
      <c r="AW15" s="4">
        <v>-4.2201686798306881E-3</v>
      </c>
      <c r="AX15" s="4">
        <v>-4.0869634276498E-3</v>
      </c>
      <c r="AY15" s="4">
        <v>-4.1629662871911733E-3</v>
      </c>
      <c r="AZ15" s="4">
        <v>-4.0509588214066592E-3</v>
      </c>
      <c r="BA15" s="4">
        <v>-4.039898768373522E-3</v>
      </c>
      <c r="BB15" s="4">
        <v>-4.0558989693762161E-3</v>
      </c>
      <c r="BC15" s="4">
        <v>-4.0146194039374092E-3</v>
      </c>
      <c r="BD15" s="4">
        <v>-4.0346257317129073E-3</v>
      </c>
      <c r="BE15" s="4">
        <v>-4.0386567007594937E-3</v>
      </c>
      <c r="BF15" s="4">
        <v>-4.033574127747715E-3</v>
      </c>
      <c r="BG15" s="4">
        <v>-4.0211305382700756E-3</v>
      </c>
      <c r="BH15" s="4">
        <v>-4.0253129330528646E-3</v>
      </c>
      <c r="BI15" s="4">
        <v>-3.9996019750280099E-3</v>
      </c>
      <c r="BJ15" s="4">
        <v>-3.9228606613010072E-3</v>
      </c>
      <c r="BK15" s="4">
        <v>-3.9657675586756936E-3</v>
      </c>
      <c r="BL15" s="4">
        <v>-3.9960851452711145E-3</v>
      </c>
      <c r="BM15" s="4">
        <v>-4.0235277433346341E-3</v>
      </c>
      <c r="BN15" s="4">
        <v>-3.9217522033570757E-3</v>
      </c>
      <c r="BO15" s="4">
        <v>-3.7764993376867414E-3</v>
      </c>
      <c r="BP15" s="4">
        <v>-3.6933743403717483E-3</v>
      </c>
      <c r="BQ15" s="4">
        <v>-3.6701560313415495E-3</v>
      </c>
      <c r="BR15" s="4">
        <v>-3.6546960700160041E-3</v>
      </c>
      <c r="BS15" s="4">
        <v>-3.6798954232363816E-3</v>
      </c>
      <c r="BT15" s="4">
        <v>-3.6223129419309923E-3</v>
      </c>
      <c r="BU15" s="4">
        <v>-3.5063373127066869E-3</v>
      </c>
      <c r="BV15" s="4">
        <v>-3.4325990344405209E-3</v>
      </c>
      <c r="BW15" s="4">
        <f>IF('Rate Calculation'!BW30&gt;0,-'Rate Calculation'!BW23," ")</f>
        <v>-3.4923961972889508E-3</v>
      </c>
      <c r="BX15" s="4">
        <f>IF('Rate Calculation'!BX30&gt;0,-'Rate Calculation'!BX23," ")</f>
        <v>-3.4904644853936046E-3</v>
      </c>
      <c r="BY15" s="4">
        <f>IF('Rate Calculation'!BY30&gt;0,-'Rate Calculation'!BY23," ")</f>
        <v>-3.5714138147761964E-3</v>
      </c>
      <c r="BZ15" s="4">
        <f>IF('Rate Calculation'!BZ30&gt;0,-'Rate Calculation'!BZ23," ")</f>
        <v>-3.5876794661669014E-3</v>
      </c>
      <c r="CA15" s="4">
        <f>IF('Rate Calculation'!CA30&gt;0,-'Rate Calculation'!CA23," ")</f>
        <v>-3.6259380602637488E-3</v>
      </c>
      <c r="CB15" s="4">
        <f>IF('Rate Calculation'!CB30&gt;0,-'Rate Calculation'!CB23," ")</f>
        <v>-3.6977292135774893E-3</v>
      </c>
      <c r="CC15" s="4">
        <f>IF('Rate Calculation'!CC30&gt;0,-'Rate Calculation'!CC23," ")</f>
        <v>-3.7879037953941997E-3</v>
      </c>
      <c r="CD15" s="4">
        <f>IF('Rate Calculation'!CD30&gt;0,-'Rate Calculation'!CD23," ")</f>
        <v>-3.8936375688044728E-3</v>
      </c>
      <c r="CE15" s="4">
        <f>IF('Rate Calculation'!CE30&gt;0,-'Rate Calculation'!CE23," ")</f>
        <v>-3.9948359593885612E-3</v>
      </c>
      <c r="CF15" s="4">
        <f>IF('Rate Calculation'!CF30&gt;0,-'Rate Calculation'!CF23," ")</f>
        <v>-4.0568721232968029E-3</v>
      </c>
      <c r="CG15" s="4">
        <f>IF('Rate Calculation'!CG30&gt;0,-'Rate Calculation'!CG23," ")</f>
        <v>-4.0671686066680911E-3</v>
      </c>
      <c r="CH15" s="4">
        <f>IF('Rate Calculation'!CH30&gt;0,-'Rate Calculation'!CH23," ")</f>
        <v>-4.0684704139816443E-3</v>
      </c>
    </row>
    <row r="16" spans="1:86" x14ac:dyDescent="0.2">
      <c r="A16" s="39"/>
      <c r="B16" s="39" t="s">
        <v>61</v>
      </c>
      <c r="C16" s="43">
        <f>IF('Rate Calculation'!C30&gt;0,C11-SUM(C13:C15)," ")</f>
        <v>4.0562816268123695E-3</v>
      </c>
      <c r="D16" s="43">
        <f>IF('Rate Calculation'!D30&gt;0,D11-SUM(D13:D15)," ")</f>
        <v>4.298866202573969E-3</v>
      </c>
      <c r="E16" s="43">
        <f>IF('Rate Calculation'!E30&gt;0,E11-SUM(E13:E15)," ")</f>
        <v>4.2751761023047943E-3</v>
      </c>
      <c r="F16" s="43">
        <f>IF('Rate Calculation'!F30&gt;0,F11-SUM(F13:F15)," ")</f>
        <v>4.4003125034175524E-3</v>
      </c>
      <c r="G16" s="43">
        <f>IF('Rate Calculation'!G30&gt;0,G11-SUM(G13:G15)," ")</f>
        <v>4.5598535907370166E-3</v>
      </c>
      <c r="H16" s="43">
        <f>IF('Rate Calculation'!H30&gt;0,H11-SUM(H13:H15)," ")</f>
        <v>4.6207010573996966E-3</v>
      </c>
      <c r="I16" s="43">
        <f>IF('Rate Calculation'!I30&gt;0,I11-SUM(I13:I15)," ")</f>
        <v>4.6007342492516102E-3</v>
      </c>
      <c r="J16" s="43">
        <f>IF('Rate Calculation'!J30&gt;0,J11-SUM(J13:J15)," ")</f>
        <v>4.6074144414586663E-3</v>
      </c>
      <c r="K16" s="43">
        <f>IF('Rate Calculation'!K30&gt;0,K11-SUM(K13:K15)," ")</f>
        <v>4.6057542013902405E-3</v>
      </c>
      <c r="L16" s="43">
        <f>IF('Rate Calculation'!L30&gt;0,L11-SUM(L13:L15)," ")</f>
        <v>4.6856206922135301E-3</v>
      </c>
      <c r="M16" s="43">
        <f>IF('Rate Calculation'!M30&gt;0,M11-SUM(M13:M15)," ")</f>
        <v>4.9677644230635325E-3</v>
      </c>
      <c r="N16" s="43">
        <f>IF('Rate Calculation'!N30&gt;0,N11-SUM(N13:N15)," ")</f>
        <v>4.9825961343982796E-3</v>
      </c>
      <c r="O16" s="43">
        <f>IF('Rate Calculation'!O30&gt;0,O11-SUM(O13:O15)," ")</f>
        <v>5.0858599068541151E-3</v>
      </c>
      <c r="P16" s="43">
        <f>IF('Rate Calculation'!P30&gt;0,P11-SUM(P13:P15)," ")</f>
        <v>5.2662171757426896E-3</v>
      </c>
      <c r="Q16" s="43">
        <f>IF('Rate Calculation'!Q30&gt;0,Q11-SUM(Q13:Q15)," ")</f>
        <v>5.3576340163891539E-3</v>
      </c>
      <c r="R16" s="43">
        <f>IF('Rate Calculation'!R30&gt;0,R11-SUM(R13:R15)," ")</f>
        <v>5.4281055890089466E-3</v>
      </c>
      <c r="S16" s="43">
        <f>IF('Rate Calculation'!S30&gt;0,S11-SUM(S13:S15)," ")</f>
        <v>5.5224823516028428E-3</v>
      </c>
      <c r="T16" s="43">
        <f>IF('Rate Calculation'!T30&gt;0,T11-SUM(T13:T15)," ")</f>
        <v>5.5561445273730903E-3</v>
      </c>
      <c r="U16" s="43">
        <f>IF('Rate Calculation'!U30&gt;0,U11-SUM(U13:U15)," ")</f>
        <v>5.5864497651428452E-3</v>
      </c>
      <c r="V16" s="43">
        <f>IF('Rate Calculation'!V30&gt;0,V11-SUM(V13:V15)," ")</f>
        <v>5.7098353268524478E-3</v>
      </c>
      <c r="W16" s="43">
        <f>IF('Rate Calculation'!W30&gt;0,W11-SUM(W13:W15)," ")</f>
        <v>5.7586745634168731E-3</v>
      </c>
      <c r="X16" s="43">
        <v>5.7906382919765209E-3</v>
      </c>
      <c r="Y16" s="43">
        <v>5.9918303491402871E-3</v>
      </c>
      <c r="Z16" s="43">
        <v>5.9758049959297939E-3</v>
      </c>
      <c r="AA16" s="43">
        <v>5.9602537844258893E-3</v>
      </c>
      <c r="AB16" s="43">
        <v>5.9333380127444633E-3</v>
      </c>
      <c r="AC16" s="43">
        <v>5.9901237903872201E-3</v>
      </c>
      <c r="AD16" s="43">
        <v>5.8873990051950629E-3</v>
      </c>
      <c r="AE16" s="43">
        <v>5.8304879984543223E-3</v>
      </c>
      <c r="AF16" s="43">
        <v>5.6138680850344102E-3</v>
      </c>
      <c r="AG16" s="43">
        <v>5.4933462270225645E-3</v>
      </c>
      <c r="AH16" s="43">
        <f>IF('Rate Calculation'!AH30&gt;0,AH11-SUM(AH13:AH15)," ")</f>
        <v>5.4267179093158546E-3</v>
      </c>
      <c r="AI16" s="43">
        <f>IF('Rate Calculation'!AI30&gt;0,AI11-SUM(AI13:AI15)," ")</f>
        <v>5.1238857969268152E-3</v>
      </c>
      <c r="AJ16" s="43">
        <f>IF('Rate Calculation'!AJ30&gt;0,AJ11-SUM(AJ13:AJ15)," ")</f>
        <v>5.0639852502292401E-3</v>
      </c>
      <c r="AK16" s="43">
        <f>IF('Rate Calculation'!AK30&gt;0,AK11-SUM(AK13:AK15)," ")</f>
        <v>5.0817679707729508E-3</v>
      </c>
      <c r="AL16" s="43">
        <f>IF('Rate Calculation'!AL30&gt;0,AL11-SUM(AL13:AL15)," ")</f>
        <v>5.0523278272785336E-3</v>
      </c>
      <c r="AM16" s="43">
        <f>IF('Rate Calculation'!AM30&gt;0,AM11-SUM(AM13:AM15)," ")</f>
        <v>4.8475532643572697E-3</v>
      </c>
      <c r="AN16" s="43">
        <f>IF('Rate Calculation'!AN30&gt;0,AN11-SUM(AN13:AN15)," ")</f>
        <v>4.2107683061317668E-3</v>
      </c>
      <c r="AO16" s="43">
        <f>IF('Rate Calculation'!AO30&gt;0,AO11-SUM(AO13:AO15)," ")</f>
        <v>3.5083081823242953E-3</v>
      </c>
      <c r="AP16" s="43">
        <f>IF('Rate Calculation'!AP30&gt;0,AP11-SUM(AP13:AP15)," ")</f>
        <v>3.3354282801552177E-3</v>
      </c>
      <c r="AQ16" s="43">
        <v>3.2997340640369484E-3</v>
      </c>
      <c r="AR16" s="43">
        <v>3.3092513093441554E-3</v>
      </c>
      <c r="AS16" s="43">
        <v>3.2747237181634612E-3</v>
      </c>
      <c r="AT16" s="43">
        <v>3.269645945877084E-3</v>
      </c>
      <c r="AU16" s="43">
        <v>3.2339096303873253E-3</v>
      </c>
      <c r="AV16" s="43">
        <f>IF('Rate Calculation'!AV30&gt;0,AV11-SUM(AV13:AV15)," ")</f>
        <v>3.3143306231025664E-3</v>
      </c>
      <c r="AW16" s="43">
        <v>3.3059798684659109E-3</v>
      </c>
      <c r="AX16" s="43">
        <v>3.3062265163417846E-3</v>
      </c>
      <c r="AY16" s="43">
        <v>3.2776722318359703E-3</v>
      </c>
      <c r="AZ16" s="43">
        <v>3.291338342924735E-3</v>
      </c>
      <c r="BA16" s="43">
        <v>3.2998231273914111E-3</v>
      </c>
      <c r="BB16" s="43">
        <v>3.2386106019981985E-3</v>
      </c>
      <c r="BC16" s="43">
        <v>3.2554561084157381E-3</v>
      </c>
      <c r="BD16" s="43">
        <v>3.2782490764008457E-3</v>
      </c>
      <c r="BE16" s="43">
        <v>3.2552752368237704E-3</v>
      </c>
      <c r="BF16" s="43">
        <v>3.2478559859016438E-3</v>
      </c>
      <c r="BG16" s="43">
        <v>3.198965586521827E-3</v>
      </c>
      <c r="BH16" s="43">
        <v>3.2601819488953907E-3</v>
      </c>
      <c r="BI16" s="43">
        <v>3.2802250784181668E-3</v>
      </c>
      <c r="BJ16" s="43">
        <v>3.2119780269051633E-3</v>
      </c>
      <c r="BK16" s="43">
        <v>3.3808477485572086E-3</v>
      </c>
      <c r="BL16" s="43">
        <v>3.6071439135824759E-3</v>
      </c>
      <c r="BM16" s="43">
        <v>4.0728999623681102E-3</v>
      </c>
      <c r="BN16" s="43">
        <v>4.361986857328237E-3</v>
      </c>
      <c r="BO16" s="43">
        <v>5.1509935996695904E-3</v>
      </c>
      <c r="BP16" s="43">
        <v>5.7969666031308063E-3</v>
      </c>
      <c r="BQ16" s="43">
        <v>6.0468405796340208E-3</v>
      </c>
      <c r="BR16" s="43">
        <v>6.6730618893372801E-3</v>
      </c>
      <c r="BS16" s="43">
        <v>7.4613194161581254E-3</v>
      </c>
      <c r="BT16" s="43">
        <v>7.8921881444132883E-3</v>
      </c>
      <c r="BU16" s="43">
        <v>8.1841749651039818E-3</v>
      </c>
      <c r="BV16" s="43">
        <v>8.4380193560225809E-3</v>
      </c>
      <c r="BW16" s="43">
        <f>IF('Rate Calculation'!BW30&gt;0,BW11-SUM(BW13:BW15)," ")</f>
        <v>8.5879969052241895E-3</v>
      </c>
      <c r="BX16" s="43">
        <f>IF('Rate Calculation'!BX30&gt;0,BX11-SUM(BX13:BX15)," ")</f>
        <v>8.7530493876332646E-3</v>
      </c>
      <c r="BY16" s="43">
        <f>IF('Rate Calculation'!BY30&gt;0,BY11-SUM(BY13:BY15)," ")</f>
        <v>9.012917396339434E-3</v>
      </c>
      <c r="BZ16" s="43">
        <f>IF('Rate Calculation'!BZ30&gt;0,BZ11-SUM(BZ13:BZ15)," ")</f>
        <v>9.1736173360121923E-3</v>
      </c>
      <c r="CA16" s="43">
        <f>IF('Rate Calculation'!CA30&gt;0,CA11-SUM(CA13:CA15)," ")</f>
        <v>9.1712543882982688E-3</v>
      </c>
      <c r="CB16" s="43">
        <f>IF('Rate Calculation'!CB30&gt;0,CB11-SUM(CB13:CB15)," ")</f>
        <v>9.2980487718412486E-3</v>
      </c>
      <c r="CC16" s="43">
        <f>IF('Rate Calculation'!CC30&gt;0,CC11-SUM(CC13:CC15)," ")</f>
        <v>9.3516905065916707E-3</v>
      </c>
      <c r="CD16" s="43">
        <f>IF('Rate Calculation'!CD30&gt;0,CD11-SUM(CD13:CD15)," ")</f>
        <v>9.4225791196800527E-3</v>
      </c>
      <c r="CE16" s="43">
        <f>IF('Rate Calculation'!CE30&gt;0,CE11-SUM(CE13:CE15)," ")</f>
        <v>9.3138586710910277E-3</v>
      </c>
      <c r="CF16" s="43">
        <f>IF('Rate Calculation'!CF30&gt;0,CF11-SUM(CF13:CF15)," ")</f>
        <v>9.417785389174E-3</v>
      </c>
      <c r="CG16" s="43">
        <f>IF('Rate Calculation'!CG30&gt;0,CG11-SUM(CG13:CG15)," ")</f>
        <v>9.3307961810008312E-3</v>
      </c>
      <c r="CH16" s="43">
        <f>IF('Rate Calculation'!CH30&gt;0,CH11-SUM(CH13:CH15)," ")</f>
        <v>9.3703721304344081E-3</v>
      </c>
    </row>
    <row r="17" spans="1:86" x14ac:dyDescent="0.2">
      <c r="A17" s="39"/>
      <c r="B17" s="39" t="s">
        <v>62</v>
      </c>
      <c r="C17" s="42">
        <f t="shared" ref="C17:D17" si="0">SUM(C13:C16)</f>
        <v>3.8000000000000004E-3</v>
      </c>
      <c r="D17" s="42">
        <f t="shared" si="0"/>
        <v>4.1000000000000003E-3</v>
      </c>
      <c r="E17" s="42">
        <f t="shared" ref="E17:F17" si="1">SUM(E13:E16)</f>
        <v>4.1000000000000003E-3</v>
      </c>
      <c r="F17" s="42">
        <f t="shared" si="1"/>
        <v>4.3E-3</v>
      </c>
      <c r="G17" s="42">
        <f t="shared" ref="G17:H17" si="2">SUM(G13:G16)</f>
        <v>4.4999999999999997E-3</v>
      </c>
      <c r="H17" s="42">
        <f t="shared" si="2"/>
        <v>4.4999999999999997E-3</v>
      </c>
      <c r="I17" s="42">
        <f t="shared" ref="I17:J17" si="3">SUM(I13:I16)</f>
        <v>4.4000000000000003E-3</v>
      </c>
      <c r="J17" s="42">
        <f t="shared" si="3"/>
        <v>4.1999999999999997E-3</v>
      </c>
      <c r="K17" s="42">
        <f t="shared" ref="K17:L17" si="4">SUM(K13:K16)</f>
        <v>4.1000000000000003E-3</v>
      </c>
      <c r="L17" s="42">
        <f t="shared" si="4"/>
        <v>4.1000000000000003E-3</v>
      </c>
      <c r="M17" s="42">
        <f t="shared" ref="M17:N17" si="5">SUM(M13:M16)</f>
        <v>4.4000000000000003E-3</v>
      </c>
      <c r="N17" s="42">
        <f t="shared" si="5"/>
        <v>4.4000000000000003E-3</v>
      </c>
      <c r="O17" s="42">
        <f t="shared" ref="O17:P17" si="6">SUM(O13:O16)</f>
        <v>4.4999999999999997E-3</v>
      </c>
      <c r="P17" s="42">
        <f t="shared" si="6"/>
        <v>4.5999999999999999E-3</v>
      </c>
      <c r="Q17" s="42">
        <f t="shared" ref="Q17:R17" si="7">SUM(Q13:Q16)</f>
        <v>4.7000000000000002E-3</v>
      </c>
      <c r="R17" s="42">
        <f t="shared" si="7"/>
        <v>4.7999999999999996E-3</v>
      </c>
      <c r="S17" s="42">
        <f t="shared" ref="S17" si="8">SUM(S13:S16)</f>
        <v>4.8999999999999998E-3</v>
      </c>
      <c r="T17" s="42">
        <f t="shared" ref="T17:U17" si="9">SUM(T13:T16)</f>
        <v>5.0000000000000001E-3</v>
      </c>
      <c r="U17" s="42">
        <f t="shared" si="9"/>
        <v>5.0000000000000001E-3</v>
      </c>
      <c r="V17" s="42">
        <f t="shared" ref="V17:W17" si="10">SUM(V13:V16)</f>
        <v>5.1000000000000004E-3</v>
      </c>
      <c r="W17" s="42">
        <f t="shared" si="10"/>
        <v>5.1000000000000004E-3</v>
      </c>
      <c r="X17" s="42">
        <v>5.0000000000000001E-3</v>
      </c>
      <c r="Y17" s="42">
        <v>5.1999999999999998E-3</v>
      </c>
      <c r="Z17" s="42">
        <v>5.1999999999999998E-3</v>
      </c>
      <c r="AA17" s="42">
        <v>5.1000000000000004E-3</v>
      </c>
      <c r="AB17" s="42">
        <v>5.1000000000000004E-3</v>
      </c>
      <c r="AC17" s="42">
        <v>5.1999999999999998E-3</v>
      </c>
      <c r="AD17" s="42">
        <v>5.1000000000000004E-3</v>
      </c>
      <c r="AE17" s="42">
        <v>5.1000000000000004E-3</v>
      </c>
      <c r="AF17" s="42">
        <v>4.8999999999999998E-3</v>
      </c>
      <c r="AG17" s="42">
        <v>4.7999999999999996E-3</v>
      </c>
      <c r="AH17" s="42">
        <f t="shared" ref="AH17:AI17" si="11">SUM(AH13:AH16)</f>
        <v>4.7000000000000002E-3</v>
      </c>
      <c r="AI17" s="42">
        <f t="shared" si="11"/>
        <v>4.4000000000000003E-3</v>
      </c>
      <c r="AJ17" s="42">
        <f t="shared" ref="AJ17:AK17" si="12">SUM(AJ13:AJ16)</f>
        <v>4.3E-3</v>
      </c>
      <c r="AK17" s="42">
        <f t="shared" si="12"/>
        <v>4.3E-3</v>
      </c>
      <c r="AL17" s="42">
        <f t="shared" ref="AL17:AM17" si="13">SUM(AL13:AL16)</f>
        <v>4.3E-3</v>
      </c>
      <c r="AM17" s="42">
        <f t="shared" si="13"/>
        <v>4.0000000000000001E-3</v>
      </c>
      <c r="AN17" s="42">
        <f t="shared" ref="AN17:AO17" si="14">SUM(AN13:AN16)</f>
        <v>3.3E-3</v>
      </c>
      <c r="AO17" s="42">
        <f t="shared" si="14"/>
        <v>2.5999999999999999E-3</v>
      </c>
      <c r="AP17" s="42">
        <f t="shared" ref="AP17" si="15">SUM(AP13:AP16)</f>
        <v>2.5000000000000001E-3</v>
      </c>
      <c r="AQ17" s="42">
        <v>2.5000000000000001E-3</v>
      </c>
      <c r="AR17" s="42">
        <v>2.5999999999999999E-3</v>
      </c>
      <c r="AS17" s="42">
        <v>2.5999999999999999E-3</v>
      </c>
      <c r="AT17" s="42">
        <v>2.7000000000000001E-3</v>
      </c>
      <c r="AU17" s="42">
        <v>2.7000000000000001E-3</v>
      </c>
      <c r="AV17" s="42">
        <f t="shared" ref="AV17" si="16">SUM(AV13:AV16)</f>
        <v>2.8E-3</v>
      </c>
      <c r="AW17" s="42">
        <v>2.8E-3</v>
      </c>
      <c r="AX17" s="42">
        <v>3.0000000000000001E-3</v>
      </c>
      <c r="AY17" s="42">
        <v>2.8999999999999998E-3</v>
      </c>
      <c r="AZ17" s="42">
        <v>3.0999999999999999E-3</v>
      </c>
      <c r="BA17" s="42">
        <v>3.0999999999999999E-3</v>
      </c>
      <c r="BB17" s="42">
        <v>3.2000000000000002E-3</v>
      </c>
      <c r="BC17" s="42">
        <v>3.3999999999999998E-3</v>
      </c>
      <c r="BD17" s="42">
        <v>3.3999999999999998E-3</v>
      </c>
      <c r="BE17" s="42">
        <v>3.3999999999999998E-3</v>
      </c>
      <c r="BF17" s="42">
        <v>3.3999999999999998E-3</v>
      </c>
      <c r="BG17" s="42">
        <v>3.3999999999999998E-3</v>
      </c>
      <c r="BH17" s="42">
        <v>3.3999999999999998E-3</v>
      </c>
      <c r="BI17" s="42">
        <v>3.3999999999999998E-3</v>
      </c>
      <c r="BJ17" s="42">
        <v>3.5000000000000001E-3</v>
      </c>
      <c r="BK17" s="42">
        <v>3.5999999999999999E-3</v>
      </c>
      <c r="BL17" s="42">
        <v>3.8E-3</v>
      </c>
      <c r="BM17" s="42">
        <v>4.3E-3</v>
      </c>
      <c r="BN17" s="42">
        <v>4.5999999999999999E-3</v>
      </c>
      <c r="BO17" s="42">
        <v>5.4000000000000003E-3</v>
      </c>
      <c r="BP17" s="42">
        <v>6.1000000000000004E-3</v>
      </c>
      <c r="BQ17" s="42">
        <v>6.3999999999999994E-3</v>
      </c>
      <c r="BR17" s="42">
        <v>7.1000000000000004E-3</v>
      </c>
      <c r="BS17" s="42">
        <v>7.9000000000000008E-3</v>
      </c>
      <c r="BT17" s="42">
        <v>8.6999999999999994E-3</v>
      </c>
      <c r="BU17" s="42">
        <v>9.1999999999999998E-3</v>
      </c>
      <c r="BV17" s="42">
        <v>9.5999999999999992E-3</v>
      </c>
      <c r="BW17" s="42">
        <f t="shared" ref="BW17" si="17">SUM(BW13:BW16)</f>
        <v>9.9000000000000008E-3</v>
      </c>
      <c r="BX17" s="42">
        <f t="shared" ref="BX17:BY17" si="18">SUM(BX13:BX16)</f>
        <v>1.0200000000000001E-2</v>
      </c>
      <c r="BY17" s="42">
        <f t="shared" si="18"/>
        <v>1.0500000000000001E-2</v>
      </c>
      <c r="BZ17" s="42">
        <f t="shared" ref="BZ17:CA17" si="19">SUM(BZ13:BZ16)</f>
        <v>1.0699999999999999E-2</v>
      </c>
      <c r="CA17" s="42">
        <f t="shared" si="19"/>
        <v>1.09E-2</v>
      </c>
      <c r="CB17" s="42">
        <f t="shared" ref="CB17:CC17" si="20">SUM(CB13:CB16)</f>
        <v>1.0999999999999999E-2</v>
      </c>
      <c r="CC17" s="42">
        <f t="shared" si="20"/>
        <v>1.1100000000000002E-2</v>
      </c>
      <c r="CD17" s="42">
        <f t="shared" ref="CD17:CE17" si="21">SUM(CD13:CD16)</f>
        <v>1.12E-2</v>
      </c>
      <c r="CE17" s="42">
        <f t="shared" si="21"/>
        <v>1.0999999999999999E-2</v>
      </c>
      <c r="CF17" s="42">
        <f t="shared" ref="CF17:CG17" si="22">SUM(CF13:CF16)</f>
        <v>1.12E-2</v>
      </c>
      <c r="CG17" s="42">
        <f t="shared" si="22"/>
        <v>1.1200000000000002E-2</v>
      </c>
      <c r="CH17" s="42">
        <f t="shared" ref="CH17" si="23">SUM(CH13:CH16)</f>
        <v>1.1199999999999998E-2</v>
      </c>
    </row>
    <row r="18" spans="1:86" x14ac:dyDescent="0.2">
      <c r="A18" s="39"/>
      <c r="B18" s="39"/>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c r="BY18" s="42"/>
      <c r="BZ18" s="42"/>
      <c r="CA18" s="42"/>
      <c r="CB18" s="42"/>
      <c r="CC18" s="42"/>
      <c r="CD18" s="42"/>
      <c r="CE18" s="42"/>
      <c r="CF18" s="42"/>
      <c r="CG18" s="42"/>
      <c r="CH18" s="42"/>
    </row>
    <row r="19" spans="1:86" x14ac:dyDescent="0.2">
      <c r="A19" s="39" t="s">
        <v>76</v>
      </c>
      <c r="B19" s="39"/>
      <c r="C19" s="42" t="e">
        <f>IF('Rate Calculation'!C30&gt;0,((#REF!+#REF!)*C24)+((#REF!+#REF!)*C23)+((C16+C14)*C22)," ")</f>
        <v>#REF!</v>
      </c>
      <c r="D19" s="42" t="e">
        <f>IF('Rate Calculation'!D30&gt;0,((#REF!+#REF!)*D24)+((C16+C14)*D23)+((D16+D14)*D22)," ")</f>
        <v>#REF!</v>
      </c>
      <c r="E19" s="42">
        <f>IF('Rate Calculation'!E30&gt;0,((C16+C14)*E24)+((D16+D14)*E23)+((E16+E14)*E22)," ")</f>
        <v>4.7322975335662753E-3</v>
      </c>
      <c r="F19" s="42">
        <f>IF('Rate Calculation'!F30&gt;0,((D16+D14)*F24)+((E16+E14)*F23)+((F16+F14)*F22)," ")</f>
        <v>4.8123827276502773E-3</v>
      </c>
      <c r="G19" s="42">
        <f>IF('Rate Calculation'!G30&gt;0,((E16+E14)*G24)+((F16+F14)*G23)+((G16+G14)*G22)," ")</f>
        <v>4.9089136749692289E-3</v>
      </c>
      <c r="H19" s="42">
        <f>IF('Rate Calculation'!H30&gt;0,((F16+F14)*H24)+((G16+G14)*H23)+((H16+H14)*H22)," ")</f>
        <v>5.0351801855728203E-3</v>
      </c>
      <c r="I19" s="42">
        <f>IF('Rate Calculation'!I30&gt;0,((G16+G14)*I24)+((H16+H14)*I23)+((I16+I14)*I22)," ")</f>
        <v>5.1004974886970046E-3</v>
      </c>
      <c r="J19" s="42">
        <f>IF('Rate Calculation'!J30&gt;0,((H16+H14)*J24)+((I16+I14)*J23)+((J16+J14)*J22)," ")</f>
        <v>5.1073959993403958E-3</v>
      </c>
      <c r="K19" s="42">
        <f>IF('Rate Calculation'!K30&gt;0,((I16+I14)*K24)+((J16+J14)*K23)+((K16+K14)*K22)," ")</f>
        <v>5.1053293333897954E-3</v>
      </c>
      <c r="L19" s="42">
        <f>IF('Rate Calculation'!L30&gt;0,((J16+J14)*L24)+((K16+K14)*L23)+((L16+L14)*L22)," ")</f>
        <v>5.1261358841131685E-3</v>
      </c>
      <c r="M19" s="42">
        <f>IF('Rate Calculation'!M30&gt;0,((K16+K14)*M24)+((L16+L14)*M23)+((M16+M14)*M22)," ")</f>
        <v>5.2361900022202083E-3</v>
      </c>
      <c r="N19" s="42">
        <f>IF('Rate Calculation'!N30&gt;0,((L16+L14)*N24)+((M16+M14)*N23)+((N16+N14)*N22)," ")</f>
        <v>5.4009364181847189E-3</v>
      </c>
      <c r="O19" s="42">
        <f>IF('Rate Calculation'!O30&gt;0,((M16+M14)*O24)+((N16+N14)*O23)+((O16+O14)*O22)," ")</f>
        <v>5.5047041496785517E-3</v>
      </c>
      <c r="P19" s="42">
        <f>IF('Rate Calculation'!P30&gt;0,((N16+N14)*P24)+((O16+O14)*P23)+((P16+P14)*P22)," ")</f>
        <v>5.6051332809623003E-3</v>
      </c>
      <c r="Q19" s="42">
        <f>IF('Rate Calculation'!Q30&gt;0,((O16+O14)*Q24)+((P16+P14)*Q23)+((Q16+Q14)*Q22)," ")</f>
        <v>5.7439820686821623E-3</v>
      </c>
      <c r="R19" s="42">
        <f>IF('Rate Calculation'!R30&gt;0,((P16+P14)*R24)+((Q16+Q14)*R23)+((R16+R14)*R22)," ")</f>
        <v>5.8523976993824865E-3</v>
      </c>
      <c r="S19" s="42">
        <f>IF('Rate Calculation'!S30&gt;0,((Q16+Q14)*S24)+((R16+R14)*S23)+((S16+S14)*S22)," ")</f>
        <v>5.9340818865024729E-3</v>
      </c>
      <c r="T19" s="42">
        <f>IF('Rate Calculation'!T30&gt;0,((R16+R14)*T24)+((S16+S14)*T23)+((T16+T14)*T22)," ")</f>
        <v>6.0073037048969311E-3</v>
      </c>
      <c r="U19" s="42">
        <f>IF('Rate Calculation'!U30&gt;0,((S16+S14)*U24)+((T16+T14)*U23)+((U16+U14)*U22)," ")</f>
        <v>6.0553052928729676E-3</v>
      </c>
      <c r="V19" s="42">
        <f>IF('Rate Calculation'!V30&gt;0,((T16+T14)*V24)+((U16+U14)*V23)+((V16+V14)*V22)," ")</f>
        <v>6.1097198461278071E-3</v>
      </c>
      <c r="W19" s="42">
        <f>IF('Rate Calculation'!W30&gt;0,((U16+U14)*W24)+((V16+V14)*W23)+((W16+W14)*W22)," ")</f>
        <v>6.1911987455661541E-3</v>
      </c>
      <c r="X19" s="42">
        <v>6.2544556864156785E-3</v>
      </c>
      <c r="Y19" s="42">
        <v>6.3329453741275505E-3</v>
      </c>
      <c r="Z19" s="42">
        <v>6.4375259965467214E-3</v>
      </c>
      <c r="AA19" s="42">
        <v>6.4759235313564412E-3</v>
      </c>
      <c r="AB19" s="42">
        <v>6.4574126443815091E-3</v>
      </c>
      <c r="AC19" s="42">
        <v>6.4542634000755092E-3</v>
      </c>
      <c r="AD19" s="42">
        <v>6.4502461496784916E-3</v>
      </c>
      <c r="AE19" s="42">
        <v>6.3988524498079166E-3</v>
      </c>
      <c r="AF19" s="42">
        <v>6.2905607717845292E-3</v>
      </c>
      <c r="AG19" s="42">
        <v>6.1378925988864264E-3</v>
      </c>
      <c r="AH19" s="42">
        <f>IF('Rate Calculation'!AH30&gt;0,((AF16+AF14)*AH24)+((AG16+AG14)*AH23)+((AH16+AH14)*AH22)," ")</f>
        <v>6.0068196120988491E-3</v>
      </c>
      <c r="AI19" s="42">
        <f>IF('Rate Calculation'!AI30&gt;0,((AG16+AG14)*AI24)+((AH16+AH14)*AI23)+((AI16+AI14)*AI22)," ")</f>
        <v>5.8676669606452722E-3</v>
      </c>
      <c r="AJ19" s="42">
        <f>IF('Rate Calculation'!AJ30&gt;0,((AH16+AH14)*AJ24)+((AI16+AI14)*AJ23)+((AJ16+AJ14)*AJ22)," ")</f>
        <v>5.6846186883496817E-3</v>
      </c>
      <c r="AK19" s="42">
        <f>IF('Rate Calculation'!AK30&gt;0,((AI16+AI14)*AK24)+((AJ16+AJ14)*AK23)+((AK16+AK14)*AK22)," ")</f>
        <v>5.5834060670395622E-3</v>
      </c>
      <c r="AL19" s="42">
        <f>IF('Rate Calculation'!AL30&gt;0,((AJ16+AJ14)*AL24)+((AK16+AK14)*AL23)+((AL16+AL14)*AL22)," ")</f>
        <v>5.569962254763419E-3</v>
      </c>
      <c r="AM19" s="42">
        <f>IF('Rate Calculation'!AM30&gt;0,((AK16+AK14)*AM24)+((AL16+AL14)*AM23)+((AM16+AM14)*AM22)," ")</f>
        <v>5.5084942224218215E-3</v>
      </c>
      <c r="AN19" s="42">
        <f>IF('Rate Calculation'!AN30&gt;0,((AL16+AL14)*AN24)+((AM16+AM14)*AN23)+((AN16+AN14)*AN22)," ")</f>
        <v>5.2395506655312099E-3</v>
      </c>
      <c r="AO19" s="42">
        <f>IF('Rate Calculation'!AO30&gt;0,((AM16+AM14)*AO24)+((AN16+AN14)*AO23)+((AO16+AO14)*AO22)," ")</f>
        <v>4.6943495147362749E-3</v>
      </c>
      <c r="AP19" s="42">
        <f>IF('Rate Calculation'!AP30&gt;0,((AN16+AN14)*AP24)+((AO16+AO14)*AP23)+((AP16+AP14)*AP22)," ")</f>
        <v>4.1407032377338933E-3</v>
      </c>
      <c r="AQ19" s="42">
        <v>3.8697247016679197E-3</v>
      </c>
      <c r="AR19" s="42">
        <v>3.8110369293933174E-3</v>
      </c>
      <c r="AS19" s="42">
        <v>3.7982401002221804E-3</v>
      </c>
      <c r="AT19" s="42">
        <v>3.7820861728870402E-3</v>
      </c>
      <c r="AU19" s="42">
        <v>3.7619813100762383E-3</v>
      </c>
      <c r="AV19" s="42">
        <f>IF('Rate Calculation'!AV30&gt;0,((AT16+AT14)*AV24)+((AU16+AU14)*AV23)+((AV16+AV14)*AV22)," ")</f>
        <v>3.7629489574385749E-3</v>
      </c>
      <c r="AW19" s="42">
        <v>3.7921376862645921E-3</v>
      </c>
      <c r="AX19" s="42">
        <v>3.8081292190940432E-3</v>
      </c>
      <c r="AY19" s="42">
        <v>3.7990262832463626E-3</v>
      </c>
      <c r="AZ19" s="42">
        <v>3.788227330734615E-3</v>
      </c>
      <c r="BA19" s="42">
        <v>3.7900430112692129E-3</v>
      </c>
      <c r="BB19" s="42">
        <v>3.7823987999264386E-3</v>
      </c>
      <c r="BC19" s="42">
        <v>3.7581251099508863E-3</v>
      </c>
      <c r="BD19" s="42">
        <v>3.7569429738076301E-3</v>
      </c>
      <c r="BE19" s="42">
        <v>3.7668073745103E-3</v>
      </c>
      <c r="BF19" s="42">
        <v>3.7591638839875076E-3</v>
      </c>
      <c r="BG19" s="42">
        <v>3.7374881987872208E-3</v>
      </c>
      <c r="BH19" s="42">
        <v>3.7264922769601723E-3</v>
      </c>
      <c r="BI19" s="42">
        <v>3.7498886406826934E-3</v>
      </c>
      <c r="BJ19" s="42">
        <v>3.7581525331592219E-3</v>
      </c>
      <c r="BK19" s="42">
        <v>3.7712572201964254E-3</v>
      </c>
      <c r="BL19" s="42">
        <v>3.8952043594005143E-3</v>
      </c>
      <c r="BM19" s="42">
        <v>4.1670088845225679E-3</v>
      </c>
      <c r="BN19" s="42">
        <v>4.5287326739117334E-3</v>
      </c>
      <c r="BO19" s="42">
        <v>4.9869668191735439E-3</v>
      </c>
      <c r="BP19" s="42">
        <v>5.6152351649495563E-3</v>
      </c>
      <c r="BQ19" s="42">
        <v>6.1979418463913062E-3</v>
      </c>
      <c r="BR19" s="42">
        <v>6.640927412934032E-3</v>
      </c>
      <c r="BS19" s="42">
        <v>7.2135709436166769E-3</v>
      </c>
      <c r="BT19" s="42">
        <v>7.8719722165167053E-3</v>
      </c>
      <c r="BU19" s="42">
        <v>8.3574676675221699E-3</v>
      </c>
      <c r="BV19" s="42">
        <v>8.6746393576609578E-3</v>
      </c>
      <c r="BW19" s="42">
        <f>IF('Rate Calculation'!BW30&gt;0,((BU16+BU14)*BW24)+((BV16+BV14)*BW23)+((BW16+BW14)*BW22)," ")</f>
        <v>8.9120526455933342E-3</v>
      </c>
      <c r="BX19" s="42">
        <f>IF('Rate Calculation'!BX30&gt;0,((BV16+BV14)*BX24)+((BW16+BW14)*BX23)+((BX16+BX14)*BX22)," ")</f>
        <v>9.0917656385260566E-3</v>
      </c>
      <c r="BY19" s="42">
        <f>IF('Rate Calculation'!BY30&gt;0,((BW16+BW14)*BY24)+((BX16+BX14)*BY23)+((BY16+BY14)*BY22)," ")</f>
        <v>9.2767532692075386E-3</v>
      </c>
      <c r="BZ19" s="42">
        <f>IF('Rate Calculation'!BZ30&gt;0,((BX16+BX14)*BZ24)+((BY16+BY14)*BZ23)+((BZ16+BZ14)*BZ22)," ")</f>
        <v>9.4881253790810825E-3</v>
      </c>
      <c r="CA19" s="42">
        <f>IF('Rate Calculation'!CA30&gt;0,((BY16+BY14)*CA24)+((BZ16+BZ14)*CA23)+((CA16+CA14)*CA22)," ")</f>
        <v>9.6328516141655218E-3</v>
      </c>
      <c r="CB19" s="42">
        <f>IF('Rate Calculation'!CB30&gt;0,((BZ16+BZ14)*CB24)+((CA16+CA14)*CB23)+((CB16+CB14)*CB22)," ")</f>
        <v>9.7035437211124946E-3</v>
      </c>
      <c r="CC19" s="42">
        <f>IF('Rate Calculation'!CC30&gt;0,((CA16+CA14)*CC24)+((CB16+CB14)*CC23)+((CC16+CC14)*CC22)," ")</f>
        <v>9.7797606096431088E-3</v>
      </c>
      <c r="CD19" s="42">
        <f>IF('Rate Calculation'!CD30&gt;0,((CB16+CB14)*CD24)+((CC16+CC14)*CD23)+((CD16+CD14)*CD22)," ")</f>
        <v>9.8560022261761603E-3</v>
      </c>
      <c r="CE19" s="42">
        <f>IF('Rate Calculation'!CE30&gt;0,((CC16+CC14)*CE24)+((CD16+CD14)*CE23)+((CE16+CE14)*CE22)," ")</f>
        <v>9.8776768542607023E-3</v>
      </c>
      <c r="CF19" s="42">
        <f>IF('Rate Calculation'!CF30&gt;0,((CD16+CD14)*CF24)+((CE16+CE14)*CF23)+((CF16+CF14)*CF22)," ")</f>
        <v>9.8670204627590262E-3</v>
      </c>
      <c r="CG19" s="42">
        <f>IF('Rate Calculation'!CG30&gt;0,((CE16+CE14)*CG24)+((CF16+CF14)*CG23)+((CG16+CG14)*CG22)," ")</f>
        <v>9.8700564076099652E-3</v>
      </c>
      <c r="CH19" s="42">
        <f>IF('Rate Calculation'!CH30&gt;0,((CF16+CF14)*CH24)+((CG16+CG14)*CH23)+((CH16+CH14)*CH22)," ")</f>
        <v>9.8624374704025172E-3</v>
      </c>
    </row>
    <row r="20" spans="1:86" x14ac:dyDescent="0.2">
      <c r="A20" s="39"/>
      <c r="B20" s="40"/>
    </row>
    <row r="21" spans="1:86" x14ac:dyDescent="0.2">
      <c r="B21" s="1" t="s">
        <v>77</v>
      </c>
    </row>
    <row r="22" spans="1:86" x14ac:dyDescent="0.2">
      <c r="B22" t="s">
        <v>63</v>
      </c>
      <c r="C22" s="66">
        <v>0.25</v>
      </c>
      <c r="D22" s="66">
        <v>0.25</v>
      </c>
      <c r="E22" s="66">
        <v>0.25</v>
      </c>
      <c r="F22" s="66">
        <v>0.25</v>
      </c>
      <c r="G22" s="66">
        <v>0.25</v>
      </c>
      <c r="H22" s="66">
        <v>0.25</v>
      </c>
      <c r="I22" s="66">
        <v>0.25</v>
      </c>
      <c r="J22" s="66">
        <v>0.25</v>
      </c>
      <c r="K22" s="66">
        <v>0.25</v>
      </c>
      <c r="L22" s="66">
        <v>0.25</v>
      </c>
      <c r="M22" s="66">
        <v>0.25</v>
      </c>
      <c r="N22" s="66">
        <v>0.25</v>
      </c>
      <c r="O22" s="66">
        <v>0.25</v>
      </c>
      <c r="P22" s="66">
        <v>0.25</v>
      </c>
      <c r="Q22" s="66">
        <v>0.25</v>
      </c>
      <c r="R22" s="66">
        <v>0.25</v>
      </c>
      <c r="S22" s="66">
        <v>0.25</v>
      </c>
      <c r="T22" s="66">
        <v>0.25</v>
      </c>
      <c r="U22" s="66">
        <v>0.25</v>
      </c>
      <c r="V22" s="66">
        <v>0.25</v>
      </c>
      <c r="W22" s="66">
        <v>0.25</v>
      </c>
      <c r="X22" s="66">
        <v>0.25</v>
      </c>
      <c r="Y22" s="66">
        <v>0.25</v>
      </c>
      <c r="Z22" s="66">
        <v>0.25</v>
      </c>
      <c r="AA22" s="66">
        <v>0.25</v>
      </c>
      <c r="AB22" s="66">
        <v>0.25</v>
      </c>
      <c r="AC22" s="66">
        <v>0.25</v>
      </c>
      <c r="AD22" s="66">
        <v>0.25</v>
      </c>
      <c r="AE22" s="66">
        <v>0.25</v>
      </c>
      <c r="AF22" s="66">
        <v>0.25</v>
      </c>
      <c r="AG22" s="66">
        <v>0.25</v>
      </c>
      <c r="AH22" s="66">
        <v>0.25</v>
      </c>
      <c r="AI22" s="66">
        <v>0.25</v>
      </c>
      <c r="AJ22" s="66">
        <v>0.25</v>
      </c>
      <c r="AK22" s="66">
        <v>0.25</v>
      </c>
      <c r="AL22" s="66">
        <v>0.25</v>
      </c>
      <c r="AM22" s="66">
        <v>0.25</v>
      </c>
      <c r="AN22" s="66">
        <v>0.25</v>
      </c>
      <c r="AO22" s="66">
        <v>0.25</v>
      </c>
      <c r="AP22" s="66">
        <v>0.25</v>
      </c>
      <c r="AQ22" s="66">
        <v>0.25</v>
      </c>
      <c r="AR22" s="66">
        <v>0.25</v>
      </c>
      <c r="AS22" s="66">
        <v>0.25</v>
      </c>
      <c r="AT22" s="66">
        <v>0.25</v>
      </c>
      <c r="AU22" s="66">
        <v>0.25</v>
      </c>
      <c r="AV22" s="66">
        <v>0.25</v>
      </c>
      <c r="AW22" s="66">
        <v>0.25</v>
      </c>
      <c r="AX22" s="66">
        <v>0.25</v>
      </c>
      <c r="AY22" s="66">
        <v>0.25</v>
      </c>
      <c r="AZ22" s="66">
        <v>0.25</v>
      </c>
      <c r="BA22" s="66">
        <v>0.25</v>
      </c>
      <c r="BB22" s="66">
        <v>0.25</v>
      </c>
      <c r="BC22" s="66">
        <v>0.25</v>
      </c>
      <c r="BD22" s="66">
        <v>0.25</v>
      </c>
      <c r="BE22" s="66">
        <v>0.25</v>
      </c>
      <c r="BF22" s="66">
        <v>0.25</v>
      </c>
      <c r="BG22" s="66">
        <v>0.25</v>
      </c>
      <c r="BH22" s="66">
        <v>0.25</v>
      </c>
      <c r="BI22" s="66">
        <v>0.25</v>
      </c>
      <c r="BJ22" s="66">
        <v>0.25</v>
      </c>
      <c r="BK22" s="66">
        <v>0.25</v>
      </c>
      <c r="BL22" s="66">
        <v>0.25</v>
      </c>
      <c r="BM22" s="66">
        <v>0.25</v>
      </c>
      <c r="BN22" s="66">
        <v>0.25</v>
      </c>
      <c r="BO22" s="66">
        <v>0.25</v>
      </c>
      <c r="BP22" s="66">
        <v>0.25</v>
      </c>
      <c r="BQ22" s="66">
        <v>0.25</v>
      </c>
      <c r="BR22" s="66">
        <v>0.25</v>
      </c>
      <c r="BS22" s="66">
        <v>0.25</v>
      </c>
      <c r="BT22" s="66">
        <v>0.25</v>
      </c>
      <c r="BU22" s="66">
        <v>0.25</v>
      </c>
      <c r="BV22" s="66">
        <v>0.25</v>
      </c>
      <c r="BW22" s="66">
        <v>0.25</v>
      </c>
      <c r="BX22" s="66">
        <v>0.25</v>
      </c>
      <c r="BY22" s="66">
        <v>0.25</v>
      </c>
      <c r="BZ22" s="66">
        <v>0.25</v>
      </c>
      <c r="CA22" s="66">
        <v>0.25</v>
      </c>
      <c r="CB22" s="66">
        <v>0.25</v>
      </c>
      <c r="CC22" s="66">
        <v>0.25</v>
      </c>
      <c r="CD22" s="66">
        <v>0.25</v>
      </c>
      <c r="CE22" s="66">
        <v>0.25</v>
      </c>
      <c r="CF22" s="66">
        <v>0.25</v>
      </c>
      <c r="CG22" s="66">
        <v>0.25</v>
      </c>
      <c r="CH22" s="66">
        <v>0.25</v>
      </c>
    </row>
    <row r="23" spans="1:86" x14ac:dyDescent="0.2">
      <c r="B23" t="s">
        <v>64</v>
      </c>
      <c r="C23" s="66">
        <v>0.5</v>
      </c>
      <c r="D23" s="66">
        <v>0.5</v>
      </c>
      <c r="E23" s="66">
        <v>0.5</v>
      </c>
      <c r="F23" s="66">
        <v>0.5</v>
      </c>
      <c r="G23" s="66">
        <v>0.5</v>
      </c>
      <c r="H23" s="66">
        <v>0.5</v>
      </c>
      <c r="I23" s="66">
        <v>0.5</v>
      </c>
      <c r="J23" s="66">
        <v>0.5</v>
      </c>
      <c r="K23" s="66">
        <v>0.5</v>
      </c>
      <c r="L23" s="66">
        <v>0.5</v>
      </c>
      <c r="M23" s="66">
        <v>0.5</v>
      </c>
      <c r="N23" s="66">
        <v>0.5</v>
      </c>
      <c r="O23" s="66">
        <v>0.5</v>
      </c>
      <c r="P23" s="66">
        <v>0.5</v>
      </c>
      <c r="Q23" s="66">
        <v>0.5</v>
      </c>
      <c r="R23" s="66">
        <v>0.5</v>
      </c>
      <c r="S23" s="66">
        <v>0.5</v>
      </c>
      <c r="T23" s="66">
        <v>0.5</v>
      </c>
      <c r="U23" s="66">
        <v>0.5</v>
      </c>
      <c r="V23" s="66">
        <v>0.5</v>
      </c>
      <c r="W23" s="66">
        <v>0.5</v>
      </c>
      <c r="X23" s="66">
        <v>0.5</v>
      </c>
      <c r="Y23" s="66">
        <v>0.5</v>
      </c>
      <c r="Z23" s="66">
        <v>0.5</v>
      </c>
      <c r="AA23" s="66">
        <v>0.5</v>
      </c>
      <c r="AB23" s="66">
        <v>0.5</v>
      </c>
      <c r="AC23" s="66">
        <v>0.5</v>
      </c>
      <c r="AD23" s="66">
        <v>0.5</v>
      </c>
      <c r="AE23" s="66">
        <v>0.5</v>
      </c>
      <c r="AF23" s="66">
        <v>0.5</v>
      </c>
      <c r="AG23" s="66">
        <v>0.5</v>
      </c>
      <c r="AH23" s="66">
        <v>0.5</v>
      </c>
      <c r="AI23" s="66">
        <v>0.5</v>
      </c>
      <c r="AJ23" s="66">
        <v>0.5</v>
      </c>
      <c r="AK23" s="66">
        <v>0.5</v>
      </c>
      <c r="AL23" s="66">
        <v>0.5</v>
      </c>
      <c r="AM23" s="66">
        <v>0.5</v>
      </c>
      <c r="AN23" s="66">
        <v>0.5</v>
      </c>
      <c r="AO23" s="66">
        <v>0.5</v>
      </c>
      <c r="AP23" s="66">
        <v>0.5</v>
      </c>
      <c r="AQ23" s="66">
        <v>0.5</v>
      </c>
      <c r="AR23" s="66">
        <v>0.5</v>
      </c>
      <c r="AS23" s="66">
        <v>0.5</v>
      </c>
      <c r="AT23" s="66">
        <v>0.5</v>
      </c>
      <c r="AU23" s="66">
        <v>0.5</v>
      </c>
      <c r="AV23" s="66">
        <v>0.5</v>
      </c>
      <c r="AW23" s="66">
        <v>0.5</v>
      </c>
      <c r="AX23" s="66">
        <v>0.5</v>
      </c>
      <c r="AY23" s="66">
        <v>0.5</v>
      </c>
      <c r="AZ23" s="66">
        <v>0.5</v>
      </c>
      <c r="BA23" s="66">
        <v>0.5</v>
      </c>
      <c r="BB23" s="66">
        <v>0.5</v>
      </c>
      <c r="BC23" s="66">
        <v>0.5</v>
      </c>
      <c r="BD23" s="66">
        <v>0.5</v>
      </c>
      <c r="BE23" s="66">
        <v>0.5</v>
      </c>
      <c r="BF23" s="66">
        <v>0.5</v>
      </c>
      <c r="BG23" s="66">
        <v>0.5</v>
      </c>
      <c r="BH23" s="66">
        <v>0.5</v>
      </c>
      <c r="BI23" s="66">
        <v>0.5</v>
      </c>
      <c r="BJ23" s="66">
        <v>0.5</v>
      </c>
      <c r="BK23" s="66">
        <v>0.5</v>
      </c>
      <c r="BL23" s="66">
        <v>0.5</v>
      </c>
      <c r="BM23" s="66">
        <v>0.5</v>
      </c>
      <c r="BN23" s="66">
        <v>0.5</v>
      </c>
      <c r="BO23" s="66">
        <v>0.5</v>
      </c>
      <c r="BP23" s="66">
        <v>0.5</v>
      </c>
      <c r="BQ23" s="66">
        <v>0.5</v>
      </c>
      <c r="BR23" s="66">
        <v>0.5</v>
      </c>
      <c r="BS23" s="66">
        <v>0.5</v>
      </c>
      <c r="BT23" s="66">
        <v>0.5</v>
      </c>
      <c r="BU23" s="66">
        <v>0.5</v>
      </c>
      <c r="BV23" s="66">
        <v>0.5</v>
      </c>
      <c r="BW23" s="66">
        <v>0.5</v>
      </c>
      <c r="BX23" s="66">
        <v>0.5</v>
      </c>
      <c r="BY23" s="66">
        <v>0.5</v>
      </c>
      <c r="BZ23" s="66">
        <v>0.5</v>
      </c>
      <c r="CA23" s="66">
        <v>0.5</v>
      </c>
      <c r="CB23" s="66">
        <v>0.5</v>
      </c>
      <c r="CC23" s="66">
        <v>0.5</v>
      </c>
      <c r="CD23" s="66">
        <v>0.5</v>
      </c>
      <c r="CE23" s="66">
        <v>0.5</v>
      </c>
      <c r="CF23" s="66">
        <v>0.5</v>
      </c>
      <c r="CG23" s="66">
        <v>0.5</v>
      </c>
      <c r="CH23" s="66">
        <v>0.5</v>
      </c>
    </row>
    <row r="24" spans="1:86" x14ac:dyDescent="0.2">
      <c r="B24" t="s">
        <v>65</v>
      </c>
      <c r="C24" s="66">
        <v>0.25</v>
      </c>
      <c r="D24" s="66">
        <v>0.25</v>
      </c>
      <c r="E24" s="66">
        <v>0.25</v>
      </c>
      <c r="F24" s="66">
        <v>0.25</v>
      </c>
      <c r="G24" s="66">
        <v>0.25</v>
      </c>
      <c r="H24" s="66">
        <v>0.25</v>
      </c>
      <c r="I24" s="66">
        <v>0.25</v>
      </c>
      <c r="J24" s="66">
        <v>0.25</v>
      </c>
      <c r="K24" s="66">
        <v>0.25</v>
      </c>
      <c r="L24" s="66">
        <v>0.25</v>
      </c>
      <c r="M24" s="66">
        <v>0.25</v>
      </c>
      <c r="N24" s="66">
        <v>0.25</v>
      </c>
      <c r="O24" s="66">
        <v>0.25</v>
      </c>
      <c r="P24" s="66">
        <v>0.25</v>
      </c>
      <c r="Q24" s="66">
        <v>0.25</v>
      </c>
      <c r="R24" s="66">
        <v>0.25</v>
      </c>
      <c r="S24" s="66">
        <v>0.25</v>
      </c>
      <c r="T24" s="66">
        <v>0.25</v>
      </c>
      <c r="U24" s="66">
        <v>0.25</v>
      </c>
      <c r="V24" s="66">
        <v>0.25</v>
      </c>
      <c r="W24" s="66">
        <v>0.25</v>
      </c>
      <c r="X24" s="66">
        <v>0.25</v>
      </c>
      <c r="Y24" s="66">
        <v>0.25</v>
      </c>
      <c r="Z24" s="66">
        <v>0.25</v>
      </c>
      <c r="AA24" s="66">
        <v>0.25</v>
      </c>
      <c r="AB24" s="66">
        <v>0.25</v>
      </c>
      <c r="AC24" s="66">
        <v>0.25</v>
      </c>
      <c r="AD24" s="66">
        <v>0.25</v>
      </c>
      <c r="AE24" s="66">
        <v>0.25</v>
      </c>
      <c r="AF24" s="66">
        <v>0.25</v>
      </c>
      <c r="AG24" s="66">
        <v>0.25</v>
      </c>
      <c r="AH24" s="66">
        <v>0.25</v>
      </c>
      <c r="AI24" s="66">
        <v>0.25</v>
      </c>
      <c r="AJ24" s="66">
        <v>0.25</v>
      </c>
      <c r="AK24" s="66">
        <v>0.25</v>
      </c>
      <c r="AL24" s="66">
        <v>0.25</v>
      </c>
      <c r="AM24" s="66">
        <v>0.25</v>
      </c>
      <c r="AN24" s="66">
        <v>0.25</v>
      </c>
      <c r="AO24" s="66">
        <v>0.25</v>
      </c>
      <c r="AP24" s="66">
        <v>0.25</v>
      </c>
      <c r="AQ24" s="66">
        <v>0.25</v>
      </c>
      <c r="AR24" s="66">
        <v>0.25</v>
      </c>
      <c r="AS24" s="66">
        <v>0.25</v>
      </c>
      <c r="AT24" s="66">
        <v>0.25</v>
      </c>
      <c r="AU24" s="66">
        <v>0.25</v>
      </c>
      <c r="AV24" s="66">
        <v>0.25</v>
      </c>
      <c r="AW24" s="66">
        <v>0.25</v>
      </c>
      <c r="AX24" s="66">
        <v>0.25</v>
      </c>
      <c r="AY24" s="66">
        <v>0.25</v>
      </c>
      <c r="AZ24" s="66">
        <v>0.25</v>
      </c>
      <c r="BA24" s="66">
        <v>0.25</v>
      </c>
      <c r="BB24" s="66">
        <v>0.25</v>
      </c>
      <c r="BC24" s="66">
        <v>0.25</v>
      </c>
      <c r="BD24" s="66">
        <v>0.25</v>
      </c>
      <c r="BE24" s="66">
        <v>0.25</v>
      </c>
      <c r="BF24" s="66">
        <v>0.25</v>
      </c>
      <c r="BG24" s="66">
        <v>0.25</v>
      </c>
      <c r="BH24" s="66">
        <v>0.25</v>
      </c>
      <c r="BI24" s="66">
        <v>0.25</v>
      </c>
      <c r="BJ24" s="66">
        <v>0.25</v>
      </c>
      <c r="BK24" s="66">
        <v>0.25</v>
      </c>
      <c r="BL24" s="66">
        <v>0.25</v>
      </c>
      <c r="BM24" s="66">
        <v>0.25</v>
      </c>
      <c r="BN24" s="66">
        <v>0.25</v>
      </c>
      <c r="BO24" s="66">
        <v>0.25</v>
      </c>
      <c r="BP24" s="66">
        <v>0.25</v>
      </c>
      <c r="BQ24" s="66">
        <v>0.25</v>
      </c>
      <c r="BR24" s="66">
        <v>0.25</v>
      </c>
      <c r="BS24" s="66">
        <v>0.25</v>
      </c>
      <c r="BT24" s="66">
        <v>0.25</v>
      </c>
      <c r="BU24" s="66">
        <v>0.25</v>
      </c>
      <c r="BV24" s="66">
        <v>0.25</v>
      </c>
      <c r="BW24" s="66">
        <v>0.25</v>
      </c>
      <c r="BX24" s="66">
        <v>0.25</v>
      </c>
      <c r="BY24" s="66">
        <v>0.25</v>
      </c>
      <c r="BZ24" s="66">
        <v>0.25</v>
      </c>
      <c r="CA24" s="66">
        <v>0.25</v>
      </c>
      <c r="CB24" s="66">
        <v>0.25</v>
      </c>
      <c r="CC24" s="66">
        <v>0.25</v>
      </c>
      <c r="CD24" s="66">
        <v>0.25</v>
      </c>
      <c r="CE24" s="66">
        <v>0.25</v>
      </c>
      <c r="CF24" s="66">
        <v>0.25</v>
      </c>
      <c r="CG24" s="66">
        <v>0.25</v>
      </c>
      <c r="CH24" s="66">
        <v>0.25</v>
      </c>
    </row>
    <row r="25" spans="1:86" x14ac:dyDescent="0.2">
      <c r="C25" s="45">
        <f t="shared" ref="C25:D25" si="24">SUM(C22:C24)</f>
        <v>1</v>
      </c>
      <c r="D25" s="45">
        <f t="shared" si="24"/>
        <v>1</v>
      </c>
      <c r="E25" s="45">
        <f t="shared" ref="E25:F25" si="25">SUM(E22:E24)</f>
        <v>1</v>
      </c>
      <c r="F25" s="45">
        <f t="shared" si="25"/>
        <v>1</v>
      </c>
      <c r="G25" s="45">
        <f t="shared" ref="G25:H25" si="26">SUM(G22:G24)</f>
        <v>1</v>
      </c>
      <c r="H25" s="45">
        <f t="shared" si="26"/>
        <v>1</v>
      </c>
      <c r="I25" s="45">
        <f t="shared" ref="I25:J25" si="27">SUM(I22:I24)</f>
        <v>1</v>
      </c>
      <c r="J25" s="45">
        <f t="shared" si="27"/>
        <v>1</v>
      </c>
      <c r="K25" s="45">
        <f t="shared" ref="K25:L25" si="28">SUM(K22:K24)</f>
        <v>1</v>
      </c>
      <c r="L25" s="45">
        <f t="shared" si="28"/>
        <v>1</v>
      </c>
      <c r="M25" s="45">
        <f t="shared" ref="M25:N25" si="29">SUM(M22:M24)</f>
        <v>1</v>
      </c>
      <c r="N25" s="45">
        <f t="shared" si="29"/>
        <v>1</v>
      </c>
      <c r="O25" s="45">
        <f t="shared" ref="O25:P25" si="30">SUM(O22:O24)</f>
        <v>1</v>
      </c>
      <c r="P25" s="45">
        <f t="shared" si="30"/>
        <v>1</v>
      </c>
      <c r="Q25" s="45">
        <f t="shared" ref="Q25:R25" si="31">SUM(Q22:Q24)</f>
        <v>1</v>
      </c>
      <c r="R25" s="45">
        <f t="shared" si="31"/>
        <v>1</v>
      </c>
      <c r="S25" s="45">
        <f t="shared" ref="S25" si="32">SUM(S22:S24)</f>
        <v>1</v>
      </c>
      <c r="T25" s="45">
        <f t="shared" ref="T25:U25" si="33">SUM(T22:T24)</f>
        <v>1</v>
      </c>
      <c r="U25" s="45">
        <f t="shared" si="33"/>
        <v>1</v>
      </c>
      <c r="V25" s="45">
        <f t="shared" ref="V25:W25" si="34">SUM(V22:V24)</f>
        <v>1</v>
      </c>
      <c r="W25" s="45">
        <f t="shared" si="34"/>
        <v>1</v>
      </c>
      <c r="X25" s="45">
        <v>1</v>
      </c>
      <c r="Y25" s="45">
        <v>1</v>
      </c>
      <c r="Z25" s="45">
        <v>1</v>
      </c>
      <c r="AA25" s="45">
        <v>1</v>
      </c>
      <c r="AB25" s="45">
        <v>1</v>
      </c>
      <c r="AC25" s="45">
        <v>1</v>
      </c>
      <c r="AD25" s="45">
        <v>1</v>
      </c>
      <c r="AE25" s="45">
        <v>1</v>
      </c>
      <c r="AF25" s="45">
        <v>1</v>
      </c>
      <c r="AG25" s="45">
        <v>1</v>
      </c>
      <c r="AH25" s="45">
        <f t="shared" ref="AH25:AI25" si="35">SUM(AH22:AH24)</f>
        <v>1</v>
      </c>
      <c r="AI25" s="45">
        <f t="shared" si="35"/>
        <v>1</v>
      </c>
      <c r="AJ25" s="45">
        <f t="shared" ref="AJ25:AK25" si="36">SUM(AJ22:AJ24)</f>
        <v>1</v>
      </c>
      <c r="AK25" s="45">
        <f t="shared" si="36"/>
        <v>1</v>
      </c>
      <c r="AL25" s="45">
        <f t="shared" ref="AL25:AM25" si="37">SUM(AL22:AL24)</f>
        <v>1</v>
      </c>
      <c r="AM25" s="45">
        <f t="shared" si="37"/>
        <v>1</v>
      </c>
      <c r="AN25" s="45">
        <f t="shared" ref="AN25:AO25" si="38">SUM(AN22:AN24)</f>
        <v>1</v>
      </c>
      <c r="AO25" s="45">
        <f t="shared" si="38"/>
        <v>1</v>
      </c>
      <c r="AP25" s="45">
        <f t="shared" ref="AP25" si="39">SUM(AP22:AP24)</f>
        <v>1</v>
      </c>
      <c r="AQ25" s="45">
        <v>1</v>
      </c>
      <c r="AR25" s="45">
        <v>1</v>
      </c>
      <c r="AS25" s="45">
        <v>1</v>
      </c>
      <c r="AT25" s="45">
        <v>1</v>
      </c>
      <c r="AU25" s="45">
        <v>1</v>
      </c>
      <c r="AV25" s="45">
        <f t="shared" ref="AV25" si="40">SUM(AV22:AV24)</f>
        <v>1</v>
      </c>
      <c r="AW25" s="45">
        <v>1</v>
      </c>
      <c r="AX25" s="45">
        <v>1</v>
      </c>
      <c r="AY25" s="45">
        <v>1</v>
      </c>
      <c r="AZ25" s="45">
        <v>1</v>
      </c>
      <c r="BA25" s="45">
        <v>1</v>
      </c>
      <c r="BB25" s="45">
        <v>1</v>
      </c>
      <c r="BC25" s="45">
        <v>1</v>
      </c>
      <c r="BD25" s="45">
        <v>1</v>
      </c>
      <c r="BE25" s="45">
        <v>1</v>
      </c>
      <c r="BF25" s="45">
        <v>1</v>
      </c>
      <c r="BG25" s="45">
        <v>1</v>
      </c>
      <c r="BH25" s="45">
        <v>1</v>
      </c>
      <c r="BI25" s="45">
        <v>1</v>
      </c>
      <c r="BJ25" s="45">
        <v>1</v>
      </c>
      <c r="BK25" s="45">
        <v>1</v>
      </c>
      <c r="BL25" s="45">
        <v>1</v>
      </c>
      <c r="BM25" s="45">
        <v>1</v>
      </c>
      <c r="BN25" s="45">
        <v>1</v>
      </c>
      <c r="BO25" s="45">
        <f t="shared" ref="BO25" si="41">SUM(BO22:BO24)</f>
        <v>1</v>
      </c>
      <c r="BP25" s="45">
        <v>1</v>
      </c>
      <c r="BQ25" s="45">
        <v>1</v>
      </c>
      <c r="BR25" s="45">
        <v>1</v>
      </c>
      <c r="BS25" s="45">
        <v>1</v>
      </c>
      <c r="BT25" s="45">
        <f t="shared" ref="BT25:BU25" si="42">SUM(BT22:BT24)</f>
        <v>1</v>
      </c>
      <c r="BU25" s="45">
        <f t="shared" si="42"/>
        <v>1</v>
      </c>
      <c r="BV25" s="45">
        <f t="shared" ref="BV25:BW25" si="43">SUM(BV22:BV24)</f>
        <v>1</v>
      </c>
      <c r="BW25" s="45">
        <f t="shared" si="43"/>
        <v>1</v>
      </c>
      <c r="BX25" s="45">
        <f t="shared" ref="BX25:BY25" si="44">SUM(BX22:BX24)</f>
        <v>1</v>
      </c>
      <c r="BY25" s="45">
        <f t="shared" si="44"/>
        <v>1</v>
      </c>
      <c r="BZ25" s="45">
        <f t="shared" ref="BZ25:CA25" si="45">SUM(BZ22:BZ24)</f>
        <v>1</v>
      </c>
      <c r="CA25" s="45">
        <f t="shared" si="45"/>
        <v>1</v>
      </c>
      <c r="CB25" s="45">
        <f t="shared" ref="CB25:CC25" si="46">SUM(CB22:CB24)</f>
        <v>1</v>
      </c>
      <c r="CC25" s="45">
        <f t="shared" si="46"/>
        <v>1</v>
      </c>
      <c r="CD25" s="45">
        <f t="shared" ref="CD25:CE25" si="47">SUM(CD22:CD24)</f>
        <v>1</v>
      </c>
      <c r="CE25" s="45">
        <f t="shared" si="47"/>
        <v>1</v>
      </c>
      <c r="CF25" s="45">
        <f t="shared" ref="CF25:CG25" si="48">SUM(CF22:CF24)</f>
        <v>1</v>
      </c>
      <c r="CG25" s="45">
        <f t="shared" si="48"/>
        <v>1</v>
      </c>
      <c r="CH25" s="45">
        <f t="shared" ref="CH25" si="49">SUM(CH22:CH24)</f>
        <v>1</v>
      </c>
    </row>
  </sheetData>
  <phoneticPr fontId="0" type="noConversion"/>
  <pageMargins left="0.2" right="0.22" top="0.75" bottom="0.38" header="0.45" footer="0.2"/>
  <pageSetup scale="48" orientation="landscape" r:id="rId1"/>
  <headerFooter alignWithMargins="0">
    <oddHeader xml:space="preserve">&amp;C&amp;"Arial,Bold"&amp;14&amp;A&amp;R&amp;"Times New Roman,Bold"KyPSC Case No. 2024-00354
AG-DR-02-043 Attachment
Page &amp;P of &amp;N&amp;"Arial,Regular"
</oddHeader>
    <oddFooter>&amp;L&amp;D
&amp;R&amp;"Arial,Bold"&amp;14&amp;KFF0000A1</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K36"/>
  <sheetViews>
    <sheetView view="pageLayout" topLeftCell="BV1" zoomScaleNormal="90" workbookViewId="0">
      <selection activeCell="BW30" sqref="BW30"/>
    </sheetView>
  </sheetViews>
  <sheetFormatPr defaultColWidth="14.85546875" defaultRowHeight="12.75" outlineLevelCol="1" x14ac:dyDescent="0.2"/>
  <cols>
    <col min="1" max="1" width="5.28515625" customWidth="1"/>
    <col min="2" max="2" width="34.42578125" bestFit="1" customWidth="1"/>
    <col min="3" max="5" width="10.5703125" hidden="1" customWidth="1" outlineLevel="1"/>
    <col min="6" max="6" width="10.5703125" hidden="1" customWidth="1" outlineLevel="1" collapsed="1"/>
    <col min="7" max="10" width="10.5703125" hidden="1" customWidth="1" outlineLevel="1"/>
    <col min="11" max="11" width="10.5703125" hidden="1" customWidth="1" outlineLevel="1" collapsed="1"/>
    <col min="12" max="14" width="10.5703125" hidden="1" customWidth="1" outlineLevel="1"/>
    <col min="15" max="17" width="13" hidden="1" customWidth="1" outlineLevel="1"/>
    <col min="18" max="18" width="13" hidden="1" customWidth="1" outlineLevel="1" collapsed="1"/>
    <col min="19" max="19" width="13" hidden="1" customWidth="1" outlineLevel="1"/>
    <col min="20" max="22" width="13" hidden="1" customWidth="1" outlineLevel="1" collapsed="1"/>
    <col min="23" max="24" width="13" hidden="1" customWidth="1" outlineLevel="1"/>
    <col min="25" max="25" width="13" hidden="1" customWidth="1" outlineLevel="1" collapsed="1"/>
    <col min="26" max="29" width="13" hidden="1" customWidth="1" outlineLevel="1"/>
    <col min="30" max="30" width="13" hidden="1" customWidth="1" outlineLevel="1" collapsed="1"/>
    <col min="31" max="32" width="13" hidden="1" customWidth="1" outlineLevel="1"/>
    <col min="33" max="33" width="13" hidden="1" customWidth="1" outlineLevel="1" collapsed="1"/>
    <col min="34" max="35" width="13" hidden="1" customWidth="1" outlineLevel="1"/>
    <col min="36" max="36" width="13" hidden="1" customWidth="1" outlineLevel="1" collapsed="1"/>
    <col min="37" max="47" width="13" hidden="1" customWidth="1" outlineLevel="1"/>
    <col min="48" max="48" width="13" hidden="1" customWidth="1" outlineLevel="1" collapsed="1"/>
    <col min="49" max="59" width="13" hidden="1" customWidth="1" outlineLevel="1"/>
    <col min="60" max="60" width="13" hidden="1" customWidth="1" outlineLevel="1" collapsed="1"/>
    <col min="61" max="61" width="13" hidden="1" customWidth="1" outlineLevel="1"/>
    <col min="62" max="62" width="13" hidden="1" customWidth="1" collapsed="1"/>
    <col min="63" max="67" width="13" hidden="1" customWidth="1"/>
    <col min="68" max="72" width="0" hidden="1" customWidth="1"/>
  </cols>
  <sheetData>
    <row r="1" spans="1:89" x14ac:dyDescent="0.2">
      <c r="B1" s="80" t="s">
        <v>45</v>
      </c>
    </row>
    <row r="2" spans="1:89" x14ac:dyDescent="0.2">
      <c r="B2" s="80"/>
    </row>
    <row r="3" spans="1:89" x14ac:dyDescent="0.2">
      <c r="B3" s="78" t="s">
        <v>78</v>
      </c>
      <c r="C3" s="49"/>
      <c r="D3" s="49"/>
      <c r="E3" s="49"/>
      <c r="F3" s="49"/>
    </row>
    <row r="5" spans="1:89" x14ac:dyDescent="0.2">
      <c r="A5" s="7" t="s">
        <v>44</v>
      </c>
      <c r="C5" s="9">
        <v>42795</v>
      </c>
      <c r="D5" s="9">
        <v>42826</v>
      </c>
      <c r="E5" s="9">
        <v>42856</v>
      </c>
      <c r="F5" s="9">
        <v>42887</v>
      </c>
      <c r="G5" s="9">
        <v>42917</v>
      </c>
      <c r="H5" s="9">
        <v>42948</v>
      </c>
      <c r="I5" s="9">
        <v>42979</v>
      </c>
      <c r="J5" s="9">
        <v>43009</v>
      </c>
      <c r="K5" s="9">
        <v>43040</v>
      </c>
      <c r="L5" s="9">
        <v>43070</v>
      </c>
      <c r="M5" s="9">
        <v>43101</v>
      </c>
      <c r="N5" s="9">
        <v>43132</v>
      </c>
      <c r="O5" s="9">
        <v>43160</v>
      </c>
      <c r="P5" s="9">
        <v>43191</v>
      </c>
      <c r="Q5" s="9">
        <v>43221</v>
      </c>
      <c r="R5" s="9">
        <f>'Rate Summaries'!R3</f>
        <v>43252</v>
      </c>
      <c r="S5" s="9">
        <f>'Rate Summaries'!S3</f>
        <v>43282</v>
      </c>
      <c r="T5" s="9">
        <f>'Rate Summaries'!T3</f>
        <v>43313</v>
      </c>
      <c r="U5" s="9">
        <f>'Rate Summaries'!U3</f>
        <v>43344</v>
      </c>
      <c r="V5" s="9">
        <f>'Rate Summaries'!V3</f>
        <v>43374</v>
      </c>
      <c r="W5" s="9">
        <f>'Rate Summaries'!W3</f>
        <v>43405</v>
      </c>
      <c r="X5" s="9">
        <v>43435</v>
      </c>
      <c r="Y5" s="9">
        <v>43466</v>
      </c>
      <c r="Z5" s="9">
        <v>43497</v>
      </c>
      <c r="AA5" s="9">
        <v>43525</v>
      </c>
      <c r="AB5" s="9">
        <v>43556</v>
      </c>
      <c r="AC5" s="9">
        <v>43586</v>
      </c>
      <c r="AD5" s="9">
        <v>43617</v>
      </c>
      <c r="AE5" s="9">
        <v>43647</v>
      </c>
      <c r="AF5" s="9">
        <v>43678</v>
      </c>
      <c r="AG5" s="9">
        <v>43709</v>
      </c>
      <c r="AH5" s="9">
        <f>'Rate Summaries'!AH3</f>
        <v>43739</v>
      </c>
      <c r="AI5" s="9">
        <f>'Rate Summaries'!AI3</f>
        <v>43770</v>
      </c>
      <c r="AJ5" s="9">
        <f>'Rate Summaries'!AJ3</f>
        <v>43800</v>
      </c>
      <c r="AK5" s="9">
        <f>'Rate Summaries'!AK3</f>
        <v>43831</v>
      </c>
      <c r="AL5" s="9">
        <f>'Rate Summaries'!AL3</f>
        <v>43862</v>
      </c>
      <c r="AM5" s="9">
        <f>'Rate Summaries'!AM3</f>
        <v>43891</v>
      </c>
      <c r="AN5" s="9">
        <f>'Rate Summaries'!AN3</f>
        <v>43922</v>
      </c>
      <c r="AO5" s="9">
        <f>'Rate Summaries'!AO3</f>
        <v>43952</v>
      </c>
      <c r="AP5" s="9">
        <f>'Rate Summaries'!AP3</f>
        <v>43983</v>
      </c>
      <c r="AQ5" s="9">
        <v>44013</v>
      </c>
      <c r="AR5" s="9">
        <v>44044</v>
      </c>
      <c r="AS5" s="9">
        <f>'Rate Summaries'!AS3</f>
        <v>44075</v>
      </c>
      <c r="AT5" s="9">
        <v>44105</v>
      </c>
      <c r="AU5" s="9">
        <v>44136</v>
      </c>
      <c r="AV5" s="9">
        <v>44166</v>
      </c>
      <c r="AW5" s="9">
        <v>44197</v>
      </c>
      <c r="AX5" s="9">
        <v>44228</v>
      </c>
      <c r="AY5" s="9">
        <v>44256</v>
      </c>
      <c r="AZ5" s="9">
        <v>44287</v>
      </c>
      <c r="BA5" s="9">
        <v>44317</v>
      </c>
      <c r="BB5" s="9">
        <v>44348</v>
      </c>
      <c r="BC5" s="9">
        <v>44378</v>
      </c>
      <c r="BD5" s="9">
        <v>44409</v>
      </c>
      <c r="BE5" s="9">
        <v>44440</v>
      </c>
      <c r="BF5" s="9">
        <v>44470</v>
      </c>
      <c r="BG5" s="9">
        <v>44501</v>
      </c>
      <c r="BH5" s="9">
        <v>44531</v>
      </c>
      <c r="BI5" s="9">
        <v>44562</v>
      </c>
      <c r="BJ5" s="9">
        <v>44593</v>
      </c>
      <c r="BK5" s="9">
        <v>44621</v>
      </c>
      <c r="BL5" s="9">
        <v>44652</v>
      </c>
      <c r="BM5" s="9">
        <v>44682</v>
      </c>
      <c r="BN5" s="9">
        <v>44713</v>
      </c>
      <c r="BO5" s="9">
        <v>44743</v>
      </c>
      <c r="BP5" s="9">
        <v>44774</v>
      </c>
      <c r="BQ5" s="9">
        <v>44805</v>
      </c>
      <c r="BR5" s="9">
        <v>44835</v>
      </c>
      <c r="BS5" s="9">
        <v>44866</v>
      </c>
      <c r="BT5" s="9">
        <v>44896</v>
      </c>
      <c r="BU5" s="9">
        <v>44927</v>
      </c>
      <c r="BV5" s="9">
        <v>44958</v>
      </c>
      <c r="BW5" s="9">
        <f>'Rate Summaries'!BW3</f>
        <v>44986</v>
      </c>
      <c r="BX5" s="9">
        <f>'Rate Summaries'!BX3</f>
        <v>45017</v>
      </c>
      <c r="BY5" s="9">
        <f>'Rate Summaries'!BY3</f>
        <v>45047</v>
      </c>
      <c r="BZ5" s="9">
        <f>'Rate Summaries'!BZ3</f>
        <v>45078</v>
      </c>
      <c r="CA5" s="9">
        <v>45108</v>
      </c>
      <c r="CB5" s="9">
        <v>45139</v>
      </c>
      <c r="CC5" s="9">
        <v>45170</v>
      </c>
      <c r="CD5" s="9">
        <f>'Rate Summaries'!CD3</f>
        <v>45200</v>
      </c>
      <c r="CE5" s="9">
        <f>'Rate Summaries'!CE3</f>
        <v>45231</v>
      </c>
      <c r="CF5" s="9">
        <v>45261</v>
      </c>
      <c r="CG5" s="9">
        <v>45292</v>
      </c>
      <c r="CH5" s="9">
        <f>'Rate Summaries'!CH3</f>
        <v>45323</v>
      </c>
    </row>
    <row r="6" spans="1:89" x14ac:dyDescent="0.2">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K6" s="1"/>
    </row>
    <row r="7" spans="1:89" x14ac:dyDescent="0.2">
      <c r="B7" s="31" t="s">
        <v>35</v>
      </c>
      <c r="C7" s="32">
        <v>2.5000000000000001E-3</v>
      </c>
      <c r="D7" s="32">
        <v>2.5000000000000001E-3</v>
      </c>
      <c r="E7" s="32">
        <v>2.5000000000000001E-3</v>
      </c>
      <c r="F7" s="32">
        <v>2.5000000000000001E-3</v>
      </c>
      <c r="G7" s="32">
        <v>2.5000000000000001E-3</v>
      </c>
      <c r="H7" s="32">
        <v>2.5000000000000001E-3</v>
      </c>
      <c r="I7" s="32">
        <v>2.5000000000000001E-3</v>
      </c>
      <c r="J7" s="32">
        <v>2.5000000000000001E-3</v>
      </c>
      <c r="K7" s="32">
        <v>2.5000000000000001E-3</v>
      </c>
      <c r="L7" s="32">
        <v>2.5000000000000001E-3</v>
      </c>
      <c r="M7" s="32">
        <v>2.5000000000000001E-3</v>
      </c>
      <c r="N7" s="32">
        <v>2.5000000000000001E-3</v>
      </c>
      <c r="O7" s="32">
        <v>2.5000000000000001E-3</v>
      </c>
      <c r="P7" s="32">
        <v>2.5000000000000001E-3</v>
      </c>
      <c r="Q7" s="32">
        <v>2.5000000000000001E-3</v>
      </c>
      <c r="R7" s="32">
        <v>2.5000000000000001E-3</v>
      </c>
      <c r="S7" s="32">
        <v>2.5000000000000001E-3</v>
      </c>
      <c r="T7" s="32">
        <v>2.5000000000000001E-3</v>
      </c>
      <c r="U7" s="32">
        <v>2.5000000000000001E-3</v>
      </c>
      <c r="V7" s="32">
        <v>2.5000000000000001E-3</v>
      </c>
      <c r="W7" s="32">
        <v>2.5000000000000001E-3</v>
      </c>
      <c r="X7" s="32">
        <v>2.5000000000000001E-3</v>
      </c>
      <c r="Y7" s="32">
        <v>2.5000000000000001E-3</v>
      </c>
      <c r="Z7" s="32">
        <v>2.5000000000000001E-3</v>
      </c>
      <c r="AA7" s="32">
        <v>2.5000000000000001E-3</v>
      </c>
      <c r="AB7" s="32">
        <v>2.5000000000000001E-3</v>
      </c>
      <c r="AC7" s="32">
        <v>2.5000000000000001E-3</v>
      </c>
      <c r="AD7" s="32">
        <v>2.5000000000000001E-3</v>
      </c>
      <c r="AE7" s="32">
        <v>2.5000000000000001E-3</v>
      </c>
      <c r="AF7" s="32">
        <v>2.5000000000000001E-3</v>
      </c>
      <c r="AG7" s="32">
        <v>2.5000000000000001E-3</v>
      </c>
      <c r="AH7" s="32">
        <v>2.5000000000000001E-3</v>
      </c>
      <c r="AI7" s="32">
        <v>2.5000000000000001E-3</v>
      </c>
      <c r="AJ7" s="32">
        <v>2.5000000000000001E-3</v>
      </c>
      <c r="AK7" s="32">
        <v>2.5000000000000001E-3</v>
      </c>
      <c r="AL7" s="32">
        <v>2.5000000000000001E-3</v>
      </c>
      <c r="AM7" s="32">
        <v>2.5000000000000001E-3</v>
      </c>
      <c r="AN7" s="32">
        <v>2.5000000000000001E-3</v>
      </c>
      <c r="AO7" s="32">
        <v>2.5000000000000001E-3</v>
      </c>
      <c r="AP7" s="32">
        <v>2.5000000000000001E-3</v>
      </c>
      <c r="AQ7" s="32">
        <v>2.5000000000000001E-3</v>
      </c>
      <c r="AR7" s="32">
        <v>2.5000000000000001E-3</v>
      </c>
      <c r="AS7" s="32">
        <v>2.5000000000000001E-3</v>
      </c>
      <c r="AT7" s="32">
        <v>2.5000000000000001E-3</v>
      </c>
      <c r="AU7" s="32">
        <v>2.5000000000000001E-3</v>
      </c>
      <c r="AV7" s="32">
        <v>2.5000000000000001E-3</v>
      </c>
      <c r="AW7" s="32">
        <v>2.5000000000000001E-3</v>
      </c>
      <c r="AX7" s="32">
        <v>2.5000000000000001E-3</v>
      </c>
      <c r="AY7" s="32">
        <v>2.5000000000000001E-3</v>
      </c>
      <c r="AZ7" s="32">
        <v>2.5000000000000001E-3</v>
      </c>
      <c r="BA7" s="32">
        <v>2.5000000000000001E-3</v>
      </c>
      <c r="BB7" s="32">
        <v>2.5000000000000001E-3</v>
      </c>
      <c r="BC7" s="32">
        <v>2.5000000000000001E-3</v>
      </c>
      <c r="BD7" s="32">
        <v>2.5000000000000001E-3</v>
      </c>
      <c r="BE7" s="32">
        <v>2.5000000000000001E-3</v>
      </c>
      <c r="BF7" s="32">
        <v>2.5000000000000001E-3</v>
      </c>
      <c r="BG7" s="32">
        <v>2.5000000000000001E-3</v>
      </c>
      <c r="BH7" s="32">
        <v>2.5000000000000001E-3</v>
      </c>
      <c r="BI7" s="32">
        <v>2.5000000000000001E-3</v>
      </c>
      <c r="BJ7" s="32">
        <v>2.5000000000000001E-3</v>
      </c>
      <c r="BK7" s="32">
        <v>2.5000000000000001E-3</v>
      </c>
      <c r="BL7" s="32">
        <v>2.5000000000000001E-3</v>
      </c>
      <c r="BM7" s="32">
        <v>2.5000000000000001E-3</v>
      </c>
      <c r="BN7" s="32">
        <v>2.5000000000000001E-3</v>
      </c>
      <c r="BO7" s="32">
        <v>2.5000000000000001E-3</v>
      </c>
      <c r="BP7" s="32">
        <v>2.5000000000000001E-3</v>
      </c>
      <c r="BQ7" s="32">
        <v>2.5000000000000001E-3</v>
      </c>
      <c r="BR7" s="32">
        <v>2.5000000000000001E-3</v>
      </c>
      <c r="BS7" s="32">
        <v>2.5000000000000001E-3</v>
      </c>
      <c r="BT7" s="32">
        <v>2.5000000000000001E-3</v>
      </c>
      <c r="BU7" s="32">
        <v>2.5000000000000001E-3</v>
      </c>
      <c r="BV7" s="32">
        <v>2.5000000000000001E-3</v>
      </c>
      <c r="BW7" s="32">
        <v>2.5000000000000001E-3</v>
      </c>
      <c r="BX7" s="32">
        <v>2.5000000000000001E-3</v>
      </c>
      <c r="BY7" s="32">
        <v>2.5000000000000001E-3</v>
      </c>
      <c r="BZ7" s="32">
        <v>2.5000000000000001E-3</v>
      </c>
      <c r="CA7" s="32">
        <v>2.5000000000000001E-3</v>
      </c>
      <c r="CB7" s="32">
        <v>2.5000000000000001E-3</v>
      </c>
      <c r="CC7" s="32">
        <v>2.5000000000000001E-3</v>
      </c>
      <c r="CD7" s="32">
        <v>2.5000000000000001E-3</v>
      </c>
      <c r="CE7" s="32">
        <v>2.5000000000000001E-3</v>
      </c>
      <c r="CF7" s="32">
        <v>2.5000000000000001E-3</v>
      </c>
      <c r="CG7" s="32">
        <v>2.5000000000000001E-3</v>
      </c>
      <c r="CH7" s="32">
        <v>2.5000000000000001E-3</v>
      </c>
    </row>
    <row r="8" spans="1:89" x14ac:dyDescent="0.2">
      <c r="B8" s="33"/>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row>
    <row r="9" spans="1:89" x14ac:dyDescent="0.2">
      <c r="B9" s="79" t="s">
        <v>68</v>
      </c>
      <c r="C9" s="69">
        <v>7.8889000000000008E-3</v>
      </c>
      <c r="D9" s="69">
        <v>9.8278900000000006E-3</v>
      </c>
      <c r="E9" s="69">
        <v>9.9500000000000005E-3</v>
      </c>
      <c r="F9" s="69">
        <v>1.06033E-2</v>
      </c>
      <c r="G9" s="69">
        <v>1.22389E-2</v>
      </c>
      <c r="H9" s="69">
        <v>1.23167E-2</v>
      </c>
      <c r="I9" s="69">
        <v>1.23167E-2</v>
      </c>
      <c r="J9" s="69">
        <v>1.23222E-2</v>
      </c>
      <c r="K9" s="69">
        <v>1.24333E-2</v>
      </c>
      <c r="L9" s="69">
        <v>1.37188E-2</v>
      </c>
      <c r="M9" s="69">
        <v>1.56425E-2</v>
      </c>
      <c r="N9" s="69">
        <v>1.5796999999999999E-2</v>
      </c>
      <c r="O9" s="69">
        <v>1.6700699999999999E-2</v>
      </c>
      <c r="P9" s="69">
        <v>1.8831299999999999E-2</v>
      </c>
      <c r="Q9" s="69">
        <v>1.9093200000000001E-2</v>
      </c>
      <c r="R9" s="69">
        <v>2.0007E-2</v>
      </c>
      <c r="S9" s="75">
        <v>2.0902500000000001E-2</v>
      </c>
      <c r="T9" s="75">
        <v>2.08138E-2</v>
      </c>
      <c r="U9" s="75">
        <v>2.11375E-2</v>
      </c>
      <c r="V9" s="75">
        <v>2.26056E-2</v>
      </c>
      <c r="W9" s="75">
        <v>2.30688E-2</v>
      </c>
      <c r="X9" s="75">
        <v>2.3469400000000001E-2</v>
      </c>
      <c r="Y9" s="75">
        <v>2.5026900000000001E-2</v>
      </c>
      <c r="Z9" s="75">
        <v>2.51375E-2</v>
      </c>
      <c r="AA9" s="75">
        <v>2.49038E-2</v>
      </c>
      <c r="AB9" s="75">
        <v>2.4944999999999998E-2</v>
      </c>
      <c r="AC9" s="75">
        <v>2.4805000000000001E-2</v>
      </c>
      <c r="AD9" s="75">
        <v>2.4305E-2</v>
      </c>
      <c r="AE9" s="75">
        <v>2.3980000000000001E-2</v>
      </c>
      <c r="AF9" s="75">
        <v>2.2242499999999998E-2</v>
      </c>
      <c r="AG9" s="75">
        <v>2.0889999999999999E-2</v>
      </c>
      <c r="AH9" s="75">
        <v>2.0156299999999999E-2</v>
      </c>
      <c r="AI9" s="75">
        <v>1.7848800000000001E-2</v>
      </c>
      <c r="AJ9" s="75">
        <v>1.6971300000000002E-2</v>
      </c>
      <c r="AK9" s="75">
        <v>1.7624999999999998E-2</v>
      </c>
      <c r="AL9" s="75">
        <v>1.66188E-2</v>
      </c>
      <c r="AM9" s="75">
        <v>1.5152499999999999E-2</v>
      </c>
      <c r="AN9" s="75">
        <v>9.9287999999999998E-3</v>
      </c>
      <c r="AO9" s="75">
        <v>3.2962999999999998E-3</v>
      </c>
      <c r="AP9" s="75">
        <v>1.825E-3</v>
      </c>
      <c r="AQ9" s="75">
        <v>1.6225E-3</v>
      </c>
      <c r="AR9" s="75">
        <v>1.5487999999999999E-3</v>
      </c>
      <c r="AS9" s="75">
        <v>1.5675000000000001E-3</v>
      </c>
      <c r="AT9" s="75">
        <v>1.4825000000000001E-3</v>
      </c>
      <c r="AU9" s="75">
        <v>1.4025000000000001E-3</v>
      </c>
      <c r="AV9" s="75">
        <v>1.5338000000000001E-3</v>
      </c>
      <c r="AW9" s="75">
        <v>1.4388000000000001E-3</v>
      </c>
      <c r="AX9" s="77">
        <v>1.1950000000000001E-3</v>
      </c>
      <c r="AY9" s="77">
        <v>1.1850000000000001E-3</v>
      </c>
      <c r="AZ9" s="77">
        <v>1.1113E-3</v>
      </c>
      <c r="BA9" s="77">
        <v>1.0725000000000001E-3</v>
      </c>
      <c r="BB9" s="77">
        <v>8.5879999999999995E-4</v>
      </c>
      <c r="BC9" s="77">
        <v>1.005E-3</v>
      </c>
      <c r="BD9" s="77">
        <v>9.0499999999999999E-4</v>
      </c>
      <c r="BE9" s="77">
        <v>8.25E-4</v>
      </c>
      <c r="BF9" s="77">
        <v>8.0250000000000004E-4</v>
      </c>
      <c r="BG9" s="77">
        <v>8.7500000000000002E-4</v>
      </c>
      <c r="BH9" s="77">
        <v>9.3999999999999997E-4</v>
      </c>
      <c r="BI9" s="77">
        <v>1.0124999999999999E-3</v>
      </c>
      <c r="BJ9" s="77">
        <v>1.0686000000000001E-3</v>
      </c>
      <c r="BK9" s="77">
        <v>2.4142999999999999E-3</v>
      </c>
      <c r="BL9" s="77">
        <v>4.5199999999999997E-3</v>
      </c>
      <c r="BM9" s="77">
        <v>8.0329000000000008E-3</v>
      </c>
      <c r="BN9" s="77">
        <v>1.11986E-2</v>
      </c>
      <c r="BO9" s="77">
        <v>1.78671E-2</v>
      </c>
      <c r="BP9" s="77">
        <v>2.3622899999999999E-2</v>
      </c>
      <c r="BQ9" s="77">
        <v>2.5534299999999999E-2</v>
      </c>
      <c r="BR9" s="77">
        <v>3.1427099999999999E-2</v>
      </c>
      <c r="BS9" s="77">
        <v>3.8048600000000002E-2</v>
      </c>
      <c r="BT9" s="77">
        <v>4.1419999999999998E-2</v>
      </c>
      <c r="BU9" s="77">
        <v>4.3915700000000002E-2</v>
      </c>
      <c r="BV9" s="77">
        <v>4.5742900000000003E-2</v>
      </c>
      <c r="BW9" s="77">
        <v>4.6694300000000001E-2</v>
      </c>
      <c r="BX9" s="77">
        <v>4.8577099999999998E-2</v>
      </c>
      <c r="BY9" s="77">
        <v>5.0621399999999997E-2</v>
      </c>
      <c r="BZ9" s="77">
        <v>5.1929999999999997E-2</v>
      </c>
      <c r="CA9" s="77">
        <v>5.2171000000000002E-2</v>
      </c>
      <c r="CB9" s="77">
        <v>5.3100000000000001E-2</v>
      </c>
      <c r="CC9" s="77">
        <v>5.3100000000000001E-2</v>
      </c>
      <c r="CD9" s="77">
        <v>5.3499999999999999E-2</v>
      </c>
      <c r="CE9" s="77">
        <v>5.33E-2</v>
      </c>
      <c r="CF9" s="77">
        <v>5.3800000000000001E-2</v>
      </c>
      <c r="CG9" s="77">
        <v>5.3199999999999997E-2</v>
      </c>
      <c r="CH9" s="77">
        <v>5.3199999999999997E-2</v>
      </c>
    </row>
    <row r="10" spans="1:89" x14ac:dyDescent="0.2">
      <c r="B10" s="33" t="s">
        <v>37</v>
      </c>
      <c r="C10" s="15">
        <v>0.01</v>
      </c>
      <c r="D10" s="15">
        <v>0.01</v>
      </c>
      <c r="E10" s="15">
        <v>0.01</v>
      </c>
      <c r="F10" s="15">
        <v>0.01</v>
      </c>
      <c r="G10" s="15">
        <v>0.01</v>
      </c>
      <c r="H10" s="15">
        <v>0.01</v>
      </c>
      <c r="I10" s="15">
        <v>0.01</v>
      </c>
      <c r="J10" s="15">
        <v>0.01</v>
      </c>
      <c r="K10" s="15">
        <v>0.01</v>
      </c>
      <c r="L10" s="15">
        <v>0.01</v>
      </c>
      <c r="M10" s="15">
        <v>0.01</v>
      </c>
      <c r="N10" s="15">
        <v>0.01</v>
      </c>
      <c r="O10" s="15">
        <v>0.01</v>
      </c>
      <c r="P10" s="15">
        <v>0.01</v>
      </c>
      <c r="Q10" s="15">
        <v>0.01</v>
      </c>
      <c r="R10" s="15">
        <v>0.01</v>
      </c>
      <c r="S10" s="15">
        <v>0.01</v>
      </c>
      <c r="T10" s="15">
        <v>0.01</v>
      </c>
      <c r="U10" s="15">
        <v>0.01</v>
      </c>
      <c r="V10" s="15">
        <v>0.01</v>
      </c>
      <c r="W10" s="15">
        <v>0.01</v>
      </c>
      <c r="X10" s="15">
        <v>0.01</v>
      </c>
      <c r="Y10" s="15">
        <v>0.01</v>
      </c>
      <c r="Z10" s="15">
        <v>0.01</v>
      </c>
      <c r="AA10" s="15">
        <v>0.01</v>
      </c>
      <c r="AB10" s="15">
        <v>0.01</v>
      </c>
      <c r="AC10" s="15">
        <v>0.01</v>
      </c>
      <c r="AD10" s="15">
        <v>0.01</v>
      </c>
      <c r="AE10" s="15">
        <v>0.01</v>
      </c>
      <c r="AF10" s="15">
        <v>0.01</v>
      </c>
      <c r="AG10" s="15">
        <v>0.01</v>
      </c>
      <c r="AH10" s="15">
        <v>0.01</v>
      </c>
      <c r="AI10" s="15">
        <v>0.01</v>
      </c>
      <c r="AJ10" s="15">
        <v>0.01</v>
      </c>
      <c r="AK10" s="15">
        <v>0.01</v>
      </c>
      <c r="AL10" s="15">
        <v>0.01</v>
      </c>
      <c r="AM10" s="15">
        <v>0.01</v>
      </c>
      <c r="AN10" s="15">
        <v>0.01</v>
      </c>
      <c r="AO10" s="15">
        <v>0.01</v>
      </c>
      <c r="AP10" s="15">
        <v>0.01</v>
      </c>
      <c r="AQ10" s="15">
        <v>0.01</v>
      </c>
      <c r="AR10" s="15">
        <v>0.01</v>
      </c>
      <c r="AS10" s="15">
        <v>0.01</v>
      </c>
      <c r="AT10" s="15">
        <v>0.01</v>
      </c>
      <c r="AU10" s="15">
        <v>0.01</v>
      </c>
      <c r="AV10" s="15">
        <v>0.01</v>
      </c>
      <c r="AW10" s="15">
        <v>0.01</v>
      </c>
      <c r="AX10" s="15">
        <v>0.01</v>
      </c>
      <c r="AY10" s="15">
        <v>0.01</v>
      </c>
      <c r="AZ10" s="15">
        <v>0.01</v>
      </c>
      <c r="BA10" s="15">
        <v>0.01</v>
      </c>
      <c r="BB10" s="15">
        <v>0.01</v>
      </c>
      <c r="BC10" s="15">
        <v>0.01</v>
      </c>
      <c r="BD10" s="15">
        <v>0.01</v>
      </c>
      <c r="BE10" s="15">
        <v>0.01</v>
      </c>
      <c r="BF10" s="15">
        <v>0.01</v>
      </c>
      <c r="BG10" s="15">
        <v>0.01</v>
      </c>
      <c r="BH10" s="15">
        <v>0.01</v>
      </c>
      <c r="BI10" s="15">
        <v>0.01</v>
      </c>
      <c r="BJ10" s="15">
        <v>0.01</v>
      </c>
      <c r="BK10" s="15">
        <v>0.01</v>
      </c>
      <c r="BL10" s="15">
        <v>0.01</v>
      </c>
      <c r="BM10" s="15">
        <v>0.01</v>
      </c>
      <c r="BN10" s="15">
        <v>0.01</v>
      </c>
      <c r="BO10" s="15">
        <v>0.01</v>
      </c>
      <c r="BP10" s="15">
        <v>0.01</v>
      </c>
      <c r="BQ10" s="15">
        <v>0.01</v>
      </c>
      <c r="BR10" s="15">
        <v>0.01</v>
      </c>
      <c r="BS10" s="15">
        <v>0.01</v>
      </c>
      <c r="BT10" s="15">
        <v>0.01</v>
      </c>
      <c r="BU10" s="15">
        <v>0.01</v>
      </c>
      <c r="BV10" s="15">
        <v>0.01</v>
      </c>
      <c r="BW10" s="15">
        <v>0.01</v>
      </c>
      <c r="BX10" s="15">
        <v>0.01</v>
      </c>
      <c r="BY10" s="15">
        <v>0.01</v>
      </c>
      <c r="BZ10" s="15">
        <v>0.01</v>
      </c>
      <c r="CA10" s="15">
        <v>0.01</v>
      </c>
      <c r="CB10" s="15">
        <v>0.01</v>
      </c>
      <c r="CC10" s="15">
        <v>0.01</v>
      </c>
      <c r="CD10" s="15">
        <v>0.01</v>
      </c>
      <c r="CE10" s="15">
        <v>0.01</v>
      </c>
      <c r="CF10" s="15">
        <v>0.01</v>
      </c>
      <c r="CG10" s="15">
        <v>0.01</v>
      </c>
      <c r="CH10" s="15">
        <v>0.01</v>
      </c>
    </row>
    <row r="11" spans="1:89" x14ac:dyDescent="0.2">
      <c r="B11" s="35" t="s">
        <v>36</v>
      </c>
      <c r="C11" s="36">
        <f t="shared" ref="C11" si="0">SUM(C9:C10)</f>
        <v>1.7888899999999999E-2</v>
      </c>
      <c r="D11" s="36">
        <f t="shared" ref="D11:E11" si="1">SUM(D9:D10)</f>
        <v>1.9827890000000001E-2</v>
      </c>
      <c r="E11" s="36">
        <f t="shared" si="1"/>
        <v>1.9950000000000002E-2</v>
      </c>
      <c r="F11" s="36">
        <f t="shared" ref="F11:K11" si="2">SUM(F9:F10)</f>
        <v>2.0603299999999998E-2</v>
      </c>
      <c r="G11" s="36">
        <f t="shared" si="2"/>
        <v>2.2238899999999999E-2</v>
      </c>
      <c r="H11" s="36">
        <f t="shared" si="2"/>
        <v>2.2316700000000002E-2</v>
      </c>
      <c r="I11" s="36">
        <f t="shared" si="2"/>
        <v>2.2316700000000002E-2</v>
      </c>
      <c r="J11" s="36">
        <f t="shared" si="2"/>
        <v>2.23222E-2</v>
      </c>
      <c r="K11" s="36">
        <f t="shared" si="2"/>
        <v>2.24333E-2</v>
      </c>
      <c r="L11" s="36">
        <f t="shared" ref="L11:M11" si="3">SUM(L9:L10)</f>
        <v>2.3718799999999998E-2</v>
      </c>
      <c r="M11" s="36">
        <f t="shared" si="3"/>
        <v>2.5642499999999999E-2</v>
      </c>
      <c r="N11" s="36">
        <f t="shared" ref="N11:O11" si="4">SUM(N9:N10)</f>
        <v>2.5797E-2</v>
      </c>
      <c r="O11" s="36">
        <f t="shared" si="4"/>
        <v>2.6700700000000001E-2</v>
      </c>
      <c r="P11" s="36">
        <f t="shared" ref="P11:V11" si="5">SUM(P9:P10)</f>
        <v>2.8831299999999997E-2</v>
      </c>
      <c r="Q11" s="36">
        <f t="shared" si="5"/>
        <v>2.90932E-2</v>
      </c>
      <c r="R11" s="36">
        <f t="shared" si="5"/>
        <v>3.0006999999999999E-2</v>
      </c>
      <c r="S11" s="36">
        <f t="shared" si="5"/>
        <v>3.0902499999999999E-2</v>
      </c>
      <c r="T11" s="36">
        <f t="shared" si="5"/>
        <v>3.0813800000000002E-2</v>
      </c>
      <c r="U11" s="36">
        <f t="shared" si="5"/>
        <v>3.1137499999999999E-2</v>
      </c>
      <c r="V11" s="36">
        <f t="shared" si="5"/>
        <v>3.2605599999999998E-2</v>
      </c>
      <c r="W11" s="36">
        <f t="shared" ref="W11" si="6">SUM(W9:W10)</f>
        <v>3.3068800000000002E-2</v>
      </c>
      <c r="X11" s="36">
        <v>3.3469400000000003E-2</v>
      </c>
      <c r="Y11" s="36">
        <v>3.50269E-2</v>
      </c>
      <c r="Z11" s="36">
        <v>3.5137500000000002E-2</v>
      </c>
      <c r="AA11" s="36">
        <v>3.4903799999999999E-2</v>
      </c>
      <c r="AB11" s="36">
        <v>3.4944999999999997E-2</v>
      </c>
      <c r="AC11" s="36">
        <v>3.4805000000000003E-2</v>
      </c>
      <c r="AD11" s="36">
        <v>3.4305000000000002E-2</v>
      </c>
      <c r="AE11" s="36">
        <v>3.3980000000000003E-2</v>
      </c>
      <c r="AF11" s="36">
        <v>3.22425E-2</v>
      </c>
      <c r="AG11" s="36">
        <v>3.0890000000000001E-2</v>
      </c>
      <c r="AH11" s="36">
        <f t="shared" ref="AH11:AI11" si="7">SUM(AH9:AH10)</f>
        <v>3.0156299999999997E-2</v>
      </c>
      <c r="AI11" s="36">
        <f t="shared" si="7"/>
        <v>2.78488E-2</v>
      </c>
      <c r="AJ11" s="36">
        <f t="shared" ref="AJ11:AK11" si="8">SUM(AJ9:AJ10)</f>
        <v>2.6971300000000004E-2</v>
      </c>
      <c r="AK11" s="36">
        <f t="shared" si="8"/>
        <v>2.7624999999999997E-2</v>
      </c>
      <c r="AL11" s="36">
        <f t="shared" ref="AL11:AM11" si="9">SUM(AL9:AL10)</f>
        <v>2.6618799999999998E-2</v>
      </c>
      <c r="AM11" s="36">
        <f t="shared" si="9"/>
        <v>2.5152500000000001E-2</v>
      </c>
      <c r="AN11" s="36">
        <f t="shared" ref="AN11" si="10">SUM(AN9:AN10)</f>
        <v>1.99288E-2</v>
      </c>
      <c r="AO11" s="36">
        <f t="shared" ref="AO11:AP11" si="11">SUM(AO9:AO10)</f>
        <v>1.32963E-2</v>
      </c>
      <c r="AP11" s="36">
        <f t="shared" si="11"/>
        <v>1.1825E-2</v>
      </c>
      <c r="AQ11" s="36">
        <v>1.1622500000000001E-2</v>
      </c>
      <c r="AR11" s="36">
        <v>1.15488E-2</v>
      </c>
      <c r="AS11" s="36">
        <f t="shared" ref="AS11" si="12">SUM(AS9:AS10)</f>
        <v>1.15675E-2</v>
      </c>
      <c r="AT11" s="36">
        <v>1.14825E-2</v>
      </c>
      <c r="AU11" s="36">
        <v>1.1402499999999999E-2</v>
      </c>
      <c r="AV11" s="36">
        <v>1.15338E-2</v>
      </c>
      <c r="AW11" s="36">
        <v>1.1438800000000001E-2</v>
      </c>
      <c r="AX11" s="36">
        <v>1.1195E-2</v>
      </c>
      <c r="AY11" s="36">
        <v>1.1185E-2</v>
      </c>
      <c r="AZ11" s="36">
        <v>1.1111300000000001E-2</v>
      </c>
      <c r="BA11" s="36">
        <v>1.1072500000000001E-2</v>
      </c>
      <c r="BB11" s="36">
        <v>1.08588E-2</v>
      </c>
      <c r="BC11" s="36">
        <v>1.1005000000000001E-2</v>
      </c>
      <c r="BD11" s="36">
        <v>1.0905E-2</v>
      </c>
      <c r="BE11" s="36">
        <v>1.0825E-2</v>
      </c>
      <c r="BF11" s="36">
        <v>1.08025E-2</v>
      </c>
      <c r="BG11" s="36">
        <v>1.0875000000000001E-2</v>
      </c>
      <c r="BH11" s="36">
        <v>1.094E-2</v>
      </c>
      <c r="BI11" s="36">
        <v>1.10125E-2</v>
      </c>
      <c r="BJ11" s="36">
        <v>1.10686E-2</v>
      </c>
      <c r="BK11" s="36">
        <v>1.24143E-2</v>
      </c>
      <c r="BL11" s="36">
        <v>1.452E-2</v>
      </c>
      <c r="BM11" s="36">
        <v>1.8032900000000001E-2</v>
      </c>
      <c r="BN11" s="36">
        <v>2.1198599999999998E-2</v>
      </c>
      <c r="BO11" s="36">
        <v>2.7867099999999999E-2</v>
      </c>
      <c r="BP11" s="36">
        <v>3.3622899999999997E-2</v>
      </c>
      <c r="BQ11" s="36">
        <v>3.5534299999999998E-2</v>
      </c>
      <c r="BR11" s="36">
        <v>4.1427100000000001E-2</v>
      </c>
      <c r="BS11" s="36">
        <v>4.8048600000000004E-2</v>
      </c>
      <c r="BT11" s="36">
        <v>5.142E-2</v>
      </c>
      <c r="BU11" s="36">
        <v>5.3915700000000004E-2</v>
      </c>
      <c r="BV11" s="36">
        <v>5.5742900000000005E-2</v>
      </c>
      <c r="BW11" s="36">
        <v>5.6694300000000003E-2</v>
      </c>
      <c r="BX11" s="36">
        <v>5.85771E-2</v>
      </c>
      <c r="BY11" s="36">
        <v>6.0621399999999999E-2</v>
      </c>
      <c r="BZ11" s="36">
        <v>6.1929999999999999E-2</v>
      </c>
      <c r="CA11" s="36">
        <v>6.2171000000000004E-2</v>
      </c>
      <c r="CB11" s="36">
        <v>6.3100000000000003E-2</v>
      </c>
      <c r="CC11" s="36">
        <v>6.3100000000000003E-2</v>
      </c>
      <c r="CD11" s="36">
        <v>6.3500000000000001E-2</v>
      </c>
      <c r="CE11" s="36">
        <v>6.3299999999999995E-2</v>
      </c>
      <c r="CF11" s="36">
        <v>6.3799999999999996E-2</v>
      </c>
      <c r="CG11" s="36">
        <v>6.3199999999999992E-2</v>
      </c>
      <c r="CH11" s="36">
        <f t="shared" ref="CH11" si="13">SUM(CH9:CH10)</f>
        <v>6.3199999999999992E-2</v>
      </c>
    </row>
    <row r="12" spans="1:89" x14ac:dyDescent="0.2">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row>
    <row r="14" spans="1:89" x14ac:dyDescent="0.2">
      <c r="A14" s="1" t="s">
        <v>77</v>
      </c>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row>
    <row r="15" spans="1:89" x14ac:dyDescent="0.2">
      <c r="B15" t="s">
        <v>30</v>
      </c>
      <c r="C15" s="4">
        <f>'DEK Charge-offs'!Z20</f>
        <v>4.6418025037319862E-3</v>
      </c>
      <c r="D15" s="4">
        <f>'DEK Charge-offs'!AA20</f>
        <v>4.6965272059611282E-3</v>
      </c>
      <c r="E15" s="4">
        <f>'DEK Charge-offs'!AB20</f>
        <v>4.6462118075209086E-3</v>
      </c>
      <c r="F15" s="4">
        <f>'DEK Charge-offs'!AC20</f>
        <v>4.6886296932911716E-3</v>
      </c>
      <c r="G15" s="4">
        <f>'DEK Charge-offs'!AD20</f>
        <v>4.715413311833421E-3</v>
      </c>
      <c r="H15" s="4">
        <f>'DEK Charge-offs'!AE20</f>
        <v>4.6594513833306799E-3</v>
      </c>
      <c r="I15" s="4">
        <f>'DEK Charge-offs'!AF20</f>
        <v>4.5958136299643999E-3</v>
      </c>
      <c r="J15" s="4">
        <f>'DEK Charge-offs'!AG20</f>
        <v>4.4130625936623959E-3</v>
      </c>
      <c r="K15" s="4">
        <f>'DEK Charge-offs'!AH20</f>
        <v>4.3322701579183946E-3</v>
      </c>
      <c r="L15" s="4">
        <f>'DEK Charge-offs'!AI20</f>
        <v>4.255226714100278E-3</v>
      </c>
      <c r="M15" s="4">
        <f>'DEK Charge-offs'!AJ20</f>
        <v>4.2677585260342508E-3</v>
      </c>
      <c r="N15" s="4">
        <f>'DEK Charge-offs'!AK20</f>
        <v>4.2492332667645686E-3</v>
      </c>
      <c r="O15" s="4">
        <f>'DEK Charge-offs'!AL20</f>
        <v>4.1946057114815661E-3</v>
      </c>
      <c r="P15" s="4">
        <f>'DEK Charge-offs'!AM20</f>
        <v>4.1691788188996607E-3</v>
      </c>
      <c r="Q15" s="4">
        <f>'DEK Charge-offs'!AN20</f>
        <v>4.1764547742595883E-3</v>
      </c>
      <c r="R15" s="4">
        <f>'DEK Charge-offs'!AO20</f>
        <v>4.1127480703435247E-3</v>
      </c>
      <c r="S15" s="4">
        <f>'DEK Charge-offs'!AP20</f>
        <v>4.1461180424068912E-3</v>
      </c>
      <c r="T15" s="4">
        <f>'DEK Charge-offs'!AQ20</f>
        <v>4.1827272974244555E-3</v>
      </c>
      <c r="U15" s="4">
        <f>'DEK Charge-offs'!AR20</f>
        <v>4.1595833604210746E-3</v>
      </c>
      <c r="V15" s="4">
        <f>'DEK Charge-offs'!AS20</f>
        <v>4.135125214619291E-3</v>
      </c>
      <c r="W15" s="4">
        <f>'DEK Charge-offs'!AT20</f>
        <v>4.1198925347173268E-3</v>
      </c>
      <c r="X15" s="4">
        <v>3.9947508414786082E-3</v>
      </c>
      <c r="Y15" s="4">
        <v>3.9795469767501881E-3</v>
      </c>
      <c r="Z15" s="4">
        <v>4.0279738243898496E-3</v>
      </c>
      <c r="AA15" s="4">
        <v>3.9757989383159102E-3</v>
      </c>
      <c r="AB15" s="4">
        <v>3.9758719158928838E-3</v>
      </c>
      <c r="AC15" s="4">
        <v>4.0013283919101885E-3</v>
      </c>
      <c r="AD15" s="4">
        <v>4.018325491129634E-3</v>
      </c>
      <c r="AE15" s="4">
        <v>4.0656069238615726E-3</v>
      </c>
      <c r="AF15" s="4">
        <v>4.0704833206144896E-3</v>
      </c>
      <c r="AG15" s="4">
        <v>4.0660305279358643E-3</v>
      </c>
      <c r="AH15" s="4">
        <f>'DEK Charge-offs'!BE20</f>
        <v>4.0409608090377479E-3</v>
      </c>
      <c r="AI15" s="4">
        <f>'DEK Charge-offs'!BF20</f>
        <v>4.024247935870388E-3</v>
      </c>
      <c r="AJ15" s="4">
        <f>'DEK Charge-offs'!BG20</f>
        <v>3.9649416265608818E-3</v>
      </c>
      <c r="AK15" s="4">
        <f>'DEK Charge-offs'!BH20</f>
        <v>3.9557604626504796E-3</v>
      </c>
      <c r="AL15" s="4">
        <f>'DEK Charge-offs'!BI20</f>
        <v>3.9776858155257345E-3</v>
      </c>
      <c r="AM15" s="4">
        <f>'DEK Charge-offs'!BJ20</f>
        <v>3.8869167242931053E-3</v>
      </c>
      <c r="AN15" s="4">
        <f>'DEK Charge-offs'!BK20</f>
        <v>3.8010716059540405E-3</v>
      </c>
      <c r="AO15" s="4">
        <f>'DEK Charge-offs'!BL20</f>
        <v>3.7910338282454679E-3</v>
      </c>
      <c r="AP15" s="4">
        <f>'DEK Charge-offs'!BM20</f>
        <v>3.7141908774401388E-3</v>
      </c>
      <c r="AQ15" s="4">
        <v>3.6698724706025411E-3</v>
      </c>
      <c r="AR15" s="4">
        <v>3.6578084644912062E-3</v>
      </c>
      <c r="AS15" s="4">
        <f>'DEK Charge-offs'!BP20</f>
        <v>3.5584894282827944E-3</v>
      </c>
      <c r="AT15" s="4">
        <v>3.4773726586359143E-3</v>
      </c>
      <c r="AU15" s="4">
        <v>3.3745124405482546E-3</v>
      </c>
      <c r="AV15" s="4">
        <v>3.284834430499524E-3</v>
      </c>
      <c r="AW15" s="4">
        <v>3.2141888113647772E-3</v>
      </c>
      <c r="AX15" s="4">
        <v>3.2807369113080154E-3</v>
      </c>
      <c r="AY15" s="4">
        <v>3.2852940553552029E-3</v>
      </c>
      <c r="AZ15" s="4">
        <v>3.359620478481924E-3</v>
      </c>
      <c r="BA15" s="4">
        <v>3.3400756409821108E-3</v>
      </c>
      <c r="BB15" s="4">
        <v>3.5172883673780173E-3</v>
      </c>
      <c r="BC15" s="4">
        <v>3.6591632955216709E-3</v>
      </c>
      <c r="BD15" s="4">
        <v>3.6563766553120609E-3</v>
      </c>
      <c r="BE15" s="4">
        <v>3.6833814639357235E-3</v>
      </c>
      <c r="BF15" s="4">
        <v>3.6857181418460715E-3</v>
      </c>
      <c r="BG15" s="4">
        <v>3.7221649517482479E-3</v>
      </c>
      <c r="BH15" s="4">
        <v>3.6651309841574742E-3</v>
      </c>
      <c r="BI15" s="4">
        <v>3.6193768966098433E-3</v>
      </c>
      <c r="BJ15" s="4">
        <v>3.710882634395844E-3</v>
      </c>
      <c r="BK15" s="4">
        <v>3.6849198101184854E-3</v>
      </c>
      <c r="BL15" s="4">
        <v>3.688941231688639E-3</v>
      </c>
      <c r="BM15" s="4">
        <v>3.7506277809665235E-3</v>
      </c>
      <c r="BN15" s="4">
        <v>3.6597653460288385E-3</v>
      </c>
      <c r="BO15" s="4">
        <v>3.5255057380171517E-3</v>
      </c>
      <c r="BP15" s="4">
        <v>3.4964077372409423E-3</v>
      </c>
      <c r="BQ15" s="4">
        <v>3.5233154517075285E-3</v>
      </c>
      <c r="BR15" s="4">
        <v>3.5816341806787248E-3</v>
      </c>
      <c r="BS15" s="4">
        <v>3.6185760070782573E-3</v>
      </c>
      <c r="BT15" s="4">
        <v>3.9301247975177039E-3</v>
      </c>
      <c r="BU15" s="4">
        <v>4.0221623476027054E-3</v>
      </c>
      <c r="BV15" s="4">
        <v>4.0945796784179391E-3</v>
      </c>
      <c r="BW15" s="4">
        <v>4.3043992920647626E-3</v>
      </c>
      <c r="BX15" s="4">
        <v>4.4374150977603399E-3</v>
      </c>
      <c r="BY15" s="4">
        <v>4.5584964184367631E-3</v>
      </c>
      <c r="BZ15" s="4">
        <v>4.6140621301547094E-3</v>
      </c>
      <c r="CA15" s="4">
        <v>4.85468367196548E-3</v>
      </c>
      <c r="CB15" s="4">
        <v>4.8996804417362396E-3</v>
      </c>
      <c r="CC15" s="4">
        <v>5.03621328880253E-3</v>
      </c>
      <c r="CD15" s="4">
        <v>5.17105844912442E-3</v>
      </c>
      <c r="CE15" s="4">
        <v>5.1809772882975341E-3</v>
      </c>
      <c r="CF15" s="4">
        <v>5.3390867341228023E-3</v>
      </c>
      <c r="CG15" s="4">
        <v>5.4363724256672602E-3</v>
      </c>
      <c r="CH15" s="4">
        <f>'DEK Charge-offs'!DE20</f>
        <v>5.3980982835472348E-3</v>
      </c>
    </row>
    <row r="16" spans="1:89" x14ac:dyDescent="0.2">
      <c r="B16" t="s">
        <v>28</v>
      </c>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row>
    <row r="17" spans="1:86" x14ac:dyDescent="0.2">
      <c r="B17" t="s">
        <v>29</v>
      </c>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row>
    <row r="18" spans="1:86" x14ac:dyDescent="0.2">
      <c r="B18" t="s">
        <v>27</v>
      </c>
      <c r="C18" s="12">
        <f t="shared" ref="C18" si="14">IF(C16="Yes",C17,C15)</f>
        <v>4.6418025037319862E-3</v>
      </c>
      <c r="D18" s="12">
        <f t="shared" ref="D18:E18" si="15">IF(D16="Yes",D17,D15)</f>
        <v>4.6965272059611282E-3</v>
      </c>
      <c r="E18" s="12">
        <f t="shared" si="15"/>
        <v>4.6462118075209086E-3</v>
      </c>
      <c r="F18" s="12">
        <f t="shared" ref="F18:G18" si="16">IF(F16="Yes",F17,F15)</f>
        <v>4.6886296932911716E-3</v>
      </c>
      <c r="G18" s="12">
        <f t="shared" si="16"/>
        <v>4.715413311833421E-3</v>
      </c>
      <c r="H18" s="12">
        <f t="shared" ref="H18:I18" si="17">IF(H16="Yes",H17,H15)</f>
        <v>4.6594513833306799E-3</v>
      </c>
      <c r="I18" s="12">
        <f t="shared" si="17"/>
        <v>4.5958136299643999E-3</v>
      </c>
      <c r="J18" s="12">
        <f t="shared" ref="J18:K18" si="18">IF(J16="Yes",J17,J15)</f>
        <v>4.4130625936623959E-3</v>
      </c>
      <c r="K18" s="12">
        <f t="shared" si="18"/>
        <v>4.3322701579183946E-3</v>
      </c>
      <c r="L18" s="12">
        <f t="shared" ref="L18:M18" si="19">IF(L16="Yes",L17,L15)</f>
        <v>4.255226714100278E-3</v>
      </c>
      <c r="M18" s="12">
        <f t="shared" si="19"/>
        <v>4.2677585260342508E-3</v>
      </c>
      <c r="N18" s="12">
        <f t="shared" ref="N18:O18" si="20">IF(N16="Yes",N17,N15)</f>
        <v>4.2492332667645686E-3</v>
      </c>
      <c r="O18" s="12">
        <f t="shared" si="20"/>
        <v>4.1946057114815661E-3</v>
      </c>
      <c r="P18" s="12">
        <f t="shared" ref="P18:Q18" si="21">IF(P16="Yes",P17,P15)</f>
        <v>4.1691788188996607E-3</v>
      </c>
      <c r="Q18" s="12">
        <f t="shared" si="21"/>
        <v>4.1764547742595883E-3</v>
      </c>
      <c r="R18" s="12">
        <f t="shared" ref="R18:S18" si="22">IF(R16="Yes",R17,R15)</f>
        <v>4.1127480703435247E-3</v>
      </c>
      <c r="S18" s="12">
        <f t="shared" si="22"/>
        <v>4.1461180424068912E-3</v>
      </c>
      <c r="T18" s="12">
        <f t="shared" ref="T18:U18" si="23">IF(T16="Yes",T17,T15)</f>
        <v>4.1827272974244555E-3</v>
      </c>
      <c r="U18" s="12">
        <f t="shared" si="23"/>
        <v>4.1595833604210746E-3</v>
      </c>
      <c r="V18" s="12">
        <f t="shared" ref="V18:W18" si="24">IF(V16="Yes",V17,V15)</f>
        <v>4.135125214619291E-3</v>
      </c>
      <c r="W18" s="12">
        <f t="shared" si="24"/>
        <v>4.1198925347173268E-3</v>
      </c>
      <c r="X18" s="12">
        <v>3.9947508414786082E-3</v>
      </c>
      <c r="Y18" s="12">
        <v>3.9795469767501881E-3</v>
      </c>
      <c r="Z18" s="12">
        <v>4.0279738243898496E-3</v>
      </c>
      <c r="AA18" s="12">
        <v>3.9757989383159102E-3</v>
      </c>
      <c r="AB18" s="12">
        <v>3.9758719158928838E-3</v>
      </c>
      <c r="AC18" s="12">
        <v>4.0013283919101885E-3</v>
      </c>
      <c r="AD18" s="12">
        <v>4.018325491129634E-3</v>
      </c>
      <c r="AE18" s="12">
        <v>4.0656069238615726E-3</v>
      </c>
      <c r="AF18" s="12">
        <v>4.0704833206144896E-3</v>
      </c>
      <c r="AG18" s="12">
        <v>4.0660305279358643E-3</v>
      </c>
      <c r="AH18" s="12">
        <f t="shared" ref="AH18:AI18" si="25">IF(AH16="Yes",AH17,AH15)</f>
        <v>4.0409608090377479E-3</v>
      </c>
      <c r="AI18" s="12">
        <f t="shared" si="25"/>
        <v>4.024247935870388E-3</v>
      </c>
      <c r="AJ18" s="12">
        <f t="shared" ref="AJ18:AK18" si="26">IF(AJ16="Yes",AJ17,AJ15)</f>
        <v>3.9649416265608818E-3</v>
      </c>
      <c r="AK18" s="12">
        <f t="shared" si="26"/>
        <v>3.9557604626504796E-3</v>
      </c>
      <c r="AL18" s="12">
        <f t="shared" ref="AL18:AM18" si="27">IF(AL16="Yes",AL17,AL15)</f>
        <v>3.9776858155257345E-3</v>
      </c>
      <c r="AM18" s="12">
        <f t="shared" si="27"/>
        <v>3.8869167242931053E-3</v>
      </c>
      <c r="AN18" s="12">
        <f t="shared" ref="AN18" si="28">IF(AN16="Yes",AN17,AN15)</f>
        <v>3.8010716059540405E-3</v>
      </c>
      <c r="AO18" s="12">
        <f t="shared" ref="AO18:AP18" si="29">IF(AO16="Yes",AO17,AO15)</f>
        <v>3.7910338282454679E-3</v>
      </c>
      <c r="AP18" s="12">
        <f t="shared" si="29"/>
        <v>3.7141908774401388E-3</v>
      </c>
      <c r="AQ18" s="12">
        <v>3.6698724706025411E-3</v>
      </c>
      <c r="AR18" s="12">
        <v>3.6578084644912062E-3</v>
      </c>
      <c r="AS18" s="12">
        <f t="shared" ref="AS18" si="30">IF(AS16="Yes",AS17,AS15)</f>
        <v>3.5584894282827944E-3</v>
      </c>
      <c r="AT18" s="12">
        <v>3.4773726586359143E-3</v>
      </c>
      <c r="AU18" s="12">
        <v>3.3745124405482546E-3</v>
      </c>
      <c r="AV18" s="12">
        <v>3.284834430499524E-3</v>
      </c>
      <c r="AW18" s="12">
        <v>3.2141888113647772E-3</v>
      </c>
      <c r="AX18" s="12">
        <v>3.2807369113080154E-3</v>
      </c>
      <c r="AY18" s="12">
        <v>3.2852940553552029E-3</v>
      </c>
      <c r="AZ18" s="12">
        <v>3.359620478481924E-3</v>
      </c>
      <c r="BA18" s="12">
        <v>3.3400756409821108E-3</v>
      </c>
      <c r="BB18" s="12">
        <v>3.5172883673780173E-3</v>
      </c>
      <c r="BC18" s="12">
        <v>3.6591632955216709E-3</v>
      </c>
      <c r="BD18" s="12">
        <v>3.6563766553120609E-3</v>
      </c>
      <c r="BE18" s="12">
        <v>3.6833814639357235E-3</v>
      </c>
      <c r="BF18" s="12">
        <v>3.6857181418460715E-3</v>
      </c>
      <c r="BG18" s="12">
        <v>3.7221649517482479E-3</v>
      </c>
      <c r="BH18" s="12">
        <v>3.6651309841574742E-3</v>
      </c>
      <c r="BI18" s="12">
        <v>3.6193768966098433E-3</v>
      </c>
      <c r="BJ18" s="12">
        <v>3.710882634395844E-3</v>
      </c>
      <c r="BK18" s="12">
        <v>3.6849198101184854E-3</v>
      </c>
      <c r="BL18" s="12">
        <v>3.688941231688639E-3</v>
      </c>
      <c r="BM18" s="12">
        <v>3.7506277809665235E-3</v>
      </c>
      <c r="BN18" s="12">
        <v>3.6597653460288385E-3</v>
      </c>
      <c r="BO18" s="12">
        <v>3.5255057380171517E-3</v>
      </c>
      <c r="BP18" s="12">
        <v>3.4964077372409423E-3</v>
      </c>
      <c r="BQ18" s="12">
        <v>3.5233154517075285E-3</v>
      </c>
      <c r="BR18" s="12">
        <v>3.5816341806787248E-3</v>
      </c>
      <c r="BS18" s="12">
        <v>3.6185760070782573E-3</v>
      </c>
      <c r="BT18" s="12">
        <v>3.9301247975177039E-3</v>
      </c>
      <c r="BU18" s="12">
        <v>4.0221623476027054E-3</v>
      </c>
      <c r="BV18" s="12">
        <v>4.0945796784179391E-3</v>
      </c>
      <c r="BW18" s="12">
        <v>4.3043992920647626E-3</v>
      </c>
      <c r="BX18" s="12">
        <v>4.4374150977603399E-3</v>
      </c>
      <c r="BY18" s="12">
        <v>4.5584964184367631E-3</v>
      </c>
      <c r="BZ18" s="12">
        <v>4.6140621301547094E-3</v>
      </c>
      <c r="CA18" s="12">
        <v>4.85468367196548E-3</v>
      </c>
      <c r="CB18" s="12">
        <v>4.8996804417362396E-3</v>
      </c>
      <c r="CC18" s="12">
        <v>5.03621328880253E-3</v>
      </c>
      <c r="CD18" s="12">
        <v>5.17105844912442E-3</v>
      </c>
      <c r="CE18" s="12">
        <v>5.1809772882975341E-3</v>
      </c>
      <c r="CF18" s="12">
        <v>5.3390867341228023E-3</v>
      </c>
      <c r="CG18" s="12">
        <v>5.4363724256672602E-3</v>
      </c>
      <c r="CH18" s="12">
        <f t="shared" ref="CH18" si="31">IF(CH16="Yes",CH17,CH15)</f>
        <v>5.3980982835472348E-3</v>
      </c>
    </row>
    <row r="19" spans="1:86" x14ac:dyDescent="0.2">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row>
    <row r="20" spans="1:86" x14ac:dyDescent="0.2">
      <c r="B20" t="s">
        <v>31</v>
      </c>
      <c r="C20" s="4">
        <f>'DEK Late Charges'!Z17</f>
        <v>5.3980841305443549E-3</v>
      </c>
      <c r="D20" s="4">
        <f>'DEK Late Charges'!AA17</f>
        <v>5.3953934085350964E-3</v>
      </c>
      <c r="E20" s="4">
        <f>'DEK Late Charges'!AB17</f>
        <v>5.321387909825703E-3</v>
      </c>
      <c r="F20" s="4">
        <f>'DEK Late Charges'!AC17</f>
        <v>5.2889421967087236E-3</v>
      </c>
      <c r="G20" s="4">
        <f>'DEK Late Charges'!AD17</f>
        <v>5.2752669025704375E-3</v>
      </c>
      <c r="H20" s="4">
        <f>'DEK Late Charges'!AE17</f>
        <v>5.2801524407303773E-3</v>
      </c>
      <c r="I20" s="4">
        <f>'DEK Late Charges'!AF17</f>
        <v>5.2965478792160094E-3</v>
      </c>
      <c r="J20" s="4">
        <f>'DEK Late Charges'!AG17</f>
        <v>5.3204770351210628E-3</v>
      </c>
      <c r="K20" s="4">
        <f>'DEK Late Charges'!AH17</f>
        <v>5.3380243593086352E-3</v>
      </c>
      <c r="L20" s="4">
        <f>'DEK Late Charges'!AI17</f>
        <v>5.3408474063138082E-3</v>
      </c>
      <c r="M20" s="4">
        <f>'DEK Late Charges'!AJ17</f>
        <v>5.3355229490977835E-3</v>
      </c>
      <c r="N20" s="4">
        <f>'DEK Late Charges'!AK17</f>
        <v>5.3318294011628483E-3</v>
      </c>
      <c r="O20" s="4">
        <f>'DEK Late Charges'!AL17</f>
        <v>5.2804656183356811E-3</v>
      </c>
      <c r="P20" s="4">
        <f>'DEK Late Charges'!AM17</f>
        <v>5.3353959946423508E-3</v>
      </c>
      <c r="Q20" s="4">
        <f>'DEK Late Charges'!AN17</f>
        <v>5.3340887906487425E-3</v>
      </c>
      <c r="R20" s="4">
        <f>'DEK Late Charges'!AO17</f>
        <v>5.2408536593524712E-3</v>
      </c>
      <c r="S20" s="4">
        <f>'DEK Late Charges'!AP17</f>
        <v>5.2686003940097346E-3</v>
      </c>
      <c r="T20" s="4">
        <f>'DEK Late Charges'!AQ17</f>
        <v>5.2388718247975462E-3</v>
      </c>
      <c r="U20" s="4">
        <f>'DEK Late Charges'!AR17</f>
        <v>5.2460331255639201E-3</v>
      </c>
      <c r="V20" s="4">
        <f>'DEK Late Charges'!AS17</f>
        <v>5.2449605414717389E-3</v>
      </c>
      <c r="W20" s="4">
        <f>'DEK Late Charges'!AT17</f>
        <v>5.2785670981341992E-3</v>
      </c>
      <c r="X20" s="4">
        <v>5.2853891334551286E-3</v>
      </c>
      <c r="Y20" s="4">
        <v>5.2713773258904759E-3</v>
      </c>
      <c r="Z20" s="4">
        <v>5.3037788203196433E-3</v>
      </c>
      <c r="AA20" s="4">
        <v>5.3360527227417996E-3</v>
      </c>
      <c r="AB20" s="4">
        <v>5.3092099286373463E-3</v>
      </c>
      <c r="AC20" s="4">
        <v>5.2914521822974092E-3</v>
      </c>
      <c r="AD20" s="4">
        <v>5.3057244963246961E-3</v>
      </c>
      <c r="AE20" s="4">
        <v>5.2960949223158941E-3</v>
      </c>
      <c r="AF20" s="4">
        <v>5.2843514056489004E-3</v>
      </c>
      <c r="AG20" s="4">
        <v>5.2593767549584287E-3</v>
      </c>
      <c r="AH20" s="4">
        <f>'DEK Late Charges'!BE17</f>
        <v>5.2676787183536028E-3</v>
      </c>
      <c r="AI20" s="4">
        <f>'DEK Late Charges'!BF17</f>
        <v>5.2481337327972034E-3</v>
      </c>
      <c r="AJ20" s="4">
        <f>'DEK Late Charges'!BG17</f>
        <v>5.2289268767901215E-3</v>
      </c>
      <c r="AK20" s="4">
        <f>'DEK Late Charges'!BH17</f>
        <v>5.2375284334234308E-3</v>
      </c>
      <c r="AL20" s="4">
        <f>'DEK Late Charges'!BI17</f>
        <v>5.2300136428042676E-3</v>
      </c>
      <c r="AM20" s="4">
        <f>'DEK Late Charges'!BJ17</f>
        <v>5.2344699886503754E-3</v>
      </c>
      <c r="AN20" s="4">
        <f>'DEK Late Charges'!BK17</f>
        <v>5.2118399120858073E-3</v>
      </c>
      <c r="AO20" s="4">
        <f>'DEK Late Charges'!BL17</f>
        <v>5.1993420105697638E-3</v>
      </c>
      <c r="AP20" s="4">
        <f>'DEK Late Charges'!BM17</f>
        <v>5.0496191575953569E-3</v>
      </c>
      <c r="AQ20" s="4">
        <v>4.9696065346394895E-3</v>
      </c>
      <c r="AR20" s="4">
        <v>4.8670597738353621E-3</v>
      </c>
      <c r="AS20" s="4">
        <f>'DEK Late Charges'!BP17</f>
        <v>4.7332131464462562E-3</v>
      </c>
      <c r="AT20" s="4">
        <v>4.5470186045129986E-3</v>
      </c>
      <c r="AU20" s="4">
        <v>4.4084220709355798E-3</v>
      </c>
      <c r="AV20" s="4">
        <v>4.2991650536020904E-3</v>
      </c>
      <c r="AW20" s="4">
        <v>4.2201686798306881E-3</v>
      </c>
      <c r="AX20" s="4">
        <v>4.0869634276498E-3</v>
      </c>
      <c r="AY20" s="4">
        <v>4.1629662871911733E-3</v>
      </c>
      <c r="AZ20" s="4">
        <v>4.0509588214066592E-3</v>
      </c>
      <c r="BA20" s="4">
        <v>4.039898768373522E-3</v>
      </c>
      <c r="BB20" s="4">
        <v>4.0558989693762161E-3</v>
      </c>
      <c r="BC20" s="4">
        <v>4.0146194039374092E-3</v>
      </c>
      <c r="BD20" s="4">
        <v>4.0346257317129073E-3</v>
      </c>
      <c r="BE20" s="4">
        <v>4.0386567007594937E-3</v>
      </c>
      <c r="BF20" s="4">
        <v>4.033574127747715E-3</v>
      </c>
      <c r="BG20" s="4">
        <v>4.0211305382700756E-3</v>
      </c>
      <c r="BH20" s="4">
        <v>4.0253129330528646E-3</v>
      </c>
      <c r="BI20" s="4">
        <v>3.9996019750280099E-3</v>
      </c>
      <c r="BJ20" s="4">
        <v>3.9228606613010072E-3</v>
      </c>
      <c r="BK20" s="4">
        <v>3.9657675586756936E-3</v>
      </c>
      <c r="BL20" s="4">
        <v>3.9960851452711145E-3</v>
      </c>
      <c r="BM20" s="4">
        <v>4.0235277433346341E-3</v>
      </c>
      <c r="BN20" s="4">
        <v>3.9217522033570757E-3</v>
      </c>
      <c r="BO20" s="4">
        <v>3.7764993376867414E-3</v>
      </c>
      <c r="BP20" s="4">
        <v>3.6933743403717483E-3</v>
      </c>
      <c r="BQ20" s="4">
        <v>3.6701560313415495E-3</v>
      </c>
      <c r="BR20" s="4">
        <v>3.6546960700160041E-3</v>
      </c>
      <c r="BS20" s="4">
        <v>3.6798954232363816E-3</v>
      </c>
      <c r="BT20" s="4">
        <v>3.6223129419309923E-3</v>
      </c>
      <c r="BU20" s="4">
        <v>3.5063373127066869E-3</v>
      </c>
      <c r="BV20" s="4">
        <v>3.4325990344405209E-3</v>
      </c>
      <c r="BW20" s="4">
        <v>3.4923961972889508E-3</v>
      </c>
      <c r="BX20" s="4">
        <v>3.4904644853936046E-3</v>
      </c>
      <c r="BY20" s="4">
        <v>3.5714138147761964E-3</v>
      </c>
      <c r="BZ20" s="4">
        <v>3.5876794661669014E-3</v>
      </c>
      <c r="CA20" s="4">
        <v>3.6259380602637488E-3</v>
      </c>
      <c r="CB20" s="4">
        <v>3.6977292135774893E-3</v>
      </c>
      <c r="CC20" s="4">
        <v>3.7879037953941997E-3</v>
      </c>
      <c r="CD20" s="4">
        <v>3.8936375688044728E-3</v>
      </c>
      <c r="CE20" s="4">
        <v>3.9948359593885612E-3</v>
      </c>
      <c r="CF20" s="4">
        <v>4.0568721232968029E-3</v>
      </c>
      <c r="CG20" s="4">
        <v>4.0671686066680911E-3</v>
      </c>
      <c r="CH20" s="4">
        <f>'DEK Late Charges'!DE17</f>
        <v>4.0684704139816443E-3</v>
      </c>
    </row>
    <row r="21" spans="1:86" x14ac:dyDescent="0.2">
      <c r="B21" t="s">
        <v>28</v>
      </c>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row>
    <row r="22" spans="1:86" x14ac:dyDescent="0.2">
      <c r="B22" t="s">
        <v>29</v>
      </c>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row>
    <row r="23" spans="1:86" x14ac:dyDescent="0.2">
      <c r="B23" t="s">
        <v>32</v>
      </c>
      <c r="C23" s="12">
        <f t="shared" ref="C23" si="32">IF(C21="Yes",C22,C20)</f>
        <v>5.3980841305443549E-3</v>
      </c>
      <c r="D23" s="12">
        <f t="shared" ref="D23:E23" si="33">IF(D21="Yes",D22,D20)</f>
        <v>5.3953934085350964E-3</v>
      </c>
      <c r="E23" s="12">
        <f t="shared" si="33"/>
        <v>5.321387909825703E-3</v>
      </c>
      <c r="F23" s="12">
        <f t="shared" ref="F23:G23" si="34">IF(F21="Yes",F22,F20)</f>
        <v>5.2889421967087236E-3</v>
      </c>
      <c r="G23" s="12">
        <f t="shared" si="34"/>
        <v>5.2752669025704375E-3</v>
      </c>
      <c r="H23" s="12">
        <f t="shared" ref="H23:I23" si="35">IF(H21="Yes",H22,H20)</f>
        <v>5.2801524407303773E-3</v>
      </c>
      <c r="I23" s="12">
        <f t="shared" si="35"/>
        <v>5.2965478792160094E-3</v>
      </c>
      <c r="J23" s="12">
        <f t="shared" ref="J23:K23" si="36">IF(J21="Yes",J22,J20)</f>
        <v>5.3204770351210628E-3</v>
      </c>
      <c r="K23" s="12">
        <f t="shared" si="36"/>
        <v>5.3380243593086352E-3</v>
      </c>
      <c r="L23" s="12">
        <f t="shared" ref="L23:M23" si="37">IF(L21="Yes",L22,L20)</f>
        <v>5.3408474063138082E-3</v>
      </c>
      <c r="M23" s="12">
        <f t="shared" si="37"/>
        <v>5.3355229490977835E-3</v>
      </c>
      <c r="N23" s="12">
        <f t="shared" ref="N23:O23" si="38">IF(N21="Yes",N22,N20)</f>
        <v>5.3318294011628483E-3</v>
      </c>
      <c r="O23" s="12">
        <f t="shared" si="38"/>
        <v>5.2804656183356811E-3</v>
      </c>
      <c r="P23" s="12">
        <f t="shared" ref="P23:Q23" si="39">IF(P21="Yes",P22,P20)</f>
        <v>5.3353959946423508E-3</v>
      </c>
      <c r="Q23" s="12">
        <f t="shared" si="39"/>
        <v>5.3340887906487425E-3</v>
      </c>
      <c r="R23" s="12">
        <f t="shared" ref="R23:S23" si="40">IF(R21="Yes",R22,R20)</f>
        <v>5.2408536593524712E-3</v>
      </c>
      <c r="S23" s="12">
        <f t="shared" si="40"/>
        <v>5.2686003940097346E-3</v>
      </c>
      <c r="T23" s="12">
        <f t="shared" ref="T23:U23" si="41">IF(T21="Yes",T22,T20)</f>
        <v>5.2388718247975462E-3</v>
      </c>
      <c r="U23" s="12">
        <f t="shared" si="41"/>
        <v>5.2460331255639201E-3</v>
      </c>
      <c r="V23" s="12">
        <f t="shared" ref="V23:W23" si="42">IF(V21="Yes",V22,V20)</f>
        <v>5.2449605414717389E-3</v>
      </c>
      <c r="W23" s="12">
        <f t="shared" si="42"/>
        <v>5.2785670981341992E-3</v>
      </c>
      <c r="X23" s="12">
        <v>5.2853891334551286E-3</v>
      </c>
      <c r="Y23" s="12">
        <v>5.2713773258904759E-3</v>
      </c>
      <c r="Z23" s="12">
        <v>5.3037788203196433E-3</v>
      </c>
      <c r="AA23" s="12">
        <v>5.3360527227417996E-3</v>
      </c>
      <c r="AB23" s="12">
        <v>5.3092099286373463E-3</v>
      </c>
      <c r="AC23" s="12">
        <v>5.2914521822974092E-3</v>
      </c>
      <c r="AD23" s="12">
        <v>5.3057244963246961E-3</v>
      </c>
      <c r="AE23" s="12">
        <v>5.2960949223158941E-3</v>
      </c>
      <c r="AF23" s="12">
        <v>5.2843514056489004E-3</v>
      </c>
      <c r="AG23" s="12">
        <v>5.2593767549584287E-3</v>
      </c>
      <c r="AH23" s="12">
        <f t="shared" ref="AH23:AI23" si="43">IF(AH21="Yes",AH22,AH20)</f>
        <v>5.2676787183536028E-3</v>
      </c>
      <c r="AI23" s="12">
        <f t="shared" si="43"/>
        <v>5.2481337327972034E-3</v>
      </c>
      <c r="AJ23" s="12">
        <f t="shared" ref="AJ23:AK23" si="44">IF(AJ21="Yes",AJ22,AJ20)</f>
        <v>5.2289268767901215E-3</v>
      </c>
      <c r="AK23" s="12">
        <f t="shared" si="44"/>
        <v>5.2375284334234308E-3</v>
      </c>
      <c r="AL23" s="12">
        <f t="shared" ref="AL23:AM23" si="45">IF(AL21="Yes",AL22,AL20)</f>
        <v>5.2300136428042676E-3</v>
      </c>
      <c r="AM23" s="12">
        <f t="shared" si="45"/>
        <v>5.2344699886503754E-3</v>
      </c>
      <c r="AN23" s="12">
        <f t="shared" ref="AN23" si="46">IF(AN21="Yes",AN22,AN20)</f>
        <v>5.2118399120858073E-3</v>
      </c>
      <c r="AO23" s="12">
        <f t="shared" ref="AO23:AP23" si="47">IF(AO21="Yes",AO22,AO20)</f>
        <v>5.1993420105697638E-3</v>
      </c>
      <c r="AP23" s="12">
        <f t="shared" si="47"/>
        <v>5.0496191575953569E-3</v>
      </c>
      <c r="AQ23" s="12">
        <v>4.9696065346394895E-3</v>
      </c>
      <c r="AR23" s="12">
        <v>4.8670597738353621E-3</v>
      </c>
      <c r="AS23" s="12">
        <f t="shared" ref="AS23" si="48">IF(AS21="Yes",AS22,AS20)</f>
        <v>4.7332131464462562E-3</v>
      </c>
      <c r="AT23" s="12">
        <v>4.5470186045129986E-3</v>
      </c>
      <c r="AU23" s="12">
        <v>4.4084220709355798E-3</v>
      </c>
      <c r="AV23" s="12">
        <v>4.2991650536020904E-3</v>
      </c>
      <c r="AW23" s="12">
        <v>4.2201686798306881E-3</v>
      </c>
      <c r="AX23" s="12">
        <v>4.0869634276498E-3</v>
      </c>
      <c r="AY23" s="12">
        <v>4.1629662871911733E-3</v>
      </c>
      <c r="AZ23" s="12">
        <v>4.0509588214066592E-3</v>
      </c>
      <c r="BA23" s="12">
        <v>4.039898768373522E-3</v>
      </c>
      <c r="BB23" s="12">
        <v>4.0558989693762161E-3</v>
      </c>
      <c r="BC23" s="12">
        <v>4.0146194039374092E-3</v>
      </c>
      <c r="BD23" s="12">
        <v>4.0346257317129073E-3</v>
      </c>
      <c r="BE23" s="12">
        <v>4.0386567007594937E-3</v>
      </c>
      <c r="BF23" s="12">
        <v>4.033574127747715E-3</v>
      </c>
      <c r="BG23" s="12">
        <v>4.0211305382700756E-3</v>
      </c>
      <c r="BH23" s="12">
        <v>4.0253129330528646E-3</v>
      </c>
      <c r="BI23" s="12">
        <v>3.9996019750280099E-3</v>
      </c>
      <c r="BJ23" s="12">
        <v>3.9228606613010072E-3</v>
      </c>
      <c r="BK23" s="12">
        <v>3.9657675586756936E-3</v>
      </c>
      <c r="BL23" s="12">
        <v>3.9960851452711145E-3</v>
      </c>
      <c r="BM23" s="12">
        <v>4.0235277433346341E-3</v>
      </c>
      <c r="BN23" s="12">
        <v>3.9217522033570757E-3</v>
      </c>
      <c r="BO23" s="12">
        <v>3.7764993376867414E-3</v>
      </c>
      <c r="BP23" s="12">
        <v>3.6933743403717483E-3</v>
      </c>
      <c r="BQ23" s="12">
        <v>3.6701560313415495E-3</v>
      </c>
      <c r="BR23" s="12">
        <v>3.6546960700160041E-3</v>
      </c>
      <c r="BS23" s="12">
        <v>3.6798954232363816E-3</v>
      </c>
      <c r="BT23" s="12">
        <v>3.6223129419309923E-3</v>
      </c>
      <c r="BU23" s="12">
        <v>3.5063373127066869E-3</v>
      </c>
      <c r="BV23" s="12">
        <v>3.4325990344405209E-3</v>
      </c>
      <c r="BW23" s="12">
        <v>3.4923961972889508E-3</v>
      </c>
      <c r="BX23" s="12">
        <v>3.4904644853936046E-3</v>
      </c>
      <c r="BY23" s="12">
        <v>3.5714138147761964E-3</v>
      </c>
      <c r="BZ23" s="12">
        <v>3.5876794661669014E-3</v>
      </c>
      <c r="CA23" s="12">
        <v>3.6259380602637488E-3</v>
      </c>
      <c r="CB23" s="12">
        <v>3.6977292135774893E-3</v>
      </c>
      <c r="CC23" s="12">
        <v>3.7879037953941997E-3</v>
      </c>
      <c r="CD23" s="12">
        <v>3.8936375688044728E-3</v>
      </c>
      <c r="CE23" s="12">
        <v>3.9948359593885612E-3</v>
      </c>
      <c r="CF23" s="12">
        <v>4.0568721232968029E-3</v>
      </c>
      <c r="CG23" s="12">
        <v>4.0671686066680911E-3</v>
      </c>
      <c r="CH23" s="12">
        <f t="shared" ref="CH23" si="49">IF(CH21="Yes",CH22,CH20)</f>
        <v>4.0684704139816443E-3</v>
      </c>
    </row>
    <row r="24" spans="1:86" x14ac:dyDescent="0.2">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row>
    <row r="25" spans="1:86" x14ac:dyDescent="0.2">
      <c r="B25" t="s">
        <v>33</v>
      </c>
      <c r="C25" s="4">
        <f>'DEK TURNOVER'!AA37</f>
        <v>0.1134985364015717</v>
      </c>
      <c r="D25" s="4">
        <f>'DEK TURNOVER'!AB37</f>
        <v>0.11536627074862338</v>
      </c>
      <c r="E25" s="4">
        <f>'DEK TURNOVER'!AC37</f>
        <v>0.11661085098941135</v>
      </c>
      <c r="F25" s="4">
        <f>'DEK TURNOVER'!AD37</f>
        <v>0.11780183829825627</v>
      </c>
      <c r="G25" s="4">
        <f>'DEK TURNOVER'!AE37</f>
        <v>0.11756063699471044</v>
      </c>
      <c r="H25" s="4">
        <f>'DEK TURNOVER'!AF37</f>
        <v>0.11701241810078744</v>
      </c>
      <c r="I25" s="4">
        <f>'DEK TURNOVER'!AG37</f>
        <v>0.11653985943113962</v>
      </c>
      <c r="J25" s="4">
        <f>'DEK TURNOVER'!AH37</f>
        <v>0.11618305960117897</v>
      </c>
      <c r="K25" s="4">
        <f>'DEK TURNOVER'!AI37</f>
        <v>0.11602587515628253</v>
      </c>
      <c r="L25" s="4">
        <f>'DEK TURNOVER'!AJ37</f>
        <v>0.11570708950459412</v>
      </c>
      <c r="M25" s="4">
        <f>'DEK TURNOVER'!AK37</f>
        <v>0.11534522610497505</v>
      </c>
      <c r="N25" s="4">
        <f>'DEK TURNOVER'!AL37</f>
        <v>0.11510070744022297</v>
      </c>
      <c r="O25" s="4">
        <f>'DEK TURNOVER'!AM37</f>
        <v>0.115258317609952</v>
      </c>
      <c r="P25" s="4">
        <f>'DEK TURNOVER'!AN37</f>
        <v>0.11530007220446738</v>
      </c>
      <c r="Q25" s="4">
        <f>'DEK TURNOVER'!AO37</f>
        <v>0.11508431145689832</v>
      </c>
      <c r="R25" s="4">
        <f>'DEK TURNOVER'!AP37</f>
        <v>0.11473226450115381</v>
      </c>
      <c r="S25" s="4">
        <f>'DEK TURNOVER'!AQ37</f>
        <v>0.11465302881192485</v>
      </c>
      <c r="T25" s="4">
        <f>'DEK TURNOVER'!AR37</f>
        <v>0.11437745341973393</v>
      </c>
      <c r="U25" s="4">
        <f>'DEK TURNOVER'!AS37</f>
        <v>0.11438936845288677</v>
      </c>
      <c r="V25" s="4">
        <f>'DEK TURNOVER'!AT37</f>
        <v>0.11421809554288601</v>
      </c>
      <c r="W25" s="4">
        <f>'DEK TURNOVER'!AU37</f>
        <v>0.11423848795536368</v>
      </c>
      <c r="X25" s="4">
        <v>0.1141217470091133</v>
      </c>
      <c r="Y25" s="4">
        <v>0.11392110203376346</v>
      </c>
      <c r="Z25" s="4">
        <v>0.11406297643029303</v>
      </c>
      <c r="AA25" s="4">
        <v>0.11413336502774382</v>
      </c>
      <c r="AB25" s="4">
        <v>0.11415624054409276</v>
      </c>
      <c r="AC25" s="4">
        <v>0.11411524971287754</v>
      </c>
      <c r="AD25" s="4">
        <v>0.11415521778826009</v>
      </c>
      <c r="AE25" s="4">
        <v>0.11393196404793768</v>
      </c>
      <c r="AF25" s="4">
        <v>0.11399096086020645</v>
      </c>
      <c r="AG25" s="4">
        <v>0.1137787478959702</v>
      </c>
      <c r="AH25" s="4">
        <f>'DEK TURNOVER'!BF37</f>
        <v>0.11379920337921429</v>
      </c>
      <c r="AI25" s="4">
        <f>'DEK TURNOVER'!BG37</f>
        <v>0.11378445214765816</v>
      </c>
      <c r="AJ25" s="4">
        <f>'DEK TURNOVER'!BH37</f>
        <v>0.11347569534882156</v>
      </c>
      <c r="AK25" s="4">
        <f>'DEK TURNOVER'!BI37</f>
        <v>0.11337023667262311</v>
      </c>
      <c r="AL25" s="4">
        <f>'DEK TURNOVER'!BJ37</f>
        <v>0.11329063556336574</v>
      </c>
      <c r="AM25" s="4">
        <f>'DEK TURNOVER'!BK37</f>
        <v>0.11295364289088691</v>
      </c>
      <c r="AN25" s="4">
        <f>'DEK TURNOVER'!BL37</f>
        <v>0.11240629365908059</v>
      </c>
      <c r="AO25" s="4">
        <f>'DEK TURNOVER'!BM37</f>
        <v>0.112387764761436</v>
      </c>
      <c r="AP25" s="4">
        <f>'DEK TURNOVER'!BN37</f>
        <v>0.11208753751148244</v>
      </c>
      <c r="AQ25" s="4">
        <v>0.11222131986989543</v>
      </c>
      <c r="AR25" s="4">
        <v>0.11240699846799591</v>
      </c>
      <c r="AS25" s="4">
        <f>'DEK TURNOVER'!BQ37</f>
        <v>0.11245940276447286</v>
      </c>
      <c r="AT25" s="4">
        <v>0.11260413471817562</v>
      </c>
      <c r="AU25" s="4">
        <v>0.11285997655282377</v>
      </c>
      <c r="AV25" s="4">
        <v>0.11319248642310445</v>
      </c>
      <c r="AW25" s="4">
        <v>0.11366653313321377</v>
      </c>
      <c r="AX25" s="4">
        <v>0.11376818585053813</v>
      </c>
      <c r="AY25" s="4">
        <v>0.11403965943798303</v>
      </c>
      <c r="AZ25" s="4">
        <v>0.11400609856990654</v>
      </c>
      <c r="BA25" s="4">
        <v>0.11389298197826217</v>
      </c>
      <c r="BB25" s="4">
        <v>0.11374426060744615</v>
      </c>
      <c r="BC25" s="4">
        <v>0.11374098301318536</v>
      </c>
      <c r="BD25" s="4">
        <v>0.11375313728443079</v>
      </c>
      <c r="BE25" s="4">
        <v>0.11374415470779582</v>
      </c>
      <c r="BF25" s="4">
        <v>0.11367465659326248</v>
      </c>
      <c r="BG25" s="4">
        <v>0.11362142606453149</v>
      </c>
      <c r="BH25" s="4">
        <v>0.11361862634423966</v>
      </c>
      <c r="BI25" s="4">
        <v>0.11361793383859772</v>
      </c>
      <c r="BJ25" s="4">
        <v>0.11331571958786418</v>
      </c>
      <c r="BK25" s="4">
        <v>0.11322255270294254</v>
      </c>
      <c r="BL25" s="4">
        <v>0.11323719818015804</v>
      </c>
      <c r="BM25" s="4">
        <v>0.11329188490780076</v>
      </c>
      <c r="BN25" s="4">
        <v>0.11373998710183952</v>
      </c>
      <c r="BO25" s="4">
        <v>0.11379269547633658</v>
      </c>
      <c r="BP25" s="4">
        <v>0.11395782586707488</v>
      </c>
      <c r="BQ25" s="4">
        <v>0.11416791771798282</v>
      </c>
      <c r="BR25" s="4">
        <v>0.11434726206421972</v>
      </c>
      <c r="BS25" s="4">
        <v>0.11480143996486381</v>
      </c>
      <c r="BT25" s="4">
        <v>0.11578904590874067</v>
      </c>
      <c r="BU25" s="4">
        <v>0.11599122434562613</v>
      </c>
      <c r="BV25" s="4">
        <v>0.11614821898584968</v>
      </c>
      <c r="BW25" s="4">
        <v>0.11691969173422638</v>
      </c>
      <c r="BX25" s="4">
        <v>0.11727949058463</v>
      </c>
      <c r="BY25" s="4">
        <v>0.11728328033967728</v>
      </c>
      <c r="BZ25" s="4">
        <v>0.11628767311515746</v>
      </c>
      <c r="CA25" s="4">
        <v>0.11723808947146971</v>
      </c>
      <c r="CB25" s="4">
        <v>0.11729977907838007</v>
      </c>
      <c r="CC25" s="4">
        <v>0.11769137950232329</v>
      </c>
      <c r="CD25" s="4">
        <v>0.11762438313343</v>
      </c>
      <c r="CE25" s="4">
        <v>0.11748504724862549</v>
      </c>
      <c r="CF25" s="4">
        <v>0.11724308760440152</v>
      </c>
      <c r="CG25" s="4">
        <v>0.11712202534935173</v>
      </c>
      <c r="CH25" s="4">
        <f>'DEK TURNOVER'!DF37</f>
        <v>0.11720831673121176</v>
      </c>
    </row>
    <row r="26" spans="1:86" x14ac:dyDescent="0.2">
      <c r="B26" t="s">
        <v>28</v>
      </c>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row>
    <row r="27" spans="1:86" x14ac:dyDescent="0.2">
      <c r="B27" t="s">
        <v>29</v>
      </c>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row>
    <row r="28" spans="1:86" x14ac:dyDescent="0.2">
      <c r="B28" t="s">
        <v>34</v>
      </c>
      <c r="C28" s="12">
        <f t="shared" ref="C28" si="50">IF(C26="Yes",C27,C25)</f>
        <v>0.1134985364015717</v>
      </c>
      <c r="D28" s="12">
        <f t="shared" ref="D28:E28" si="51">IF(D26="Yes",D27,D25)</f>
        <v>0.11536627074862338</v>
      </c>
      <c r="E28" s="12">
        <f t="shared" si="51"/>
        <v>0.11661085098941135</v>
      </c>
      <c r="F28" s="12">
        <f t="shared" ref="F28:G28" si="52">IF(F26="Yes",F27,F25)</f>
        <v>0.11780183829825627</v>
      </c>
      <c r="G28" s="12">
        <f t="shared" si="52"/>
        <v>0.11756063699471044</v>
      </c>
      <c r="H28" s="12">
        <f t="shared" ref="H28:I28" si="53">IF(H26="Yes",H27,H25)</f>
        <v>0.11701241810078744</v>
      </c>
      <c r="I28" s="12">
        <f t="shared" si="53"/>
        <v>0.11653985943113962</v>
      </c>
      <c r="J28" s="12">
        <f t="shared" ref="J28:K28" si="54">IF(J26="Yes",J27,J25)</f>
        <v>0.11618305960117897</v>
      </c>
      <c r="K28" s="12">
        <f t="shared" si="54"/>
        <v>0.11602587515628253</v>
      </c>
      <c r="L28" s="12">
        <f t="shared" ref="L28:M28" si="55">IF(L26="Yes",L27,L25)</f>
        <v>0.11570708950459412</v>
      </c>
      <c r="M28" s="12">
        <f t="shared" si="55"/>
        <v>0.11534522610497505</v>
      </c>
      <c r="N28" s="12">
        <f t="shared" ref="N28:O28" si="56">IF(N26="Yes",N27,N25)</f>
        <v>0.11510070744022297</v>
      </c>
      <c r="O28" s="12">
        <f t="shared" si="56"/>
        <v>0.115258317609952</v>
      </c>
      <c r="P28" s="12">
        <f t="shared" ref="P28:Q28" si="57">IF(P26="Yes",P27,P25)</f>
        <v>0.11530007220446738</v>
      </c>
      <c r="Q28" s="12">
        <f t="shared" si="57"/>
        <v>0.11508431145689832</v>
      </c>
      <c r="R28" s="12">
        <f t="shared" ref="R28:S28" si="58">IF(R26="Yes",R27,R25)</f>
        <v>0.11473226450115381</v>
      </c>
      <c r="S28" s="12">
        <f t="shared" si="58"/>
        <v>0.11465302881192485</v>
      </c>
      <c r="T28" s="12">
        <f t="shared" ref="T28:U28" si="59">IF(T26="Yes",T27,T25)</f>
        <v>0.11437745341973393</v>
      </c>
      <c r="U28" s="12">
        <f t="shared" si="59"/>
        <v>0.11438936845288677</v>
      </c>
      <c r="V28" s="12">
        <f t="shared" ref="V28:W28" si="60">IF(V26="Yes",V27,V25)</f>
        <v>0.11421809554288601</v>
      </c>
      <c r="W28" s="12">
        <f t="shared" si="60"/>
        <v>0.11423848795536368</v>
      </c>
      <c r="X28" s="12">
        <v>0.1141217470091133</v>
      </c>
      <c r="Y28" s="12">
        <v>0.11392110203376346</v>
      </c>
      <c r="Z28" s="12">
        <v>0.11406297643029303</v>
      </c>
      <c r="AA28" s="12">
        <v>0.11413336502774382</v>
      </c>
      <c r="AB28" s="12">
        <v>0.11415624054409276</v>
      </c>
      <c r="AC28" s="12">
        <v>0.11411524971287754</v>
      </c>
      <c r="AD28" s="12">
        <v>0.11415521778826009</v>
      </c>
      <c r="AE28" s="12">
        <v>0.11393196404793768</v>
      </c>
      <c r="AF28" s="12">
        <v>0.11399096086020645</v>
      </c>
      <c r="AG28" s="12">
        <v>0.1137787478959702</v>
      </c>
      <c r="AH28" s="12">
        <f t="shared" ref="AH28:AI28" si="61">IF(AH26="Yes",AH27,AH25)</f>
        <v>0.11379920337921429</v>
      </c>
      <c r="AI28" s="12">
        <f t="shared" si="61"/>
        <v>0.11378445214765816</v>
      </c>
      <c r="AJ28" s="12">
        <f t="shared" ref="AJ28:AK28" si="62">IF(AJ26="Yes",AJ27,AJ25)</f>
        <v>0.11347569534882156</v>
      </c>
      <c r="AK28" s="12">
        <f t="shared" si="62"/>
        <v>0.11337023667262311</v>
      </c>
      <c r="AL28" s="12">
        <f t="shared" ref="AL28:AM28" si="63">IF(AL26="Yes",AL27,AL25)</f>
        <v>0.11329063556336574</v>
      </c>
      <c r="AM28" s="12">
        <f t="shared" si="63"/>
        <v>0.11295364289088691</v>
      </c>
      <c r="AN28" s="12">
        <f t="shared" ref="AN28" si="64">IF(AN26="Yes",AN27,AN25)</f>
        <v>0.11240629365908059</v>
      </c>
      <c r="AO28" s="12">
        <f t="shared" ref="AO28:AP28" si="65">IF(AO26="Yes",AO27,AO25)</f>
        <v>0.112387764761436</v>
      </c>
      <c r="AP28" s="12">
        <f t="shared" si="65"/>
        <v>0.11208753751148244</v>
      </c>
      <c r="AQ28" s="12">
        <v>0.11222131986989543</v>
      </c>
      <c r="AR28" s="12">
        <v>0.11240699846799591</v>
      </c>
      <c r="AS28" s="12">
        <f t="shared" ref="AS28" si="66">IF(AS26="Yes",AS27,AS25)</f>
        <v>0.11245940276447286</v>
      </c>
      <c r="AT28" s="12">
        <v>0.11260413471817562</v>
      </c>
      <c r="AU28" s="12">
        <v>0.11285997655282377</v>
      </c>
      <c r="AV28" s="12">
        <v>0.11319248642310445</v>
      </c>
      <c r="AW28" s="12">
        <v>0.11366653313321377</v>
      </c>
      <c r="AX28" s="12">
        <v>0.11376818585053813</v>
      </c>
      <c r="AY28" s="12">
        <v>0.11403965943798303</v>
      </c>
      <c r="AZ28" s="12">
        <v>0.11400609856990654</v>
      </c>
      <c r="BA28" s="12">
        <v>0.11389298197826217</v>
      </c>
      <c r="BB28" s="12">
        <v>0.11374426060744615</v>
      </c>
      <c r="BC28" s="12">
        <v>0.11374098301318536</v>
      </c>
      <c r="BD28" s="12">
        <v>0.11375313728443079</v>
      </c>
      <c r="BE28" s="12">
        <v>0.11374415470779582</v>
      </c>
      <c r="BF28" s="12">
        <v>0.11367465659326248</v>
      </c>
      <c r="BG28" s="12">
        <v>0.11362142606453149</v>
      </c>
      <c r="BH28" s="12">
        <v>0.11361862634423966</v>
      </c>
      <c r="BI28" s="12">
        <v>0.11361793383859772</v>
      </c>
      <c r="BJ28" s="12">
        <v>0.11331571958786418</v>
      </c>
      <c r="BK28" s="12">
        <v>0.11322255270294254</v>
      </c>
      <c r="BL28" s="12">
        <v>0.11323719818015804</v>
      </c>
      <c r="BM28" s="12">
        <v>0.11329188490780076</v>
      </c>
      <c r="BN28" s="12">
        <v>0.11373998710183952</v>
      </c>
      <c r="BO28" s="12">
        <v>0.11379269547633658</v>
      </c>
      <c r="BP28" s="12">
        <v>0.11395782586707488</v>
      </c>
      <c r="BQ28" s="12">
        <v>0.11416791771798282</v>
      </c>
      <c r="BR28" s="12">
        <v>0.11434726206421972</v>
      </c>
      <c r="BS28" s="12">
        <v>0.11480143996486381</v>
      </c>
      <c r="BT28" s="12">
        <v>0.11578904590874067</v>
      </c>
      <c r="BU28" s="12">
        <v>0.11599122434562613</v>
      </c>
      <c r="BV28" s="12">
        <v>0.11614821898584968</v>
      </c>
      <c r="BW28" s="12">
        <v>0.11691969173422638</v>
      </c>
      <c r="BX28" s="12">
        <v>0.11727949058463</v>
      </c>
      <c r="BY28" s="12">
        <v>0.11728328033967728</v>
      </c>
      <c r="BZ28" s="12">
        <v>0.11628767311515746</v>
      </c>
      <c r="CA28" s="12">
        <v>0.11723808947146971</v>
      </c>
      <c r="CB28" s="12">
        <v>0.11729977907838007</v>
      </c>
      <c r="CC28" s="12">
        <v>0.11769137950232329</v>
      </c>
      <c r="CD28" s="12">
        <v>0.11762438313343</v>
      </c>
      <c r="CE28" s="12">
        <v>0.11748504724862549</v>
      </c>
      <c r="CF28" s="12">
        <v>0.11724308760440152</v>
      </c>
      <c r="CG28" s="12">
        <v>0.11712202534935173</v>
      </c>
      <c r="CH28" s="12">
        <f t="shared" ref="CH28" si="67">IF(CH26="Yes",CH27,CH25)</f>
        <v>0.11720831673121176</v>
      </c>
    </row>
    <row r="30" spans="1:86" x14ac:dyDescent="0.2">
      <c r="A30" s="27"/>
      <c r="B30" s="25"/>
      <c r="C30" s="16">
        <f t="shared" ref="C30" si="68">IF(C$9=0,0,(1-((1-C18+C23-C$7)/(1+(C$11*C28)))))</f>
        <v>3.766435106893451E-3</v>
      </c>
      <c r="D30" s="16">
        <f t="shared" ref="D30:E30" si="69">IF(D$9=0,0,(1-((1-D18+D23-D$7)/(1+(D$11*D28)))))</f>
        <v>4.0792723116225282E-3</v>
      </c>
      <c r="E30" s="16">
        <f t="shared" si="69"/>
        <v>4.1415754697665674E-3</v>
      </c>
      <c r="F30" s="16">
        <f t="shared" ref="F30:G30" si="70">IF(F$9=0,0,(1-((1-F18+F23-F$7)/(1+(F$11*F28)))))</f>
        <v>4.3163179477495595E-3</v>
      </c>
      <c r="G30" s="16">
        <f t="shared" si="70"/>
        <v>4.5426891653237433E-3</v>
      </c>
      <c r="H30" s="16">
        <f t="shared" ref="H30:I30" si="71">IF(H$9=0,0,(1-((1-H18+H23-H$7)/(1+(H$11*H28)))))</f>
        <v>4.4789339943047679E-3</v>
      </c>
      <c r="I30" s="16">
        <f t="shared" si="71"/>
        <v>4.3886369302612582E-3</v>
      </c>
      <c r="J30" s="16">
        <f t="shared" ref="J30:K30" si="72">IF(J$9=0,0,(1-((1-J18+J23-J$7)/(1+(J$11*J28)))))</f>
        <v>4.1752187824334319E-3</v>
      </c>
      <c r="K30" s="16">
        <f t="shared" si="72"/>
        <v>4.0864526679479374E-3</v>
      </c>
      <c r="L30" s="16">
        <f t="shared" ref="L30:M30" si="73">IF(L$9=0,0,(1-((1-L18+L23-L$7)/(1+(L$11*L28)))))</f>
        <v>4.1474302765074356E-3</v>
      </c>
      <c r="M30" s="16">
        <f t="shared" si="73"/>
        <v>4.3770294225023987E-3</v>
      </c>
      <c r="N30" s="16">
        <f t="shared" ref="N30:O30" si="74">IF(N$9=0,0,(1-((1-N18+N23-N$7)/(1+(N$11*N28)))))</f>
        <v>4.3736702820506013E-3</v>
      </c>
      <c r="O30" s="16">
        <f t="shared" si="74"/>
        <v>4.4778374091098971E-3</v>
      </c>
      <c r="P30" s="16">
        <f t="shared" ref="P30:Q30" si="75">IF(P$9=0,0,(1-((1-P18+P23-P$7)/(1+(P$11*P28)))))</f>
        <v>4.6426006263622366E-3</v>
      </c>
      <c r="Q30" s="16">
        <f t="shared" si="75"/>
        <v>4.6748845612859524E-3</v>
      </c>
      <c r="R30" s="16">
        <f t="shared" ref="R30:S30" si="76">IF(R$9=0,0,(1-((1-R18+R23-R$7)/(1+(R$11*R28)))))</f>
        <v>4.7981465517829003E-3</v>
      </c>
      <c r="S30" s="16">
        <f t="shared" si="76"/>
        <v>4.903210476737252E-3</v>
      </c>
      <c r="T30" s="16">
        <f t="shared" ref="T30:U30" si="77">IF(T$9=0,0,(1-((1-T18+T23-T$7)/(1+(T$11*T28)))))</f>
        <v>4.9508107895895881E-3</v>
      </c>
      <c r="U30" s="16">
        <f t="shared" si="77"/>
        <v>4.9576908967776667E-3</v>
      </c>
      <c r="V30" s="16">
        <f t="shared" ref="V30:W30" si="78">IF(V$9=0,0,(1-((1-V18+V23-V$7)/(1+(V$11*V28)))))</f>
        <v>5.0953384070163699E-3</v>
      </c>
      <c r="W30" s="16">
        <f t="shared" si="78"/>
        <v>5.0997895206917887E-3</v>
      </c>
      <c r="X30" s="16">
        <v>5.0098126949373878E-3</v>
      </c>
      <c r="Y30" s="16">
        <v>5.1778116620249115E-3</v>
      </c>
      <c r="Z30" s="16">
        <v>5.211196945549279E-3</v>
      </c>
      <c r="AA30" s="16">
        <v>5.1031051822059137E-3</v>
      </c>
      <c r="AB30" s="16">
        <v>5.135365863813024E-3</v>
      </c>
      <c r="AC30" s="16">
        <v>5.1611584832932378E-3</v>
      </c>
      <c r="AD30" s="16">
        <v>5.1086896284172623E-3</v>
      </c>
      <c r="AE30" s="16">
        <v>5.1210942937682802E-3</v>
      </c>
      <c r="AF30" s="16">
        <v>4.9433170326684817E-3</v>
      </c>
      <c r="AG30" s="16">
        <v>4.8043936509380991E-3</v>
      </c>
      <c r="AH30" s="16">
        <f t="shared" ref="AH30:AI30" si="79">IF(AH$9=0,0,(1-((1-AH18+AH23-AH$7)/(1+(AH$11*AH28)))))</f>
        <v>4.6889536303609258E-3</v>
      </c>
      <c r="AI30" s="16">
        <f t="shared" si="79"/>
        <v>4.4308344012274903E-3</v>
      </c>
      <c r="AJ30" s="16">
        <f t="shared" ref="AJ30:AK30" si="80">IF(AJ$9=0,0,(1-((1-AJ18+AJ23-AJ$7)/(1+(AJ$11*AJ28)))))</f>
        <v>4.283491772405168E-3</v>
      </c>
      <c r="AK30" s="16">
        <f t="shared" si="80"/>
        <v>4.336503526647717E-3</v>
      </c>
      <c r="AL30" s="16">
        <f t="shared" ref="AL30:AM30" si="81">IF(AL$9=0,0,(1-((1-AL18+AL23-AL$7)/(1+(AL$11*AL28)))))</f>
        <v>4.2505148318252584E-3</v>
      </c>
      <c r="AM30" s="16">
        <f t="shared" si="81"/>
        <v>3.9821995447218983E-3</v>
      </c>
      <c r="AN30" s="16">
        <f t="shared" ref="AN30" si="82">IF(AN$9=0,0,(1-((1-AN18+AN23-AN$7)/(1+(AN$11*AN28)))))</f>
        <v>3.3219127473032017E-3</v>
      </c>
      <c r="AO30" s="16">
        <f t="shared" ref="AO30:AP30" si="83">IF(AO$9=0,0,(1-((1-AO18+AO23-AO$7)/(1+(AO$11*AO28)))))</f>
        <v>2.5821746037661963E-3</v>
      </c>
      <c r="AP30" s="16">
        <f t="shared" si="83"/>
        <v>2.4867108769608404E-3</v>
      </c>
      <c r="AQ30" s="16">
        <v>2.5012958053165502E-3</v>
      </c>
      <c r="AR30" s="16">
        <v>2.5855581510251247E-3</v>
      </c>
      <c r="AS30" s="16">
        <f t="shared" ref="AS30" si="84">IF(AS$9=0,0,(1-((1-AS18+AS23-AS$7)/(1+(AS$11*AS28)))))</f>
        <v>2.6227385705281936E-3</v>
      </c>
      <c r="AT30" s="16">
        <v>2.7198143736578695E-3</v>
      </c>
      <c r="AU30" s="16">
        <v>2.7494380392583118E-3</v>
      </c>
      <c r="AV30" s="16">
        <v>2.7875695945898116E-3</v>
      </c>
      <c r="AW30" s="16">
        <v>2.7906005075707396E-3</v>
      </c>
      <c r="AX30" s="16">
        <v>2.9636337370727572E-3</v>
      </c>
      <c r="AY30" s="16">
        <v>2.8941697482464113E-3</v>
      </c>
      <c r="AZ30" s="16">
        <v>3.0715267452946504E-3</v>
      </c>
      <c r="BA30" s="16">
        <v>3.0574012878153978E-3</v>
      </c>
      <c r="BB30" s="16">
        <v>3.1925723454099275E-3</v>
      </c>
      <c r="BC30" s="16">
        <v>3.3920175550650189E-3</v>
      </c>
      <c r="BD30" s="16">
        <v>3.3580632821890166E-3</v>
      </c>
      <c r="BE30" s="16">
        <v>3.3718535404602124E-3</v>
      </c>
      <c r="BF30" s="16">
        <v>3.3759689018014738E-3</v>
      </c>
      <c r="BG30" s="16">
        <v>3.4324262028146979E-3</v>
      </c>
      <c r="BH30" s="16">
        <v>3.3786062570458908E-3</v>
      </c>
      <c r="BI30" s="16">
        <v>3.3667798441316954E-3</v>
      </c>
      <c r="BJ30" s="16">
        <v>3.5378310351780184E-3</v>
      </c>
      <c r="BK30" s="16">
        <v>3.619643293817032E-3</v>
      </c>
      <c r="BL30" s="16">
        <v>3.8307616499152486E-3</v>
      </c>
      <c r="BM30" s="16">
        <v>4.2613753591073111E-3</v>
      </c>
      <c r="BN30" s="16">
        <v>4.6379589183626058E-3</v>
      </c>
      <c r="BO30" s="16">
        <v>5.402945692345007E-3</v>
      </c>
      <c r="BP30" s="16">
        <v>6.1112103121081507E-3</v>
      </c>
      <c r="BQ30" s="16">
        <v>6.3841368009330823E-3</v>
      </c>
      <c r="BR30" s="16">
        <v>7.1302370997324838E-3</v>
      </c>
      <c r="BS30" s="16">
        <v>7.9110910902466802E-3</v>
      </c>
      <c r="BT30" s="16">
        <v>8.7098273923273961E-3</v>
      </c>
      <c r="BU30" s="16">
        <v>9.2119637887261296E-3</v>
      </c>
      <c r="BV30" s="16">
        <v>9.5744301404299126E-3</v>
      </c>
      <c r="BW30" s="16">
        <v>9.8752234767268687E-3</v>
      </c>
      <c r="BX30" s="16">
        <v>1.0246451043648741E-2</v>
      </c>
      <c r="BY30" s="16">
        <v>1.0522148079497695E-2</v>
      </c>
      <c r="BZ30" s="16">
        <v>1.0651370333189303E-2</v>
      </c>
      <c r="CA30" s="16">
        <v>1.0937831107565521E-2</v>
      </c>
      <c r="CB30" s="16">
        <v>1.1021986773689041E-2</v>
      </c>
      <c r="CC30" s="16">
        <v>1.109226079474912E-2</v>
      </c>
      <c r="CD30" s="16">
        <v>1.1163189689676112E-2</v>
      </c>
      <c r="CE30" s="16">
        <v>1.1040836289884726E-2</v>
      </c>
      <c r="CF30" s="16">
        <v>1.117870566326773E-2</v>
      </c>
      <c r="CG30" s="16">
        <v>1.1188497310848367E-2</v>
      </c>
      <c r="CH30" s="16">
        <f t="shared" ref="CH30" si="85">IF(CH$9=0,0,(1-((1-CH18+CH23-CH$7)/(1+(CH$11*CH28)))))</f>
        <v>1.1154565312492148E-2</v>
      </c>
    </row>
    <row r="31" spans="1:86" ht="13.5" thickBot="1" x14ac:dyDescent="0.25"/>
    <row r="32" spans="1:86" ht="13.5" thickBot="1" x14ac:dyDescent="0.25">
      <c r="A32" s="26" t="s">
        <v>46</v>
      </c>
      <c r="B32" s="26"/>
      <c r="C32" s="30">
        <f t="shared" ref="C32" si="86">IF(C30=0," ",ROUND(C30,4))</f>
        <v>3.8E-3</v>
      </c>
      <c r="D32" s="30">
        <f t="shared" ref="D32:E32" si="87">IF(D30=0," ",ROUND(D30,4))</f>
        <v>4.1000000000000003E-3</v>
      </c>
      <c r="E32" s="30">
        <f t="shared" si="87"/>
        <v>4.1000000000000003E-3</v>
      </c>
      <c r="F32" s="30">
        <f t="shared" ref="F32:G32" si="88">IF(F30=0," ",ROUND(F30,4))</f>
        <v>4.3E-3</v>
      </c>
      <c r="G32" s="30">
        <f t="shared" si="88"/>
        <v>4.4999999999999997E-3</v>
      </c>
      <c r="H32" s="30">
        <f t="shared" ref="H32:I32" si="89">IF(H30=0," ",ROUND(H30,4))</f>
        <v>4.4999999999999997E-3</v>
      </c>
      <c r="I32" s="30">
        <f t="shared" si="89"/>
        <v>4.4000000000000003E-3</v>
      </c>
      <c r="J32" s="30">
        <f t="shared" ref="J32:K32" si="90">IF(J30=0," ",ROUND(J30,4))</f>
        <v>4.1999999999999997E-3</v>
      </c>
      <c r="K32" s="30">
        <f t="shared" si="90"/>
        <v>4.1000000000000003E-3</v>
      </c>
      <c r="L32" s="30">
        <f t="shared" ref="L32:M32" si="91">IF(L30=0," ",ROUND(L30,4))</f>
        <v>4.1000000000000003E-3</v>
      </c>
      <c r="M32" s="30">
        <f t="shared" si="91"/>
        <v>4.4000000000000003E-3</v>
      </c>
      <c r="N32" s="30">
        <f t="shared" ref="N32:O32" si="92">IF(N30=0," ",ROUND(N30,4))</f>
        <v>4.4000000000000003E-3</v>
      </c>
      <c r="O32" s="30">
        <f t="shared" si="92"/>
        <v>4.4999999999999997E-3</v>
      </c>
      <c r="P32" s="30">
        <f t="shared" ref="P32:Q32" si="93">IF(P30=0," ",ROUND(P30,4))</f>
        <v>4.5999999999999999E-3</v>
      </c>
      <c r="Q32" s="30">
        <f t="shared" si="93"/>
        <v>4.7000000000000002E-3</v>
      </c>
      <c r="R32" s="30">
        <f t="shared" ref="R32:S32" si="94">IF(R30=0," ",ROUND(R30,4))</f>
        <v>4.7999999999999996E-3</v>
      </c>
      <c r="S32" s="30">
        <f t="shared" si="94"/>
        <v>4.8999999999999998E-3</v>
      </c>
      <c r="T32" s="30">
        <f t="shared" ref="T32:U32" si="95">IF(T30=0," ",ROUND(T30,4))</f>
        <v>5.0000000000000001E-3</v>
      </c>
      <c r="U32" s="30">
        <f t="shared" si="95"/>
        <v>5.0000000000000001E-3</v>
      </c>
      <c r="V32" s="30">
        <f t="shared" ref="V32:W32" si="96">IF(V30=0," ",ROUND(V30,4))</f>
        <v>5.1000000000000004E-3</v>
      </c>
      <c r="W32" s="30">
        <f t="shared" si="96"/>
        <v>5.1000000000000004E-3</v>
      </c>
      <c r="X32" s="30">
        <v>5.0000000000000001E-3</v>
      </c>
      <c r="Y32" s="30">
        <v>5.1999999999999998E-3</v>
      </c>
      <c r="Z32" s="30">
        <v>5.1999999999999998E-3</v>
      </c>
      <c r="AA32" s="30">
        <v>5.1000000000000004E-3</v>
      </c>
      <c r="AB32" s="30">
        <v>5.1000000000000004E-3</v>
      </c>
      <c r="AC32" s="30">
        <v>5.1999999999999998E-3</v>
      </c>
      <c r="AD32" s="30">
        <v>5.1000000000000004E-3</v>
      </c>
      <c r="AE32" s="30">
        <v>5.1000000000000004E-3</v>
      </c>
      <c r="AF32" s="30">
        <v>4.8999999999999998E-3</v>
      </c>
      <c r="AG32" s="30">
        <v>4.7999999999999996E-3</v>
      </c>
      <c r="AH32" s="30">
        <f t="shared" ref="AH32:AI32" si="97">IF(AH30=0," ",ROUND(AH30,4))</f>
        <v>4.7000000000000002E-3</v>
      </c>
      <c r="AI32" s="30">
        <f t="shared" si="97"/>
        <v>4.4000000000000003E-3</v>
      </c>
      <c r="AJ32" s="30">
        <f t="shared" ref="AJ32:AK32" si="98">IF(AJ30=0," ",ROUND(AJ30,4))</f>
        <v>4.3E-3</v>
      </c>
      <c r="AK32" s="30">
        <f t="shared" si="98"/>
        <v>4.3E-3</v>
      </c>
      <c r="AL32" s="30">
        <f t="shared" ref="AL32:AM32" si="99">IF(AL30=0," ",ROUND(AL30,4))</f>
        <v>4.3E-3</v>
      </c>
      <c r="AM32" s="30">
        <f t="shared" si="99"/>
        <v>4.0000000000000001E-3</v>
      </c>
      <c r="AN32" s="30">
        <f t="shared" ref="AN32" si="100">IF(AN30=0," ",ROUND(AN30,4))</f>
        <v>3.3E-3</v>
      </c>
      <c r="AO32" s="30">
        <f t="shared" ref="AO32:AP32" si="101">IF(AO30=0," ",ROUND(AO30,4))</f>
        <v>2.5999999999999999E-3</v>
      </c>
      <c r="AP32" s="30">
        <f t="shared" si="101"/>
        <v>2.5000000000000001E-3</v>
      </c>
      <c r="AQ32" s="30">
        <v>2.5000000000000001E-3</v>
      </c>
      <c r="AR32" s="30">
        <v>2.5999999999999999E-3</v>
      </c>
      <c r="AS32" s="30">
        <f t="shared" ref="AS32" si="102">IF(AS30=0," ",ROUND(AS30,4))</f>
        <v>2.5999999999999999E-3</v>
      </c>
      <c r="AT32" s="30">
        <v>2.7000000000000001E-3</v>
      </c>
      <c r="AU32" s="30">
        <v>2.7000000000000001E-3</v>
      </c>
      <c r="AV32" s="30">
        <v>2.8E-3</v>
      </c>
      <c r="AW32" s="30">
        <v>2.8E-3</v>
      </c>
      <c r="AX32" s="30">
        <v>3.0000000000000001E-3</v>
      </c>
      <c r="AY32" s="30">
        <v>2.8999999999999998E-3</v>
      </c>
      <c r="AZ32" s="30">
        <v>3.0999999999999999E-3</v>
      </c>
      <c r="BA32" s="30">
        <v>3.0999999999999999E-3</v>
      </c>
      <c r="BB32" s="30">
        <v>3.2000000000000002E-3</v>
      </c>
      <c r="BC32" s="30">
        <v>3.3999999999999998E-3</v>
      </c>
      <c r="BD32" s="30">
        <v>3.3999999999999998E-3</v>
      </c>
      <c r="BE32" s="30">
        <v>3.3999999999999998E-3</v>
      </c>
      <c r="BF32" s="30">
        <v>3.3999999999999998E-3</v>
      </c>
      <c r="BG32" s="30">
        <v>3.3999999999999998E-3</v>
      </c>
      <c r="BH32" s="30">
        <v>3.3999999999999998E-3</v>
      </c>
      <c r="BI32" s="30">
        <v>3.3999999999999998E-3</v>
      </c>
      <c r="BJ32" s="30">
        <v>3.5000000000000001E-3</v>
      </c>
      <c r="BK32" s="30">
        <v>3.5999999999999999E-3</v>
      </c>
      <c r="BL32" s="30">
        <v>3.8E-3</v>
      </c>
      <c r="BM32" s="30">
        <v>4.3E-3</v>
      </c>
      <c r="BN32" s="30">
        <v>4.5999999999999999E-3</v>
      </c>
      <c r="BO32" s="30">
        <v>5.4000000000000003E-3</v>
      </c>
      <c r="BP32" s="30">
        <v>6.1000000000000004E-3</v>
      </c>
      <c r="BQ32" s="30">
        <v>6.4000000000000003E-3</v>
      </c>
      <c r="BR32" s="30">
        <v>7.1000000000000004E-3</v>
      </c>
      <c r="BS32" s="30">
        <v>7.9000000000000008E-3</v>
      </c>
      <c r="BT32" s="30">
        <v>8.6999999999999994E-3</v>
      </c>
      <c r="BU32" s="30">
        <v>9.1999999999999998E-3</v>
      </c>
      <c r="BV32" s="30">
        <v>9.5999999999999992E-3</v>
      </c>
      <c r="BW32" s="30">
        <v>9.9000000000000008E-3</v>
      </c>
      <c r="BX32" s="30">
        <v>1.0200000000000001E-2</v>
      </c>
      <c r="BY32" s="30">
        <v>1.0500000000000001E-2</v>
      </c>
      <c r="BZ32" s="30">
        <v>1.0699999999999999E-2</v>
      </c>
      <c r="CA32" s="30">
        <v>1.09E-2</v>
      </c>
      <c r="CB32" s="30">
        <v>1.0999999999999999E-2</v>
      </c>
      <c r="CC32" s="30">
        <v>1.11E-2</v>
      </c>
      <c r="CD32" s="30">
        <v>1.12E-2</v>
      </c>
      <c r="CE32" s="30">
        <v>1.0999999999999999E-2</v>
      </c>
      <c r="CF32" s="30">
        <v>1.12E-2</v>
      </c>
      <c r="CG32" s="30">
        <v>1.12E-2</v>
      </c>
      <c r="CH32" s="30">
        <f t="shared" ref="CH32" si="103">IF(CH30=0," ",ROUND(CH30,4))</f>
        <v>1.12E-2</v>
      </c>
    </row>
    <row r="33" spans="1:2" x14ac:dyDescent="0.2">
      <c r="A33" s="8"/>
      <c r="B33" s="2"/>
    </row>
    <row r="35" spans="1:2" x14ac:dyDescent="0.2">
      <c r="B35" s="7" t="s">
        <v>51</v>
      </c>
    </row>
    <row r="36" spans="1:2" x14ac:dyDescent="0.2">
      <c r="A36" s="2" t="s">
        <v>52</v>
      </c>
    </row>
  </sheetData>
  <mergeCells count="1">
    <mergeCell ref="B1:B2"/>
  </mergeCells>
  <phoneticPr fontId="0" type="noConversion"/>
  <hyperlinks>
    <hyperlink ref="B3" r:id="rId1" display="https://www.newyorkfed.org/markets/reference-rates/sofr" xr:uid="{64C55037-DE8D-4734-90C9-9615BF0C4CD9}"/>
  </hyperlinks>
  <pageMargins left="0.2" right="0.22" top="0.75395833333333329" bottom="0.38" header="0.45" footer="0.2"/>
  <pageSetup scale="47" orientation="landscape" r:id="rId2"/>
  <headerFooter alignWithMargins="0">
    <oddHeader xml:space="preserve">&amp;C&amp;"Arial,Bold"&amp;14&amp;A&amp;R&amp;"Times New Roman,Bold"KyPSC Case No. 2024-00354
AG-DR-02-043 Attachment
Page &amp;P of &amp;N&amp;"Arial,Regular"
</oddHeader>
    <oddFooter>&amp;L&amp;D
&amp;R&amp;"Arial,Bold"&amp;14&amp;KFF0000A1</oddFooter>
  </headerFooter>
  <customProperties>
    <customPr name="_pios_id" r:id="rId3"/>
  </customPropertie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DF998"/>
  <sheetViews>
    <sheetView view="pageLayout" zoomScaleNormal="90" workbookViewId="0">
      <selection activeCell="DA68" sqref="DA68"/>
    </sheetView>
  </sheetViews>
  <sheetFormatPr defaultRowHeight="12.75" outlineLevelCol="1" x14ac:dyDescent="0.2"/>
  <cols>
    <col min="1" max="1" width="29.28515625" style="10" customWidth="1"/>
    <col min="2" max="26" width="12.5703125" hidden="1" customWidth="1" outlineLevel="1"/>
    <col min="27" max="30" width="12.85546875" hidden="1" customWidth="1" outlineLevel="1"/>
    <col min="31" max="37" width="12.85546875" hidden="1" customWidth="1" outlineLevel="1" collapsed="1"/>
    <col min="38" max="38" width="12.85546875" hidden="1" customWidth="1" outlineLevel="1"/>
    <col min="39" max="39" width="14.7109375" hidden="1" customWidth="1" outlineLevel="1"/>
    <col min="40" max="40" width="12.85546875" hidden="1" customWidth="1" outlineLevel="1"/>
    <col min="41" max="42" width="13.42578125" hidden="1" customWidth="1" outlineLevel="1"/>
    <col min="43" max="45" width="13.42578125" hidden="1" customWidth="1" outlineLevel="1" collapsed="1"/>
    <col min="46" max="46" width="13.42578125" hidden="1" customWidth="1" outlineLevel="1"/>
    <col min="47" max="48" width="13.42578125" hidden="1" customWidth="1" outlineLevel="1" collapsed="1"/>
    <col min="49" max="49" width="13.42578125" hidden="1" customWidth="1" outlineLevel="1"/>
    <col min="50" max="50" width="13.42578125" hidden="1" customWidth="1" outlineLevel="1" collapsed="1"/>
    <col min="51" max="54" width="13.42578125" hidden="1" customWidth="1" outlineLevel="1"/>
    <col min="55" max="55" width="13.42578125" hidden="1" customWidth="1" outlineLevel="1" collapsed="1"/>
    <col min="56" max="57" width="13.42578125" hidden="1" customWidth="1" outlineLevel="1"/>
    <col min="58" max="58" width="13.42578125" hidden="1" customWidth="1" outlineLevel="1" collapsed="1"/>
    <col min="59" max="72" width="13.42578125" hidden="1" customWidth="1" outlineLevel="1"/>
    <col min="73" max="73" width="13.42578125" hidden="1" customWidth="1" outlineLevel="1" collapsed="1"/>
    <col min="74" max="84" width="13.42578125" hidden="1" customWidth="1" outlineLevel="1"/>
    <col min="85" max="85" width="13.42578125" hidden="1" customWidth="1" collapsed="1"/>
    <col min="86" max="97" width="13.42578125" hidden="1" customWidth="1"/>
    <col min="98" max="110" width="13.42578125" customWidth="1"/>
  </cols>
  <sheetData>
    <row r="1" spans="1:110" s="21" customFormat="1" x14ac:dyDescent="0.2">
      <c r="A1" s="19"/>
      <c r="B1" s="9">
        <v>42035</v>
      </c>
      <c r="C1" s="9">
        <v>42063</v>
      </c>
      <c r="D1" s="9">
        <v>42094</v>
      </c>
      <c r="E1" s="9">
        <v>42095</v>
      </c>
      <c r="F1" s="9">
        <v>42125</v>
      </c>
      <c r="G1" s="9">
        <v>42185</v>
      </c>
      <c r="H1" s="9">
        <v>42186</v>
      </c>
      <c r="I1" s="9">
        <v>42217</v>
      </c>
      <c r="J1" s="9">
        <v>42248</v>
      </c>
      <c r="K1" s="9">
        <v>42278</v>
      </c>
      <c r="L1" s="9">
        <v>42309</v>
      </c>
      <c r="M1" s="9">
        <v>42339</v>
      </c>
      <c r="N1" s="9">
        <v>42400</v>
      </c>
      <c r="O1" s="9">
        <v>42429</v>
      </c>
      <c r="P1" s="9">
        <v>42460</v>
      </c>
      <c r="Q1" s="9">
        <v>42461</v>
      </c>
      <c r="R1" s="9">
        <v>42491</v>
      </c>
      <c r="S1" s="9">
        <v>42522</v>
      </c>
      <c r="T1" s="9">
        <v>42552</v>
      </c>
      <c r="U1" s="9">
        <v>42583</v>
      </c>
      <c r="V1" s="9">
        <v>42614</v>
      </c>
      <c r="W1" s="9">
        <v>42644</v>
      </c>
      <c r="X1" s="9">
        <v>42675</v>
      </c>
      <c r="Y1" s="9">
        <v>42735</v>
      </c>
      <c r="Z1" s="9" t="e">
        <f>#REF!</f>
        <v>#REF!</v>
      </c>
      <c r="AA1" s="9" t="e">
        <f>#REF!</f>
        <v>#REF!</v>
      </c>
      <c r="AB1" s="9" t="e">
        <f>#REF!</f>
        <v>#REF!</v>
      </c>
      <c r="AC1" s="9" t="e">
        <f>#REF!</f>
        <v>#REF!</v>
      </c>
      <c r="AD1" s="9" t="e">
        <f>#REF!</f>
        <v>#REF!</v>
      </c>
      <c r="AE1" s="9" t="e">
        <f>#REF!</f>
        <v>#REF!</v>
      </c>
      <c r="AF1" s="9" t="e">
        <f>#REF!</f>
        <v>#REF!</v>
      </c>
      <c r="AG1" s="9" t="e">
        <f>#REF!</f>
        <v>#REF!</v>
      </c>
      <c r="AH1" s="9" t="e">
        <f>#REF!</f>
        <v>#REF!</v>
      </c>
      <c r="AI1" s="9" t="e">
        <f>#REF!</f>
        <v>#REF!</v>
      </c>
      <c r="AJ1" s="9" t="e">
        <f>#REF!</f>
        <v>#REF!</v>
      </c>
      <c r="AK1" s="9" t="e">
        <f>#REF!</f>
        <v>#REF!</v>
      </c>
      <c r="AL1" s="9" t="e">
        <f>#REF!</f>
        <v>#REF!</v>
      </c>
      <c r="AM1" s="9" t="e">
        <f>#REF!</f>
        <v>#REF!</v>
      </c>
      <c r="AN1" s="9" t="e">
        <f>#REF!</f>
        <v>#REF!</v>
      </c>
      <c r="AO1" s="9" t="e">
        <f>#REF!</f>
        <v>#REF!</v>
      </c>
      <c r="AP1" s="9" t="e">
        <f>#REF!</f>
        <v>#REF!</v>
      </c>
      <c r="AQ1" s="9" t="e">
        <f>#REF!</f>
        <v>#REF!</v>
      </c>
      <c r="AR1" s="9" t="e">
        <f>#REF!</f>
        <v>#REF!</v>
      </c>
      <c r="AS1" s="9" t="e">
        <f>#REF!</f>
        <v>#REF!</v>
      </c>
      <c r="AT1" s="9" t="e">
        <f>#REF!</f>
        <v>#REF!</v>
      </c>
      <c r="AU1" s="9" t="e">
        <f>#REF!</f>
        <v>#REF!</v>
      </c>
      <c r="AV1" s="9" t="e">
        <f>#REF!</f>
        <v>#REF!</v>
      </c>
      <c r="AW1" s="9" t="e">
        <f>#REF!</f>
        <v>#REF!</v>
      </c>
      <c r="AX1" s="9" t="e">
        <f>#REF!</f>
        <v>#REF!</v>
      </c>
      <c r="AY1" s="9" t="e">
        <f>#REF!</f>
        <v>#REF!</v>
      </c>
      <c r="AZ1" s="9" t="e">
        <f>#REF!</f>
        <v>#REF!</v>
      </c>
      <c r="BA1" s="9" t="e">
        <f>#REF!</f>
        <v>#REF!</v>
      </c>
      <c r="BB1" s="9" t="e">
        <f>#REF!</f>
        <v>#REF!</v>
      </c>
      <c r="BC1" s="9" t="e">
        <f>#REF!</f>
        <v>#REF!</v>
      </c>
      <c r="BD1" s="9" t="e">
        <f>#REF!</f>
        <v>#REF!</v>
      </c>
      <c r="BE1" s="9" t="e">
        <f>#REF!</f>
        <v>#REF!</v>
      </c>
      <c r="BF1" s="9" t="e">
        <f>#REF!</f>
        <v>#REF!</v>
      </c>
      <c r="BG1" s="9" t="e">
        <f>#REF!</f>
        <v>#REF!</v>
      </c>
      <c r="BH1" s="9" t="e">
        <f>#REF!</f>
        <v>#REF!</v>
      </c>
      <c r="BI1" s="9" t="e">
        <f>#REF!</f>
        <v>#REF!</v>
      </c>
      <c r="BJ1" s="9" t="e">
        <f>#REF!</f>
        <v>#REF!</v>
      </c>
      <c r="BK1" s="9" t="e">
        <f>#REF!</f>
        <v>#REF!</v>
      </c>
      <c r="BL1" s="9" t="e">
        <f>#REF!</f>
        <v>#REF!</v>
      </c>
      <c r="BM1" s="9" t="e">
        <f>#REF!</f>
        <v>#REF!</v>
      </c>
      <c r="BN1" s="9" t="e">
        <f>#REF!</f>
        <v>#REF!</v>
      </c>
      <c r="BO1" s="9" t="e">
        <f>#REF!</f>
        <v>#REF!</v>
      </c>
      <c r="BP1" s="9" t="e">
        <f>#REF!</f>
        <v>#REF!</v>
      </c>
      <c r="BQ1" s="9" t="e">
        <f>#REF!</f>
        <v>#REF!</v>
      </c>
      <c r="BR1" s="9" t="e">
        <f>#REF!</f>
        <v>#REF!</v>
      </c>
      <c r="BS1" s="9" t="e">
        <f>#REF!</f>
        <v>#REF!</v>
      </c>
      <c r="BT1" s="9" t="e">
        <f>#REF!</f>
        <v>#REF!</v>
      </c>
      <c r="BU1" s="9" t="e">
        <f>#REF!</f>
        <v>#REF!</v>
      </c>
      <c r="BV1" s="9" t="e">
        <f>#REF!</f>
        <v>#REF!</v>
      </c>
      <c r="BW1" s="9" t="e">
        <f>#REF!</f>
        <v>#REF!</v>
      </c>
      <c r="BX1" s="9" t="e">
        <f>#REF!</f>
        <v>#REF!</v>
      </c>
      <c r="BY1" s="9" t="e">
        <f>#REF!</f>
        <v>#REF!</v>
      </c>
      <c r="BZ1" s="9" t="e">
        <f>#REF!</f>
        <v>#REF!</v>
      </c>
      <c r="CA1" s="9" t="e">
        <f>#REF!</f>
        <v>#REF!</v>
      </c>
      <c r="CB1" s="9" t="e">
        <f>#REF!</f>
        <v>#REF!</v>
      </c>
      <c r="CC1" s="9" t="e">
        <f>#REF!</f>
        <v>#REF!</v>
      </c>
      <c r="CD1" s="9" t="e">
        <f>#REF!</f>
        <v>#REF!</v>
      </c>
      <c r="CE1" s="9" t="e">
        <f>#REF!</f>
        <v>#REF!</v>
      </c>
      <c r="CF1" s="9" t="e">
        <f>#REF!</f>
        <v>#REF!</v>
      </c>
      <c r="CG1" s="9" t="e">
        <f>#REF!</f>
        <v>#REF!</v>
      </c>
      <c r="CH1" s="9" t="e">
        <f>#REF!</f>
        <v>#REF!</v>
      </c>
      <c r="CI1" s="9" t="e">
        <f>#REF!</f>
        <v>#REF!</v>
      </c>
      <c r="CJ1" s="9" t="e">
        <f>#REF!</f>
        <v>#REF!</v>
      </c>
      <c r="CK1" s="9" t="e">
        <f>#REF!</f>
        <v>#REF!</v>
      </c>
      <c r="CL1" s="9" t="e">
        <f>#REF!</f>
        <v>#REF!</v>
      </c>
      <c r="CM1" s="9" t="e">
        <f>#REF!</f>
        <v>#REF!</v>
      </c>
      <c r="CN1" s="9" t="e">
        <f>#REF!</f>
        <v>#REF!</v>
      </c>
      <c r="CO1" s="9" t="e">
        <f>#REF!</f>
        <v>#REF!</v>
      </c>
      <c r="CP1" s="9" t="e">
        <f>#REF!</f>
        <v>#REF!</v>
      </c>
      <c r="CQ1" s="9" t="e">
        <f>#REF!</f>
        <v>#REF!</v>
      </c>
      <c r="CR1" s="9">
        <v>44866</v>
      </c>
      <c r="CS1" s="9">
        <v>44896</v>
      </c>
      <c r="CT1" s="9">
        <v>44927</v>
      </c>
      <c r="CU1" s="9">
        <v>44958</v>
      </c>
      <c r="CV1" s="9">
        <v>44986</v>
      </c>
      <c r="CW1" s="9">
        <v>45017</v>
      </c>
      <c r="CX1" s="9">
        <v>45047</v>
      </c>
      <c r="CY1" s="9">
        <v>45078</v>
      </c>
      <c r="CZ1" s="9">
        <v>45108</v>
      </c>
      <c r="DA1" s="9">
        <v>45139</v>
      </c>
      <c r="DB1" s="9">
        <v>45170</v>
      </c>
      <c r="DC1" s="9">
        <v>45200</v>
      </c>
      <c r="DD1" s="9">
        <v>45231</v>
      </c>
      <c r="DE1" s="9">
        <v>45261</v>
      </c>
      <c r="DF1" s="9">
        <v>45292</v>
      </c>
    </row>
    <row r="2" spans="1:110" x14ac:dyDescent="0.2">
      <c r="A2" s="19"/>
    </row>
    <row r="3" spans="1:110" x14ac:dyDescent="0.2">
      <c r="A3" s="20" t="s">
        <v>40</v>
      </c>
      <c r="B3" s="47">
        <v>232940</v>
      </c>
      <c r="C3" s="47">
        <v>118619</v>
      </c>
      <c r="D3" s="47">
        <v>91587</v>
      </c>
      <c r="E3" s="47">
        <v>185004</v>
      </c>
      <c r="F3" s="47">
        <v>148765</v>
      </c>
      <c r="G3" s="47">
        <v>190184</v>
      </c>
      <c r="H3" s="47">
        <v>284268</v>
      </c>
      <c r="I3" s="47">
        <v>247624</v>
      </c>
      <c r="J3" s="47">
        <v>246392</v>
      </c>
      <c r="K3" s="47">
        <v>269415</v>
      </c>
      <c r="L3" s="47">
        <v>262057</v>
      </c>
      <c r="M3" s="47">
        <v>179331</v>
      </c>
      <c r="N3" s="47">
        <v>216236</v>
      </c>
      <c r="O3" s="47">
        <v>85106</v>
      </c>
      <c r="P3" s="47">
        <v>56861</v>
      </c>
      <c r="Q3" s="47">
        <v>56020</v>
      </c>
      <c r="R3" s="47">
        <v>96566</v>
      </c>
      <c r="S3" s="47">
        <v>149675</v>
      </c>
      <c r="T3" s="47">
        <v>155061</v>
      </c>
      <c r="U3" s="47">
        <v>156313</v>
      </c>
      <c r="V3" s="47">
        <v>146307</v>
      </c>
      <c r="W3" s="47">
        <v>147702</v>
      </c>
      <c r="X3" s="47">
        <v>143758</v>
      </c>
      <c r="Y3" s="47">
        <v>139416</v>
      </c>
      <c r="Z3" s="47">
        <f t="shared" ref="Z3:AA3" si="0">Z4-Z5</f>
        <v>199184</v>
      </c>
      <c r="AA3" s="47">
        <f t="shared" si="0"/>
        <v>127447</v>
      </c>
      <c r="AB3" s="47">
        <f t="shared" ref="AB3:AC3" si="1">AB4-AB5</f>
        <v>73621</v>
      </c>
      <c r="AC3" s="47">
        <f t="shared" si="1"/>
        <v>140407</v>
      </c>
      <c r="AD3" s="47">
        <f t="shared" ref="AD3:AE3" si="2">AD4-AD5</f>
        <v>150490</v>
      </c>
      <c r="AE3" s="47">
        <f t="shared" si="2"/>
        <v>171359</v>
      </c>
      <c r="AF3" s="47">
        <f t="shared" ref="AF3" si="3">AF4-AF5</f>
        <v>187467</v>
      </c>
      <c r="AG3" s="47">
        <f t="shared" ref="AG3" si="4">AG4-AG5</f>
        <v>121000</v>
      </c>
      <c r="AH3" s="47">
        <f t="shared" ref="AH3" si="5">AH4-AH5</f>
        <v>191389</v>
      </c>
      <c r="AI3" s="47">
        <f t="shared" ref="AI3:AJ3" si="6">AI4-AI5</f>
        <v>140292.89000000001</v>
      </c>
      <c r="AJ3" s="47">
        <f t="shared" si="6"/>
        <v>161234</v>
      </c>
      <c r="AK3" s="47">
        <f t="shared" ref="AK3:AL3" si="7">AK4-AK5</f>
        <v>159108</v>
      </c>
      <c r="AL3" s="47">
        <f t="shared" si="7"/>
        <v>126694</v>
      </c>
      <c r="AM3" s="47">
        <f t="shared" ref="AM3:AN3" si="8">AM4-AM5</f>
        <v>54623</v>
      </c>
      <c r="AN3" s="47">
        <f t="shared" si="8"/>
        <v>61629</v>
      </c>
      <c r="AO3" s="47">
        <f t="shared" ref="AO3:AP3" si="9">AO4-AO5</f>
        <v>64214</v>
      </c>
      <c r="AP3" s="47">
        <f t="shared" si="9"/>
        <v>156699.91</v>
      </c>
      <c r="AQ3" s="47">
        <f t="shared" ref="AQ3:AR3" si="10">AQ4-AQ5</f>
        <v>197747.09</v>
      </c>
      <c r="AR3" s="47">
        <f t="shared" si="10"/>
        <v>212571</v>
      </c>
      <c r="AS3" s="47">
        <f t="shared" ref="AS3:AT3" si="11">AS4-AS5</f>
        <v>182959.38</v>
      </c>
      <c r="AT3" s="47">
        <f t="shared" si="11"/>
        <v>175704.12</v>
      </c>
      <c r="AU3" s="47">
        <f t="shared" ref="AU3:AV3" si="12">AU4-AU5</f>
        <v>115136.47000000002</v>
      </c>
      <c r="AV3" s="47">
        <f t="shared" si="12"/>
        <v>216011.72999999998</v>
      </c>
      <c r="AW3" s="47">
        <f t="shared" ref="AW3:AX3" si="13">AW4-AW5</f>
        <v>206719.01</v>
      </c>
      <c r="AX3" s="47">
        <f t="shared" si="13"/>
        <v>160263.75</v>
      </c>
      <c r="AY3" s="47">
        <f t="shared" ref="AY3:AZ3" si="14">AY4-AY5</f>
        <v>91606.060000000012</v>
      </c>
      <c r="AZ3" s="47">
        <f t="shared" si="14"/>
        <v>124204.27</v>
      </c>
      <c r="BA3" s="47">
        <f t="shared" ref="BA3:BB3" si="15">BA4-BA5</f>
        <v>111374.04000000001</v>
      </c>
      <c r="BB3" s="47">
        <f t="shared" si="15"/>
        <v>164344.15</v>
      </c>
      <c r="BC3" s="47">
        <f t="shared" ref="BC3:BD3" si="16">BC4-BC5</f>
        <v>167423.22999999998</v>
      </c>
      <c r="BD3" s="47">
        <f t="shared" si="16"/>
        <v>168416.69</v>
      </c>
      <c r="BE3" s="47">
        <f t="shared" ref="BE3" si="17">BE4-BE5</f>
        <v>149794.68</v>
      </c>
      <c r="BF3" s="47">
        <f t="shared" ref="BF3:BG3" si="18">BF4-BF5</f>
        <v>164762.9</v>
      </c>
      <c r="BG3" s="47">
        <f t="shared" si="18"/>
        <v>116092.11000000002</v>
      </c>
      <c r="BH3" s="47">
        <f t="shared" ref="BH3:BI3" si="19">BH4-BH5</f>
        <v>142619.19</v>
      </c>
      <c r="BI3" s="47">
        <f t="shared" si="19"/>
        <v>184179.69</v>
      </c>
      <c r="BJ3" s="47">
        <f t="shared" ref="BJ3:BK3" si="20">BJ4-BJ5</f>
        <v>97102.609999999986</v>
      </c>
      <c r="BK3" s="47">
        <f t="shared" si="20"/>
        <v>27350.36</v>
      </c>
      <c r="BL3" s="47">
        <f t="shared" ref="BL3:BM3" si="21">BL4-BL5</f>
        <v>70303.94</v>
      </c>
      <c r="BM3" s="47">
        <f t="shared" si="21"/>
        <v>54431.83</v>
      </c>
      <c r="BN3" s="47">
        <f t="shared" ref="BN3:BO3" si="22">BN4-BN5</f>
        <v>80039</v>
      </c>
      <c r="BO3" s="47">
        <f t="shared" si="22"/>
        <v>152493.37000000002</v>
      </c>
      <c r="BP3" s="47">
        <f t="shared" ref="BP3:BQ3" si="23">BP4-BP5</f>
        <v>57593.030000000006</v>
      </c>
      <c r="BQ3" s="47">
        <f t="shared" si="23"/>
        <v>17102.729999999996</v>
      </c>
      <c r="BR3" s="47">
        <f t="shared" ref="BR3:BS3" si="24">BR4-BR5</f>
        <v>73709</v>
      </c>
      <c r="BS3" s="47">
        <f t="shared" si="24"/>
        <v>34215.000000000007</v>
      </c>
      <c r="BT3" s="47">
        <f t="shared" ref="BT3:BU3" si="25">BT4-BT5</f>
        <v>85598.5</v>
      </c>
      <c r="BU3" s="47">
        <f t="shared" si="25"/>
        <v>265978.78999999998</v>
      </c>
      <c r="BV3" s="47">
        <f t="shared" ref="BV3:BW3" si="26">BV4-BV5</f>
        <v>144516.01999999999</v>
      </c>
      <c r="BW3" s="47">
        <f t="shared" si="26"/>
        <v>167499.04999999999</v>
      </c>
      <c r="BX3" s="47">
        <f t="shared" ref="BX3:BY3" si="27">BX4-BX5</f>
        <v>53325.5</v>
      </c>
      <c r="BY3" s="47">
        <f t="shared" si="27"/>
        <v>320938.57</v>
      </c>
      <c r="BZ3" s="47">
        <f t="shared" ref="BZ3:CA3" si="28">BZ4-BZ5</f>
        <v>359369.07</v>
      </c>
      <c r="CA3" s="47">
        <f t="shared" si="28"/>
        <v>220713.63999999998</v>
      </c>
      <c r="CB3" s="47">
        <f t="shared" ref="CB3:CC3" si="29">CB4-CB5</f>
        <v>256687.98</v>
      </c>
      <c r="CC3" s="47">
        <f t="shared" si="29"/>
        <v>185944.69</v>
      </c>
      <c r="CD3" s="47">
        <f t="shared" ref="CD3" si="30">CD4-CD5</f>
        <v>238837.07</v>
      </c>
      <c r="CE3" s="47">
        <f t="shared" ref="CE3:CJ3" si="31">CE4-CE5</f>
        <v>33082.869999999995</v>
      </c>
      <c r="CF3" s="47">
        <f t="shared" si="31"/>
        <v>187935.74</v>
      </c>
      <c r="CG3" s="47">
        <f t="shared" si="31"/>
        <v>376255.24</v>
      </c>
      <c r="CH3" s="47">
        <f t="shared" si="31"/>
        <v>133541.79999999999</v>
      </c>
      <c r="CI3" s="47">
        <f t="shared" si="31"/>
        <v>108044.5</v>
      </c>
      <c r="CJ3" s="47">
        <f t="shared" si="31"/>
        <v>215192.27</v>
      </c>
      <c r="CK3" s="47">
        <f t="shared" ref="CK3:CL3" si="32">CK4-CK5</f>
        <v>-24784.469999999998</v>
      </c>
      <c r="CL3" s="47">
        <f t="shared" si="32"/>
        <v>-29445.320000000003</v>
      </c>
      <c r="CM3" s="47">
        <f t="shared" ref="CM3:CN3" si="33">CM4-CM5</f>
        <v>134290.84999999998</v>
      </c>
      <c r="CN3" s="47">
        <f t="shared" si="33"/>
        <v>187147.86000000002</v>
      </c>
      <c r="CO3" s="47">
        <f t="shared" ref="CO3:CP3" si="34">CO4-CO5</f>
        <v>242512.35000000003</v>
      </c>
      <c r="CP3" s="47">
        <f t="shared" si="34"/>
        <v>241949.72999999998</v>
      </c>
      <c r="CQ3" s="47">
        <f t="shared" ref="CQ3" si="35">CQ4-CQ5</f>
        <v>701703.76</v>
      </c>
      <c r="CR3" s="47">
        <v>393514.59</v>
      </c>
      <c r="CS3" s="47">
        <v>313112.17999999993</v>
      </c>
      <c r="CT3" s="47">
        <v>441805.68</v>
      </c>
      <c r="CU3" s="47">
        <v>333785.40000000002</v>
      </c>
      <c r="CV3" s="47">
        <v>300703.24</v>
      </c>
      <c r="CW3" s="47">
        <v>300703.24</v>
      </c>
      <c r="CX3" s="47">
        <v>640285.66</v>
      </c>
      <c r="CY3" s="47">
        <v>308729.14</v>
      </c>
      <c r="CZ3" s="47">
        <v>356382</v>
      </c>
      <c r="DA3" s="47">
        <v>264077.03999999998</v>
      </c>
      <c r="DB3" s="47">
        <v>167205.21000000002</v>
      </c>
      <c r="DC3" s="47">
        <v>309714.92000000004</v>
      </c>
      <c r="DD3" s="47">
        <v>268626.07</v>
      </c>
      <c r="DE3" s="47">
        <v>225135.46000000002</v>
      </c>
      <c r="DF3" s="47">
        <v>235888.28</v>
      </c>
    </row>
    <row r="4" spans="1:110" s="23" customFormat="1" x14ac:dyDescent="0.2">
      <c r="A4" s="22" t="s">
        <v>39</v>
      </c>
      <c r="B4" s="61">
        <v>291193</v>
      </c>
      <c r="C4" s="61">
        <v>246531</v>
      </c>
      <c r="D4" s="61">
        <v>185026</v>
      </c>
      <c r="E4" s="61">
        <v>270994</v>
      </c>
      <c r="F4" s="61">
        <v>221131</v>
      </c>
      <c r="G4" s="61">
        <v>268945</v>
      </c>
      <c r="H4" s="61">
        <v>344808</v>
      </c>
      <c r="I4" s="61">
        <v>312301</v>
      </c>
      <c r="J4" s="61">
        <v>324193</v>
      </c>
      <c r="K4" s="61">
        <v>356231</v>
      </c>
      <c r="L4" s="61">
        <v>347065</v>
      </c>
      <c r="M4" s="61">
        <v>245453</v>
      </c>
      <c r="N4" s="61">
        <v>274925</v>
      </c>
      <c r="O4" s="61">
        <v>197765</v>
      </c>
      <c r="P4" s="61">
        <v>151240</v>
      </c>
      <c r="Q4" s="61">
        <v>110887</v>
      </c>
      <c r="R4" s="61">
        <v>154892</v>
      </c>
      <c r="S4" s="61">
        <v>195285</v>
      </c>
      <c r="T4" s="61">
        <v>205100</v>
      </c>
      <c r="U4" s="61">
        <v>219216</v>
      </c>
      <c r="V4" s="61">
        <v>200460</v>
      </c>
      <c r="W4" s="61">
        <v>190312</v>
      </c>
      <c r="X4" s="61">
        <v>212769</v>
      </c>
      <c r="Y4" s="61">
        <v>194613</v>
      </c>
      <c r="Z4" s="61">
        <v>244278</v>
      </c>
      <c r="AA4" s="61">
        <v>206263</v>
      </c>
      <c r="AB4" s="61">
        <v>162493</v>
      </c>
      <c r="AC4" s="61">
        <v>194818</v>
      </c>
      <c r="AD4" s="61">
        <v>206226</v>
      </c>
      <c r="AE4" s="61">
        <v>215244</v>
      </c>
      <c r="AF4" s="61">
        <v>228251</v>
      </c>
      <c r="AG4" s="61">
        <v>175686</v>
      </c>
      <c r="AH4" s="61">
        <v>242030</v>
      </c>
      <c r="AI4" s="61">
        <v>205929.19</v>
      </c>
      <c r="AJ4" s="61">
        <v>220845</v>
      </c>
      <c r="AK4" s="61">
        <v>203900</v>
      </c>
      <c r="AL4" s="61">
        <v>192841</v>
      </c>
      <c r="AM4" s="61">
        <v>136214</v>
      </c>
      <c r="AN4" s="61">
        <v>133409</v>
      </c>
      <c r="AO4" s="61">
        <v>119852</v>
      </c>
      <c r="AP4" s="74">
        <f>'[1]Input Data'!$D$24</f>
        <v>205657.47</v>
      </c>
      <c r="AQ4" s="74">
        <f>'[2]Input Data'!$D$24</f>
        <v>240763.55</v>
      </c>
      <c r="AR4" s="74">
        <f>'[3]Input Data'!$D$24</f>
        <v>259216.88</v>
      </c>
      <c r="AS4" s="74">
        <f>'[4]Input Data'!$G$24</f>
        <v>236856.63</v>
      </c>
      <c r="AT4" s="74">
        <f>'[5]Input Data'!$G$24</f>
        <v>216397.21</v>
      </c>
      <c r="AU4" s="74">
        <f>'[6]Input Data'!$G$24</f>
        <v>187027.64</v>
      </c>
      <c r="AV4" s="74">
        <f>'[7]Input Data'!$G$24</f>
        <v>269953.84999999998</v>
      </c>
      <c r="AW4" s="74">
        <f>'[8]Input Data'!$G$24</f>
        <v>241229.96</v>
      </c>
      <c r="AX4" s="74">
        <f>'[9]Input Data'!$G$24</f>
        <v>213972.42</v>
      </c>
      <c r="AY4" s="74">
        <f>'[10]Input Data'!$G$24</f>
        <v>157527.14000000001</v>
      </c>
      <c r="AZ4" s="74">
        <f>'[11]Input Data'!$G$24</f>
        <v>205757.91</v>
      </c>
      <c r="BA4" s="74">
        <f>'[12]Input Data'!$G$24</f>
        <v>168710.1</v>
      </c>
      <c r="BB4" s="74">
        <f>'[13]Input Data'!$G$24</f>
        <v>218221.49</v>
      </c>
      <c r="BC4" s="74">
        <f>'[14]Input Data'!$G$24</f>
        <v>205260.9</v>
      </c>
      <c r="BD4" s="74">
        <f>'[15]Input Data'!$G$24</f>
        <v>218773.1</v>
      </c>
      <c r="BE4" s="74">
        <f>'[16]Input Data'!$G$24</f>
        <v>196404.49</v>
      </c>
      <c r="BF4" s="74">
        <f>'[17]Input Data'!$G$24</f>
        <v>214067.65</v>
      </c>
      <c r="BG4" s="74">
        <f>'[18]Input Data'!$G$24</f>
        <v>168638.67</v>
      </c>
      <c r="BH4" s="74">
        <f>'[19]Input Data'!$G$24</f>
        <v>213678.96</v>
      </c>
      <c r="BI4" s="74">
        <f>'[20]Input Data'!$G$24</f>
        <v>224510.84</v>
      </c>
      <c r="BJ4" s="74">
        <f>'[21]Input Data'!$G$24</f>
        <v>142207.29999999999</v>
      </c>
      <c r="BK4" s="74">
        <f>'[22]Input Data'!$G$24</f>
        <v>98599.8</v>
      </c>
      <c r="BL4" s="74">
        <f>'[23]Input Data'!$G$24</f>
        <v>133862.69</v>
      </c>
      <c r="BM4" s="74">
        <f>'[24]Input Data'!$G$24</f>
        <v>115634.72</v>
      </c>
      <c r="BN4" s="74">
        <f>'[25]Input Data'!$G$24</f>
        <v>146866.91</v>
      </c>
      <c r="BO4" s="74">
        <f>'[26]Input Data'!$G$24</f>
        <v>209267.39</v>
      </c>
      <c r="BP4" s="74">
        <f>'[27]Input Data'!$G$24</f>
        <v>117675.49</v>
      </c>
      <c r="BQ4" s="74">
        <f>'[28]Input Data'!$G$24</f>
        <v>58377.599999999999</v>
      </c>
      <c r="BR4" s="74">
        <f>'[29]Input Data'!$G$24</f>
        <v>112222.05</v>
      </c>
      <c r="BS4" s="74">
        <f>'[30]Input Data'!$G$24</f>
        <v>86990.57</v>
      </c>
      <c r="BT4" s="74">
        <f>'[31]Input Data'!$G$24</f>
        <v>128362.65</v>
      </c>
      <c r="BU4" s="74">
        <f>'[32]Input Data'!$G$24</f>
        <v>309118.23</v>
      </c>
      <c r="BV4" s="74">
        <f>'[33]Input Data'!$G$24</f>
        <v>191202.5</v>
      </c>
      <c r="BW4" s="74">
        <f>'[34]Input Data'!$G$24</f>
        <v>213227.34</v>
      </c>
      <c r="BX4" s="74">
        <f>'[35]Input Data'!$G$24</f>
        <v>152190.81</v>
      </c>
      <c r="BY4" s="74">
        <f>'[36]Input Data'!$G$24</f>
        <v>391106.51</v>
      </c>
      <c r="BZ4" s="74">
        <f>'[37]Input Data'!$G$24</f>
        <v>402122.74</v>
      </c>
      <c r="CA4" s="74">
        <f>'[38]Input Data'!$G$24</f>
        <v>266949.92</v>
      </c>
      <c r="CB4" s="74">
        <f>'[39]Input Data'!$G$24</f>
        <v>302327.38</v>
      </c>
      <c r="CC4" s="74">
        <f>'[40]Input Data'!$G$24</f>
        <v>230007.25</v>
      </c>
      <c r="CD4" s="74">
        <f>'[41]Input Data'!$G$24</f>
        <v>289744.44</v>
      </c>
      <c r="CE4" s="74">
        <f>'[42]Input Data'!$G$24</f>
        <v>209140.37</v>
      </c>
      <c r="CF4" s="74">
        <f>'[43]Input Data'!$G$24</f>
        <v>241193.03</v>
      </c>
      <c r="CG4" s="74">
        <f>'[44]Input Data'!$G$24</f>
        <v>420306.42</v>
      </c>
      <c r="CH4" s="74">
        <f>'[45]Input Data'!$G$24</f>
        <v>173220.33</v>
      </c>
      <c r="CI4" s="74">
        <f>'[46]Input Data'!$G$24</f>
        <v>150925.09</v>
      </c>
      <c r="CJ4" s="74">
        <f>'[47]Input Data'!$G$24</f>
        <v>286522.55</v>
      </c>
      <c r="CK4" s="74">
        <f>'[48]Input Data'!$G$24</f>
        <v>9418.8100000000013</v>
      </c>
      <c r="CL4" s="74">
        <f>'[49]Input Data'!$G$24</f>
        <v>13505.2</v>
      </c>
      <c r="CM4" s="74">
        <f>'[50]Input Data'!$G$24</f>
        <v>163517.99</v>
      </c>
      <c r="CN4" s="74">
        <f>'[51]Input Data'!$G$24</f>
        <v>234685.55000000002</v>
      </c>
      <c r="CO4" s="74">
        <f>'[52]Input Data'!$G$24</f>
        <v>301819.66000000003</v>
      </c>
      <c r="CP4" s="74">
        <f>'[53]Input Data'!$G$24</f>
        <v>341858.38</v>
      </c>
      <c r="CQ4" s="74">
        <f>'[54]Input Data'!$G$24</f>
        <v>755008.46</v>
      </c>
      <c r="CR4" s="74">
        <v>456547.07</v>
      </c>
      <c r="CS4" s="74">
        <v>367918.07999999996</v>
      </c>
      <c r="CT4" s="74">
        <v>510121.25</v>
      </c>
      <c r="CU4" s="74">
        <v>457685.68</v>
      </c>
      <c r="CV4" s="74">
        <v>413401.06</v>
      </c>
      <c r="CW4" s="74">
        <v>413401.06</v>
      </c>
      <c r="CX4" s="74">
        <v>703431.64</v>
      </c>
      <c r="CY4" s="74">
        <v>421481.88</v>
      </c>
      <c r="CZ4" s="74">
        <v>451208.70999999996</v>
      </c>
      <c r="DA4" s="74">
        <v>432109.04</v>
      </c>
      <c r="DB4" s="74">
        <v>305733.7</v>
      </c>
      <c r="DC4" s="74">
        <v>394198.09</v>
      </c>
      <c r="DD4" s="74">
        <v>334989.11</v>
      </c>
      <c r="DE4" s="74">
        <v>292143.27</v>
      </c>
      <c r="DF4" s="74">
        <v>323889.37</v>
      </c>
    </row>
    <row r="5" spans="1:110" x14ac:dyDescent="0.2">
      <c r="A5" s="18" t="s">
        <v>69</v>
      </c>
      <c r="B5" s="61">
        <v>58253</v>
      </c>
      <c r="C5" s="61">
        <v>127912</v>
      </c>
      <c r="D5" s="61">
        <v>93439</v>
      </c>
      <c r="E5" s="61">
        <v>85990</v>
      </c>
      <c r="F5" s="61">
        <v>72366</v>
      </c>
      <c r="G5" s="61">
        <v>78761</v>
      </c>
      <c r="H5" s="61">
        <v>60540</v>
      </c>
      <c r="I5" s="61">
        <v>64677</v>
      </c>
      <c r="J5" s="61">
        <v>77801</v>
      </c>
      <c r="K5" s="61">
        <v>86816</v>
      </c>
      <c r="L5" s="61">
        <v>85008</v>
      </c>
      <c r="M5" s="61">
        <v>66122</v>
      </c>
      <c r="N5" s="61">
        <v>58689</v>
      </c>
      <c r="O5" s="61">
        <v>112659</v>
      </c>
      <c r="P5" s="61">
        <v>94379</v>
      </c>
      <c r="Q5" s="61">
        <v>54867</v>
      </c>
      <c r="R5" s="61">
        <v>58326</v>
      </c>
      <c r="S5" s="61">
        <v>45610</v>
      </c>
      <c r="T5" s="61">
        <v>50039</v>
      </c>
      <c r="U5" s="61">
        <v>62903</v>
      </c>
      <c r="V5" s="61">
        <v>54153</v>
      </c>
      <c r="W5" s="61">
        <v>42610</v>
      </c>
      <c r="X5" s="61">
        <v>69011</v>
      </c>
      <c r="Y5" s="61">
        <v>55197</v>
      </c>
      <c r="Z5" s="61">
        <v>45094</v>
      </c>
      <c r="AA5" s="61">
        <v>78816</v>
      </c>
      <c r="AB5" s="61">
        <v>88872</v>
      </c>
      <c r="AC5" s="61">
        <v>54411</v>
      </c>
      <c r="AD5" s="61">
        <v>55736</v>
      </c>
      <c r="AE5" s="61">
        <v>43885</v>
      </c>
      <c r="AF5" s="61">
        <v>40784</v>
      </c>
      <c r="AG5" s="61">
        <v>54686</v>
      </c>
      <c r="AH5" s="61">
        <v>50641</v>
      </c>
      <c r="AI5" s="61">
        <v>65636.3</v>
      </c>
      <c r="AJ5" s="61">
        <v>59611</v>
      </c>
      <c r="AK5" s="61">
        <v>44792</v>
      </c>
      <c r="AL5" s="61">
        <v>66147</v>
      </c>
      <c r="AM5" s="61">
        <v>81591</v>
      </c>
      <c r="AN5" s="61">
        <v>71780</v>
      </c>
      <c r="AO5" s="61">
        <v>55638</v>
      </c>
      <c r="AP5" s="74">
        <f>'[1]Input Data'!$D$55</f>
        <v>48957.56</v>
      </c>
      <c r="AQ5" s="74">
        <f>'[2]Input Data'!$D$55</f>
        <v>43016.46</v>
      </c>
      <c r="AR5" s="74">
        <f>'[3]Input Data'!$D$55</f>
        <v>46645.88</v>
      </c>
      <c r="AS5" s="74">
        <f>'[4]Input Data'!$G$55</f>
        <v>53897.25</v>
      </c>
      <c r="AT5" s="74">
        <f>'[5]Input Data'!$G$55</f>
        <v>40693.089999999997</v>
      </c>
      <c r="AU5" s="74">
        <f>'[6]Input Data'!$G$55</f>
        <v>71891.17</v>
      </c>
      <c r="AV5" s="74">
        <f>'[7]Input Data'!$G$55</f>
        <v>53942.12</v>
      </c>
      <c r="AW5" s="74">
        <f>'[8]Input Data'!$G$55</f>
        <v>34510.949999999997</v>
      </c>
      <c r="AX5" s="74">
        <f>'[9]Input Data'!$G$55</f>
        <v>53708.67</v>
      </c>
      <c r="AY5" s="74">
        <f>'[10]Input Data'!$G$55</f>
        <v>65921.08</v>
      </c>
      <c r="AZ5" s="74">
        <f>'[11]Input Data'!$G$55</f>
        <v>81553.64</v>
      </c>
      <c r="BA5" s="74">
        <f>'[12]Input Data'!$G$55</f>
        <v>57336.06</v>
      </c>
      <c r="BB5" s="74">
        <f>'[13]Input Data'!$G$55</f>
        <v>53877.34</v>
      </c>
      <c r="BC5" s="74">
        <f>'[14]Input Data'!$G$55</f>
        <v>37837.67</v>
      </c>
      <c r="BD5" s="74">
        <f>'[15]Input Data'!$G$55</f>
        <v>50356.41</v>
      </c>
      <c r="BE5" s="74">
        <f>'[16]Input Data'!$G$55</f>
        <v>46609.81</v>
      </c>
      <c r="BF5" s="74">
        <f>'[17]Input Data'!$G$55</f>
        <v>49304.75</v>
      </c>
      <c r="BG5" s="74">
        <f>'[18]Input Data'!$G$55</f>
        <v>52546.559999999998</v>
      </c>
      <c r="BH5" s="74">
        <f>'[19]Input Data'!$G$55</f>
        <v>71059.77</v>
      </c>
      <c r="BI5" s="74">
        <f>'[20]Input Data'!$G$55</f>
        <v>40331.15</v>
      </c>
      <c r="BJ5" s="74">
        <f>'[21]Input Data'!$G$55</f>
        <v>45104.69</v>
      </c>
      <c r="BK5" s="74">
        <f>'[22]Input Data'!$G$55</f>
        <v>71249.440000000002</v>
      </c>
      <c r="BL5" s="74">
        <f>'[23]Input Data'!$G$55</f>
        <v>63558.75</v>
      </c>
      <c r="BM5" s="74">
        <f>'[24]Input Data'!$G$55</f>
        <v>61202.89</v>
      </c>
      <c r="BN5" s="74">
        <f>'[25]Input Data'!$G$55</f>
        <v>66827.91</v>
      </c>
      <c r="BO5" s="74">
        <f>'[26]Input Data'!$G$55</f>
        <v>56774.02</v>
      </c>
      <c r="BP5" s="74">
        <f>'[27]Input Data'!$G$55</f>
        <v>60082.46</v>
      </c>
      <c r="BQ5" s="74">
        <f>'[28]Input Data'!$G$55</f>
        <v>41274.870000000003</v>
      </c>
      <c r="BR5" s="74">
        <f>'[29]Input Data'!$G$55</f>
        <v>38513.050000000003</v>
      </c>
      <c r="BS5" s="74">
        <f>'[30]Input Data'!$G$55</f>
        <v>52775.57</v>
      </c>
      <c r="BT5" s="74">
        <f>'[31]Input Data'!$G$55</f>
        <v>42764.15</v>
      </c>
      <c r="BU5" s="74">
        <f>'[32]Input Data'!$G$55</f>
        <v>43139.44</v>
      </c>
      <c r="BV5" s="74">
        <f>'[33]Input Data'!$G$55</f>
        <v>46686.48</v>
      </c>
      <c r="BW5" s="74">
        <f>'[34]Input Data'!$G$55</f>
        <v>45728.29</v>
      </c>
      <c r="BX5" s="74">
        <f>'[35]Input Data'!$G$55</f>
        <v>98865.31</v>
      </c>
      <c r="BY5" s="74">
        <f>'[36]Input Data'!$G$55</f>
        <v>70167.94</v>
      </c>
      <c r="BZ5" s="74">
        <f>'[37]Input Data'!$G$55</f>
        <v>42753.67</v>
      </c>
      <c r="CA5" s="74">
        <f>'[38]Input Data'!$G$55</f>
        <v>46236.28</v>
      </c>
      <c r="CB5" s="74">
        <f>'[39]Input Data'!$G$55</f>
        <v>45639.4</v>
      </c>
      <c r="CC5" s="74">
        <f>'[40]Input Data'!$G$55</f>
        <v>44062.559999999998</v>
      </c>
      <c r="CD5" s="74">
        <f>'[41]Input Data'!$G$55</f>
        <v>50907.37</v>
      </c>
      <c r="CE5" s="74">
        <f>'[42]Input Data'!$G$55</f>
        <v>176057.5</v>
      </c>
      <c r="CF5" s="74">
        <f>'[43]Input Data'!$G$55</f>
        <v>53257.29</v>
      </c>
      <c r="CG5" s="74">
        <f>'[44]Input Data'!$G$55</f>
        <v>44051.18</v>
      </c>
      <c r="CH5" s="74">
        <f>'[45]Input Data'!$G$55</f>
        <v>39678.53</v>
      </c>
      <c r="CI5" s="74">
        <f>'[46]Input Data'!$G$55</f>
        <v>42880.59</v>
      </c>
      <c r="CJ5" s="74">
        <f>'[47]Input Data'!$G$55</f>
        <v>71330.28</v>
      </c>
      <c r="CK5" s="74">
        <f>'[48]Input Data'!$G$55</f>
        <v>34203.279999999999</v>
      </c>
      <c r="CL5" s="74">
        <f>'[49]Input Data'!$G$55</f>
        <v>42950.520000000004</v>
      </c>
      <c r="CM5" s="74">
        <f>'[50]Input Data'!$G$55</f>
        <v>29227.14</v>
      </c>
      <c r="CN5" s="74">
        <f>'[51]Input Data'!$G$55</f>
        <v>47537.69</v>
      </c>
      <c r="CO5" s="74">
        <f>'[52]Input Data'!$G$55</f>
        <v>59307.31</v>
      </c>
      <c r="CP5" s="74">
        <f>'[53]Input Data'!$G$55</f>
        <v>99908.650000000009</v>
      </c>
      <c r="CQ5" s="74">
        <f>'[54]Input Data'!$G$55</f>
        <v>53304.7</v>
      </c>
      <c r="CR5" s="74">
        <v>63032.479999999996</v>
      </c>
      <c r="CS5" s="74">
        <v>54805.9</v>
      </c>
      <c r="CT5" s="74">
        <v>68315.569999999992</v>
      </c>
      <c r="CU5" s="74">
        <v>123900.28</v>
      </c>
      <c r="CV5" s="74">
        <v>112697.81999999999</v>
      </c>
      <c r="CW5" s="74">
        <v>112697.81999999999</v>
      </c>
      <c r="CX5" s="74">
        <v>63145.979999999996</v>
      </c>
      <c r="CY5" s="74">
        <v>112752.73999999999</v>
      </c>
      <c r="CZ5" s="74">
        <v>94826.709999999992</v>
      </c>
      <c r="DA5" s="74">
        <v>168032</v>
      </c>
      <c r="DB5" s="74">
        <v>138528.49</v>
      </c>
      <c r="DC5" s="74">
        <v>84483.17</v>
      </c>
      <c r="DD5" s="74">
        <v>66363.039999999994</v>
      </c>
      <c r="DE5" s="74">
        <v>67007.81</v>
      </c>
      <c r="DF5" s="74">
        <v>88001.09</v>
      </c>
    </row>
    <row r="6" spans="1:110" x14ac:dyDescent="0.2">
      <c r="A6" s="29"/>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row>
    <row r="7" spans="1:110" x14ac:dyDescent="0.2">
      <c r="A7" s="29" t="s">
        <v>38</v>
      </c>
      <c r="B7" s="10">
        <v>51399439</v>
      </c>
      <c r="C7" s="10">
        <v>50602169</v>
      </c>
      <c r="D7" s="10">
        <v>47481299</v>
      </c>
      <c r="E7" s="10">
        <v>34134119</v>
      </c>
      <c r="F7" s="10">
        <v>30681839</v>
      </c>
      <c r="G7" s="10">
        <v>32110656</v>
      </c>
      <c r="H7" s="10">
        <v>33469269</v>
      </c>
      <c r="I7" s="10">
        <v>34705582</v>
      </c>
      <c r="J7" s="10">
        <v>34057057</v>
      </c>
      <c r="K7" s="10">
        <v>29879491</v>
      </c>
      <c r="L7" s="10">
        <v>29085584</v>
      </c>
      <c r="M7" s="10">
        <v>36013694</v>
      </c>
      <c r="N7" s="10">
        <v>41787769</v>
      </c>
      <c r="O7" s="10">
        <v>44371096</v>
      </c>
      <c r="P7" s="10">
        <v>37337752</v>
      </c>
      <c r="Q7" s="10">
        <v>31395616</v>
      </c>
      <c r="R7" s="10">
        <v>28547647</v>
      </c>
      <c r="S7" s="10">
        <v>35271577</v>
      </c>
      <c r="T7" s="10">
        <v>36092376</v>
      </c>
      <c r="U7" s="10">
        <v>37275704</v>
      </c>
      <c r="V7" s="10">
        <v>37065442</v>
      </c>
      <c r="W7" s="10">
        <v>31470212</v>
      </c>
      <c r="X7" s="10">
        <v>30332277</v>
      </c>
      <c r="Y7" s="10">
        <v>40003197</v>
      </c>
      <c r="Z7" s="10">
        <f>'DEK TURNOVER'!AA14+'DEK TURNOVER'!AA18+'DEK TURNOVER'!AA22+'DEK TURNOVER'!AA24</f>
        <v>47351584</v>
      </c>
      <c r="AA7" s="10">
        <f>'DEK TURNOVER'!AB14+'DEK TURNOVER'!AB18+'DEK TURNOVER'!AB22+'DEK TURNOVER'!AB24</f>
        <v>39389368</v>
      </c>
      <c r="AB7" s="10">
        <f>'DEK TURNOVER'!AC14+'DEK TURNOVER'!AC18+'DEK TURNOVER'!AC22+'DEK TURNOVER'!AC24</f>
        <v>36761975</v>
      </c>
      <c r="AC7" s="10">
        <f>'DEK TURNOVER'!AD14+'DEK TURNOVER'!AD18+'DEK TURNOVER'!AD22+'DEK TURNOVER'!AD24</f>
        <v>31170471</v>
      </c>
      <c r="AD7" s="10">
        <f>'DEK TURNOVER'!AE14+'DEK TURNOVER'!AE18+'DEK TURNOVER'!AE22+'DEK TURNOVER'!AE24</f>
        <v>28407697</v>
      </c>
      <c r="AE7" s="10">
        <f>'DEK TURNOVER'!AF14+'DEK TURNOVER'!AF18+'DEK TURNOVER'!AF22+'DEK TURNOVER'!AF24</f>
        <v>30627950</v>
      </c>
      <c r="AF7" s="10">
        <f>'DEK TURNOVER'!AG14+'DEK TURNOVER'!AG18+'DEK TURNOVER'!AG22+'DEK TURNOVER'!AG24</f>
        <v>35022772</v>
      </c>
      <c r="AG7" s="10">
        <f>'DEK TURNOVER'!AH14+'DEK TURNOVER'!AH18+'DEK TURNOVER'!AH22+'DEK TURNOVER'!AH24</f>
        <v>34325800</v>
      </c>
      <c r="AH7" s="10">
        <f>'DEK TURNOVER'!AI14+'DEK TURNOVER'!AI18+'DEK TURNOVER'!AI22+'DEK TURNOVER'!AI24</f>
        <v>31728157</v>
      </c>
      <c r="AI7" s="10">
        <f>'DEK TURNOVER'!AJ14+'DEK TURNOVER'!AJ18+'DEK TURNOVER'!AJ22+'DEK TURNOVER'!AJ24</f>
        <v>28650261</v>
      </c>
      <c r="AJ7" s="10">
        <f>'DEK TURNOVER'!AK14+'DEK TURNOVER'!AK18+'DEK TURNOVER'!AK22+'DEK TURNOVER'!AK24</f>
        <v>32418437</v>
      </c>
      <c r="AK7" s="10">
        <f>'DEK TURNOVER'!AL14+'DEK TURNOVER'!AL18+'DEK TURNOVER'!AL22+'DEK TURNOVER'!AL24</f>
        <v>39642418</v>
      </c>
      <c r="AL7" s="10">
        <f>'DEK TURNOVER'!AM14+'DEK TURNOVER'!AM18+'DEK TURNOVER'!AM22+'DEK TURNOVER'!AM24</f>
        <v>53200358</v>
      </c>
      <c r="AM7" s="10">
        <f>'DEK TURNOVER'!AN14+'DEK TURNOVER'!AN18+'DEK TURNOVER'!AN22+'DEK TURNOVER'!AN24</f>
        <v>43985687</v>
      </c>
      <c r="AN7" s="10">
        <f>'DEK TURNOVER'!AO14+'DEK TURNOVER'!AO18+'DEK TURNOVER'!AO22+'DEK TURNOVER'!AO24</f>
        <v>38039507</v>
      </c>
      <c r="AO7" s="10">
        <f>'DEK TURNOVER'!AP14+'DEK TURNOVER'!AP18+'DEK TURNOVER'!AP22+'DEK TURNOVER'!AP24</f>
        <v>36540156</v>
      </c>
      <c r="AP7" s="10">
        <f>'DEK TURNOVER'!AQ14+'DEK TURNOVER'!AQ18+'DEK TURNOVER'!AQ22+'DEK TURNOVER'!AQ24</f>
        <v>32424039.980000004</v>
      </c>
      <c r="AQ7" s="10">
        <f>'DEK TURNOVER'!AR14+'DEK TURNOVER'!AR18+'DEK TURNOVER'!AR22+'DEK TURNOVER'!AR24</f>
        <v>40100043.32</v>
      </c>
      <c r="AR7" s="10">
        <f>'DEK TURNOVER'!AS14+'DEK TURNOVER'!AS18+'DEK TURNOVER'!AS22+'DEK TURNOVER'!AS24</f>
        <v>41531541.380000003</v>
      </c>
      <c r="AS7" s="10">
        <f>'DEK TURNOVER'!AT14+'DEK TURNOVER'!AT18+'DEK TURNOVER'!AT22+'DEK TURNOVER'!AT24</f>
        <v>36376832.340000004</v>
      </c>
      <c r="AT7" s="10">
        <f>'DEK TURNOVER'!AU14+'DEK TURNOVER'!AU18+'DEK TURNOVER'!AU22+'DEK TURNOVER'!AU24</f>
        <v>37418238.530000001</v>
      </c>
      <c r="AU7" s="10">
        <f>'DEK TURNOVER'!AV14+'DEK TURNOVER'!AV18+'DEK TURNOVER'!AV22+'DEK TURNOVER'!AV24</f>
        <v>36112584.759999998</v>
      </c>
      <c r="AV7" s="10">
        <f>'DEK TURNOVER'!AW14+'DEK TURNOVER'!AW18+'DEK TURNOVER'!AW22+'DEK TURNOVER'!AW24</f>
        <v>36998792.509999998</v>
      </c>
      <c r="AW7" s="10">
        <f>'DEK TURNOVER'!AX14+'DEK TURNOVER'!AX18+'DEK TURNOVER'!AX22+'DEK TURNOVER'!AX24</f>
        <v>46967347.719999999</v>
      </c>
      <c r="AX7" s="10">
        <f>'DEK TURNOVER'!AY14+'DEK TURNOVER'!AY18+'DEK TURNOVER'!AY22+'DEK TURNOVER'!AY24</f>
        <v>52406575.799999997</v>
      </c>
      <c r="AY7" s="10">
        <f>'DEK TURNOVER'!AZ14+'DEK TURNOVER'!AZ18+'DEK TURNOVER'!AZ22+'DEK TURNOVER'!AZ24</f>
        <v>50274024.029999986</v>
      </c>
      <c r="AZ7" s="10">
        <f>'DEK TURNOVER'!BA14+'DEK TURNOVER'!BA18+'DEK TURNOVER'!BA22+'DEK TURNOVER'!BA24</f>
        <v>43270122.660000004</v>
      </c>
      <c r="BA7" s="10">
        <f>'DEK TURNOVER'!BB14+'DEK TURNOVER'!BB18+'DEK TURNOVER'!BB22+'DEK TURNOVER'!BB24</f>
        <v>37051900.61999999</v>
      </c>
      <c r="BB7" s="10">
        <f>'DEK TURNOVER'!BC14+'DEK TURNOVER'!BC18+'DEK TURNOVER'!BC22+'DEK TURNOVER'!BC24</f>
        <v>33195310.530000009</v>
      </c>
      <c r="BC7" s="10">
        <f>'DEK TURNOVER'!BD14+'DEK TURNOVER'!BD18+'DEK TURNOVER'!BD22+'DEK TURNOVER'!BD24</f>
        <v>37871501.18</v>
      </c>
      <c r="BD7" s="10">
        <f>'DEK TURNOVER'!BE14+'DEK TURNOVER'!BE18+'DEK TURNOVER'!BE22+'DEK TURNOVER'!BE24</f>
        <v>39556139.799999997</v>
      </c>
      <c r="BE7" s="10">
        <f>'DEK TURNOVER'!BF14+'DEK TURNOVER'!BF18+'DEK TURNOVER'!BF22+'DEK TURNOVER'!BF24</f>
        <v>36080181.789999999</v>
      </c>
      <c r="BF7" s="10">
        <f>'DEK TURNOVER'!BG14+'DEK TURNOVER'!BG18+'DEK TURNOVER'!BG22+'DEK TURNOVER'!BG24</f>
        <v>37116920.07</v>
      </c>
      <c r="BG7" s="10">
        <f>'DEK TURNOVER'!BH14+'DEK TURNOVER'!BH18+'DEK TURNOVER'!BH22+'DEK TURNOVER'!BH24</f>
        <v>35437823.060000002</v>
      </c>
      <c r="BH7" s="10">
        <f>'DEK TURNOVER'!BI14+'DEK TURNOVER'!BI18+'DEK TURNOVER'!BI22+'DEK TURNOVER'!BI24</f>
        <v>35006658.780000001</v>
      </c>
      <c r="BI7" s="10">
        <f>'DEK TURNOVER'!BJ14+'DEK TURNOVER'!BJ18+'DEK TURNOVER'!BJ22+'DEK TURNOVER'!BJ24</f>
        <v>47775419.900000006</v>
      </c>
      <c r="BJ7" s="10">
        <f>'DEK TURNOVER'!BK14+'DEK TURNOVER'!BK18+'DEK TURNOVER'!BK22+'DEK TURNOVER'!BK24</f>
        <v>50581094.310000002</v>
      </c>
      <c r="BK7" s="10">
        <f>'DEK TURNOVER'!BL14+'DEK TURNOVER'!BL18+'DEK TURNOVER'!BL22+'DEK TURNOVER'!BL24</f>
        <v>45011299.569999993</v>
      </c>
      <c r="BL7" s="10">
        <f>'DEK TURNOVER'!BM14+'DEK TURNOVER'!BM18+'DEK TURNOVER'!BM22+'DEK TURNOVER'!BM24</f>
        <v>40157479.459999993</v>
      </c>
      <c r="BM7" s="10">
        <f>'DEK TURNOVER'!BN14+'DEK TURNOVER'!BN18+'DEK TURNOVER'!BN22+'DEK TURNOVER'!BN24</f>
        <v>32849201.079999998</v>
      </c>
      <c r="BN7" s="10">
        <f>'DEK TURNOVER'!BO14+'DEK TURNOVER'!BO18+'DEK TURNOVER'!BO22+'DEK TURNOVER'!BO24</f>
        <v>30479801.390000001</v>
      </c>
      <c r="BO7" s="10">
        <f>'DEK TURNOVER'!BP14+'DEK TURNOVER'!BP18+'DEK TURNOVER'!BP22+'DEK TURNOVER'!BP24</f>
        <v>33835958.460000001</v>
      </c>
      <c r="BP7" s="10">
        <f>'DEK TURNOVER'!BQ14+'DEK TURNOVER'!BQ18+'DEK TURNOVER'!BQ22+'DEK TURNOVER'!BQ24</f>
        <v>36899207.559999987</v>
      </c>
      <c r="BQ7" s="10">
        <f>'DEK TURNOVER'!BR14+'DEK TURNOVER'!BR18+'DEK TURNOVER'!BR22+'DEK TURNOVER'!BR24</f>
        <v>36860101.229999997</v>
      </c>
      <c r="BR7" s="10">
        <f>'DEK TURNOVER'!BS14+'DEK TURNOVER'!BS18+'DEK TURNOVER'!BS22+'DEK TURNOVER'!BS24</f>
        <v>38076636.920000002</v>
      </c>
      <c r="BS7" s="10">
        <f>'DEK TURNOVER'!BT14+'DEK TURNOVER'!BT18+'DEK TURNOVER'!BT22+'DEK TURNOVER'!BT24</f>
        <v>31613805.739999998</v>
      </c>
      <c r="BT7" s="10">
        <f>'DEK TURNOVER'!BU14+'DEK TURNOVER'!BU18+'DEK TURNOVER'!BU22+'DEK TURNOVER'!BU24</f>
        <v>33892915.81000001</v>
      </c>
      <c r="BU7" s="10">
        <f>'DEK TURNOVER'!BV14+'DEK TURNOVER'!BV18+'DEK TURNOVER'!BV22+'DEK TURNOVER'!BV24</f>
        <v>45708663.290000007</v>
      </c>
      <c r="BV7" s="10">
        <f>'DEK TURNOVER'!BW14+'DEK TURNOVER'!BW18+'DEK TURNOVER'!BW22+'DEK TURNOVER'!BW24</f>
        <v>52002715.450000003</v>
      </c>
      <c r="BW7" s="10">
        <f>'DEK TURNOVER'!BX14+'DEK TURNOVER'!BX18+'DEK TURNOVER'!BX22+'DEK TURNOVER'!BX24</f>
        <v>50512136.86999999</v>
      </c>
      <c r="BX7" s="10">
        <f>'DEK TURNOVER'!BY14+'DEK TURNOVER'!BY18+'DEK TURNOVER'!BY22+'DEK TURNOVER'!BY24</f>
        <v>45609351.329999998</v>
      </c>
      <c r="BY7" s="10">
        <f>'DEK TURNOVER'!BZ14+'DEK TURNOVER'!BZ18+'DEK TURNOVER'!BZ22+'DEK TURNOVER'!BZ24</f>
        <v>36506595.93999999</v>
      </c>
      <c r="BZ7" s="10">
        <f>'DEK TURNOVER'!CA14+'DEK TURNOVER'!CA18+'DEK TURNOVER'!CA22+'DEK TURNOVER'!CA24</f>
        <v>33970615.20000001</v>
      </c>
      <c r="CA7" s="10">
        <f>'DEK TURNOVER'!CB14+'DEK TURNOVER'!CB18+'DEK TURNOVER'!CB22+'DEK TURNOVER'!CB24</f>
        <v>37819339.060000002</v>
      </c>
      <c r="CB7" s="10">
        <f>'DEK TURNOVER'!CC14+'DEK TURNOVER'!CC18+'DEK TURNOVER'!CC22+'DEK TURNOVER'!CC24</f>
        <v>40950103.060000002</v>
      </c>
      <c r="CC7" s="10">
        <f>'DEK TURNOVER'!CD14+'DEK TURNOVER'!CD18+'DEK TURNOVER'!CD22+'DEK TURNOVER'!CD24</f>
        <v>40147408.149999999</v>
      </c>
      <c r="CD7" s="10">
        <f>'DEK TURNOVER'!CE14+'DEK TURNOVER'!CE18+'DEK TURNOVER'!CE22+'DEK TURNOVER'!CE24</f>
        <v>40759223.75</v>
      </c>
      <c r="CE7" s="10">
        <f>'DEK TURNOVER'!CF14+'DEK TURNOVER'!CF18+'DEK TURNOVER'!CF22+'DEK TURNOVER'!CF24</f>
        <v>34269888.969999999</v>
      </c>
      <c r="CF7" s="10">
        <f>'DEK TURNOVER'!CG14+'DEK TURNOVER'!CG18+'DEK TURNOVER'!CG22+'DEK TURNOVER'!CG24</f>
        <v>41554484.909999996</v>
      </c>
      <c r="CG7" s="10">
        <f>'DEK TURNOVER'!CH14+'DEK TURNOVER'!CH18+'DEK TURNOVER'!CH22+'DEK TURNOVER'!CH24</f>
        <v>58077533.019999996</v>
      </c>
      <c r="CH7" s="10">
        <f>'DEK TURNOVER'!CI14+'DEK TURNOVER'!CI18+'DEK TURNOVER'!CI22+'DEK TURNOVER'!CI24</f>
        <v>73151443.110000014</v>
      </c>
      <c r="CI7" s="10">
        <f>'DEK TURNOVER'!CJ14+'DEK TURNOVER'!CJ18+'DEK TURNOVER'!CJ22+'DEK TURNOVER'!CJ24</f>
        <v>69545915.360000014</v>
      </c>
      <c r="CJ7" s="10">
        <f>'DEK TURNOVER'!CK14+'DEK TURNOVER'!CK18+'DEK TURNOVER'!CK22+'DEK TURNOVER'!CK24</f>
        <v>48855309.019999996</v>
      </c>
      <c r="CK7" s="10">
        <f>'DEK TURNOVER'!CL14+'DEK TURNOVER'!CL18+'DEK TURNOVER'!CL22+'DEK TURNOVER'!CL24</f>
        <v>34399817.24000001</v>
      </c>
      <c r="CL7" s="10">
        <f>'DEK TURNOVER'!CM14+'DEK TURNOVER'!CM18+'DEK TURNOVER'!CM22+'DEK TURNOVER'!CM24</f>
        <v>49669153.620000005</v>
      </c>
      <c r="CM7" s="10">
        <f>'DEK TURNOVER'!CN14+'DEK TURNOVER'!CN18+'DEK TURNOVER'!CN22+'DEK TURNOVER'!CN24</f>
        <v>44617473.140000008</v>
      </c>
      <c r="CN7" s="10">
        <f>'DEK TURNOVER'!CO14+'DEK TURNOVER'!CO18+'DEK TURNOVER'!CO22+'DEK TURNOVER'!CO24</f>
        <v>63196252.280000001</v>
      </c>
      <c r="CO7" s="10">
        <f>'DEK TURNOVER'!CP14+'DEK TURNOVER'!CP18+'DEK TURNOVER'!CP22+'DEK TURNOVER'!CP24</f>
        <v>54563138.11999999</v>
      </c>
      <c r="CP7" s="10">
        <f>'DEK TURNOVER'!CQ14+'DEK TURNOVER'!CQ18+'DEK TURNOVER'!CQ22+'DEK TURNOVER'!CQ24</f>
        <v>48645130.509999998</v>
      </c>
      <c r="CQ7" s="10">
        <f>'DEK TURNOVER'!CR14+'DEK TURNOVER'!CR18+'DEK TURNOVER'!CR22+'DEK TURNOVER'!CR24</f>
        <v>48722269.469999999</v>
      </c>
      <c r="CR7" s="10">
        <v>47520745.82</v>
      </c>
      <c r="CS7" s="10">
        <v>72583841.629999995</v>
      </c>
      <c r="CT7" s="10">
        <v>75542537.319999978</v>
      </c>
      <c r="CU7" s="10">
        <v>57979324.75999999</v>
      </c>
      <c r="CV7" s="10">
        <v>50020127.640000008</v>
      </c>
      <c r="CW7" s="10">
        <v>66612549.879999995</v>
      </c>
      <c r="CX7" s="10">
        <v>38120744.170000002</v>
      </c>
      <c r="CY7" s="10">
        <v>45251954.369999997</v>
      </c>
      <c r="CZ7" s="10">
        <v>42333294.510000005</v>
      </c>
      <c r="DA7" s="10">
        <v>48547964.57</v>
      </c>
      <c r="DB7" s="10">
        <f>'DEK TURNOVER'!DC14+'DEK TURNOVER'!DC18+'DEK TURNOVER'!DC22+'DEK TURNOVER'!DC24</f>
        <v>49591625.600000001</v>
      </c>
      <c r="DC7" s="10">
        <v>42141491.990000002</v>
      </c>
      <c r="DD7" s="10">
        <v>41793291.949999988</v>
      </c>
      <c r="DE7" s="10">
        <v>59823029.420000002</v>
      </c>
      <c r="DF7" s="10">
        <v>71563336.879999995</v>
      </c>
    </row>
    <row r="8" spans="1:110" x14ac:dyDescent="0.2">
      <c r="A8" s="29"/>
    </row>
    <row r="9" spans="1:110" x14ac:dyDescent="0.2">
      <c r="A9" s="29" t="s">
        <v>42</v>
      </c>
      <c r="B9" s="17">
        <v>2789624</v>
      </c>
      <c r="C9" s="17">
        <v>2828741</v>
      </c>
      <c r="D9" s="17">
        <v>2749586</v>
      </c>
      <c r="E9" s="17">
        <v>2835970</v>
      </c>
      <c r="F9" s="17">
        <v>2865046</v>
      </c>
      <c r="G9" s="17">
        <v>2791534</v>
      </c>
      <c r="H9" s="17">
        <v>2777764</v>
      </c>
      <c r="I9" s="17">
        <v>2589079</v>
      </c>
      <c r="J9" s="17">
        <v>2494382</v>
      </c>
      <c r="K9" s="17">
        <v>2488658</v>
      </c>
      <c r="L9" s="17">
        <v>2540957</v>
      </c>
      <c r="M9" s="17">
        <v>2456186</v>
      </c>
      <c r="N9" s="17">
        <v>2439482</v>
      </c>
      <c r="O9" s="17">
        <v>2405969</v>
      </c>
      <c r="P9" s="17">
        <v>2371243</v>
      </c>
      <c r="Q9" s="17">
        <v>2242259</v>
      </c>
      <c r="R9" s="17">
        <v>2190060</v>
      </c>
      <c r="S9" s="17">
        <v>2149551</v>
      </c>
      <c r="T9" s="17">
        <v>2020344</v>
      </c>
      <c r="U9" s="17">
        <v>1929033</v>
      </c>
      <c r="V9" s="17">
        <v>1828948</v>
      </c>
      <c r="W9" s="17">
        <v>1707235</v>
      </c>
      <c r="X9" s="17">
        <v>1588936</v>
      </c>
      <c r="Y9" s="17">
        <v>1549021</v>
      </c>
      <c r="Z9" s="17">
        <f t="shared" ref="Z9:AI9" si="36">SUM(O3:Z3)</f>
        <v>1531969</v>
      </c>
      <c r="AA9" s="17">
        <f t="shared" si="36"/>
        <v>1574310</v>
      </c>
      <c r="AB9" s="17">
        <f t="shared" si="36"/>
        <v>1591070</v>
      </c>
      <c r="AC9" s="17">
        <f t="shared" si="36"/>
        <v>1675457</v>
      </c>
      <c r="AD9" s="17">
        <f t="shared" si="36"/>
        <v>1729381</v>
      </c>
      <c r="AE9" s="17">
        <f t="shared" si="36"/>
        <v>1751065</v>
      </c>
      <c r="AF9" s="17">
        <f t="shared" si="36"/>
        <v>1783471</v>
      </c>
      <c r="AG9" s="17">
        <f t="shared" si="36"/>
        <v>1748158</v>
      </c>
      <c r="AH9" s="17">
        <f t="shared" si="36"/>
        <v>1793240</v>
      </c>
      <c r="AI9" s="17">
        <f t="shared" si="36"/>
        <v>1785830.8900000001</v>
      </c>
      <c r="AJ9" s="17">
        <f t="shared" ref="AJ9:AK9" si="37">SUM(Y3:AJ3)</f>
        <v>1803306.8900000001</v>
      </c>
      <c r="AK9" s="17">
        <f t="shared" si="37"/>
        <v>1822998.8900000001</v>
      </c>
      <c r="AL9" s="17">
        <f t="shared" ref="AL9" si="38">SUM(AA3:AL3)</f>
        <v>1750508.8900000001</v>
      </c>
      <c r="AM9" s="17">
        <f t="shared" ref="AM9" si="39">SUM(AB3:AM3)</f>
        <v>1677684.8900000001</v>
      </c>
      <c r="AN9" s="17">
        <f t="shared" ref="AN9" si="40">SUM(AC3:AN3)</f>
        <v>1665692.8900000001</v>
      </c>
      <c r="AO9" s="17">
        <f t="shared" ref="AO9" si="41">SUM(AD3:AO3)</f>
        <v>1589499.8900000001</v>
      </c>
      <c r="AP9" s="17">
        <f t="shared" ref="AP9:DB9" si="42">SUM(AE3:AP3)</f>
        <v>1595709.8</v>
      </c>
      <c r="AQ9" s="17">
        <f t="shared" si="42"/>
        <v>1622097.8900000001</v>
      </c>
      <c r="AR9" s="17">
        <f t="shared" si="42"/>
        <v>1647201.8900000001</v>
      </c>
      <c r="AS9" s="17">
        <f t="shared" si="42"/>
        <v>1709161.27</v>
      </c>
      <c r="AT9" s="17">
        <f t="shared" si="42"/>
        <v>1693476.3900000001</v>
      </c>
      <c r="AU9" s="17">
        <f t="shared" si="42"/>
        <v>1668319.97</v>
      </c>
      <c r="AV9" s="17">
        <f t="shared" si="42"/>
        <v>1723097.7</v>
      </c>
      <c r="AW9" s="17">
        <f t="shared" si="42"/>
        <v>1770708.71</v>
      </c>
      <c r="AX9" s="17">
        <f t="shared" si="42"/>
        <v>1804278.46</v>
      </c>
      <c r="AY9" s="17">
        <f t="shared" si="42"/>
        <v>1841261.52</v>
      </c>
      <c r="AZ9" s="17">
        <f t="shared" si="42"/>
        <v>1903836.79</v>
      </c>
      <c r="BA9" s="17">
        <f t="shared" si="42"/>
        <v>1950996.83</v>
      </c>
      <c r="BB9" s="17">
        <f t="shared" si="42"/>
        <v>1958641.07</v>
      </c>
      <c r="BC9" s="17">
        <f t="shared" si="42"/>
        <v>1928317.21</v>
      </c>
      <c r="BD9" s="17">
        <f t="shared" si="42"/>
        <v>1884162.9</v>
      </c>
      <c r="BE9" s="17">
        <f t="shared" si="42"/>
        <v>1850998.2</v>
      </c>
      <c r="BF9" s="17">
        <f t="shared" si="42"/>
        <v>1840056.9799999997</v>
      </c>
      <c r="BG9" s="17">
        <f t="shared" si="42"/>
        <v>1841012.6199999999</v>
      </c>
      <c r="BH9" s="17">
        <f t="shared" si="42"/>
        <v>1767620.0799999998</v>
      </c>
      <c r="BI9" s="17">
        <f t="shared" si="42"/>
        <v>1745080.7599999998</v>
      </c>
      <c r="BJ9" s="17">
        <f t="shared" si="42"/>
        <v>1681919.6199999996</v>
      </c>
      <c r="BK9" s="17">
        <f t="shared" si="42"/>
        <v>1617663.9199999997</v>
      </c>
      <c r="BL9" s="17">
        <f t="shared" si="42"/>
        <v>1563763.59</v>
      </c>
      <c r="BM9" s="17">
        <f t="shared" si="42"/>
        <v>1506821.3800000001</v>
      </c>
      <c r="BN9" s="17">
        <f t="shared" si="42"/>
        <v>1422516.2300000002</v>
      </c>
      <c r="BO9" s="17">
        <f t="shared" si="42"/>
        <v>1407586.37</v>
      </c>
      <c r="BP9" s="17">
        <f t="shared" si="42"/>
        <v>1296762.7099999997</v>
      </c>
      <c r="BQ9" s="17">
        <f t="shared" si="42"/>
        <v>1164070.76</v>
      </c>
      <c r="BR9" s="17">
        <f t="shared" si="42"/>
        <v>1073016.8599999999</v>
      </c>
      <c r="BS9" s="17">
        <f t="shared" si="42"/>
        <v>991139.75</v>
      </c>
      <c r="BT9" s="17">
        <f t="shared" si="42"/>
        <v>934119.06</v>
      </c>
      <c r="BU9" s="17">
        <f t="shared" si="42"/>
        <v>1015918.1599999999</v>
      </c>
      <c r="BV9" s="17">
        <f t="shared" si="42"/>
        <v>1063331.57</v>
      </c>
      <c r="BW9" s="17">
        <f t="shared" si="42"/>
        <v>1203480.26</v>
      </c>
      <c r="BX9" s="17">
        <f t="shared" si="42"/>
        <v>1186501.82</v>
      </c>
      <c r="BY9" s="17">
        <f t="shared" si="42"/>
        <v>1453008.56</v>
      </c>
      <c r="BZ9" s="17">
        <f t="shared" si="42"/>
        <v>1732338.6300000001</v>
      </c>
      <c r="CA9" s="17">
        <f t="shared" si="42"/>
        <v>1800558.9000000001</v>
      </c>
      <c r="CB9" s="17">
        <f t="shared" si="42"/>
        <v>1999653.85</v>
      </c>
      <c r="CC9" s="17">
        <f t="shared" si="42"/>
        <v>2168495.81</v>
      </c>
      <c r="CD9" s="17">
        <f t="shared" si="42"/>
        <v>2333623.88</v>
      </c>
      <c r="CE9" s="17">
        <f t="shared" si="42"/>
        <v>2332491.75</v>
      </c>
      <c r="CF9" s="17">
        <f t="shared" si="42"/>
        <v>2434828.9900000002</v>
      </c>
      <c r="CG9" s="17">
        <f t="shared" si="42"/>
        <v>2545105.4400000004</v>
      </c>
      <c r="CH9" s="17">
        <f t="shared" si="42"/>
        <v>2534131.2199999997</v>
      </c>
      <c r="CI9" s="17">
        <f t="shared" si="42"/>
        <v>2474676.67</v>
      </c>
      <c r="CJ9" s="17">
        <f t="shared" si="42"/>
        <v>2636543.44</v>
      </c>
      <c r="CK9" s="17">
        <f t="shared" si="42"/>
        <v>2290820.3999999994</v>
      </c>
      <c r="CL9" s="17">
        <f t="shared" si="42"/>
        <v>1902006.0100000002</v>
      </c>
      <c r="CM9" s="17">
        <f t="shared" si="42"/>
        <v>1815583.2199999997</v>
      </c>
      <c r="CN9" s="17">
        <f t="shared" si="42"/>
        <v>1746043.0999999999</v>
      </c>
      <c r="CO9" s="17">
        <f t="shared" si="42"/>
        <v>1802610.76</v>
      </c>
      <c r="CP9" s="17">
        <f t="shared" si="42"/>
        <v>1805723.4200000002</v>
      </c>
      <c r="CQ9" s="17">
        <f t="shared" si="42"/>
        <v>2474344.3100000005</v>
      </c>
      <c r="CR9" s="17">
        <v>2679923.16</v>
      </c>
      <c r="CS9" s="17">
        <v>2616780.0999999996</v>
      </c>
      <c r="CT9" s="17">
        <v>2925043.98</v>
      </c>
      <c r="CU9" s="17">
        <v>3150784.88</v>
      </c>
      <c r="CV9" s="17">
        <v>3236295.8500000006</v>
      </c>
      <c r="CW9" s="17">
        <v>3561783.5600000005</v>
      </c>
      <c r="CX9" s="17">
        <v>4231514.540000001</v>
      </c>
      <c r="CY9" s="17">
        <v>4405952.83</v>
      </c>
      <c r="CZ9" s="17">
        <v>4575186.97</v>
      </c>
      <c r="DA9" s="17">
        <v>4596751.6600000011</v>
      </c>
      <c r="DB9" s="17">
        <f t="shared" si="42"/>
        <v>4522007.1399999997</v>
      </c>
      <c r="DC9" s="17">
        <v>4130018.3000000003</v>
      </c>
      <c r="DD9" s="17">
        <v>4005129.78</v>
      </c>
      <c r="DE9" s="17">
        <v>3917153.06</v>
      </c>
      <c r="DF9" s="17">
        <v>3711235.6599999997</v>
      </c>
    </row>
    <row r="10" spans="1:110" x14ac:dyDescent="0.2">
      <c r="A10" s="29" t="s">
        <v>41</v>
      </c>
      <c r="B10" s="17">
        <v>516036063</v>
      </c>
      <c r="C10" s="17">
        <v>516338926</v>
      </c>
      <c r="D10" s="17">
        <v>516840463</v>
      </c>
      <c r="E10" s="17">
        <v>518571968</v>
      </c>
      <c r="F10" s="17">
        <v>521875750</v>
      </c>
      <c r="G10" s="17">
        <v>524331922</v>
      </c>
      <c r="H10" s="17">
        <v>525126467</v>
      </c>
      <c r="I10" s="17">
        <v>523695102</v>
      </c>
      <c r="J10" s="17">
        <v>529260511</v>
      </c>
      <c r="K10" s="17">
        <v>524925847</v>
      </c>
      <c r="L10" s="17">
        <v>517499951</v>
      </c>
      <c r="M10" s="17">
        <v>510795865</v>
      </c>
      <c r="N10" s="17">
        <v>505340772</v>
      </c>
      <c r="O10" s="17">
        <v>501526197</v>
      </c>
      <c r="P10" s="17">
        <v>494680039</v>
      </c>
      <c r="Q10" s="17">
        <v>488058844</v>
      </c>
      <c r="R10" s="17">
        <v>481347321</v>
      </c>
      <c r="S10" s="17">
        <v>474948045</v>
      </c>
      <c r="T10" s="17">
        <v>468920678</v>
      </c>
      <c r="U10" s="17">
        <v>459184569</v>
      </c>
      <c r="V10" s="17">
        <v>443620198</v>
      </c>
      <c r="W10" s="17">
        <v>434008528</v>
      </c>
      <c r="X10" s="17">
        <v>427777455</v>
      </c>
      <c r="Y10" s="17">
        <v>417633908</v>
      </c>
      <c r="Z10" s="17">
        <f t="shared" ref="Z10:AI10" si="43">SUM(F7:Q7)</f>
        <v>414895405</v>
      </c>
      <c r="AA10" s="17">
        <f t="shared" si="43"/>
        <v>412761213</v>
      </c>
      <c r="AB10" s="17">
        <f t="shared" si="43"/>
        <v>415922134</v>
      </c>
      <c r="AC10" s="17">
        <f t="shared" si="43"/>
        <v>418545241</v>
      </c>
      <c r="AD10" s="17">
        <f t="shared" si="43"/>
        <v>421115363</v>
      </c>
      <c r="AE10" s="17">
        <f t="shared" si="43"/>
        <v>424123748</v>
      </c>
      <c r="AF10" s="17">
        <f t="shared" si="43"/>
        <v>425714469</v>
      </c>
      <c r="AG10" s="17">
        <f t="shared" si="43"/>
        <v>426961162</v>
      </c>
      <c r="AH10" s="17">
        <f t="shared" si="43"/>
        <v>430950665</v>
      </c>
      <c r="AI10" s="17">
        <f t="shared" si="43"/>
        <v>436514480</v>
      </c>
      <c r="AJ10" s="17">
        <f t="shared" ref="AJ10:AK10" si="44">SUM(P7:AA7)</f>
        <v>431532752</v>
      </c>
      <c r="AK10" s="17">
        <f t="shared" si="44"/>
        <v>430956975</v>
      </c>
      <c r="AL10" s="17">
        <f t="shared" ref="AL10" si="45">SUM(R7:AC7)</f>
        <v>430731830</v>
      </c>
      <c r="AM10" s="17">
        <f t="shared" ref="AM10" si="46">SUM(S7:AD7)</f>
        <v>430591880</v>
      </c>
      <c r="AN10" s="17">
        <f t="shared" ref="AN10" si="47">SUM(T7:AE7)</f>
        <v>425948253</v>
      </c>
      <c r="AO10" s="17">
        <f t="shared" ref="AO10" si="48">SUM(U7:AF7)</f>
        <v>424878649</v>
      </c>
      <c r="AP10" s="17">
        <f t="shared" ref="AP10:CQ10" si="49">SUM(V7:AG7)</f>
        <v>421928745</v>
      </c>
      <c r="AQ10" s="17">
        <f t="shared" si="49"/>
        <v>416591460</v>
      </c>
      <c r="AR10" s="17">
        <f t="shared" si="49"/>
        <v>413771509</v>
      </c>
      <c r="AS10" s="17">
        <f t="shared" si="49"/>
        <v>415857669</v>
      </c>
      <c r="AT10" s="17">
        <f t="shared" si="49"/>
        <v>415496890</v>
      </c>
      <c r="AU10" s="17">
        <f t="shared" si="49"/>
        <v>421345664</v>
      </c>
      <c r="AV10" s="17">
        <f t="shared" si="49"/>
        <v>425941983</v>
      </c>
      <c r="AW10" s="17">
        <f t="shared" si="49"/>
        <v>427219515</v>
      </c>
      <c r="AX10" s="17">
        <f t="shared" si="49"/>
        <v>432589200</v>
      </c>
      <c r="AY10" s="17">
        <f t="shared" si="49"/>
        <v>436605542.98000002</v>
      </c>
      <c r="AZ10" s="17">
        <f t="shared" si="49"/>
        <v>446077636.30000001</v>
      </c>
      <c r="BA10" s="17">
        <f t="shared" si="49"/>
        <v>452586405.68000001</v>
      </c>
      <c r="BB10" s="17">
        <f t="shared" si="49"/>
        <v>454637438.01999998</v>
      </c>
      <c r="BC10" s="17">
        <f t="shared" si="49"/>
        <v>460327519.54999995</v>
      </c>
      <c r="BD10" s="17">
        <f t="shared" si="49"/>
        <v>467789843.30999994</v>
      </c>
      <c r="BE10" s="17">
        <f t="shared" si="49"/>
        <v>472370198.81999993</v>
      </c>
      <c r="BF10" s="17">
        <f t="shared" si="49"/>
        <v>479695128.53999996</v>
      </c>
      <c r="BG10" s="17">
        <f t="shared" si="49"/>
        <v>478901346.33999997</v>
      </c>
      <c r="BH10" s="17">
        <f t="shared" si="49"/>
        <v>485189683.36999995</v>
      </c>
      <c r="BI10" s="17">
        <f t="shared" si="49"/>
        <v>490420299.02999997</v>
      </c>
      <c r="BJ10" s="17">
        <f t="shared" si="49"/>
        <v>490932043.64999998</v>
      </c>
      <c r="BK10" s="17">
        <f t="shared" si="49"/>
        <v>491703314.19999999</v>
      </c>
      <c r="BL10" s="17">
        <f t="shared" si="49"/>
        <v>489474772.06</v>
      </c>
      <c r="BM10" s="17">
        <f t="shared" si="49"/>
        <v>487499370.48000002</v>
      </c>
      <c r="BN10" s="17">
        <f t="shared" si="49"/>
        <v>487202719.93000007</v>
      </c>
      <c r="BO10" s="17">
        <f t="shared" si="49"/>
        <v>486901401.47000003</v>
      </c>
      <c r="BP10" s="17">
        <f t="shared" si="49"/>
        <v>486226639.76999998</v>
      </c>
      <c r="BQ10" s="17">
        <f t="shared" si="49"/>
        <v>484234506.03999996</v>
      </c>
      <c r="BR10" s="17">
        <f t="shared" si="49"/>
        <v>485042578.21999991</v>
      </c>
      <c r="BS10" s="17">
        <f t="shared" si="49"/>
        <v>483217096.72999996</v>
      </c>
      <c r="BT10" s="17">
        <f t="shared" si="49"/>
        <v>477954372.26999998</v>
      </c>
      <c r="BU10" s="17">
        <f t="shared" si="49"/>
        <v>474841729.06999999</v>
      </c>
      <c r="BV10" s="17">
        <f t="shared" si="49"/>
        <v>470639029.52999997</v>
      </c>
      <c r="BW10" s="17">
        <f t="shared" si="49"/>
        <v>467923520.38999993</v>
      </c>
      <c r="BX10" s="17">
        <f t="shared" si="49"/>
        <v>463887977.66999996</v>
      </c>
      <c r="BY10" s="17">
        <f t="shared" si="49"/>
        <v>461231045.42999995</v>
      </c>
      <c r="BZ10" s="17">
        <f t="shared" si="49"/>
        <v>462010964.86999995</v>
      </c>
      <c r="CA10" s="17">
        <f t="shared" si="49"/>
        <v>462970681.71999997</v>
      </c>
      <c r="CB10" s="17">
        <f t="shared" si="49"/>
        <v>459146664.39999998</v>
      </c>
      <c r="CC10" s="17">
        <f t="shared" si="49"/>
        <v>458032921.43000001</v>
      </c>
      <c r="CD10" s="17">
        <f t="shared" si="49"/>
        <v>455966164.81999999</v>
      </c>
      <c r="CE10" s="17">
        <f t="shared" si="49"/>
        <v>457387785.95999998</v>
      </c>
      <c r="CF10" s="17">
        <f t="shared" si="49"/>
        <v>462888623.25999999</v>
      </c>
      <c r="CG10" s="17">
        <f t="shared" si="49"/>
        <v>468340495.13</v>
      </c>
      <c r="CH10" s="17">
        <f t="shared" si="49"/>
        <v>471997889.99000001</v>
      </c>
      <c r="CI10" s="17">
        <f t="shared" si="49"/>
        <v>475488703.79999995</v>
      </c>
      <c r="CJ10" s="17">
        <f t="shared" si="49"/>
        <v>479472084.39999998</v>
      </c>
      <c r="CK10" s="17">
        <f t="shared" si="49"/>
        <v>483522979.89999998</v>
      </c>
      <c r="CL10" s="17">
        <f t="shared" si="49"/>
        <v>486810286.81999993</v>
      </c>
      <c r="CM10" s="17">
        <f t="shared" si="49"/>
        <v>489492873.64999998</v>
      </c>
      <c r="CN10" s="17">
        <f t="shared" si="49"/>
        <v>492148956.88</v>
      </c>
      <c r="CO10" s="17">
        <f t="shared" si="49"/>
        <v>499810525.9799999</v>
      </c>
      <c r="CP10" s="17">
        <f t="shared" si="49"/>
        <v>512179395.70999992</v>
      </c>
      <c r="CQ10" s="17">
        <f t="shared" si="49"/>
        <v>533328123.37</v>
      </c>
      <c r="CR10" s="17">
        <v>552361901.86000001</v>
      </c>
      <c r="CS10" s="17">
        <v>555607859.54999995</v>
      </c>
      <c r="CT10" s="17">
        <v>553501080.85000002</v>
      </c>
      <c r="CU10" s="17">
        <v>569199619.26999998</v>
      </c>
      <c r="CV10" s="17">
        <v>575997753.35000002</v>
      </c>
      <c r="CW10" s="17">
        <v>598243902.57000005</v>
      </c>
      <c r="CX10" s="17">
        <v>612659632.53999996</v>
      </c>
      <c r="CY10" s="17">
        <v>620545539.29999995</v>
      </c>
      <c r="CZ10" s="17">
        <v>634997919.80000007</v>
      </c>
      <c r="DA10" s="17">
        <v>640964180.71000004</v>
      </c>
      <c r="DB10" s="17">
        <v>655470489.32000005</v>
      </c>
      <c r="DC10" s="17">
        <v>657861583.52999997</v>
      </c>
      <c r="DD10" s="17">
        <v>646294992.92999995</v>
      </c>
      <c r="DE10" s="17">
        <v>647459811.54999995</v>
      </c>
      <c r="DF10" s="17">
        <v>679672544.18999994</v>
      </c>
    </row>
    <row r="11" spans="1:110" x14ac:dyDescent="0.2">
      <c r="A11" s="29"/>
    </row>
    <row r="12" spans="1:110" x14ac:dyDescent="0.2">
      <c r="A12" s="29" t="s">
        <v>43</v>
      </c>
      <c r="B12" s="3">
        <v>5.405870248258211E-3</v>
      </c>
      <c r="C12" s="3">
        <v>5.4784577678731895E-3</v>
      </c>
      <c r="D12" s="3">
        <v>5.3199898166641805E-3</v>
      </c>
      <c r="E12" s="3">
        <v>5.4688069834117987E-3</v>
      </c>
      <c r="F12" s="3">
        <v>5.4899006133164842E-3</v>
      </c>
      <c r="G12" s="3">
        <v>5.3239825440191298E-3</v>
      </c>
      <c r="H12" s="3">
        <v>5.2897048131455163E-3</v>
      </c>
      <c r="I12" s="3">
        <v>4.9438671282436399E-3</v>
      </c>
      <c r="J12" s="3">
        <v>4.7129569430506783E-3</v>
      </c>
      <c r="K12" s="3">
        <v>4.7409705851272363E-3</v>
      </c>
      <c r="L12" s="3">
        <v>4.9100623006629041E-3</v>
      </c>
      <c r="M12" s="3">
        <v>4.8085471482820245E-3</v>
      </c>
      <c r="N12" s="3">
        <v>4.827399915398079E-3</v>
      </c>
      <c r="O12" s="3">
        <v>4.7972947662393E-3</v>
      </c>
      <c r="P12" s="3">
        <v>4.7934883420675074E-3</v>
      </c>
      <c r="Q12" s="3">
        <v>4.5942390504043404E-3</v>
      </c>
      <c r="R12" s="3">
        <v>4.5498539296949777E-3</v>
      </c>
      <c r="S12" s="3">
        <v>4.5258655607267528E-3</v>
      </c>
      <c r="T12" s="3">
        <v>4.3084984194277738E-3</v>
      </c>
      <c r="U12" s="3">
        <v>4.2009970069355708E-3</v>
      </c>
      <c r="V12" s="3">
        <v>4.1227789181952443E-3</v>
      </c>
      <c r="W12" s="3">
        <v>3.9336439029603581E-3</v>
      </c>
      <c r="X12" s="3">
        <v>3.7143986468384594E-3</v>
      </c>
      <c r="Y12" s="3">
        <v>3.7090403109701522E-3</v>
      </c>
      <c r="Z12" s="3">
        <f t="shared" ref="Z12:AA12" si="50">Z9/Z10</f>
        <v>3.6924221901180128E-3</v>
      </c>
      <c r="AA12" s="3">
        <f t="shared" si="50"/>
        <v>3.8140938402562549E-3</v>
      </c>
      <c r="AB12" s="3">
        <f t="shared" ref="AB12:AC12" si="51">AB9/AB10</f>
        <v>3.8254035309407217E-3</v>
      </c>
      <c r="AC12" s="3">
        <f t="shared" si="51"/>
        <v>4.0030487409125747E-3</v>
      </c>
      <c r="AD12" s="3">
        <f t="shared" ref="AD12:AE12" si="52">AD9/AD10</f>
        <v>4.1066680343362352E-3</v>
      </c>
      <c r="AE12" s="3">
        <f t="shared" si="52"/>
        <v>4.1286652969972342E-3</v>
      </c>
      <c r="AF12" s="3">
        <f t="shared" ref="AF12" si="53">AF9/AF10</f>
        <v>4.1893596057220222E-3</v>
      </c>
      <c r="AG12" s="3">
        <f t="shared" ref="AG12" si="54">AG9/AG10</f>
        <v>4.0944192483718224E-3</v>
      </c>
      <c r="AH12" s="3">
        <f t="shared" ref="AH12" si="55">AH9/AH10</f>
        <v>4.1611259609032041E-3</v>
      </c>
      <c r="AI12" s="3">
        <f t="shared" ref="AI12:AJ12" si="56">AI9/AI10</f>
        <v>4.0911148926835146E-3</v>
      </c>
      <c r="AJ12" s="3">
        <f t="shared" si="56"/>
        <v>4.1788413084344524E-3</v>
      </c>
      <c r="AK12" s="3">
        <f t="shared" ref="AK12:AL12" si="57">AK9/AK10</f>
        <v>4.230118076172221E-3</v>
      </c>
      <c r="AL12" s="3">
        <f t="shared" si="57"/>
        <v>4.064034204298299E-3</v>
      </c>
      <c r="AM12" s="3">
        <f t="shared" ref="AM12:AN12" si="58">AM9/AM10</f>
        <v>3.8962297431154535E-3</v>
      </c>
      <c r="AN12" s="3">
        <f t="shared" si="58"/>
        <v>3.910552228512134E-3</v>
      </c>
      <c r="AO12" s="3">
        <f t="shared" ref="AO12:AP12" si="59">AO9/AO10</f>
        <v>3.7410679349058093E-3</v>
      </c>
      <c r="AP12" s="3">
        <f t="shared" si="59"/>
        <v>3.7819414271004458E-3</v>
      </c>
      <c r="AQ12" s="3">
        <f t="shared" ref="AQ12:AR12" si="60">AQ9/AQ10</f>
        <v>3.8937377400871352E-3</v>
      </c>
      <c r="AR12" s="3">
        <f t="shared" si="60"/>
        <v>3.9809456527853879E-3</v>
      </c>
      <c r="AS12" s="3">
        <f t="shared" ref="AS12:AT12" si="61">AS9/AS10</f>
        <v>4.1099669367886541E-3</v>
      </c>
      <c r="AT12" s="3">
        <f t="shared" si="61"/>
        <v>4.075785958349773E-3</v>
      </c>
      <c r="AU12" s="3">
        <f t="shared" ref="AU12:AV12" si="62">AU9/AU10</f>
        <v>3.9595043038107543E-3</v>
      </c>
      <c r="AV12" s="3">
        <f t="shared" si="62"/>
        <v>4.0453812227286366E-3</v>
      </c>
      <c r="AW12" s="3">
        <f t="shared" ref="AW12:AX12" si="63">AW9/AW10</f>
        <v>4.1447280562546401E-3</v>
      </c>
      <c r="AX12" s="3">
        <f t="shared" si="63"/>
        <v>4.170881889792903E-3</v>
      </c>
      <c r="AY12" s="3">
        <f t="shared" ref="AY12:AZ12" si="64">AY9/AY10</f>
        <v>4.217219752714739E-3</v>
      </c>
      <c r="AZ12" s="3">
        <f t="shared" si="64"/>
        <v>4.2679494219692625E-3</v>
      </c>
      <c r="BA12" s="3">
        <f t="shared" ref="BA12:BB12" si="65">BA9/BA10</f>
        <v>4.3107720548271333E-3</v>
      </c>
      <c r="BB12" s="3">
        <f t="shared" si="65"/>
        <v>4.3081385433855037E-3</v>
      </c>
      <c r="BC12" s="3">
        <f t="shared" ref="BC12:BD12" si="66">BC9/BC10</f>
        <v>4.1890113627902487E-3</v>
      </c>
      <c r="BD12" s="3">
        <f t="shared" si="66"/>
        <v>4.0277977962667796E-3</v>
      </c>
      <c r="BE12" s="3">
        <f t="shared" ref="BE12" si="67">BE9/BE10</f>
        <v>3.9185329739764895E-3</v>
      </c>
      <c r="BF12" s="3">
        <f t="shared" ref="BF12:BG12" si="68">BF9/BF10</f>
        <v>3.8358884018697397E-3</v>
      </c>
      <c r="BG12" s="3">
        <f t="shared" si="68"/>
        <v>3.8442418967286796E-3</v>
      </c>
      <c r="BH12" s="3">
        <f t="shared" ref="BH12:BI12" si="69">BH9/BH10</f>
        <v>3.6431526485117649E-3</v>
      </c>
      <c r="BI12" s="3">
        <f t="shared" si="69"/>
        <v>3.5583371313373181E-3</v>
      </c>
      <c r="BJ12" s="3">
        <f t="shared" ref="BJ12:BK12" si="70">BJ9/BJ10</f>
        <v>3.4259723759223386E-3</v>
      </c>
      <c r="BK12" s="3">
        <f t="shared" si="70"/>
        <v>3.2899186832448641E-3</v>
      </c>
      <c r="BL12" s="3">
        <f t="shared" ref="BL12:BM12" si="71">BL9/BL10</f>
        <v>3.1947787286743215E-3</v>
      </c>
      <c r="BM12" s="3">
        <f t="shared" si="71"/>
        <v>3.0909196426579149E-3</v>
      </c>
      <c r="BN12" s="3">
        <f t="shared" ref="BN12:BO12" si="72">BN9/BN10</f>
        <v>2.9197624968193597E-3</v>
      </c>
      <c r="BO12" s="3">
        <f t="shared" si="72"/>
        <v>2.8909063842296771E-3</v>
      </c>
      <c r="BP12" s="3">
        <f t="shared" ref="BP12:BQ12" si="73">BP9/BP10</f>
        <v>2.6669923116787843E-3</v>
      </c>
      <c r="BQ12" s="3">
        <f t="shared" si="73"/>
        <v>2.4039401271082539E-3</v>
      </c>
      <c r="BR12" s="3">
        <f t="shared" ref="BR12:BS12" si="74">BR9/BR10</f>
        <v>2.2122116865239683E-3</v>
      </c>
      <c r="BS12" s="3">
        <f t="shared" si="74"/>
        <v>2.0511272401311669E-3</v>
      </c>
      <c r="BT12" s="3">
        <f t="shared" ref="BT12:BU12" si="75">BT9/BT10</f>
        <v>1.9544105341342275E-3</v>
      </c>
      <c r="BU12" s="3">
        <f t="shared" si="75"/>
        <v>2.1394879552597951E-3</v>
      </c>
      <c r="BV12" s="3">
        <f t="shared" ref="BV12:BW12" si="76">BV9/BV10</f>
        <v>2.2593357186332123E-3</v>
      </c>
      <c r="BW12" s="3">
        <f t="shared" si="76"/>
        <v>2.571959321465474E-3</v>
      </c>
      <c r="BX12" s="3">
        <f t="shared" ref="BX12:BY12" si="77">BX9/BX10</f>
        <v>2.5577334984181292E-3</v>
      </c>
      <c r="BY12" s="3">
        <f t="shared" si="77"/>
        <v>3.1502835171153282E-3</v>
      </c>
      <c r="BZ12" s="3">
        <f t="shared" ref="BZ12:CA12" si="78">BZ9/BZ10</f>
        <v>3.7495617241193472E-3</v>
      </c>
      <c r="CA12" s="3">
        <f t="shared" si="78"/>
        <v>3.8891423822145182E-3</v>
      </c>
      <c r="CB12" s="3">
        <f t="shared" ref="CB12:CC12" si="79">CB9/CB10</f>
        <v>4.355152732325937E-3</v>
      </c>
      <c r="CC12" s="3">
        <f t="shared" si="79"/>
        <v>4.7343666984238945E-3</v>
      </c>
      <c r="CD12" s="3">
        <f t="shared" ref="CD12:CE12" si="80">CD9/CD10</f>
        <v>5.1179759816635424E-3</v>
      </c>
      <c r="CE12" s="3">
        <f t="shared" si="80"/>
        <v>5.0995934338394942E-3</v>
      </c>
      <c r="CF12" s="3">
        <f t="shared" ref="CF12:CG12" si="81">CF9/CF10</f>
        <v>5.2600752484521117E-3</v>
      </c>
      <c r="CG12" s="3">
        <f t="shared" si="81"/>
        <v>5.4343057379514894E-3</v>
      </c>
      <c r="CH12" s="3">
        <f t="shared" ref="CH12:CI12" si="82">CH9/CH10</f>
        <v>5.3689460773938824E-3</v>
      </c>
      <c r="CI12" s="3">
        <f t="shared" si="82"/>
        <v>5.2044909799600593E-3</v>
      </c>
      <c r="CJ12" s="3">
        <f t="shared" ref="CJ12:CK12" si="83">CJ9/CJ10</f>
        <v>5.4988465977102883E-3</v>
      </c>
      <c r="CK12" s="3">
        <f t="shared" si="83"/>
        <v>4.7377694447403029E-3</v>
      </c>
      <c r="CL12" s="3">
        <f t="shared" ref="CL12:CM12" si="84">CL9/CL10</f>
        <v>3.907078509832876E-3</v>
      </c>
      <c r="CM12" s="3">
        <f t="shared" si="84"/>
        <v>3.7091106280296711E-3</v>
      </c>
      <c r="CN12" s="3">
        <f t="shared" ref="CN12:CO12" si="85">CN9/CN10</f>
        <v>3.5477939668288987E-3</v>
      </c>
      <c r="CO12" s="3">
        <f t="shared" si="85"/>
        <v>3.606588229540672E-3</v>
      </c>
      <c r="CP12" s="3">
        <f t="shared" ref="CP12:CQ12" si="86">CP9/CP10</f>
        <v>3.5255682581624491E-3</v>
      </c>
      <c r="CQ12" s="3">
        <f t="shared" si="86"/>
        <v>4.6394409024693552E-3</v>
      </c>
      <c r="CR12" s="3">
        <v>4.8517523583283722E-3</v>
      </c>
      <c r="CS12" s="3">
        <v>4.7097607692580023E-3</v>
      </c>
      <c r="CT12" s="3">
        <v>5.2846219839500063E-3</v>
      </c>
      <c r="CU12" s="3">
        <v>5.5354655437768741E-3</v>
      </c>
      <c r="CV12" s="3">
        <v>5.6185910989716894E-3</v>
      </c>
      <c r="CW12" s="3">
        <v>5.9537314876071624E-3</v>
      </c>
      <c r="CX12" s="3">
        <v>6.9067950869502234E-3</v>
      </c>
      <c r="CY12" s="3">
        <v>7.1001281146426259E-3</v>
      </c>
      <c r="CZ12" s="3">
        <v>7.2050424534319856E-3</v>
      </c>
      <c r="DA12" s="3">
        <v>7.1716201908633183E-3</v>
      </c>
      <c r="DB12" s="3">
        <v>6.8988722050495853E-3</v>
      </c>
      <c r="DC12" s="3">
        <v>6.2779441806570576E-3</v>
      </c>
      <c r="DD12" s="3">
        <v>6.1970614406938384E-3</v>
      </c>
      <c r="DE12" s="3">
        <v>6.0500327435342276E-3</v>
      </c>
      <c r="DF12" s="3">
        <v>5.4603289359332098E-3</v>
      </c>
    </row>
    <row r="13" spans="1:110" x14ac:dyDescent="0.2">
      <c r="A13" s="29"/>
    </row>
    <row r="14" spans="1:110" x14ac:dyDescent="0.2">
      <c r="A14" s="1" t="s">
        <v>18</v>
      </c>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row>
    <row r="15" spans="1:110" x14ac:dyDescent="0.2">
      <c r="A15" t="s">
        <v>19</v>
      </c>
      <c r="B15" s="24">
        <v>0.33339999999999997</v>
      </c>
      <c r="C15" s="24">
        <v>0.33339999999999997</v>
      </c>
      <c r="D15" s="24">
        <v>0.33339999999999997</v>
      </c>
      <c r="E15" s="24">
        <v>0.33339999999999997</v>
      </c>
      <c r="F15" s="24">
        <v>0.33339999999999997</v>
      </c>
      <c r="G15" s="24">
        <v>0.33339999999999997</v>
      </c>
      <c r="H15" s="24">
        <v>0.33339999999999997</v>
      </c>
      <c r="I15" s="24">
        <v>0.33339999999999997</v>
      </c>
      <c r="J15" s="24">
        <v>0.33339999999999997</v>
      </c>
      <c r="K15" s="24">
        <v>0.33339999999999997</v>
      </c>
      <c r="L15" s="24">
        <v>0.33339999999999997</v>
      </c>
      <c r="M15" s="24">
        <v>0.33339999999999997</v>
      </c>
      <c r="N15" s="24">
        <v>0.33339999999999997</v>
      </c>
      <c r="O15" s="24">
        <v>0.33339999999999997</v>
      </c>
      <c r="P15" s="24">
        <v>0.33339999999999997</v>
      </c>
      <c r="Q15" s="24">
        <v>0.33339999999999997</v>
      </c>
      <c r="R15" s="24">
        <v>0.33339999999999997</v>
      </c>
      <c r="S15" s="24">
        <v>0.33339999999999997</v>
      </c>
      <c r="T15" s="24">
        <v>0.33339999999999997</v>
      </c>
      <c r="U15" s="24">
        <v>0.33339999999999997</v>
      </c>
      <c r="V15" s="24">
        <v>0.33339999999999997</v>
      </c>
      <c r="W15" s="24">
        <v>0.33339999999999997</v>
      </c>
      <c r="X15" s="24">
        <v>0.33339999999999997</v>
      </c>
      <c r="Y15" s="24">
        <v>0.33339999999999997</v>
      </c>
      <c r="Z15" s="24">
        <v>0.33339999999999997</v>
      </c>
      <c r="AA15" s="24">
        <v>0.33339999999999997</v>
      </c>
      <c r="AB15" s="24">
        <v>0.33339999999999997</v>
      </c>
      <c r="AC15" s="24">
        <v>0.33339999999999997</v>
      </c>
      <c r="AD15" s="24">
        <v>0.33339999999999997</v>
      </c>
      <c r="AE15" s="24">
        <v>0.33339999999999997</v>
      </c>
      <c r="AF15" s="24">
        <v>0.33339999999999997</v>
      </c>
      <c r="AG15" s="24">
        <v>0.33339999999999997</v>
      </c>
      <c r="AH15" s="24">
        <v>0.33339999999999997</v>
      </c>
      <c r="AI15" s="24">
        <v>0.33339999999999997</v>
      </c>
      <c r="AJ15" s="24">
        <v>0.33339999999999997</v>
      </c>
      <c r="AK15" s="24">
        <v>0.33339999999999997</v>
      </c>
      <c r="AL15" s="24">
        <v>0.33339999999999997</v>
      </c>
      <c r="AM15" s="24">
        <v>0.33339999999999997</v>
      </c>
      <c r="AN15" s="24">
        <v>0.33339999999999997</v>
      </c>
      <c r="AO15" s="24">
        <v>0.33339999999999997</v>
      </c>
      <c r="AP15" s="24">
        <v>0.33339999999999997</v>
      </c>
      <c r="AQ15" s="24">
        <v>0.33339999999999997</v>
      </c>
      <c r="AR15" s="24">
        <v>0.33339999999999997</v>
      </c>
      <c r="AS15" s="24">
        <v>0.33339999999999997</v>
      </c>
      <c r="AT15" s="24">
        <v>0.33339999999999997</v>
      </c>
      <c r="AU15" s="24">
        <v>0.33339999999999997</v>
      </c>
      <c r="AV15" s="24">
        <v>0.33339999999999997</v>
      </c>
      <c r="AW15" s="24">
        <v>0.33339999999999997</v>
      </c>
      <c r="AX15" s="24">
        <v>0.33339999999999997</v>
      </c>
      <c r="AY15" s="24">
        <v>0.33339999999999997</v>
      </c>
      <c r="AZ15" s="24">
        <v>0.33339999999999997</v>
      </c>
      <c r="BA15" s="24">
        <v>0.33339999999999997</v>
      </c>
      <c r="BB15" s="24">
        <v>0.33339999999999997</v>
      </c>
      <c r="BC15" s="24">
        <v>0.33339999999999997</v>
      </c>
      <c r="BD15" s="24">
        <v>0.33339999999999997</v>
      </c>
      <c r="BE15" s="24">
        <v>0.33339999999999997</v>
      </c>
      <c r="BF15" s="24">
        <v>0.33339999999999997</v>
      </c>
      <c r="BG15" s="24">
        <v>0.33339999999999997</v>
      </c>
      <c r="BH15" s="24">
        <v>0.33339999999999997</v>
      </c>
      <c r="BI15" s="24">
        <v>0.33339999999999997</v>
      </c>
      <c r="BJ15" s="24">
        <v>0.33339999999999997</v>
      </c>
      <c r="BK15" s="24">
        <v>0.33339999999999997</v>
      </c>
      <c r="BL15" s="24">
        <v>0.33339999999999997</v>
      </c>
      <c r="BM15" s="24">
        <v>0.33339999999999997</v>
      </c>
      <c r="BN15" s="24">
        <v>0.33339999999999997</v>
      </c>
      <c r="BO15" s="24">
        <v>0.33339999999999997</v>
      </c>
      <c r="BP15" s="24">
        <v>0.33339999999999997</v>
      </c>
      <c r="BQ15" s="24">
        <v>0.33339999999999997</v>
      </c>
      <c r="BR15" s="24">
        <v>0.33339999999999997</v>
      </c>
      <c r="BS15" s="24">
        <v>0.33339999999999997</v>
      </c>
      <c r="BT15" s="24">
        <v>0.33339999999999997</v>
      </c>
      <c r="BU15" s="24">
        <v>0.33339999999999997</v>
      </c>
      <c r="BV15" s="24">
        <v>0.33339999999999997</v>
      </c>
      <c r="BW15" s="24">
        <v>0.33339999999999997</v>
      </c>
      <c r="BX15" s="24">
        <v>0.33339999999999997</v>
      </c>
      <c r="BY15" s="24">
        <v>0.33339999999999997</v>
      </c>
      <c r="BZ15" s="24">
        <v>0.33339999999999997</v>
      </c>
      <c r="CA15" s="24">
        <v>0.33339999999999997</v>
      </c>
      <c r="CB15" s="24">
        <v>0.33339999999999997</v>
      </c>
      <c r="CC15" s="24">
        <v>0.33339999999999997</v>
      </c>
      <c r="CD15" s="24">
        <v>0.33339999999999997</v>
      </c>
      <c r="CE15" s="24">
        <v>0.33339999999999997</v>
      </c>
      <c r="CF15" s="24">
        <v>0.33339999999999997</v>
      </c>
      <c r="CG15" s="24">
        <v>0.33339999999999997</v>
      </c>
      <c r="CH15" s="24">
        <v>0.33339999999999997</v>
      </c>
      <c r="CI15" s="24">
        <v>0.33339999999999997</v>
      </c>
      <c r="CJ15" s="24">
        <v>0.33339999999999997</v>
      </c>
      <c r="CK15" s="24">
        <v>0.33339999999999997</v>
      </c>
      <c r="CL15" s="24">
        <v>0.33339999999999997</v>
      </c>
      <c r="CM15" s="24">
        <v>0.33339999999999997</v>
      </c>
      <c r="CN15" s="24">
        <v>0.33339999999999997</v>
      </c>
      <c r="CO15" s="24">
        <v>0.33339999999999997</v>
      </c>
      <c r="CP15" s="24">
        <v>0.33339999999999997</v>
      </c>
      <c r="CQ15" s="24">
        <v>0.33339999999999997</v>
      </c>
      <c r="CR15" s="24">
        <v>0.33339999999999997</v>
      </c>
      <c r="CS15" s="24">
        <v>0.33339999999999997</v>
      </c>
      <c r="CT15" s="24">
        <v>0.33339999999999997</v>
      </c>
      <c r="CU15" s="24">
        <v>0.33339999999999997</v>
      </c>
      <c r="CV15" s="24">
        <v>0.33339999999999997</v>
      </c>
      <c r="CW15" s="24">
        <v>0.33339999999999997</v>
      </c>
      <c r="CX15" s="24">
        <v>0.33339999999999997</v>
      </c>
      <c r="CY15" s="24">
        <v>0.33339999999999997</v>
      </c>
      <c r="CZ15" s="24">
        <v>0.33339999999999997</v>
      </c>
      <c r="DA15" s="24">
        <v>0.33339999999999997</v>
      </c>
      <c r="DB15" s="24">
        <v>0.33339999999999997</v>
      </c>
      <c r="DC15" s="24">
        <v>0.33339999999999997</v>
      </c>
      <c r="DD15" s="24">
        <v>0.33339999999999997</v>
      </c>
      <c r="DE15" s="24">
        <v>0.33339999999999997</v>
      </c>
      <c r="DF15" s="24">
        <v>0.33339999999999997</v>
      </c>
    </row>
    <row r="16" spans="1:110" x14ac:dyDescent="0.2">
      <c r="A16" t="s">
        <v>20</v>
      </c>
      <c r="B16" s="24">
        <v>0.33329999999999999</v>
      </c>
      <c r="C16" s="24">
        <v>0.33329999999999999</v>
      </c>
      <c r="D16" s="24">
        <v>0.33329999999999999</v>
      </c>
      <c r="E16" s="24">
        <v>0.33329999999999999</v>
      </c>
      <c r="F16" s="24">
        <v>0.33329999999999999</v>
      </c>
      <c r="G16" s="24">
        <v>0.33329999999999999</v>
      </c>
      <c r="H16" s="24">
        <v>0.33329999999999999</v>
      </c>
      <c r="I16" s="24">
        <v>0.33329999999999999</v>
      </c>
      <c r="J16" s="24">
        <v>0.33329999999999999</v>
      </c>
      <c r="K16" s="24">
        <v>0.33329999999999999</v>
      </c>
      <c r="L16" s="24">
        <v>0.33329999999999999</v>
      </c>
      <c r="M16" s="24">
        <v>0.33329999999999999</v>
      </c>
      <c r="N16" s="24">
        <v>0.33329999999999999</v>
      </c>
      <c r="O16" s="24">
        <v>0.33329999999999999</v>
      </c>
      <c r="P16" s="24">
        <v>0.33329999999999999</v>
      </c>
      <c r="Q16" s="24">
        <v>0.33329999999999999</v>
      </c>
      <c r="R16" s="24">
        <v>0.33329999999999999</v>
      </c>
      <c r="S16" s="24">
        <v>0.33329999999999999</v>
      </c>
      <c r="T16" s="24">
        <v>0.33329999999999999</v>
      </c>
      <c r="U16" s="24">
        <v>0.33329999999999999</v>
      </c>
      <c r="V16" s="24">
        <v>0.33329999999999999</v>
      </c>
      <c r="W16" s="24">
        <v>0.33329999999999999</v>
      </c>
      <c r="X16" s="24">
        <v>0.33329999999999999</v>
      </c>
      <c r="Y16" s="24">
        <v>0.33329999999999999</v>
      </c>
      <c r="Z16" s="24">
        <v>0.33329999999999999</v>
      </c>
      <c r="AA16" s="24">
        <v>0.33329999999999999</v>
      </c>
      <c r="AB16" s="24">
        <v>0.33329999999999999</v>
      </c>
      <c r="AC16" s="24">
        <v>0.33329999999999999</v>
      </c>
      <c r="AD16" s="24">
        <v>0.33329999999999999</v>
      </c>
      <c r="AE16" s="24">
        <v>0.33329999999999999</v>
      </c>
      <c r="AF16" s="24">
        <v>0.33329999999999999</v>
      </c>
      <c r="AG16" s="24">
        <v>0.33329999999999999</v>
      </c>
      <c r="AH16" s="24">
        <v>0.33329999999999999</v>
      </c>
      <c r="AI16" s="24">
        <v>0.33329999999999999</v>
      </c>
      <c r="AJ16" s="24">
        <v>0.33329999999999999</v>
      </c>
      <c r="AK16" s="24">
        <v>0.33329999999999999</v>
      </c>
      <c r="AL16" s="24">
        <v>0.33329999999999999</v>
      </c>
      <c r="AM16" s="24">
        <v>0.33329999999999999</v>
      </c>
      <c r="AN16" s="24">
        <v>0.33329999999999999</v>
      </c>
      <c r="AO16" s="24">
        <v>0.33329999999999999</v>
      </c>
      <c r="AP16" s="24">
        <v>0.33329999999999999</v>
      </c>
      <c r="AQ16" s="24">
        <v>0.33329999999999999</v>
      </c>
      <c r="AR16" s="24">
        <v>0.33329999999999999</v>
      </c>
      <c r="AS16" s="24">
        <v>0.33329999999999999</v>
      </c>
      <c r="AT16" s="24">
        <v>0.33329999999999999</v>
      </c>
      <c r="AU16" s="24">
        <v>0.33329999999999999</v>
      </c>
      <c r="AV16" s="24">
        <v>0.33329999999999999</v>
      </c>
      <c r="AW16" s="24">
        <v>0.33329999999999999</v>
      </c>
      <c r="AX16" s="24">
        <v>0.33329999999999999</v>
      </c>
      <c r="AY16" s="24">
        <v>0.33329999999999999</v>
      </c>
      <c r="AZ16" s="24">
        <v>0.33329999999999999</v>
      </c>
      <c r="BA16" s="24">
        <v>0.33329999999999999</v>
      </c>
      <c r="BB16" s="24">
        <v>0.33329999999999999</v>
      </c>
      <c r="BC16" s="24">
        <v>0.33329999999999999</v>
      </c>
      <c r="BD16" s="24">
        <v>0.33329999999999999</v>
      </c>
      <c r="BE16" s="24">
        <v>0.33329999999999999</v>
      </c>
      <c r="BF16" s="24">
        <v>0.33329999999999999</v>
      </c>
      <c r="BG16" s="24">
        <v>0.33329999999999999</v>
      </c>
      <c r="BH16" s="24">
        <v>0.33329999999999999</v>
      </c>
      <c r="BI16" s="24">
        <v>0.33329999999999999</v>
      </c>
      <c r="BJ16" s="24">
        <v>0.33329999999999999</v>
      </c>
      <c r="BK16" s="24">
        <v>0.33329999999999999</v>
      </c>
      <c r="BL16" s="24">
        <v>0.33329999999999999</v>
      </c>
      <c r="BM16" s="24">
        <v>0.33329999999999999</v>
      </c>
      <c r="BN16" s="24">
        <v>0.33329999999999999</v>
      </c>
      <c r="BO16" s="24">
        <v>0.33329999999999999</v>
      </c>
      <c r="BP16" s="24">
        <v>0.33329999999999999</v>
      </c>
      <c r="BQ16" s="24">
        <v>0.33329999999999999</v>
      </c>
      <c r="BR16" s="24">
        <v>0.33329999999999999</v>
      </c>
      <c r="BS16" s="24">
        <v>0.33329999999999999</v>
      </c>
      <c r="BT16" s="24">
        <v>0.33329999999999999</v>
      </c>
      <c r="BU16" s="24">
        <v>0.33329999999999999</v>
      </c>
      <c r="BV16" s="24">
        <v>0.33329999999999999</v>
      </c>
      <c r="BW16" s="24">
        <v>0.33329999999999999</v>
      </c>
      <c r="BX16" s="24">
        <v>0.33329999999999999</v>
      </c>
      <c r="BY16" s="24">
        <v>0.33329999999999999</v>
      </c>
      <c r="BZ16" s="24">
        <v>0.33329999999999999</v>
      </c>
      <c r="CA16" s="24">
        <v>0.33329999999999999</v>
      </c>
      <c r="CB16" s="24">
        <v>0.33329999999999999</v>
      </c>
      <c r="CC16" s="24">
        <v>0.33329999999999999</v>
      </c>
      <c r="CD16" s="24">
        <v>0.33329999999999999</v>
      </c>
      <c r="CE16" s="24">
        <v>0.33329999999999999</v>
      </c>
      <c r="CF16" s="24">
        <v>0.33329999999999999</v>
      </c>
      <c r="CG16" s="24">
        <v>0.33329999999999999</v>
      </c>
      <c r="CH16" s="24">
        <v>0.33329999999999999</v>
      </c>
      <c r="CI16" s="24">
        <v>0.33329999999999999</v>
      </c>
      <c r="CJ16" s="24">
        <v>0.33329999999999999</v>
      </c>
      <c r="CK16" s="24">
        <v>0.33329999999999999</v>
      </c>
      <c r="CL16" s="24">
        <v>0.33329999999999999</v>
      </c>
      <c r="CM16" s="24">
        <v>0.33329999999999999</v>
      </c>
      <c r="CN16" s="24">
        <v>0.33329999999999999</v>
      </c>
      <c r="CO16" s="24">
        <v>0.33329999999999999</v>
      </c>
      <c r="CP16" s="24">
        <v>0.33329999999999999</v>
      </c>
      <c r="CQ16" s="24">
        <v>0.33329999999999999</v>
      </c>
      <c r="CR16" s="24">
        <v>0.33329999999999999</v>
      </c>
      <c r="CS16" s="24">
        <v>0.33329999999999999</v>
      </c>
      <c r="CT16" s="24">
        <v>0.33329999999999999</v>
      </c>
      <c r="CU16" s="24">
        <v>0.33329999999999999</v>
      </c>
      <c r="CV16" s="24">
        <v>0.33329999999999999</v>
      </c>
      <c r="CW16" s="24">
        <v>0.33329999999999999</v>
      </c>
      <c r="CX16" s="24">
        <v>0.33329999999999999</v>
      </c>
      <c r="CY16" s="24">
        <v>0.33329999999999999</v>
      </c>
      <c r="CZ16" s="24">
        <v>0.33329999999999999</v>
      </c>
      <c r="DA16" s="24">
        <v>0.33329999999999999</v>
      </c>
      <c r="DB16" s="24">
        <v>0.33329999999999999</v>
      </c>
      <c r="DC16" s="24">
        <v>0.33329999999999999</v>
      </c>
      <c r="DD16" s="24">
        <v>0.33329999999999999</v>
      </c>
      <c r="DE16" s="24">
        <v>0.33329999999999999</v>
      </c>
      <c r="DF16" s="24">
        <v>0.33329999999999999</v>
      </c>
    </row>
    <row r="17" spans="1:110" x14ac:dyDescent="0.2">
      <c r="A17" t="s">
        <v>21</v>
      </c>
      <c r="B17" s="24">
        <v>0.33329999999999999</v>
      </c>
      <c r="C17" s="24">
        <v>0.33329999999999999</v>
      </c>
      <c r="D17" s="24">
        <v>0.33329999999999999</v>
      </c>
      <c r="E17" s="24">
        <v>0.33329999999999999</v>
      </c>
      <c r="F17" s="24">
        <v>0.33329999999999999</v>
      </c>
      <c r="G17" s="24">
        <v>0.33329999999999999</v>
      </c>
      <c r="H17" s="24">
        <v>0.33329999999999999</v>
      </c>
      <c r="I17" s="24">
        <v>0.33329999999999999</v>
      </c>
      <c r="J17" s="24">
        <v>0.33329999999999999</v>
      </c>
      <c r="K17" s="24">
        <v>0.33329999999999999</v>
      </c>
      <c r="L17" s="24">
        <v>0.33329999999999999</v>
      </c>
      <c r="M17" s="24">
        <v>0.33329999999999999</v>
      </c>
      <c r="N17" s="24">
        <v>0.33329999999999999</v>
      </c>
      <c r="O17" s="24">
        <v>0.33329999999999999</v>
      </c>
      <c r="P17" s="24">
        <v>0.33329999999999999</v>
      </c>
      <c r="Q17" s="24">
        <v>0.33329999999999999</v>
      </c>
      <c r="R17" s="24">
        <v>0.33329999999999999</v>
      </c>
      <c r="S17" s="24">
        <v>0.33329999999999999</v>
      </c>
      <c r="T17" s="24">
        <v>0.33329999999999999</v>
      </c>
      <c r="U17" s="24">
        <v>0.33329999999999999</v>
      </c>
      <c r="V17" s="24">
        <v>0.33329999999999999</v>
      </c>
      <c r="W17" s="24">
        <v>0.33329999999999999</v>
      </c>
      <c r="X17" s="24">
        <v>0.33329999999999999</v>
      </c>
      <c r="Y17" s="24">
        <v>0.33329999999999999</v>
      </c>
      <c r="Z17" s="24">
        <v>0.33329999999999999</v>
      </c>
      <c r="AA17" s="24">
        <v>0.33329999999999999</v>
      </c>
      <c r="AB17" s="24">
        <v>0.33329999999999999</v>
      </c>
      <c r="AC17" s="24">
        <v>0.33329999999999999</v>
      </c>
      <c r="AD17" s="24">
        <v>0.33329999999999999</v>
      </c>
      <c r="AE17" s="24">
        <v>0.33329999999999999</v>
      </c>
      <c r="AF17" s="24">
        <v>0.33329999999999999</v>
      </c>
      <c r="AG17" s="24">
        <v>0.33329999999999999</v>
      </c>
      <c r="AH17" s="24">
        <v>0.33329999999999999</v>
      </c>
      <c r="AI17" s="24">
        <v>0.33329999999999999</v>
      </c>
      <c r="AJ17" s="24">
        <v>0.33329999999999999</v>
      </c>
      <c r="AK17" s="24">
        <v>0.33329999999999999</v>
      </c>
      <c r="AL17" s="24">
        <v>0.33329999999999999</v>
      </c>
      <c r="AM17" s="24">
        <v>0.33329999999999999</v>
      </c>
      <c r="AN17" s="24">
        <v>0.33329999999999999</v>
      </c>
      <c r="AO17" s="24">
        <v>0.33329999999999999</v>
      </c>
      <c r="AP17" s="24">
        <v>0.33329999999999999</v>
      </c>
      <c r="AQ17" s="24">
        <v>0.33329999999999999</v>
      </c>
      <c r="AR17" s="24">
        <v>0.33329999999999999</v>
      </c>
      <c r="AS17" s="24">
        <v>0.33329999999999999</v>
      </c>
      <c r="AT17" s="24">
        <v>0.33329999999999999</v>
      </c>
      <c r="AU17" s="24">
        <v>0.33329999999999999</v>
      </c>
      <c r="AV17" s="24">
        <v>0.33329999999999999</v>
      </c>
      <c r="AW17" s="24">
        <v>0.33329999999999999</v>
      </c>
      <c r="AX17" s="24">
        <v>0.33329999999999999</v>
      </c>
      <c r="AY17" s="24">
        <v>0.33329999999999999</v>
      </c>
      <c r="AZ17" s="24">
        <v>0.33329999999999999</v>
      </c>
      <c r="BA17" s="24">
        <v>0.33329999999999999</v>
      </c>
      <c r="BB17" s="24">
        <v>0.33329999999999999</v>
      </c>
      <c r="BC17" s="24">
        <v>0.33329999999999999</v>
      </c>
      <c r="BD17" s="24">
        <v>0.33329999999999999</v>
      </c>
      <c r="BE17" s="24">
        <v>0.33329999999999999</v>
      </c>
      <c r="BF17" s="24">
        <v>0.33329999999999999</v>
      </c>
      <c r="BG17" s="24">
        <v>0.33329999999999999</v>
      </c>
      <c r="BH17" s="24">
        <v>0.33329999999999999</v>
      </c>
      <c r="BI17" s="24">
        <v>0.33329999999999999</v>
      </c>
      <c r="BJ17" s="24">
        <v>0.33329999999999999</v>
      </c>
      <c r="BK17" s="24">
        <v>0.33329999999999999</v>
      </c>
      <c r="BL17" s="24">
        <v>0.33329999999999999</v>
      </c>
      <c r="BM17" s="24">
        <v>0.33329999999999999</v>
      </c>
      <c r="BN17" s="24">
        <v>0.33329999999999999</v>
      </c>
      <c r="BO17" s="24">
        <v>0.33329999999999999</v>
      </c>
      <c r="BP17" s="24">
        <v>0.33329999999999999</v>
      </c>
      <c r="BQ17" s="24">
        <v>0.33329999999999999</v>
      </c>
      <c r="BR17" s="24">
        <v>0.33329999999999999</v>
      </c>
      <c r="BS17" s="24">
        <v>0.33329999999999999</v>
      </c>
      <c r="BT17" s="24">
        <v>0.33329999999999999</v>
      </c>
      <c r="BU17" s="24">
        <v>0.33329999999999999</v>
      </c>
      <c r="BV17" s="24">
        <v>0.33329999999999999</v>
      </c>
      <c r="BW17" s="24">
        <v>0.33329999999999999</v>
      </c>
      <c r="BX17" s="24">
        <v>0.33329999999999999</v>
      </c>
      <c r="BY17" s="24">
        <v>0.33329999999999999</v>
      </c>
      <c r="BZ17" s="24">
        <v>0.33329999999999999</v>
      </c>
      <c r="CA17" s="24">
        <v>0.33329999999999999</v>
      </c>
      <c r="CB17" s="24">
        <v>0.33329999999999999</v>
      </c>
      <c r="CC17" s="24">
        <v>0.33329999999999999</v>
      </c>
      <c r="CD17" s="24">
        <v>0.33329999999999999</v>
      </c>
      <c r="CE17" s="24">
        <v>0.33329999999999999</v>
      </c>
      <c r="CF17" s="24">
        <v>0.33329999999999999</v>
      </c>
      <c r="CG17" s="24">
        <v>0.33329999999999999</v>
      </c>
      <c r="CH17" s="24">
        <v>0.33329999999999999</v>
      </c>
      <c r="CI17" s="24">
        <v>0.33329999999999999</v>
      </c>
      <c r="CJ17" s="24">
        <v>0.33329999999999999</v>
      </c>
      <c r="CK17" s="24">
        <v>0.33329999999999999</v>
      </c>
      <c r="CL17" s="24">
        <v>0.33329999999999999</v>
      </c>
      <c r="CM17" s="24">
        <v>0.33329999999999999</v>
      </c>
      <c r="CN17" s="24">
        <v>0.33329999999999999</v>
      </c>
      <c r="CO17" s="24">
        <v>0.33329999999999999</v>
      </c>
      <c r="CP17" s="24">
        <v>0.33329999999999999</v>
      </c>
      <c r="CQ17" s="24">
        <v>0.33329999999999999</v>
      </c>
      <c r="CR17" s="24">
        <v>0.33329999999999999</v>
      </c>
      <c r="CS17" s="24">
        <v>0.33329999999999999</v>
      </c>
      <c r="CT17" s="24">
        <v>0.33329999999999999</v>
      </c>
      <c r="CU17" s="24">
        <v>0.33329999999999999</v>
      </c>
      <c r="CV17" s="24">
        <v>0.33329999999999999</v>
      </c>
      <c r="CW17" s="24">
        <v>0.33329999999999999</v>
      </c>
      <c r="CX17" s="24">
        <v>0.33329999999999999</v>
      </c>
      <c r="CY17" s="24">
        <v>0.33329999999999999</v>
      </c>
      <c r="CZ17" s="24">
        <v>0.33329999999999999</v>
      </c>
      <c r="DA17" s="24">
        <v>0.33329999999999999</v>
      </c>
      <c r="DB17" s="24">
        <v>0.33329999999999999</v>
      </c>
      <c r="DC17" s="24">
        <v>0.33329999999999999</v>
      </c>
      <c r="DD17" s="24">
        <v>0.33329999999999999</v>
      </c>
      <c r="DE17" s="24">
        <v>0.33329999999999999</v>
      </c>
      <c r="DF17" s="24">
        <v>0.33329999999999999</v>
      </c>
    </row>
    <row r="18" spans="1:110" x14ac:dyDescent="0.2">
      <c r="A18" t="s">
        <v>12</v>
      </c>
      <c r="B18" s="4">
        <v>1</v>
      </c>
      <c r="C18" s="4">
        <v>1</v>
      </c>
      <c r="D18" s="4">
        <v>1</v>
      </c>
      <c r="E18" s="4">
        <v>1</v>
      </c>
      <c r="F18" s="4">
        <v>1</v>
      </c>
      <c r="G18" s="4">
        <v>1</v>
      </c>
      <c r="H18" s="4">
        <v>1</v>
      </c>
      <c r="I18" s="4">
        <v>1</v>
      </c>
      <c r="J18" s="4">
        <v>1</v>
      </c>
      <c r="K18" s="4">
        <v>1</v>
      </c>
      <c r="L18" s="4">
        <v>1</v>
      </c>
      <c r="M18" s="4">
        <v>1</v>
      </c>
      <c r="N18" s="4">
        <v>1</v>
      </c>
      <c r="O18" s="4">
        <v>1</v>
      </c>
      <c r="P18" s="4">
        <v>1</v>
      </c>
      <c r="Q18" s="4">
        <v>1</v>
      </c>
      <c r="R18" s="4">
        <v>1</v>
      </c>
      <c r="S18" s="4">
        <v>1</v>
      </c>
      <c r="T18" s="4">
        <v>1</v>
      </c>
      <c r="U18" s="4">
        <v>1</v>
      </c>
      <c r="V18" s="4">
        <v>1</v>
      </c>
      <c r="W18" s="4">
        <v>1</v>
      </c>
      <c r="X18" s="4">
        <v>1</v>
      </c>
      <c r="Y18" s="4">
        <v>1</v>
      </c>
      <c r="Z18" s="4">
        <f t="shared" ref="Z18:AA18" si="87">SUM(Z15:Z17)</f>
        <v>1</v>
      </c>
      <c r="AA18" s="4">
        <f t="shared" si="87"/>
        <v>1</v>
      </c>
      <c r="AB18" s="4">
        <f t="shared" ref="AB18:AC18" si="88">SUM(AB15:AB17)</f>
        <v>1</v>
      </c>
      <c r="AC18" s="4">
        <f t="shared" si="88"/>
        <v>1</v>
      </c>
      <c r="AD18" s="4">
        <f t="shared" ref="AD18:AE18" si="89">SUM(AD15:AD17)</f>
        <v>1</v>
      </c>
      <c r="AE18" s="4">
        <f t="shared" si="89"/>
        <v>1</v>
      </c>
      <c r="AF18" s="4">
        <f t="shared" ref="AF18" si="90">SUM(AF15:AF17)</f>
        <v>1</v>
      </c>
      <c r="AG18" s="4">
        <f t="shared" ref="AG18" si="91">SUM(AG15:AG17)</f>
        <v>1</v>
      </c>
      <c r="AH18" s="4">
        <f t="shared" ref="AH18" si="92">SUM(AH15:AH17)</f>
        <v>1</v>
      </c>
      <c r="AI18" s="4">
        <f t="shared" ref="AI18:AJ18" si="93">SUM(AI15:AI17)</f>
        <v>1</v>
      </c>
      <c r="AJ18" s="4">
        <f t="shared" si="93"/>
        <v>1</v>
      </c>
      <c r="AK18" s="4">
        <f t="shared" ref="AK18:AL18" si="94">SUM(AK15:AK17)</f>
        <v>1</v>
      </c>
      <c r="AL18" s="4">
        <f t="shared" si="94"/>
        <v>1</v>
      </c>
      <c r="AM18" s="4">
        <f t="shared" ref="AM18:AN18" si="95">SUM(AM15:AM17)</f>
        <v>1</v>
      </c>
      <c r="AN18" s="4">
        <f t="shared" si="95"/>
        <v>1</v>
      </c>
      <c r="AO18" s="4">
        <f t="shared" ref="AO18:AP18" si="96">SUM(AO15:AO17)</f>
        <v>1</v>
      </c>
      <c r="AP18" s="4">
        <f t="shared" si="96"/>
        <v>1</v>
      </c>
      <c r="AQ18" s="4">
        <f t="shared" ref="AQ18:AR18" si="97">SUM(AQ15:AQ17)</f>
        <v>1</v>
      </c>
      <c r="AR18" s="4">
        <f t="shared" si="97"/>
        <v>1</v>
      </c>
      <c r="AS18" s="4">
        <f t="shared" ref="AS18:AT18" si="98">SUM(AS15:AS17)</f>
        <v>1</v>
      </c>
      <c r="AT18" s="4">
        <f t="shared" si="98"/>
        <v>1</v>
      </c>
      <c r="AU18" s="4">
        <f t="shared" ref="AU18:AV18" si="99">SUM(AU15:AU17)</f>
        <v>1</v>
      </c>
      <c r="AV18" s="4">
        <f t="shared" si="99"/>
        <v>1</v>
      </c>
      <c r="AW18" s="4">
        <f t="shared" ref="AW18:AX18" si="100">SUM(AW15:AW17)</f>
        <v>1</v>
      </c>
      <c r="AX18" s="4">
        <f t="shared" si="100"/>
        <v>1</v>
      </c>
      <c r="AY18" s="4">
        <f t="shared" ref="AY18:AZ18" si="101">SUM(AY15:AY17)</f>
        <v>1</v>
      </c>
      <c r="AZ18" s="4">
        <f t="shared" si="101"/>
        <v>1</v>
      </c>
      <c r="BA18" s="4">
        <f t="shared" ref="BA18:BB18" si="102">SUM(BA15:BA17)</f>
        <v>1</v>
      </c>
      <c r="BB18" s="4">
        <f t="shared" si="102"/>
        <v>1</v>
      </c>
      <c r="BC18" s="4">
        <f t="shared" ref="BC18:BD18" si="103">SUM(BC15:BC17)</f>
        <v>1</v>
      </c>
      <c r="BD18" s="4">
        <f t="shared" si="103"/>
        <v>1</v>
      </c>
      <c r="BE18" s="4">
        <f t="shared" ref="BE18" si="104">SUM(BE15:BE17)</f>
        <v>1</v>
      </c>
      <c r="BF18" s="4">
        <f t="shared" ref="BF18:BG18" si="105">SUM(BF15:BF17)</f>
        <v>1</v>
      </c>
      <c r="BG18" s="4">
        <f t="shared" si="105"/>
        <v>1</v>
      </c>
      <c r="BH18" s="4">
        <f t="shared" ref="BH18:BI18" si="106">SUM(BH15:BH17)</f>
        <v>1</v>
      </c>
      <c r="BI18" s="4">
        <f t="shared" si="106"/>
        <v>1</v>
      </c>
      <c r="BJ18" s="4">
        <f t="shared" ref="BJ18:BK18" si="107">SUM(BJ15:BJ17)</f>
        <v>1</v>
      </c>
      <c r="BK18" s="4">
        <f t="shared" si="107"/>
        <v>1</v>
      </c>
      <c r="BL18" s="4">
        <f t="shared" ref="BL18:BM18" si="108">SUM(BL15:BL17)</f>
        <v>1</v>
      </c>
      <c r="BM18" s="4">
        <f t="shared" si="108"/>
        <v>1</v>
      </c>
      <c r="BN18" s="4">
        <f t="shared" ref="BN18:BO18" si="109">SUM(BN15:BN17)</f>
        <v>1</v>
      </c>
      <c r="BO18" s="4">
        <f t="shared" si="109"/>
        <v>1</v>
      </c>
      <c r="BP18" s="4">
        <f t="shared" ref="BP18:BQ18" si="110">SUM(BP15:BP17)</f>
        <v>1</v>
      </c>
      <c r="BQ18" s="4">
        <f t="shared" si="110"/>
        <v>1</v>
      </c>
      <c r="BR18" s="4">
        <f t="shared" ref="BR18:BS18" si="111">SUM(BR15:BR17)</f>
        <v>1</v>
      </c>
      <c r="BS18" s="4">
        <f t="shared" si="111"/>
        <v>1</v>
      </c>
      <c r="BT18" s="4">
        <f t="shared" ref="BT18:BU18" si="112">SUM(BT15:BT17)</f>
        <v>1</v>
      </c>
      <c r="BU18" s="4">
        <f t="shared" si="112"/>
        <v>1</v>
      </c>
      <c r="BV18" s="4">
        <f t="shared" ref="BV18:BW18" si="113">SUM(BV15:BV17)</f>
        <v>1</v>
      </c>
      <c r="BW18" s="4">
        <f t="shared" si="113"/>
        <v>1</v>
      </c>
      <c r="BX18" s="4">
        <f t="shared" ref="BX18:BY18" si="114">SUM(BX15:BX17)</f>
        <v>1</v>
      </c>
      <c r="BY18" s="4">
        <f t="shared" si="114"/>
        <v>1</v>
      </c>
      <c r="BZ18" s="4">
        <f t="shared" ref="BZ18:CA18" si="115">SUM(BZ15:BZ17)</f>
        <v>1</v>
      </c>
      <c r="CA18" s="4">
        <f t="shared" si="115"/>
        <v>1</v>
      </c>
      <c r="CB18" s="4">
        <f t="shared" ref="CB18:CC18" si="116">SUM(CB15:CB17)</f>
        <v>1</v>
      </c>
      <c r="CC18" s="4">
        <f t="shared" si="116"/>
        <v>1</v>
      </c>
      <c r="CD18" s="4">
        <f t="shared" ref="CD18:CE18" si="117">SUM(CD15:CD17)</f>
        <v>1</v>
      </c>
      <c r="CE18" s="4">
        <f t="shared" si="117"/>
        <v>1</v>
      </c>
      <c r="CF18" s="4">
        <f t="shared" ref="CF18:CG18" si="118">SUM(CF15:CF17)</f>
        <v>1</v>
      </c>
      <c r="CG18" s="4">
        <f t="shared" si="118"/>
        <v>1</v>
      </c>
      <c r="CH18" s="4">
        <f t="shared" ref="CH18:CI18" si="119">SUM(CH15:CH17)</f>
        <v>1</v>
      </c>
      <c r="CI18" s="4">
        <f t="shared" si="119"/>
        <v>1</v>
      </c>
      <c r="CJ18" s="4">
        <f t="shared" ref="CJ18:CK18" si="120">SUM(CJ15:CJ17)</f>
        <v>1</v>
      </c>
      <c r="CK18" s="4">
        <f t="shared" si="120"/>
        <v>1</v>
      </c>
      <c r="CL18" s="4">
        <f t="shared" ref="CL18:CM18" si="121">SUM(CL15:CL17)</f>
        <v>1</v>
      </c>
      <c r="CM18" s="4">
        <f t="shared" si="121"/>
        <v>1</v>
      </c>
      <c r="CN18" s="4">
        <f t="shared" ref="CN18:CO18" si="122">SUM(CN15:CN17)</f>
        <v>1</v>
      </c>
      <c r="CO18" s="4">
        <f t="shared" si="122"/>
        <v>1</v>
      </c>
      <c r="CP18" s="4">
        <f t="shared" ref="CP18:CQ18" si="123">SUM(CP15:CP17)</f>
        <v>1</v>
      </c>
      <c r="CQ18" s="4">
        <f t="shared" si="123"/>
        <v>1</v>
      </c>
      <c r="CR18" s="4">
        <v>1</v>
      </c>
      <c r="CS18" s="4">
        <v>1</v>
      </c>
      <c r="CT18" s="4">
        <v>1</v>
      </c>
      <c r="CU18" s="4">
        <v>1</v>
      </c>
      <c r="CV18" s="4">
        <v>1</v>
      </c>
      <c r="CW18" s="4">
        <v>1</v>
      </c>
      <c r="CX18" s="4">
        <v>1</v>
      </c>
      <c r="CY18" s="4">
        <v>1</v>
      </c>
      <c r="CZ18" s="4">
        <v>1</v>
      </c>
      <c r="DA18" s="4">
        <v>1</v>
      </c>
      <c r="DB18" s="4">
        <v>1</v>
      </c>
      <c r="DC18" s="4">
        <v>1</v>
      </c>
      <c r="DD18" s="4">
        <v>1</v>
      </c>
      <c r="DE18" s="4">
        <v>1</v>
      </c>
      <c r="DF18" s="4">
        <v>1</v>
      </c>
    </row>
    <row r="19" spans="1:110" ht="13.5" thickBot="1" x14ac:dyDescent="0.25">
      <c r="A19"/>
    </row>
    <row r="20" spans="1:110" ht="13.5" thickBot="1" x14ac:dyDescent="0.25">
      <c r="A20" s="7" t="s">
        <v>53</v>
      </c>
      <c r="B20" s="28">
        <v>4.8862154207443085E-3</v>
      </c>
      <c r="C20" s="28">
        <v>4.933120441203572E-3</v>
      </c>
      <c r="D20" s="28">
        <v>4.9347518040861607E-3</v>
      </c>
      <c r="E20" s="28">
        <v>4.9849074681766574E-3</v>
      </c>
      <c r="F20" s="28">
        <v>4.9317474245599256E-3</v>
      </c>
      <c r="G20" s="28">
        <v>4.9019301196808482E-3</v>
      </c>
      <c r="H20" s="28">
        <v>4.9513902193313187E-3</v>
      </c>
      <c r="I20" s="28">
        <v>5.0108203464507266E-3</v>
      </c>
      <c r="J20" s="28">
        <v>5.0627193122248174E-3</v>
      </c>
      <c r="K20" s="28">
        <v>5.1289503067777102E-3</v>
      </c>
      <c r="L20" s="28">
        <v>5.1263632826281276E-3</v>
      </c>
      <c r="M20" s="28">
        <v>5.0672320051064913E-3</v>
      </c>
      <c r="N20" s="28">
        <v>5.0742898105966237E-3</v>
      </c>
      <c r="O20" s="28">
        <v>4.9997910176363273E-3</v>
      </c>
      <c r="P20" s="28">
        <v>4.9351408835382081E-3</v>
      </c>
      <c r="Q20" s="28">
        <v>4.8663561974833089E-3</v>
      </c>
      <c r="R20" s="28">
        <v>4.8251554913681625E-3</v>
      </c>
      <c r="S20" s="28">
        <v>4.8123367854372937E-3</v>
      </c>
      <c r="T20" s="28">
        <v>4.7451279949156135E-3</v>
      </c>
      <c r="U20" s="28">
        <v>4.7135798274888039E-3</v>
      </c>
      <c r="V20" s="28">
        <v>4.7116030855674004E-3</v>
      </c>
      <c r="W20" s="28">
        <v>4.7363312399193525E-3</v>
      </c>
      <c r="X20" s="28">
        <v>4.6815910714588602E-3</v>
      </c>
      <c r="Y20" s="28">
        <v>4.6177333192609308E-3</v>
      </c>
      <c r="Z20" s="28">
        <f t="shared" ref="Z20:AI20" si="124">IF(Z3=0,0,(Z12*Z15)+(N12*Z16)+(B12*Z17))</f>
        <v>4.6418025037319862E-3</v>
      </c>
      <c r="AA20" s="28">
        <f t="shared" si="124"/>
        <v>4.6965272059611282E-3</v>
      </c>
      <c r="AB20" s="28">
        <f t="shared" si="124"/>
        <v>4.6462118075209086E-3</v>
      </c>
      <c r="AC20" s="28">
        <f t="shared" si="124"/>
        <v>4.6886296932911716E-3</v>
      </c>
      <c r="AD20" s="28">
        <f t="shared" si="124"/>
        <v>4.715413311833421E-3</v>
      </c>
      <c r="AE20" s="28">
        <f t="shared" si="124"/>
        <v>4.6594513833306799E-3</v>
      </c>
      <c r="AF20" s="28">
        <f t="shared" si="124"/>
        <v>4.5958136299643999E-3</v>
      </c>
      <c r="AG20" s="28">
        <f t="shared" si="124"/>
        <v>4.4130625936623959E-3</v>
      </c>
      <c r="AH20" s="28">
        <f t="shared" si="124"/>
        <v>4.3322701579183946E-3</v>
      </c>
      <c r="AI20" s="28">
        <f t="shared" si="124"/>
        <v>4.255226714100278E-3</v>
      </c>
      <c r="AJ20" s="28">
        <f t="shared" ref="AJ20:AK20" si="125">IF(AJ3=0,0,(AJ12*AJ15)+(X12*AJ16)+(L12*AJ17))</f>
        <v>4.2677585260342508E-3</v>
      </c>
      <c r="AK20" s="28">
        <f t="shared" si="125"/>
        <v>4.2492332667645686E-3</v>
      </c>
      <c r="AL20" s="28">
        <f t="shared" ref="AL20" si="126">IF(AL3=0,0,(AL12*AL15)+(Z12*AL16)+(N12*AL17))</f>
        <v>4.1946057114815661E-3</v>
      </c>
      <c r="AM20" s="28">
        <f t="shared" ref="AM20" si="127">IF(AM3=0,0,(AM12*AM15)+(AA12*AM16)+(O12*AM17))</f>
        <v>4.1691788188996607E-3</v>
      </c>
      <c r="AN20" s="28">
        <f t="shared" ref="AN20" si="128">IF(AN3=0,0,(AN12*AN15)+(AB12*AN16)+(P12*AN17))</f>
        <v>4.1764547742595883E-3</v>
      </c>
      <c r="AO20" s="28">
        <f t="shared" ref="AO20" si="129">IF(AO3=0,0,(AO12*AO15)+(AC12*AO16)+(Q12*AO17))</f>
        <v>4.1127480703435247E-3</v>
      </c>
      <c r="AP20" s="28">
        <f t="shared" ref="AP20:DB20" si="130">IF(AP3=0,0,(AP12*AP15)+(AD12*AP16)+(R12*AP17))</f>
        <v>4.1461180424068912E-3</v>
      </c>
      <c r="AQ20" s="28">
        <f t="shared" si="130"/>
        <v>4.1827272974244555E-3</v>
      </c>
      <c r="AR20" s="28">
        <f t="shared" si="130"/>
        <v>4.1595833604210746E-3</v>
      </c>
      <c r="AS20" s="28">
        <f t="shared" si="130"/>
        <v>4.135125214619291E-3</v>
      </c>
      <c r="AT20" s="28">
        <f t="shared" si="130"/>
        <v>4.1198925347173268E-3</v>
      </c>
      <c r="AU20" s="28">
        <f t="shared" si="130"/>
        <v>3.9947508414786082E-3</v>
      </c>
      <c r="AV20" s="28">
        <f t="shared" si="130"/>
        <v>3.9795469767501881E-3</v>
      </c>
      <c r="AW20" s="28">
        <f t="shared" si="130"/>
        <v>4.0279738243898496E-3</v>
      </c>
      <c r="AX20" s="28">
        <f t="shared" si="130"/>
        <v>3.9757989383159102E-3</v>
      </c>
      <c r="AY20" s="28">
        <f t="shared" si="130"/>
        <v>3.9758719158928838E-3</v>
      </c>
      <c r="AZ20" s="28">
        <f t="shared" si="130"/>
        <v>4.0013283919101885E-3</v>
      </c>
      <c r="BA20" s="28">
        <f t="shared" si="130"/>
        <v>4.018325491129634E-3</v>
      </c>
      <c r="BB20" s="28">
        <f t="shared" si="130"/>
        <v>4.0656069238615726E-3</v>
      </c>
      <c r="BC20" s="28">
        <f t="shared" si="130"/>
        <v>4.0704833206144896E-3</v>
      </c>
      <c r="BD20" s="28">
        <f t="shared" si="130"/>
        <v>4.0660305279358643E-3</v>
      </c>
      <c r="BE20" s="28">
        <f t="shared" si="130"/>
        <v>4.0409608090377479E-3</v>
      </c>
      <c r="BF20" s="28">
        <f t="shared" si="130"/>
        <v>4.024247935870388E-3</v>
      </c>
      <c r="BG20" s="28">
        <f t="shared" si="130"/>
        <v>3.9649416265608818E-3</v>
      </c>
      <c r="BH20" s="28">
        <f t="shared" si="130"/>
        <v>3.9557604626504796E-3</v>
      </c>
      <c r="BI20" s="28">
        <f t="shared" si="130"/>
        <v>3.9776858155257345E-3</v>
      </c>
      <c r="BJ20" s="28">
        <f t="shared" si="130"/>
        <v>3.8869167242931053E-3</v>
      </c>
      <c r="BK20" s="28">
        <f t="shared" si="130"/>
        <v>3.8010716059540405E-3</v>
      </c>
      <c r="BL20" s="28">
        <f t="shared" si="130"/>
        <v>3.7910338282454679E-3</v>
      </c>
      <c r="BM20" s="28">
        <f t="shared" si="130"/>
        <v>3.7141908774401388E-3</v>
      </c>
      <c r="BN20" s="28">
        <f t="shared" si="130"/>
        <v>3.6698724706025411E-3</v>
      </c>
      <c r="BO20" s="28">
        <f t="shared" si="130"/>
        <v>3.6578084644912062E-3</v>
      </c>
      <c r="BP20" s="28">
        <f t="shared" si="130"/>
        <v>3.5584894282827944E-3</v>
      </c>
      <c r="BQ20" s="28">
        <f t="shared" si="130"/>
        <v>3.4773726586359143E-3</v>
      </c>
      <c r="BR20" s="28">
        <f t="shared" si="130"/>
        <v>3.3745124405482546E-3</v>
      </c>
      <c r="BS20" s="28">
        <f t="shared" si="130"/>
        <v>3.284834430499524E-3</v>
      </c>
      <c r="BT20" s="28">
        <f t="shared" si="130"/>
        <v>3.2141888113647772E-3</v>
      </c>
      <c r="BU20" s="28">
        <f t="shared" si="130"/>
        <v>3.2807369113080154E-3</v>
      </c>
      <c r="BV20" s="28">
        <f t="shared" si="130"/>
        <v>3.2852940553552029E-3</v>
      </c>
      <c r="BW20" s="28">
        <f t="shared" si="130"/>
        <v>3.359620478481924E-3</v>
      </c>
      <c r="BX20" s="28">
        <f t="shared" si="130"/>
        <v>3.3400756409821108E-3</v>
      </c>
      <c r="BY20" s="28">
        <f t="shared" si="130"/>
        <v>3.5172883673780173E-3</v>
      </c>
      <c r="BZ20" s="28">
        <f t="shared" si="130"/>
        <v>3.6591632955216709E-3</v>
      </c>
      <c r="CA20" s="28">
        <f t="shared" si="130"/>
        <v>3.6563766553120609E-3</v>
      </c>
      <c r="CB20" s="28">
        <f t="shared" si="130"/>
        <v>3.6833814639357235E-3</v>
      </c>
      <c r="CC20" s="28">
        <f t="shared" si="130"/>
        <v>3.6857181418460715E-3</v>
      </c>
      <c r="CD20" s="28">
        <f t="shared" si="130"/>
        <v>3.7221649517482479E-3</v>
      </c>
      <c r="CE20" s="28">
        <f t="shared" si="130"/>
        <v>3.6651309841574742E-3</v>
      </c>
      <c r="CF20" s="28">
        <f t="shared" si="130"/>
        <v>3.6193768966098433E-3</v>
      </c>
      <c r="CG20" s="28">
        <f t="shared" si="130"/>
        <v>3.710882634395844E-3</v>
      </c>
      <c r="CH20" s="28">
        <f t="shared" si="130"/>
        <v>3.6849198101184854E-3</v>
      </c>
      <c r="CI20" s="28">
        <f t="shared" si="130"/>
        <v>3.688941231688639E-3</v>
      </c>
      <c r="CJ20" s="28">
        <f t="shared" si="130"/>
        <v>3.7506277809665235E-3</v>
      </c>
      <c r="CK20" s="28">
        <f t="shared" si="130"/>
        <v>3.6597653460288385E-3</v>
      </c>
      <c r="CL20" s="28">
        <f t="shared" si="130"/>
        <v>3.5255057380171517E-3</v>
      </c>
      <c r="CM20" s="28">
        <f t="shared" si="130"/>
        <v>3.4964077372409423E-3</v>
      </c>
      <c r="CN20" s="28">
        <f t="shared" si="130"/>
        <v>3.5233154517075285E-3</v>
      </c>
      <c r="CO20" s="28">
        <f t="shared" si="130"/>
        <v>3.5816341806787248E-3</v>
      </c>
      <c r="CP20" s="28">
        <f t="shared" si="130"/>
        <v>3.6185760070782573E-3</v>
      </c>
      <c r="CQ20" s="28">
        <f t="shared" si="130"/>
        <v>3.9301247975177039E-3</v>
      </c>
      <c r="CR20" s="28">
        <v>4.0221623476027054E-3</v>
      </c>
      <c r="CS20" s="28">
        <v>4.0945796784179391E-3</v>
      </c>
      <c r="CT20" s="28">
        <v>4.3043992920647626E-3</v>
      </c>
      <c r="CU20" s="28">
        <v>4.4374150977603399E-3</v>
      </c>
      <c r="CV20" s="28">
        <v>4.5584964184367631E-3</v>
      </c>
      <c r="CW20" s="28">
        <v>4.6140621301547094E-3</v>
      </c>
      <c r="CX20" s="28">
        <v>4.85468367196548E-3</v>
      </c>
      <c r="CY20" s="28">
        <v>4.8996804417362396E-3</v>
      </c>
      <c r="CZ20" s="28">
        <v>5.03621328880253E-3</v>
      </c>
      <c r="DA20" s="28">
        <v>5.17105844912442E-3</v>
      </c>
      <c r="DB20" s="28">
        <f t="shared" si="130"/>
        <v>5.1809772882975341E-3</v>
      </c>
      <c r="DC20" s="28">
        <v>5.3390867341228023E-3</v>
      </c>
      <c r="DD20" s="28">
        <v>5.4363724256672602E-3</v>
      </c>
      <c r="DE20" s="28">
        <v>5.3980982835472348E-3</v>
      </c>
      <c r="DF20" s="28">
        <v>5.3713079020860496E-3</v>
      </c>
    </row>
    <row r="21" spans="1:110" x14ac:dyDescent="0.2">
      <c r="A21" s="29"/>
    </row>
    <row r="22" spans="1:110" x14ac:dyDescent="0.2">
      <c r="A22" s="29"/>
    </row>
    <row r="23" spans="1:110" x14ac:dyDescent="0.2">
      <c r="A23" s="29"/>
    </row>
    <row r="24" spans="1:110" x14ac:dyDescent="0.2">
      <c r="A24" s="29"/>
    </row>
    <row r="25" spans="1:110" x14ac:dyDescent="0.2">
      <c r="A25" s="29"/>
    </row>
    <row r="26" spans="1:110" x14ac:dyDescent="0.2">
      <c r="A26" s="29"/>
    </row>
    <row r="27" spans="1:110" x14ac:dyDescent="0.2">
      <c r="A27" s="29"/>
    </row>
    <row r="28" spans="1:110" x14ac:dyDescent="0.2">
      <c r="A28" s="29"/>
    </row>
    <row r="29" spans="1:110" x14ac:dyDescent="0.2">
      <c r="A29" s="29"/>
    </row>
    <row r="30" spans="1:110" x14ac:dyDescent="0.2">
      <c r="A30" s="29"/>
    </row>
    <row r="31" spans="1:110" x14ac:dyDescent="0.2">
      <c r="A31" s="29"/>
    </row>
    <row r="32" spans="1:110" x14ac:dyDescent="0.2">
      <c r="A32" s="29"/>
    </row>
    <row r="33" spans="1:1" x14ac:dyDescent="0.2">
      <c r="A33" s="29"/>
    </row>
    <row r="34" spans="1:1" x14ac:dyDescent="0.2">
      <c r="A34" s="29"/>
    </row>
    <row r="35" spans="1:1" x14ac:dyDescent="0.2">
      <c r="A35" s="29"/>
    </row>
    <row r="36" spans="1:1" x14ac:dyDescent="0.2">
      <c r="A36" s="29"/>
    </row>
    <row r="37" spans="1:1" x14ac:dyDescent="0.2">
      <c r="A37" s="29"/>
    </row>
    <row r="38" spans="1:1" x14ac:dyDescent="0.2">
      <c r="A38" s="29"/>
    </row>
    <row r="39" spans="1:1" x14ac:dyDescent="0.2">
      <c r="A39" s="29"/>
    </row>
    <row r="40" spans="1:1" x14ac:dyDescent="0.2">
      <c r="A40" s="29"/>
    </row>
    <row r="41" spans="1:1" x14ac:dyDescent="0.2">
      <c r="A41" s="29"/>
    </row>
    <row r="42" spans="1:1" x14ac:dyDescent="0.2">
      <c r="A42" s="29"/>
    </row>
    <row r="43" spans="1:1" x14ac:dyDescent="0.2">
      <c r="A43" s="29"/>
    </row>
    <row r="44" spans="1:1" x14ac:dyDescent="0.2">
      <c r="A44" s="29"/>
    </row>
    <row r="45" spans="1:1" x14ac:dyDescent="0.2">
      <c r="A45" s="29"/>
    </row>
    <row r="46" spans="1:1" x14ac:dyDescent="0.2">
      <c r="A46" s="29"/>
    </row>
    <row r="47" spans="1:1" x14ac:dyDescent="0.2">
      <c r="A47" s="29"/>
    </row>
    <row r="48" spans="1:1" x14ac:dyDescent="0.2">
      <c r="A48" s="29"/>
    </row>
    <row r="49" spans="1:1" x14ac:dyDescent="0.2">
      <c r="A49" s="29"/>
    </row>
    <row r="50" spans="1:1" x14ac:dyDescent="0.2">
      <c r="A50" s="29"/>
    </row>
    <row r="51" spans="1:1" x14ac:dyDescent="0.2">
      <c r="A51" s="29"/>
    </row>
    <row r="52" spans="1:1" x14ac:dyDescent="0.2">
      <c r="A52" s="29"/>
    </row>
    <row r="53" spans="1:1" x14ac:dyDescent="0.2">
      <c r="A53" s="29"/>
    </row>
    <row r="54" spans="1:1" x14ac:dyDescent="0.2">
      <c r="A54" s="29"/>
    </row>
    <row r="55" spans="1:1" x14ac:dyDescent="0.2">
      <c r="A55" s="29"/>
    </row>
    <row r="56" spans="1:1" x14ac:dyDescent="0.2">
      <c r="A56" s="29"/>
    </row>
    <row r="57" spans="1:1" x14ac:dyDescent="0.2">
      <c r="A57" s="29"/>
    </row>
    <row r="58" spans="1:1" x14ac:dyDescent="0.2">
      <c r="A58" s="29"/>
    </row>
    <row r="59" spans="1:1" x14ac:dyDescent="0.2">
      <c r="A59" s="29"/>
    </row>
    <row r="60" spans="1:1" x14ac:dyDescent="0.2">
      <c r="A60" s="29"/>
    </row>
    <row r="61" spans="1:1" x14ac:dyDescent="0.2">
      <c r="A61" s="29"/>
    </row>
    <row r="62" spans="1:1" x14ac:dyDescent="0.2">
      <c r="A62" s="29"/>
    </row>
    <row r="63" spans="1:1" x14ac:dyDescent="0.2">
      <c r="A63" s="29"/>
    </row>
    <row r="64" spans="1:1" x14ac:dyDescent="0.2">
      <c r="A64" s="29"/>
    </row>
    <row r="65" spans="1:1" x14ac:dyDescent="0.2">
      <c r="A65" s="29"/>
    </row>
    <row r="66" spans="1:1" x14ac:dyDescent="0.2">
      <c r="A66" s="29"/>
    </row>
    <row r="67" spans="1:1" x14ac:dyDescent="0.2">
      <c r="A67" s="29"/>
    </row>
    <row r="68" spans="1:1" x14ac:dyDescent="0.2">
      <c r="A68" s="29"/>
    </row>
    <row r="69" spans="1:1" x14ac:dyDescent="0.2">
      <c r="A69" s="29"/>
    </row>
    <row r="70" spans="1:1" x14ac:dyDescent="0.2">
      <c r="A70" s="29"/>
    </row>
    <row r="71" spans="1:1" x14ac:dyDescent="0.2">
      <c r="A71" s="29"/>
    </row>
    <row r="72" spans="1:1" x14ac:dyDescent="0.2">
      <c r="A72" s="29"/>
    </row>
    <row r="73" spans="1:1" x14ac:dyDescent="0.2">
      <c r="A73" s="29"/>
    </row>
    <row r="74" spans="1:1" x14ac:dyDescent="0.2">
      <c r="A74" s="29"/>
    </row>
    <row r="75" spans="1:1" x14ac:dyDescent="0.2">
      <c r="A75" s="29"/>
    </row>
    <row r="76" spans="1:1" x14ac:dyDescent="0.2">
      <c r="A76" s="29"/>
    </row>
    <row r="77" spans="1:1" x14ac:dyDescent="0.2">
      <c r="A77" s="29"/>
    </row>
    <row r="78" spans="1:1" x14ac:dyDescent="0.2">
      <c r="A78" s="29"/>
    </row>
    <row r="79" spans="1:1" x14ac:dyDescent="0.2">
      <c r="A79" s="29"/>
    </row>
    <row r="80" spans="1:1" x14ac:dyDescent="0.2">
      <c r="A80" s="29"/>
    </row>
    <row r="81" spans="1:1" x14ac:dyDescent="0.2">
      <c r="A81" s="29"/>
    </row>
    <row r="82" spans="1:1" x14ac:dyDescent="0.2">
      <c r="A82" s="29"/>
    </row>
    <row r="83" spans="1:1" x14ac:dyDescent="0.2">
      <c r="A83" s="29"/>
    </row>
    <row r="84" spans="1:1" x14ac:dyDescent="0.2">
      <c r="A84" s="29"/>
    </row>
    <row r="85" spans="1:1" x14ac:dyDescent="0.2">
      <c r="A85" s="29"/>
    </row>
    <row r="86" spans="1:1" x14ac:dyDescent="0.2">
      <c r="A86" s="29"/>
    </row>
    <row r="87" spans="1:1" x14ac:dyDescent="0.2">
      <c r="A87" s="29"/>
    </row>
    <row r="88" spans="1:1" x14ac:dyDescent="0.2">
      <c r="A88" s="29"/>
    </row>
    <row r="89" spans="1:1" x14ac:dyDescent="0.2">
      <c r="A89" s="29"/>
    </row>
    <row r="90" spans="1:1" x14ac:dyDescent="0.2">
      <c r="A90" s="29"/>
    </row>
    <row r="91" spans="1:1" x14ac:dyDescent="0.2">
      <c r="A91" s="29"/>
    </row>
    <row r="92" spans="1:1" x14ac:dyDescent="0.2">
      <c r="A92" s="29"/>
    </row>
    <row r="93" spans="1:1" x14ac:dyDescent="0.2">
      <c r="A93" s="29"/>
    </row>
    <row r="94" spans="1:1" x14ac:dyDescent="0.2">
      <c r="A94" s="29"/>
    </row>
    <row r="95" spans="1:1" x14ac:dyDescent="0.2">
      <c r="A95" s="29"/>
    </row>
    <row r="96" spans="1:1" x14ac:dyDescent="0.2">
      <c r="A96" s="29"/>
    </row>
    <row r="97" spans="1:1" x14ac:dyDescent="0.2">
      <c r="A97" s="29"/>
    </row>
    <row r="98" spans="1:1" x14ac:dyDescent="0.2">
      <c r="A98" s="29"/>
    </row>
    <row r="99" spans="1:1" x14ac:dyDescent="0.2">
      <c r="A99" s="29"/>
    </row>
    <row r="100" spans="1:1" x14ac:dyDescent="0.2">
      <c r="A100" s="29"/>
    </row>
    <row r="101" spans="1:1" x14ac:dyDescent="0.2">
      <c r="A101" s="29"/>
    </row>
    <row r="102" spans="1:1" x14ac:dyDescent="0.2">
      <c r="A102" s="29"/>
    </row>
    <row r="103" spans="1:1" x14ac:dyDescent="0.2">
      <c r="A103" s="29"/>
    </row>
    <row r="104" spans="1:1" x14ac:dyDescent="0.2">
      <c r="A104" s="29"/>
    </row>
    <row r="105" spans="1:1" x14ac:dyDescent="0.2">
      <c r="A105" s="29"/>
    </row>
    <row r="106" spans="1:1" x14ac:dyDescent="0.2">
      <c r="A106" s="29"/>
    </row>
    <row r="107" spans="1:1" x14ac:dyDescent="0.2">
      <c r="A107" s="29"/>
    </row>
    <row r="108" spans="1:1" x14ac:dyDescent="0.2">
      <c r="A108" s="29"/>
    </row>
    <row r="109" spans="1:1" x14ac:dyDescent="0.2">
      <c r="A109" s="29"/>
    </row>
    <row r="110" spans="1:1" x14ac:dyDescent="0.2">
      <c r="A110" s="29"/>
    </row>
    <row r="111" spans="1:1" x14ac:dyDescent="0.2">
      <c r="A111" s="29"/>
    </row>
    <row r="112" spans="1:1" x14ac:dyDescent="0.2">
      <c r="A112" s="29"/>
    </row>
    <row r="113" spans="1:1" x14ac:dyDescent="0.2">
      <c r="A113" s="29"/>
    </row>
    <row r="114" spans="1:1" x14ac:dyDescent="0.2">
      <c r="A114" s="29"/>
    </row>
    <row r="115" spans="1:1" x14ac:dyDescent="0.2">
      <c r="A115" s="29"/>
    </row>
    <row r="116" spans="1:1" x14ac:dyDescent="0.2">
      <c r="A116" s="29"/>
    </row>
    <row r="117" spans="1:1" x14ac:dyDescent="0.2">
      <c r="A117" s="29"/>
    </row>
    <row r="118" spans="1:1" x14ac:dyDescent="0.2">
      <c r="A118" s="29"/>
    </row>
    <row r="119" spans="1:1" x14ac:dyDescent="0.2">
      <c r="A119" s="29"/>
    </row>
    <row r="120" spans="1:1" x14ac:dyDescent="0.2">
      <c r="A120" s="29"/>
    </row>
    <row r="121" spans="1:1" x14ac:dyDescent="0.2">
      <c r="A121" s="29"/>
    </row>
    <row r="122" spans="1:1" x14ac:dyDescent="0.2">
      <c r="A122" s="29"/>
    </row>
    <row r="123" spans="1:1" x14ac:dyDescent="0.2">
      <c r="A123" s="29"/>
    </row>
    <row r="124" spans="1:1" x14ac:dyDescent="0.2">
      <c r="A124" s="29"/>
    </row>
    <row r="125" spans="1:1" x14ac:dyDescent="0.2">
      <c r="A125" s="29"/>
    </row>
    <row r="126" spans="1:1" x14ac:dyDescent="0.2">
      <c r="A126" s="29"/>
    </row>
    <row r="127" spans="1:1" x14ac:dyDescent="0.2">
      <c r="A127" s="29"/>
    </row>
    <row r="128" spans="1:1" x14ac:dyDescent="0.2">
      <c r="A128" s="29"/>
    </row>
    <row r="129" spans="1:1" x14ac:dyDescent="0.2">
      <c r="A129" s="29"/>
    </row>
    <row r="130" spans="1:1" x14ac:dyDescent="0.2">
      <c r="A130" s="29"/>
    </row>
    <row r="131" spans="1:1" x14ac:dyDescent="0.2">
      <c r="A131" s="29"/>
    </row>
    <row r="132" spans="1:1" x14ac:dyDescent="0.2">
      <c r="A132" s="29"/>
    </row>
    <row r="133" spans="1:1" x14ac:dyDescent="0.2">
      <c r="A133" s="29"/>
    </row>
    <row r="134" spans="1:1" x14ac:dyDescent="0.2">
      <c r="A134" s="29"/>
    </row>
    <row r="135" spans="1:1" x14ac:dyDescent="0.2">
      <c r="A135" s="29"/>
    </row>
    <row r="136" spans="1:1" x14ac:dyDescent="0.2">
      <c r="A136" s="29"/>
    </row>
    <row r="137" spans="1:1" x14ac:dyDescent="0.2">
      <c r="A137" s="29"/>
    </row>
    <row r="138" spans="1:1" x14ac:dyDescent="0.2">
      <c r="A138" s="29"/>
    </row>
    <row r="139" spans="1:1" x14ac:dyDescent="0.2">
      <c r="A139" s="29"/>
    </row>
    <row r="140" spans="1:1" x14ac:dyDescent="0.2">
      <c r="A140" s="29"/>
    </row>
    <row r="141" spans="1:1" x14ac:dyDescent="0.2">
      <c r="A141" s="29"/>
    </row>
    <row r="142" spans="1:1" x14ac:dyDescent="0.2">
      <c r="A142" s="29"/>
    </row>
    <row r="143" spans="1:1" x14ac:dyDescent="0.2">
      <c r="A143" s="29"/>
    </row>
    <row r="144" spans="1:1" x14ac:dyDescent="0.2">
      <c r="A144" s="29"/>
    </row>
    <row r="145" spans="1:1" x14ac:dyDescent="0.2">
      <c r="A145" s="29"/>
    </row>
    <row r="146" spans="1:1" x14ac:dyDescent="0.2">
      <c r="A146" s="29"/>
    </row>
    <row r="147" spans="1:1" x14ac:dyDescent="0.2">
      <c r="A147" s="29"/>
    </row>
    <row r="148" spans="1:1" x14ac:dyDescent="0.2">
      <c r="A148" s="29"/>
    </row>
    <row r="149" spans="1:1" x14ac:dyDescent="0.2">
      <c r="A149" s="29"/>
    </row>
    <row r="150" spans="1:1" x14ac:dyDescent="0.2">
      <c r="A150" s="29"/>
    </row>
    <row r="151" spans="1:1" x14ac:dyDescent="0.2">
      <c r="A151" s="29"/>
    </row>
    <row r="152" spans="1:1" x14ac:dyDescent="0.2">
      <c r="A152" s="29"/>
    </row>
    <row r="153" spans="1:1" x14ac:dyDescent="0.2">
      <c r="A153" s="29"/>
    </row>
    <row r="154" spans="1:1" x14ac:dyDescent="0.2">
      <c r="A154" s="29"/>
    </row>
    <row r="155" spans="1:1" x14ac:dyDescent="0.2">
      <c r="A155" s="29"/>
    </row>
    <row r="156" spans="1:1" x14ac:dyDescent="0.2">
      <c r="A156" s="29"/>
    </row>
    <row r="157" spans="1:1" x14ac:dyDescent="0.2">
      <c r="A157" s="29"/>
    </row>
    <row r="158" spans="1:1" x14ac:dyDescent="0.2">
      <c r="A158" s="29"/>
    </row>
    <row r="159" spans="1:1" x14ac:dyDescent="0.2">
      <c r="A159" s="29"/>
    </row>
    <row r="160" spans="1:1" x14ac:dyDescent="0.2">
      <c r="A160" s="29"/>
    </row>
    <row r="161" spans="1:1" x14ac:dyDescent="0.2">
      <c r="A161" s="29"/>
    </row>
    <row r="162" spans="1:1" x14ac:dyDescent="0.2">
      <c r="A162" s="29"/>
    </row>
    <row r="163" spans="1:1" x14ac:dyDescent="0.2">
      <c r="A163" s="29"/>
    </row>
    <row r="164" spans="1:1" x14ac:dyDescent="0.2">
      <c r="A164" s="29"/>
    </row>
    <row r="165" spans="1:1" x14ac:dyDescent="0.2">
      <c r="A165" s="29"/>
    </row>
    <row r="166" spans="1:1" x14ac:dyDescent="0.2">
      <c r="A166" s="29"/>
    </row>
    <row r="167" spans="1:1" x14ac:dyDescent="0.2">
      <c r="A167" s="29"/>
    </row>
    <row r="168" spans="1:1" x14ac:dyDescent="0.2">
      <c r="A168" s="29"/>
    </row>
    <row r="169" spans="1:1" x14ac:dyDescent="0.2">
      <c r="A169" s="29"/>
    </row>
    <row r="170" spans="1:1" x14ac:dyDescent="0.2">
      <c r="A170" s="29"/>
    </row>
    <row r="171" spans="1:1" x14ac:dyDescent="0.2">
      <c r="A171" s="29"/>
    </row>
    <row r="172" spans="1:1" x14ac:dyDescent="0.2">
      <c r="A172" s="29"/>
    </row>
    <row r="173" spans="1:1" x14ac:dyDescent="0.2">
      <c r="A173" s="29"/>
    </row>
    <row r="174" spans="1:1" x14ac:dyDescent="0.2">
      <c r="A174" s="29"/>
    </row>
    <row r="175" spans="1:1" x14ac:dyDescent="0.2">
      <c r="A175" s="29"/>
    </row>
    <row r="176" spans="1:1" x14ac:dyDescent="0.2">
      <c r="A176" s="29"/>
    </row>
    <row r="177" spans="1:1" x14ac:dyDescent="0.2">
      <c r="A177" s="29"/>
    </row>
    <row r="178" spans="1:1" x14ac:dyDescent="0.2">
      <c r="A178" s="29"/>
    </row>
    <row r="179" spans="1:1" x14ac:dyDescent="0.2">
      <c r="A179" s="29"/>
    </row>
    <row r="180" spans="1:1" x14ac:dyDescent="0.2">
      <c r="A180" s="29"/>
    </row>
    <row r="181" spans="1:1" x14ac:dyDescent="0.2">
      <c r="A181" s="29"/>
    </row>
    <row r="182" spans="1:1" x14ac:dyDescent="0.2">
      <c r="A182" s="29"/>
    </row>
    <row r="183" spans="1:1" x14ac:dyDescent="0.2">
      <c r="A183" s="29"/>
    </row>
    <row r="184" spans="1:1" x14ac:dyDescent="0.2">
      <c r="A184" s="29"/>
    </row>
    <row r="185" spans="1:1" x14ac:dyDescent="0.2">
      <c r="A185" s="29"/>
    </row>
    <row r="186" spans="1:1" x14ac:dyDescent="0.2">
      <c r="A186" s="29"/>
    </row>
    <row r="187" spans="1:1" x14ac:dyDescent="0.2">
      <c r="A187" s="29"/>
    </row>
    <row r="188" spans="1:1" x14ac:dyDescent="0.2">
      <c r="A188" s="29"/>
    </row>
    <row r="189" spans="1:1" x14ac:dyDescent="0.2">
      <c r="A189" s="29"/>
    </row>
    <row r="190" spans="1:1" x14ac:dyDescent="0.2">
      <c r="A190" s="29"/>
    </row>
    <row r="191" spans="1:1" x14ac:dyDescent="0.2">
      <c r="A191" s="29"/>
    </row>
    <row r="192" spans="1:1" x14ac:dyDescent="0.2">
      <c r="A192" s="29"/>
    </row>
    <row r="193" spans="1:1" x14ac:dyDescent="0.2">
      <c r="A193" s="29"/>
    </row>
    <row r="194" spans="1:1" x14ac:dyDescent="0.2">
      <c r="A194" s="29"/>
    </row>
    <row r="195" spans="1:1" x14ac:dyDescent="0.2">
      <c r="A195" s="29"/>
    </row>
    <row r="196" spans="1:1" x14ac:dyDescent="0.2">
      <c r="A196" s="29"/>
    </row>
    <row r="197" spans="1:1" x14ac:dyDescent="0.2">
      <c r="A197" s="29"/>
    </row>
    <row r="198" spans="1:1" x14ac:dyDescent="0.2">
      <c r="A198" s="29"/>
    </row>
    <row r="199" spans="1:1" x14ac:dyDescent="0.2">
      <c r="A199" s="29"/>
    </row>
    <row r="200" spans="1:1" x14ac:dyDescent="0.2">
      <c r="A200" s="29"/>
    </row>
    <row r="201" spans="1:1" x14ac:dyDescent="0.2">
      <c r="A201" s="29"/>
    </row>
    <row r="202" spans="1:1" x14ac:dyDescent="0.2">
      <c r="A202" s="29"/>
    </row>
    <row r="203" spans="1:1" x14ac:dyDescent="0.2">
      <c r="A203" s="29"/>
    </row>
    <row r="204" spans="1:1" x14ac:dyDescent="0.2">
      <c r="A204" s="29"/>
    </row>
    <row r="205" spans="1:1" x14ac:dyDescent="0.2">
      <c r="A205" s="29"/>
    </row>
    <row r="206" spans="1:1" x14ac:dyDescent="0.2">
      <c r="A206" s="29"/>
    </row>
    <row r="207" spans="1:1" x14ac:dyDescent="0.2">
      <c r="A207" s="29"/>
    </row>
    <row r="208" spans="1:1" x14ac:dyDescent="0.2">
      <c r="A208" s="29"/>
    </row>
    <row r="209" spans="1:1" x14ac:dyDescent="0.2">
      <c r="A209" s="29"/>
    </row>
    <row r="210" spans="1:1" x14ac:dyDescent="0.2">
      <c r="A210" s="29"/>
    </row>
    <row r="211" spans="1:1" x14ac:dyDescent="0.2">
      <c r="A211" s="29"/>
    </row>
    <row r="212" spans="1:1" x14ac:dyDescent="0.2">
      <c r="A212" s="29"/>
    </row>
    <row r="213" spans="1:1" x14ac:dyDescent="0.2">
      <c r="A213" s="29"/>
    </row>
    <row r="214" spans="1:1" x14ac:dyDescent="0.2">
      <c r="A214" s="29"/>
    </row>
    <row r="215" spans="1:1" x14ac:dyDescent="0.2">
      <c r="A215" s="29"/>
    </row>
    <row r="216" spans="1:1" x14ac:dyDescent="0.2">
      <c r="A216" s="29"/>
    </row>
    <row r="217" spans="1:1" x14ac:dyDescent="0.2">
      <c r="A217" s="29"/>
    </row>
    <row r="218" spans="1:1" x14ac:dyDescent="0.2">
      <c r="A218" s="29"/>
    </row>
    <row r="219" spans="1:1" x14ac:dyDescent="0.2">
      <c r="A219" s="29"/>
    </row>
    <row r="220" spans="1:1" x14ac:dyDescent="0.2">
      <c r="A220" s="29"/>
    </row>
    <row r="221" spans="1:1" x14ac:dyDescent="0.2">
      <c r="A221" s="29"/>
    </row>
    <row r="222" spans="1:1" x14ac:dyDescent="0.2">
      <c r="A222" s="29"/>
    </row>
    <row r="223" spans="1:1" x14ac:dyDescent="0.2">
      <c r="A223" s="29"/>
    </row>
    <row r="224" spans="1:1" x14ac:dyDescent="0.2">
      <c r="A224" s="29"/>
    </row>
    <row r="225" spans="1:1" x14ac:dyDescent="0.2">
      <c r="A225" s="29"/>
    </row>
    <row r="226" spans="1:1" x14ac:dyDescent="0.2">
      <c r="A226" s="29"/>
    </row>
    <row r="227" spans="1:1" x14ac:dyDescent="0.2">
      <c r="A227" s="29"/>
    </row>
    <row r="228" spans="1:1" x14ac:dyDescent="0.2">
      <c r="A228" s="29"/>
    </row>
    <row r="229" spans="1:1" x14ac:dyDescent="0.2">
      <c r="A229" s="29"/>
    </row>
    <row r="230" spans="1:1" x14ac:dyDescent="0.2">
      <c r="A230" s="29"/>
    </row>
    <row r="231" spans="1:1" x14ac:dyDescent="0.2">
      <c r="A231" s="29"/>
    </row>
    <row r="232" spans="1:1" x14ac:dyDescent="0.2">
      <c r="A232" s="29"/>
    </row>
    <row r="233" spans="1:1" x14ac:dyDescent="0.2">
      <c r="A233" s="29"/>
    </row>
    <row r="234" spans="1:1" x14ac:dyDescent="0.2">
      <c r="A234" s="29"/>
    </row>
    <row r="235" spans="1:1" x14ac:dyDescent="0.2">
      <c r="A235" s="29"/>
    </row>
    <row r="236" spans="1:1" x14ac:dyDescent="0.2">
      <c r="A236" s="29"/>
    </row>
    <row r="237" spans="1:1" x14ac:dyDescent="0.2">
      <c r="A237" s="29"/>
    </row>
    <row r="238" spans="1:1" x14ac:dyDescent="0.2">
      <c r="A238" s="29"/>
    </row>
    <row r="239" spans="1:1" x14ac:dyDescent="0.2">
      <c r="A239" s="29"/>
    </row>
    <row r="240" spans="1:1" x14ac:dyDescent="0.2">
      <c r="A240" s="29"/>
    </row>
    <row r="241" spans="1:1" x14ac:dyDescent="0.2">
      <c r="A241" s="29"/>
    </row>
    <row r="242" spans="1:1" x14ac:dyDescent="0.2">
      <c r="A242" s="29"/>
    </row>
    <row r="243" spans="1:1" x14ac:dyDescent="0.2">
      <c r="A243" s="29"/>
    </row>
    <row r="244" spans="1:1" x14ac:dyDescent="0.2">
      <c r="A244" s="29"/>
    </row>
    <row r="245" spans="1:1" x14ac:dyDescent="0.2">
      <c r="A245" s="29"/>
    </row>
    <row r="246" spans="1:1" x14ac:dyDescent="0.2">
      <c r="A246" s="29"/>
    </row>
    <row r="247" spans="1:1" x14ac:dyDescent="0.2">
      <c r="A247" s="29"/>
    </row>
    <row r="248" spans="1:1" x14ac:dyDescent="0.2">
      <c r="A248" s="29"/>
    </row>
    <row r="249" spans="1:1" x14ac:dyDescent="0.2">
      <c r="A249" s="29"/>
    </row>
    <row r="250" spans="1:1" x14ac:dyDescent="0.2">
      <c r="A250" s="29"/>
    </row>
    <row r="251" spans="1:1" x14ac:dyDescent="0.2">
      <c r="A251" s="29"/>
    </row>
    <row r="252" spans="1:1" x14ac:dyDescent="0.2">
      <c r="A252" s="29"/>
    </row>
    <row r="253" spans="1:1" x14ac:dyDescent="0.2">
      <c r="A253" s="29"/>
    </row>
    <row r="254" spans="1:1" x14ac:dyDescent="0.2">
      <c r="A254" s="29"/>
    </row>
    <row r="255" spans="1:1" x14ac:dyDescent="0.2">
      <c r="A255" s="29"/>
    </row>
    <row r="256" spans="1:1" x14ac:dyDescent="0.2">
      <c r="A256" s="29"/>
    </row>
    <row r="257" spans="1:1" x14ac:dyDescent="0.2">
      <c r="A257" s="29"/>
    </row>
    <row r="258" spans="1:1" x14ac:dyDescent="0.2">
      <c r="A258" s="29"/>
    </row>
    <row r="259" spans="1:1" x14ac:dyDescent="0.2">
      <c r="A259" s="29"/>
    </row>
    <row r="260" spans="1:1" x14ac:dyDescent="0.2">
      <c r="A260" s="29"/>
    </row>
    <row r="261" spans="1:1" x14ac:dyDescent="0.2">
      <c r="A261" s="29"/>
    </row>
    <row r="262" spans="1:1" x14ac:dyDescent="0.2">
      <c r="A262" s="29"/>
    </row>
    <row r="263" spans="1:1" x14ac:dyDescent="0.2">
      <c r="A263" s="29"/>
    </row>
    <row r="264" spans="1:1" x14ac:dyDescent="0.2">
      <c r="A264" s="29"/>
    </row>
    <row r="265" spans="1:1" x14ac:dyDescent="0.2">
      <c r="A265" s="29"/>
    </row>
    <row r="266" spans="1:1" x14ac:dyDescent="0.2">
      <c r="A266" s="29"/>
    </row>
    <row r="267" spans="1:1" x14ac:dyDescent="0.2">
      <c r="A267" s="29"/>
    </row>
    <row r="268" spans="1:1" x14ac:dyDescent="0.2">
      <c r="A268" s="29"/>
    </row>
    <row r="269" spans="1:1" x14ac:dyDescent="0.2">
      <c r="A269" s="29"/>
    </row>
    <row r="270" spans="1:1" x14ac:dyDescent="0.2">
      <c r="A270" s="29"/>
    </row>
    <row r="271" spans="1:1" x14ac:dyDescent="0.2">
      <c r="A271" s="29"/>
    </row>
    <row r="272" spans="1:1" x14ac:dyDescent="0.2">
      <c r="A272" s="29"/>
    </row>
    <row r="273" spans="1:1" x14ac:dyDescent="0.2">
      <c r="A273" s="29"/>
    </row>
    <row r="274" spans="1:1" x14ac:dyDescent="0.2">
      <c r="A274" s="29"/>
    </row>
    <row r="275" spans="1:1" x14ac:dyDescent="0.2">
      <c r="A275" s="29"/>
    </row>
    <row r="276" spans="1:1" x14ac:dyDescent="0.2">
      <c r="A276" s="29"/>
    </row>
    <row r="277" spans="1:1" x14ac:dyDescent="0.2">
      <c r="A277" s="29"/>
    </row>
    <row r="278" spans="1:1" x14ac:dyDescent="0.2">
      <c r="A278" s="29"/>
    </row>
    <row r="279" spans="1:1" x14ac:dyDescent="0.2">
      <c r="A279" s="29"/>
    </row>
    <row r="280" spans="1:1" x14ac:dyDescent="0.2">
      <c r="A280" s="29"/>
    </row>
    <row r="281" spans="1:1" x14ac:dyDescent="0.2">
      <c r="A281" s="29"/>
    </row>
    <row r="282" spans="1:1" x14ac:dyDescent="0.2">
      <c r="A282" s="29"/>
    </row>
    <row r="283" spans="1:1" x14ac:dyDescent="0.2">
      <c r="A283" s="29"/>
    </row>
    <row r="284" spans="1:1" x14ac:dyDescent="0.2">
      <c r="A284" s="29"/>
    </row>
    <row r="285" spans="1:1" x14ac:dyDescent="0.2">
      <c r="A285" s="29"/>
    </row>
    <row r="286" spans="1:1" x14ac:dyDescent="0.2">
      <c r="A286" s="29"/>
    </row>
    <row r="287" spans="1:1" x14ac:dyDescent="0.2">
      <c r="A287" s="29"/>
    </row>
    <row r="288" spans="1:1" x14ac:dyDescent="0.2">
      <c r="A288" s="29"/>
    </row>
    <row r="289" spans="1:1" x14ac:dyDescent="0.2">
      <c r="A289" s="29"/>
    </row>
    <row r="290" spans="1:1" x14ac:dyDescent="0.2">
      <c r="A290" s="29"/>
    </row>
    <row r="291" spans="1:1" x14ac:dyDescent="0.2">
      <c r="A291" s="29"/>
    </row>
    <row r="292" spans="1:1" x14ac:dyDescent="0.2">
      <c r="A292" s="29"/>
    </row>
    <row r="293" spans="1:1" x14ac:dyDescent="0.2">
      <c r="A293" s="29"/>
    </row>
    <row r="294" spans="1:1" x14ac:dyDescent="0.2">
      <c r="A294" s="29"/>
    </row>
    <row r="295" spans="1:1" x14ac:dyDescent="0.2">
      <c r="A295" s="29"/>
    </row>
    <row r="296" spans="1:1" x14ac:dyDescent="0.2">
      <c r="A296" s="29"/>
    </row>
    <row r="297" spans="1:1" x14ac:dyDescent="0.2">
      <c r="A297" s="29"/>
    </row>
    <row r="298" spans="1:1" x14ac:dyDescent="0.2">
      <c r="A298" s="29"/>
    </row>
    <row r="299" spans="1:1" x14ac:dyDescent="0.2">
      <c r="A299" s="29"/>
    </row>
    <row r="300" spans="1:1" x14ac:dyDescent="0.2">
      <c r="A300" s="29"/>
    </row>
    <row r="301" spans="1:1" x14ac:dyDescent="0.2">
      <c r="A301" s="29"/>
    </row>
    <row r="302" spans="1:1" x14ac:dyDescent="0.2">
      <c r="A302" s="29"/>
    </row>
    <row r="303" spans="1:1" x14ac:dyDescent="0.2">
      <c r="A303" s="29"/>
    </row>
    <row r="304" spans="1:1" x14ac:dyDescent="0.2">
      <c r="A304" s="29"/>
    </row>
    <row r="305" spans="1:1" x14ac:dyDescent="0.2">
      <c r="A305" s="29"/>
    </row>
    <row r="306" spans="1:1" x14ac:dyDescent="0.2">
      <c r="A306" s="29"/>
    </row>
    <row r="307" spans="1:1" x14ac:dyDescent="0.2">
      <c r="A307" s="29"/>
    </row>
    <row r="308" spans="1:1" x14ac:dyDescent="0.2">
      <c r="A308" s="29"/>
    </row>
    <row r="309" spans="1:1" x14ac:dyDescent="0.2">
      <c r="A309" s="29"/>
    </row>
    <row r="310" spans="1:1" x14ac:dyDescent="0.2">
      <c r="A310" s="29"/>
    </row>
    <row r="311" spans="1:1" x14ac:dyDescent="0.2">
      <c r="A311" s="29"/>
    </row>
    <row r="312" spans="1:1" x14ac:dyDescent="0.2">
      <c r="A312" s="29"/>
    </row>
    <row r="313" spans="1:1" x14ac:dyDescent="0.2">
      <c r="A313" s="29"/>
    </row>
    <row r="314" spans="1:1" x14ac:dyDescent="0.2">
      <c r="A314" s="29"/>
    </row>
    <row r="315" spans="1:1" x14ac:dyDescent="0.2">
      <c r="A315" s="29"/>
    </row>
    <row r="316" spans="1:1" x14ac:dyDescent="0.2">
      <c r="A316" s="29"/>
    </row>
    <row r="317" spans="1:1" x14ac:dyDescent="0.2">
      <c r="A317" s="29"/>
    </row>
    <row r="318" spans="1:1" x14ac:dyDescent="0.2">
      <c r="A318" s="29"/>
    </row>
    <row r="319" spans="1:1" x14ac:dyDescent="0.2">
      <c r="A319" s="29"/>
    </row>
    <row r="320" spans="1:1" x14ac:dyDescent="0.2">
      <c r="A320" s="29"/>
    </row>
    <row r="321" spans="1:1" x14ac:dyDescent="0.2">
      <c r="A321" s="29"/>
    </row>
    <row r="322" spans="1:1" x14ac:dyDescent="0.2">
      <c r="A322" s="29"/>
    </row>
    <row r="323" spans="1:1" x14ac:dyDescent="0.2">
      <c r="A323" s="29"/>
    </row>
    <row r="324" spans="1:1" x14ac:dyDescent="0.2">
      <c r="A324" s="29"/>
    </row>
    <row r="325" spans="1:1" x14ac:dyDescent="0.2">
      <c r="A325" s="29"/>
    </row>
    <row r="326" spans="1:1" x14ac:dyDescent="0.2">
      <c r="A326" s="29"/>
    </row>
    <row r="327" spans="1:1" x14ac:dyDescent="0.2">
      <c r="A327" s="29"/>
    </row>
    <row r="328" spans="1:1" x14ac:dyDescent="0.2">
      <c r="A328" s="29"/>
    </row>
    <row r="329" spans="1:1" x14ac:dyDescent="0.2">
      <c r="A329" s="29"/>
    </row>
    <row r="330" spans="1:1" x14ac:dyDescent="0.2">
      <c r="A330" s="29"/>
    </row>
    <row r="331" spans="1:1" x14ac:dyDescent="0.2">
      <c r="A331" s="29"/>
    </row>
    <row r="332" spans="1:1" x14ac:dyDescent="0.2">
      <c r="A332" s="29"/>
    </row>
    <row r="333" spans="1:1" x14ac:dyDescent="0.2">
      <c r="A333" s="29"/>
    </row>
    <row r="334" spans="1:1" x14ac:dyDescent="0.2">
      <c r="A334" s="29"/>
    </row>
    <row r="335" spans="1:1" x14ac:dyDescent="0.2">
      <c r="A335" s="29"/>
    </row>
    <row r="336" spans="1:1" x14ac:dyDescent="0.2">
      <c r="A336" s="29"/>
    </row>
    <row r="337" spans="1:1" x14ac:dyDescent="0.2">
      <c r="A337" s="29"/>
    </row>
    <row r="338" spans="1:1" x14ac:dyDescent="0.2">
      <c r="A338" s="29"/>
    </row>
    <row r="339" spans="1:1" x14ac:dyDescent="0.2">
      <c r="A339" s="29"/>
    </row>
    <row r="340" spans="1:1" x14ac:dyDescent="0.2">
      <c r="A340" s="29"/>
    </row>
    <row r="341" spans="1:1" x14ac:dyDescent="0.2">
      <c r="A341" s="29"/>
    </row>
    <row r="342" spans="1:1" x14ac:dyDescent="0.2">
      <c r="A342" s="29"/>
    </row>
    <row r="343" spans="1:1" x14ac:dyDescent="0.2">
      <c r="A343" s="29"/>
    </row>
    <row r="344" spans="1:1" x14ac:dyDescent="0.2">
      <c r="A344" s="29"/>
    </row>
    <row r="345" spans="1:1" x14ac:dyDescent="0.2">
      <c r="A345" s="29"/>
    </row>
    <row r="346" spans="1:1" x14ac:dyDescent="0.2">
      <c r="A346" s="29"/>
    </row>
    <row r="347" spans="1:1" x14ac:dyDescent="0.2">
      <c r="A347" s="29"/>
    </row>
    <row r="348" spans="1:1" x14ac:dyDescent="0.2">
      <c r="A348" s="29"/>
    </row>
    <row r="349" spans="1:1" x14ac:dyDescent="0.2">
      <c r="A349" s="29"/>
    </row>
    <row r="350" spans="1:1" x14ac:dyDescent="0.2">
      <c r="A350" s="29"/>
    </row>
    <row r="351" spans="1:1" x14ac:dyDescent="0.2">
      <c r="A351" s="29"/>
    </row>
    <row r="352" spans="1:1" x14ac:dyDescent="0.2">
      <c r="A352" s="29"/>
    </row>
    <row r="353" spans="1:1" x14ac:dyDescent="0.2">
      <c r="A353" s="29"/>
    </row>
    <row r="354" spans="1:1" x14ac:dyDescent="0.2">
      <c r="A354" s="29"/>
    </row>
    <row r="355" spans="1:1" x14ac:dyDescent="0.2">
      <c r="A355" s="29"/>
    </row>
    <row r="356" spans="1:1" x14ac:dyDescent="0.2">
      <c r="A356" s="29"/>
    </row>
    <row r="357" spans="1:1" x14ac:dyDescent="0.2">
      <c r="A357" s="29"/>
    </row>
    <row r="358" spans="1:1" x14ac:dyDescent="0.2">
      <c r="A358" s="29"/>
    </row>
    <row r="359" spans="1:1" x14ac:dyDescent="0.2">
      <c r="A359" s="29"/>
    </row>
    <row r="360" spans="1:1" x14ac:dyDescent="0.2">
      <c r="A360" s="29"/>
    </row>
    <row r="361" spans="1:1" x14ac:dyDescent="0.2">
      <c r="A361" s="29"/>
    </row>
    <row r="362" spans="1:1" x14ac:dyDescent="0.2">
      <c r="A362" s="29"/>
    </row>
    <row r="363" spans="1:1" x14ac:dyDescent="0.2">
      <c r="A363" s="29"/>
    </row>
    <row r="364" spans="1:1" x14ac:dyDescent="0.2">
      <c r="A364" s="29"/>
    </row>
    <row r="365" spans="1:1" x14ac:dyDescent="0.2">
      <c r="A365" s="29"/>
    </row>
    <row r="366" spans="1:1" x14ac:dyDescent="0.2">
      <c r="A366" s="29"/>
    </row>
    <row r="367" spans="1:1" x14ac:dyDescent="0.2">
      <c r="A367" s="29"/>
    </row>
    <row r="368" spans="1:1" x14ac:dyDescent="0.2">
      <c r="A368" s="29"/>
    </row>
    <row r="369" spans="1:1" x14ac:dyDescent="0.2">
      <c r="A369" s="29"/>
    </row>
    <row r="370" spans="1:1" x14ac:dyDescent="0.2">
      <c r="A370" s="29"/>
    </row>
    <row r="371" spans="1:1" x14ac:dyDescent="0.2">
      <c r="A371" s="29"/>
    </row>
    <row r="372" spans="1:1" x14ac:dyDescent="0.2">
      <c r="A372" s="29"/>
    </row>
    <row r="373" spans="1:1" x14ac:dyDescent="0.2">
      <c r="A373" s="29"/>
    </row>
    <row r="374" spans="1:1" x14ac:dyDescent="0.2">
      <c r="A374" s="29"/>
    </row>
    <row r="375" spans="1:1" x14ac:dyDescent="0.2">
      <c r="A375" s="29"/>
    </row>
    <row r="376" spans="1:1" x14ac:dyDescent="0.2">
      <c r="A376" s="29"/>
    </row>
    <row r="377" spans="1:1" x14ac:dyDescent="0.2">
      <c r="A377" s="29"/>
    </row>
    <row r="378" spans="1:1" x14ac:dyDescent="0.2">
      <c r="A378" s="29"/>
    </row>
    <row r="379" spans="1:1" x14ac:dyDescent="0.2">
      <c r="A379" s="29"/>
    </row>
    <row r="380" spans="1:1" x14ac:dyDescent="0.2">
      <c r="A380" s="29"/>
    </row>
    <row r="381" spans="1:1" x14ac:dyDescent="0.2">
      <c r="A381" s="29"/>
    </row>
    <row r="382" spans="1:1" x14ac:dyDescent="0.2">
      <c r="A382" s="29"/>
    </row>
    <row r="383" spans="1:1" x14ac:dyDescent="0.2">
      <c r="A383" s="29"/>
    </row>
    <row r="384" spans="1:1" x14ac:dyDescent="0.2">
      <c r="A384" s="29"/>
    </row>
    <row r="385" spans="1:1" x14ac:dyDescent="0.2">
      <c r="A385" s="29"/>
    </row>
    <row r="386" spans="1:1" x14ac:dyDescent="0.2">
      <c r="A386" s="29"/>
    </row>
    <row r="387" spans="1:1" x14ac:dyDescent="0.2">
      <c r="A387" s="29"/>
    </row>
    <row r="388" spans="1:1" x14ac:dyDescent="0.2">
      <c r="A388" s="29"/>
    </row>
    <row r="389" spans="1:1" x14ac:dyDescent="0.2">
      <c r="A389" s="29"/>
    </row>
    <row r="390" spans="1:1" x14ac:dyDescent="0.2">
      <c r="A390" s="29"/>
    </row>
    <row r="391" spans="1:1" x14ac:dyDescent="0.2">
      <c r="A391" s="29"/>
    </row>
    <row r="392" spans="1:1" x14ac:dyDescent="0.2">
      <c r="A392" s="29"/>
    </row>
    <row r="393" spans="1:1" x14ac:dyDescent="0.2">
      <c r="A393" s="29"/>
    </row>
    <row r="394" spans="1:1" x14ac:dyDescent="0.2">
      <c r="A394" s="29"/>
    </row>
    <row r="395" spans="1:1" x14ac:dyDescent="0.2">
      <c r="A395" s="29"/>
    </row>
    <row r="396" spans="1:1" x14ac:dyDescent="0.2">
      <c r="A396" s="29"/>
    </row>
    <row r="397" spans="1:1" x14ac:dyDescent="0.2">
      <c r="A397" s="29"/>
    </row>
    <row r="398" spans="1:1" x14ac:dyDescent="0.2">
      <c r="A398" s="29"/>
    </row>
    <row r="399" spans="1:1" x14ac:dyDescent="0.2">
      <c r="A399" s="29"/>
    </row>
    <row r="400" spans="1:1" x14ac:dyDescent="0.2">
      <c r="A400" s="29"/>
    </row>
    <row r="401" spans="1:1" x14ac:dyDescent="0.2">
      <c r="A401" s="29"/>
    </row>
    <row r="402" spans="1:1" x14ac:dyDescent="0.2">
      <c r="A402" s="29"/>
    </row>
    <row r="403" spans="1:1" x14ac:dyDescent="0.2">
      <c r="A403" s="29"/>
    </row>
    <row r="404" spans="1:1" x14ac:dyDescent="0.2">
      <c r="A404" s="29"/>
    </row>
    <row r="405" spans="1:1" x14ac:dyDescent="0.2">
      <c r="A405" s="29"/>
    </row>
    <row r="406" spans="1:1" x14ac:dyDescent="0.2">
      <c r="A406" s="29"/>
    </row>
    <row r="407" spans="1:1" x14ac:dyDescent="0.2">
      <c r="A407" s="29"/>
    </row>
    <row r="408" spans="1:1" x14ac:dyDescent="0.2">
      <c r="A408" s="29"/>
    </row>
    <row r="409" spans="1:1" x14ac:dyDescent="0.2">
      <c r="A409" s="29"/>
    </row>
    <row r="410" spans="1:1" x14ac:dyDescent="0.2">
      <c r="A410" s="29"/>
    </row>
    <row r="411" spans="1:1" x14ac:dyDescent="0.2">
      <c r="A411" s="29"/>
    </row>
    <row r="412" spans="1:1" x14ac:dyDescent="0.2">
      <c r="A412" s="29"/>
    </row>
    <row r="413" spans="1:1" x14ac:dyDescent="0.2">
      <c r="A413" s="29"/>
    </row>
    <row r="414" spans="1:1" x14ac:dyDescent="0.2">
      <c r="A414" s="29"/>
    </row>
    <row r="415" spans="1:1" x14ac:dyDescent="0.2">
      <c r="A415" s="29"/>
    </row>
    <row r="416" spans="1:1" x14ac:dyDescent="0.2">
      <c r="A416" s="29"/>
    </row>
    <row r="417" spans="1:1" x14ac:dyDescent="0.2">
      <c r="A417" s="29"/>
    </row>
    <row r="418" spans="1:1" x14ac:dyDescent="0.2">
      <c r="A418" s="29"/>
    </row>
    <row r="419" spans="1:1" x14ac:dyDescent="0.2">
      <c r="A419" s="29"/>
    </row>
    <row r="420" spans="1:1" x14ac:dyDescent="0.2">
      <c r="A420" s="29"/>
    </row>
    <row r="421" spans="1:1" x14ac:dyDescent="0.2">
      <c r="A421" s="29"/>
    </row>
    <row r="422" spans="1:1" x14ac:dyDescent="0.2">
      <c r="A422" s="29"/>
    </row>
    <row r="423" spans="1:1" x14ac:dyDescent="0.2">
      <c r="A423" s="29"/>
    </row>
    <row r="424" spans="1:1" x14ac:dyDescent="0.2">
      <c r="A424" s="29"/>
    </row>
    <row r="425" spans="1:1" x14ac:dyDescent="0.2">
      <c r="A425" s="29"/>
    </row>
    <row r="426" spans="1:1" x14ac:dyDescent="0.2">
      <c r="A426" s="29"/>
    </row>
    <row r="427" spans="1:1" x14ac:dyDescent="0.2">
      <c r="A427" s="29"/>
    </row>
    <row r="428" spans="1:1" x14ac:dyDescent="0.2">
      <c r="A428" s="29"/>
    </row>
    <row r="429" spans="1:1" x14ac:dyDescent="0.2">
      <c r="A429" s="29"/>
    </row>
    <row r="430" spans="1:1" x14ac:dyDescent="0.2">
      <c r="A430" s="29"/>
    </row>
    <row r="431" spans="1:1" x14ac:dyDescent="0.2">
      <c r="A431" s="29"/>
    </row>
    <row r="432" spans="1:1" x14ac:dyDescent="0.2">
      <c r="A432" s="29"/>
    </row>
    <row r="433" spans="1:1" x14ac:dyDescent="0.2">
      <c r="A433" s="29"/>
    </row>
    <row r="434" spans="1:1" x14ac:dyDescent="0.2">
      <c r="A434" s="29"/>
    </row>
    <row r="435" spans="1:1" x14ac:dyDescent="0.2">
      <c r="A435" s="29"/>
    </row>
    <row r="436" spans="1:1" x14ac:dyDescent="0.2">
      <c r="A436" s="29"/>
    </row>
    <row r="437" spans="1:1" x14ac:dyDescent="0.2">
      <c r="A437" s="29"/>
    </row>
    <row r="438" spans="1:1" x14ac:dyDescent="0.2">
      <c r="A438" s="29"/>
    </row>
    <row r="439" spans="1:1" x14ac:dyDescent="0.2">
      <c r="A439" s="29"/>
    </row>
    <row r="440" spans="1:1" x14ac:dyDescent="0.2">
      <c r="A440" s="29"/>
    </row>
    <row r="441" spans="1:1" x14ac:dyDescent="0.2">
      <c r="A441" s="29"/>
    </row>
    <row r="442" spans="1:1" x14ac:dyDescent="0.2">
      <c r="A442" s="29"/>
    </row>
    <row r="443" spans="1:1" x14ac:dyDescent="0.2">
      <c r="A443" s="29"/>
    </row>
    <row r="444" spans="1:1" x14ac:dyDescent="0.2">
      <c r="A444" s="29"/>
    </row>
    <row r="445" spans="1:1" x14ac:dyDescent="0.2">
      <c r="A445" s="29"/>
    </row>
    <row r="446" spans="1:1" x14ac:dyDescent="0.2">
      <c r="A446" s="29"/>
    </row>
    <row r="447" spans="1:1" x14ac:dyDescent="0.2">
      <c r="A447" s="29"/>
    </row>
    <row r="448" spans="1:1" x14ac:dyDescent="0.2">
      <c r="A448" s="29"/>
    </row>
    <row r="449" spans="1:1" x14ac:dyDescent="0.2">
      <c r="A449" s="29"/>
    </row>
    <row r="450" spans="1:1" x14ac:dyDescent="0.2">
      <c r="A450" s="29"/>
    </row>
    <row r="451" spans="1:1" x14ac:dyDescent="0.2">
      <c r="A451" s="29"/>
    </row>
    <row r="452" spans="1:1" x14ac:dyDescent="0.2">
      <c r="A452" s="29"/>
    </row>
    <row r="453" spans="1:1" x14ac:dyDescent="0.2">
      <c r="A453" s="29"/>
    </row>
    <row r="454" spans="1:1" x14ac:dyDescent="0.2">
      <c r="A454" s="29"/>
    </row>
    <row r="455" spans="1:1" x14ac:dyDescent="0.2">
      <c r="A455" s="29"/>
    </row>
    <row r="456" spans="1:1" x14ac:dyDescent="0.2">
      <c r="A456" s="29"/>
    </row>
    <row r="457" spans="1:1" x14ac:dyDescent="0.2">
      <c r="A457" s="29"/>
    </row>
    <row r="458" spans="1:1" x14ac:dyDescent="0.2">
      <c r="A458" s="29"/>
    </row>
    <row r="459" spans="1:1" x14ac:dyDescent="0.2">
      <c r="A459" s="29"/>
    </row>
    <row r="460" spans="1:1" x14ac:dyDescent="0.2">
      <c r="A460" s="29"/>
    </row>
    <row r="461" spans="1:1" x14ac:dyDescent="0.2">
      <c r="A461" s="29"/>
    </row>
    <row r="462" spans="1:1" x14ac:dyDescent="0.2">
      <c r="A462" s="29"/>
    </row>
    <row r="463" spans="1:1" x14ac:dyDescent="0.2">
      <c r="A463" s="29"/>
    </row>
    <row r="464" spans="1:1" x14ac:dyDescent="0.2">
      <c r="A464" s="29"/>
    </row>
    <row r="465" spans="1:1" x14ac:dyDescent="0.2">
      <c r="A465" s="29"/>
    </row>
    <row r="466" spans="1:1" x14ac:dyDescent="0.2">
      <c r="A466" s="29"/>
    </row>
    <row r="467" spans="1:1" x14ac:dyDescent="0.2">
      <c r="A467" s="29"/>
    </row>
    <row r="468" spans="1:1" x14ac:dyDescent="0.2">
      <c r="A468" s="29"/>
    </row>
    <row r="469" spans="1:1" x14ac:dyDescent="0.2">
      <c r="A469" s="29"/>
    </row>
    <row r="470" spans="1:1" x14ac:dyDescent="0.2">
      <c r="A470" s="29"/>
    </row>
    <row r="471" spans="1:1" x14ac:dyDescent="0.2">
      <c r="A471" s="29"/>
    </row>
    <row r="472" spans="1:1" x14ac:dyDescent="0.2">
      <c r="A472" s="29"/>
    </row>
    <row r="473" spans="1:1" x14ac:dyDescent="0.2">
      <c r="A473" s="29"/>
    </row>
    <row r="474" spans="1:1" x14ac:dyDescent="0.2">
      <c r="A474" s="29"/>
    </row>
    <row r="475" spans="1:1" x14ac:dyDescent="0.2">
      <c r="A475" s="29"/>
    </row>
    <row r="476" spans="1:1" x14ac:dyDescent="0.2">
      <c r="A476" s="29"/>
    </row>
    <row r="477" spans="1:1" x14ac:dyDescent="0.2">
      <c r="A477" s="29"/>
    </row>
    <row r="478" spans="1:1" x14ac:dyDescent="0.2">
      <c r="A478" s="29"/>
    </row>
    <row r="479" spans="1:1" x14ac:dyDescent="0.2">
      <c r="A479" s="29"/>
    </row>
    <row r="480" spans="1:1" x14ac:dyDescent="0.2">
      <c r="A480" s="29"/>
    </row>
    <row r="481" spans="1:1" x14ac:dyDescent="0.2">
      <c r="A481" s="29"/>
    </row>
    <row r="482" spans="1:1" x14ac:dyDescent="0.2">
      <c r="A482" s="29"/>
    </row>
    <row r="483" spans="1:1" x14ac:dyDescent="0.2">
      <c r="A483" s="29"/>
    </row>
    <row r="484" spans="1:1" x14ac:dyDescent="0.2">
      <c r="A484" s="29"/>
    </row>
    <row r="485" spans="1:1" x14ac:dyDescent="0.2">
      <c r="A485" s="29"/>
    </row>
    <row r="486" spans="1:1" x14ac:dyDescent="0.2">
      <c r="A486" s="29"/>
    </row>
    <row r="487" spans="1:1" x14ac:dyDescent="0.2">
      <c r="A487" s="29"/>
    </row>
    <row r="488" spans="1:1" x14ac:dyDescent="0.2">
      <c r="A488" s="29"/>
    </row>
    <row r="489" spans="1:1" x14ac:dyDescent="0.2">
      <c r="A489" s="29"/>
    </row>
    <row r="490" spans="1:1" x14ac:dyDescent="0.2">
      <c r="A490" s="29"/>
    </row>
    <row r="491" spans="1:1" x14ac:dyDescent="0.2">
      <c r="A491" s="29"/>
    </row>
    <row r="492" spans="1:1" x14ac:dyDescent="0.2">
      <c r="A492" s="29"/>
    </row>
    <row r="493" spans="1:1" x14ac:dyDescent="0.2">
      <c r="A493" s="29"/>
    </row>
    <row r="494" spans="1:1" x14ac:dyDescent="0.2">
      <c r="A494" s="29"/>
    </row>
    <row r="495" spans="1:1" x14ac:dyDescent="0.2">
      <c r="A495" s="29"/>
    </row>
    <row r="496" spans="1:1" x14ac:dyDescent="0.2">
      <c r="A496" s="29"/>
    </row>
    <row r="497" spans="1:1" x14ac:dyDescent="0.2">
      <c r="A497" s="29"/>
    </row>
    <row r="498" spans="1:1" x14ac:dyDescent="0.2">
      <c r="A498" s="29"/>
    </row>
    <row r="499" spans="1:1" x14ac:dyDescent="0.2">
      <c r="A499" s="29"/>
    </row>
    <row r="500" spans="1:1" x14ac:dyDescent="0.2">
      <c r="A500" s="29"/>
    </row>
    <row r="501" spans="1:1" x14ac:dyDescent="0.2">
      <c r="A501" s="29"/>
    </row>
    <row r="502" spans="1:1" x14ac:dyDescent="0.2">
      <c r="A502" s="29"/>
    </row>
    <row r="503" spans="1:1" x14ac:dyDescent="0.2">
      <c r="A503" s="29"/>
    </row>
    <row r="504" spans="1:1" x14ac:dyDescent="0.2">
      <c r="A504" s="29"/>
    </row>
    <row r="505" spans="1:1" x14ac:dyDescent="0.2">
      <c r="A505" s="29"/>
    </row>
    <row r="506" spans="1:1" x14ac:dyDescent="0.2">
      <c r="A506" s="29"/>
    </row>
    <row r="507" spans="1:1" x14ac:dyDescent="0.2">
      <c r="A507" s="29"/>
    </row>
    <row r="508" spans="1:1" x14ac:dyDescent="0.2">
      <c r="A508" s="29"/>
    </row>
    <row r="509" spans="1:1" x14ac:dyDescent="0.2">
      <c r="A509" s="29"/>
    </row>
    <row r="510" spans="1:1" x14ac:dyDescent="0.2">
      <c r="A510" s="29"/>
    </row>
    <row r="511" spans="1:1" x14ac:dyDescent="0.2">
      <c r="A511" s="29"/>
    </row>
    <row r="512" spans="1:1" x14ac:dyDescent="0.2">
      <c r="A512" s="29"/>
    </row>
    <row r="513" spans="1:1" x14ac:dyDescent="0.2">
      <c r="A513" s="29"/>
    </row>
    <row r="514" spans="1:1" x14ac:dyDescent="0.2">
      <c r="A514" s="29"/>
    </row>
    <row r="515" spans="1:1" x14ac:dyDescent="0.2">
      <c r="A515" s="29"/>
    </row>
    <row r="516" spans="1:1" x14ac:dyDescent="0.2">
      <c r="A516" s="29"/>
    </row>
    <row r="517" spans="1:1" x14ac:dyDescent="0.2">
      <c r="A517" s="29"/>
    </row>
    <row r="518" spans="1:1" x14ac:dyDescent="0.2">
      <c r="A518" s="29"/>
    </row>
    <row r="519" spans="1:1" x14ac:dyDescent="0.2">
      <c r="A519" s="29"/>
    </row>
    <row r="520" spans="1:1" x14ac:dyDescent="0.2">
      <c r="A520" s="29"/>
    </row>
    <row r="521" spans="1:1" x14ac:dyDescent="0.2">
      <c r="A521" s="29"/>
    </row>
    <row r="522" spans="1:1" x14ac:dyDescent="0.2">
      <c r="A522" s="29"/>
    </row>
    <row r="523" spans="1:1" x14ac:dyDescent="0.2">
      <c r="A523" s="29"/>
    </row>
    <row r="524" spans="1:1" x14ac:dyDescent="0.2">
      <c r="A524" s="29"/>
    </row>
    <row r="525" spans="1:1" x14ac:dyDescent="0.2">
      <c r="A525" s="29"/>
    </row>
    <row r="526" spans="1:1" x14ac:dyDescent="0.2">
      <c r="A526" s="29"/>
    </row>
    <row r="527" spans="1:1" x14ac:dyDescent="0.2">
      <c r="A527" s="29"/>
    </row>
    <row r="528" spans="1:1" x14ac:dyDescent="0.2">
      <c r="A528" s="29"/>
    </row>
    <row r="529" spans="1:1" x14ac:dyDescent="0.2">
      <c r="A529" s="29"/>
    </row>
    <row r="530" spans="1:1" x14ac:dyDescent="0.2">
      <c r="A530" s="29"/>
    </row>
    <row r="531" spans="1:1" x14ac:dyDescent="0.2">
      <c r="A531" s="29"/>
    </row>
    <row r="532" spans="1:1" x14ac:dyDescent="0.2">
      <c r="A532" s="29"/>
    </row>
    <row r="533" spans="1:1" x14ac:dyDescent="0.2">
      <c r="A533" s="29"/>
    </row>
    <row r="534" spans="1:1" x14ac:dyDescent="0.2">
      <c r="A534" s="29"/>
    </row>
    <row r="535" spans="1:1" x14ac:dyDescent="0.2">
      <c r="A535" s="29"/>
    </row>
    <row r="536" spans="1:1" x14ac:dyDescent="0.2">
      <c r="A536" s="29"/>
    </row>
    <row r="537" spans="1:1" x14ac:dyDescent="0.2">
      <c r="A537" s="29"/>
    </row>
    <row r="538" spans="1:1" x14ac:dyDescent="0.2">
      <c r="A538" s="29"/>
    </row>
    <row r="539" spans="1:1" x14ac:dyDescent="0.2">
      <c r="A539" s="29"/>
    </row>
    <row r="540" spans="1:1" x14ac:dyDescent="0.2">
      <c r="A540" s="29"/>
    </row>
    <row r="541" spans="1:1" x14ac:dyDescent="0.2">
      <c r="A541" s="29"/>
    </row>
    <row r="542" spans="1:1" x14ac:dyDescent="0.2">
      <c r="A542" s="29"/>
    </row>
    <row r="543" spans="1:1" x14ac:dyDescent="0.2">
      <c r="A543" s="29"/>
    </row>
    <row r="544" spans="1:1" x14ac:dyDescent="0.2">
      <c r="A544" s="29"/>
    </row>
    <row r="545" spans="1:1" x14ac:dyDescent="0.2">
      <c r="A545" s="29"/>
    </row>
    <row r="546" spans="1:1" x14ac:dyDescent="0.2">
      <c r="A546" s="29"/>
    </row>
    <row r="547" spans="1:1" x14ac:dyDescent="0.2">
      <c r="A547" s="29"/>
    </row>
    <row r="548" spans="1:1" x14ac:dyDescent="0.2">
      <c r="A548" s="29"/>
    </row>
    <row r="549" spans="1:1" x14ac:dyDescent="0.2">
      <c r="A549" s="29"/>
    </row>
    <row r="550" spans="1:1" x14ac:dyDescent="0.2">
      <c r="A550" s="29"/>
    </row>
    <row r="551" spans="1:1" x14ac:dyDescent="0.2">
      <c r="A551" s="29"/>
    </row>
    <row r="552" spans="1:1" x14ac:dyDescent="0.2">
      <c r="A552" s="29"/>
    </row>
    <row r="553" spans="1:1" x14ac:dyDescent="0.2">
      <c r="A553" s="29"/>
    </row>
    <row r="554" spans="1:1" x14ac:dyDescent="0.2">
      <c r="A554" s="29"/>
    </row>
    <row r="555" spans="1:1" x14ac:dyDescent="0.2">
      <c r="A555" s="29"/>
    </row>
    <row r="556" spans="1:1" x14ac:dyDescent="0.2">
      <c r="A556" s="29"/>
    </row>
    <row r="557" spans="1:1" x14ac:dyDescent="0.2">
      <c r="A557" s="29"/>
    </row>
    <row r="558" spans="1:1" x14ac:dyDescent="0.2">
      <c r="A558" s="29"/>
    </row>
    <row r="559" spans="1:1" x14ac:dyDescent="0.2">
      <c r="A559" s="29"/>
    </row>
    <row r="560" spans="1:1" x14ac:dyDescent="0.2">
      <c r="A560" s="29"/>
    </row>
    <row r="561" spans="1:1" x14ac:dyDescent="0.2">
      <c r="A561" s="29"/>
    </row>
    <row r="562" spans="1:1" x14ac:dyDescent="0.2">
      <c r="A562" s="29"/>
    </row>
    <row r="563" spans="1:1" x14ac:dyDescent="0.2">
      <c r="A563" s="29"/>
    </row>
    <row r="564" spans="1:1" x14ac:dyDescent="0.2">
      <c r="A564" s="29"/>
    </row>
    <row r="565" spans="1:1" x14ac:dyDescent="0.2">
      <c r="A565" s="29"/>
    </row>
    <row r="566" spans="1:1" x14ac:dyDescent="0.2">
      <c r="A566" s="29"/>
    </row>
    <row r="567" spans="1:1" x14ac:dyDescent="0.2">
      <c r="A567" s="29"/>
    </row>
    <row r="568" spans="1:1" x14ac:dyDescent="0.2">
      <c r="A568" s="29"/>
    </row>
    <row r="569" spans="1:1" x14ac:dyDescent="0.2">
      <c r="A569" s="29"/>
    </row>
    <row r="570" spans="1:1" x14ac:dyDescent="0.2">
      <c r="A570" s="29"/>
    </row>
    <row r="571" spans="1:1" x14ac:dyDescent="0.2">
      <c r="A571" s="29"/>
    </row>
    <row r="572" spans="1:1" x14ac:dyDescent="0.2">
      <c r="A572" s="29"/>
    </row>
    <row r="573" spans="1:1" x14ac:dyDescent="0.2">
      <c r="A573" s="29"/>
    </row>
    <row r="574" spans="1:1" x14ac:dyDescent="0.2">
      <c r="A574" s="29"/>
    </row>
    <row r="575" spans="1:1" x14ac:dyDescent="0.2">
      <c r="A575" s="29"/>
    </row>
    <row r="576" spans="1:1" x14ac:dyDescent="0.2">
      <c r="A576" s="29"/>
    </row>
    <row r="577" spans="1:1" x14ac:dyDescent="0.2">
      <c r="A577" s="29"/>
    </row>
    <row r="578" spans="1:1" x14ac:dyDescent="0.2">
      <c r="A578" s="29"/>
    </row>
    <row r="579" spans="1:1" x14ac:dyDescent="0.2">
      <c r="A579" s="29"/>
    </row>
    <row r="580" spans="1:1" x14ac:dyDescent="0.2">
      <c r="A580" s="29"/>
    </row>
    <row r="581" spans="1:1" x14ac:dyDescent="0.2">
      <c r="A581" s="29"/>
    </row>
    <row r="582" spans="1:1" x14ac:dyDescent="0.2">
      <c r="A582" s="29"/>
    </row>
    <row r="583" spans="1:1" x14ac:dyDescent="0.2">
      <c r="A583" s="29"/>
    </row>
    <row r="584" spans="1:1" x14ac:dyDescent="0.2">
      <c r="A584" s="29"/>
    </row>
    <row r="585" spans="1:1" x14ac:dyDescent="0.2">
      <c r="A585" s="29"/>
    </row>
    <row r="586" spans="1:1" x14ac:dyDescent="0.2">
      <c r="A586" s="29"/>
    </row>
    <row r="587" spans="1:1" x14ac:dyDescent="0.2">
      <c r="A587" s="29"/>
    </row>
    <row r="588" spans="1:1" x14ac:dyDescent="0.2">
      <c r="A588" s="29"/>
    </row>
    <row r="589" spans="1:1" x14ac:dyDescent="0.2">
      <c r="A589" s="29"/>
    </row>
    <row r="590" spans="1:1" x14ac:dyDescent="0.2">
      <c r="A590" s="29"/>
    </row>
    <row r="591" spans="1:1" x14ac:dyDescent="0.2">
      <c r="A591" s="29"/>
    </row>
    <row r="592" spans="1:1" x14ac:dyDescent="0.2">
      <c r="A592" s="29"/>
    </row>
    <row r="593" spans="1:1" x14ac:dyDescent="0.2">
      <c r="A593" s="29"/>
    </row>
    <row r="594" spans="1:1" x14ac:dyDescent="0.2">
      <c r="A594" s="29"/>
    </row>
    <row r="595" spans="1:1" x14ac:dyDescent="0.2">
      <c r="A595" s="29"/>
    </row>
    <row r="596" spans="1:1" x14ac:dyDescent="0.2">
      <c r="A596" s="29"/>
    </row>
    <row r="597" spans="1:1" x14ac:dyDescent="0.2">
      <c r="A597" s="29"/>
    </row>
    <row r="598" spans="1:1" x14ac:dyDescent="0.2">
      <c r="A598" s="29"/>
    </row>
    <row r="599" spans="1:1" x14ac:dyDescent="0.2">
      <c r="A599" s="29"/>
    </row>
    <row r="600" spans="1:1" x14ac:dyDescent="0.2">
      <c r="A600" s="29"/>
    </row>
    <row r="601" spans="1:1" x14ac:dyDescent="0.2">
      <c r="A601" s="29"/>
    </row>
    <row r="602" spans="1:1" x14ac:dyDescent="0.2">
      <c r="A602" s="29"/>
    </row>
    <row r="603" spans="1:1" x14ac:dyDescent="0.2">
      <c r="A603" s="29"/>
    </row>
    <row r="604" spans="1:1" x14ac:dyDescent="0.2">
      <c r="A604" s="29"/>
    </row>
    <row r="605" spans="1:1" x14ac:dyDescent="0.2">
      <c r="A605" s="29"/>
    </row>
    <row r="606" spans="1:1" x14ac:dyDescent="0.2">
      <c r="A606" s="29"/>
    </row>
    <row r="607" spans="1:1" x14ac:dyDescent="0.2">
      <c r="A607" s="29"/>
    </row>
    <row r="608" spans="1:1" x14ac:dyDescent="0.2">
      <c r="A608" s="29"/>
    </row>
    <row r="609" spans="1:1" x14ac:dyDescent="0.2">
      <c r="A609" s="29"/>
    </row>
    <row r="610" spans="1:1" x14ac:dyDescent="0.2">
      <c r="A610" s="29"/>
    </row>
    <row r="611" spans="1:1" x14ac:dyDescent="0.2">
      <c r="A611" s="29"/>
    </row>
    <row r="612" spans="1:1" x14ac:dyDescent="0.2">
      <c r="A612" s="29"/>
    </row>
    <row r="613" spans="1:1" x14ac:dyDescent="0.2">
      <c r="A613" s="29"/>
    </row>
    <row r="614" spans="1:1" x14ac:dyDescent="0.2">
      <c r="A614" s="29"/>
    </row>
    <row r="615" spans="1:1" x14ac:dyDescent="0.2">
      <c r="A615" s="29"/>
    </row>
    <row r="616" spans="1:1" x14ac:dyDescent="0.2">
      <c r="A616" s="29"/>
    </row>
    <row r="617" spans="1:1" x14ac:dyDescent="0.2">
      <c r="A617" s="29"/>
    </row>
    <row r="618" spans="1:1" x14ac:dyDescent="0.2">
      <c r="A618" s="29"/>
    </row>
    <row r="619" spans="1:1" x14ac:dyDescent="0.2">
      <c r="A619" s="29"/>
    </row>
    <row r="620" spans="1:1" x14ac:dyDescent="0.2">
      <c r="A620" s="29"/>
    </row>
    <row r="621" spans="1:1" x14ac:dyDescent="0.2">
      <c r="A621" s="29"/>
    </row>
    <row r="622" spans="1:1" x14ac:dyDescent="0.2">
      <c r="A622" s="29"/>
    </row>
    <row r="623" spans="1:1" x14ac:dyDescent="0.2">
      <c r="A623" s="29"/>
    </row>
    <row r="624" spans="1:1" x14ac:dyDescent="0.2">
      <c r="A624" s="29"/>
    </row>
    <row r="625" spans="1:1" x14ac:dyDescent="0.2">
      <c r="A625" s="29"/>
    </row>
    <row r="626" spans="1:1" x14ac:dyDescent="0.2">
      <c r="A626" s="29"/>
    </row>
    <row r="627" spans="1:1" x14ac:dyDescent="0.2">
      <c r="A627" s="29"/>
    </row>
    <row r="628" spans="1:1" x14ac:dyDescent="0.2">
      <c r="A628" s="29"/>
    </row>
    <row r="629" spans="1:1" x14ac:dyDescent="0.2">
      <c r="A629" s="29"/>
    </row>
    <row r="630" spans="1:1" x14ac:dyDescent="0.2">
      <c r="A630" s="29"/>
    </row>
    <row r="631" spans="1:1" x14ac:dyDescent="0.2">
      <c r="A631" s="29"/>
    </row>
    <row r="632" spans="1:1" x14ac:dyDescent="0.2">
      <c r="A632" s="29"/>
    </row>
    <row r="633" spans="1:1" x14ac:dyDescent="0.2">
      <c r="A633" s="29"/>
    </row>
    <row r="634" spans="1:1" x14ac:dyDescent="0.2">
      <c r="A634" s="29"/>
    </row>
    <row r="635" spans="1:1" x14ac:dyDescent="0.2">
      <c r="A635" s="29"/>
    </row>
    <row r="636" spans="1:1" x14ac:dyDescent="0.2">
      <c r="A636" s="29"/>
    </row>
    <row r="637" spans="1:1" x14ac:dyDescent="0.2">
      <c r="A637" s="29"/>
    </row>
    <row r="638" spans="1:1" x14ac:dyDescent="0.2">
      <c r="A638" s="29"/>
    </row>
    <row r="639" spans="1:1" x14ac:dyDescent="0.2">
      <c r="A639" s="29"/>
    </row>
    <row r="640" spans="1:1" x14ac:dyDescent="0.2">
      <c r="A640" s="29"/>
    </row>
    <row r="641" spans="1:1" x14ac:dyDescent="0.2">
      <c r="A641" s="29"/>
    </row>
    <row r="642" spans="1:1" x14ac:dyDescent="0.2">
      <c r="A642" s="29"/>
    </row>
    <row r="643" spans="1:1" x14ac:dyDescent="0.2">
      <c r="A643" s="29"/>
    </row>
    <row r="644" spans="1:1" x14ac:dyDescent="0.2">
      <c r="A644" s="29"/>
    </row>
    <row r="645" spans="1:1" x14ac:dyDescent="0.2">
      <c r="A645" s="29"/>
    </row>
    <row r="646" spans="1:1" x14ac:dyDescent="0.2">
      <c r="A646" s="29"/>
    </row>
    <row r="647" spans="1:1" x14ac:dyDescent="0.2">
      <c r="A647" s="29"/>
    </row>
    <row r="648" spans="1:1" x14ac:dyDescent="0.2">
      <c r="A648" s="29"/>
    </row>
    <row r="649" spans="1:1" x14ac:dyDescent="0.2">
      <c r="A649" s="29"/>
    </row>
    <row r="650" spans="1:1" x14ac:dyDescent="0.2">
      <c r="A650" s="29"/>
    </row>
    <row r="651" spans="1:1" x14ac:dyDescent="0.2">
      <c r="A651" s="29"/>
    </row>
    <row r="652" spans="1:1" x14ac:dyDescent="0.2">
      <c r="A652" s="29"/>
    </row>
    <row r="653" spans="1:1" x14ac:dyDescent="0.2">
      <c r="A653" s="29"/>
    </row>
    <row r="654" spans="1:1" x14ac:dyDescent="0.2">
      <c r="A654" s="29"/>
    </row>
    <row r="655" spans="1:1" x14ac:dyDescent="0.2">
      <c r="A655" s="29"/>
    </row>
    <row r="656" spans="1:1" x14ac:dyDescent="0.2">
      <c r="A656" s="29"/>
    </row>
    <row r="657" spans="1:1" x14ac:dyDescent="0.2">
      <c r="A657" s="29"/>
    </row>
    <row r="658" spans="1:1" x14ac:dyDescent="0.2">
      <c r="A658" s="29"/>
    </row>
    <row r="659" spans="1:1" x14ac:dyDescent="0.2">
      <c r="A659" s="29"/>
    </row>
    <row r="660" spans="1:1" x14ac:dyDescent="0.2">
      <c r="A660" s="29"/>
    </row>
    <row r="661" spans="1:1" x14ac:dyDescent="0.2">
      <c r="A661" s="29"/>
    </row>
    <row r="662" spans="1:1" x14ac:dyDescent="0.2">
      <c r="A662" s="29"/>
    </row>
    <row r="663" spans="1:1" x14ac:dyDescent="0.2">
      <c r="A663" s="29"/>
    </row>
    <row r="664" spans="1:1" x14ac:dyDescent="0.2">
      <c r="A664" s="29"/>
    </row>
    <row r="665" spans="1:1" x14ac:dyDescent="0.2">
      <c r="A665" s="29"/>
    </row>
    <row r="666" spans="1:1" x14ac:dyDescent="0.2">
      <c r="A666" s="29"/>
    </row>
    <row r="667" spans="1:1" x14ac:dyDescent="0.2">
      <c r="A667" s="29"/>
    </row>
    <row r="668" spans="1:1" x14ac:dyDescent="0.2">
      <c r="A668" s="29"/>
    </row>
    <row r="669" spans="1:1" x14ac:dyDescent="0.2">
      <c r="A669" s="29"/>
    </row>
    <row r="670" spans="1:1" x14ac:dyDescent="0.2">
      <c r="A670" s="29"/>
    </row>
    <row r="671" spans="1:1" x14ac:dyDescent="0.2">
      <c r="A671" s="29"/>
    </row>
    <row r="672" spans="1:1" x14ac:dyDescent="0.2">
      <c r="A672" s="29"/>
    </row>
    <row r="673" spans="1:1" x14ac:dyDescent="0.2">
      <c r="A673" s="29"/>
    </row>
    <row r="674" spans="1:1" x14ac:dyDescent="0.2">
      <c r="A674" s="29"/>
    </row>
    <row r="675" spans="1:1" x14ac:dyDescent="0.2">
      <c r="A675" s="29"/>
    </row>
    <row r="676" spans="1:1" x14ac:dyDescent="0.2">
      <c r="A676" s="29"/>
    </row>
    <row r="677" spans="1:1" x14ac:dyDescent="0.2">
      <c r="A677" s="29"/>
    </row>
    <row r="678" spans="1:1" x14ac:dyDescent="0.2">
      <c r="A678" s="29"/>
    </row>
    <row r="679" spans="1:1" x14ac:dyDescent="0.2">
      <c r="A679" s="29"/>
    </row>
    <row r="680" spans="1:1" x14ac:dyDescent="0.2">
      <c r="A680" s="29"/>
    </row>
    <row r="681" spans="1:1" x14ac:dyDescent="0.2">
      <c r="A681" s="29"/>
    </row>
    <row r="682" spans="1:1" x14ac:dyDescent="0.2">
      <c r="A682" s="29"/>
    </row>
    <row r="683" spans="1:1" x14ac:dyDescent="0.2">
      <c r="A683" s="29"/>
    </row>
    <row r="684" spans="1:1" x14ac:dyDescent="0.2">
      <c r="A684" s="29"/>
    </row>
    <row r="685" spans="1:1" x14ac:dyDescent="0.2">
      <c r="A685" s="29"/>
    </row>
    <row r="686" spans="1:1" x14ac:dyDescent="0.2">
      <c r="A686" s="29"/>
    </row>
    <row r="687" spans="1:1" x14ac:dyDescent="0.2">
      <c r="A687" s="29"/>
    </row>
    <row r="688" spans="1:1" x14ac:dyDescent="0.2">
      <c r="A688" s="29"/>
    </row>
    <row r="689" spans="1:1" x14ac:dyDescent="0.2">
      <c r="A689" s="29"/>
    </row>
    <row r="690" spans="1:1" x14ac:dyDescent="0.2">
      <c r="A690" s="29"/>
    </row>
    <row r="691" spans="1:1" x14ac:dyDescent="0.2">
      <c r="A691" s="29"/>
    </row>
    <row r="692" spans="1:1" x14ac:dyDescent="0.2">
      <c r="A692" s="29"/>
    </row>
    <row r="693" spans="1:1" x14ac:dyDescent="0.2">
      <c r="A693" s="29"/>
    </row>
    <row r="694" spans="1:1" x14ac:dyDescent="0.2">
      <c r="A694" s="29"/>
    </row>
    <row r="695" spans="1:1" x14ac:dyDescent="0.2">
      <c r="A695" s="29"/>
    </row>
    <row r="696" spans="1:1" x14ac:dyDescent="0.2">
      <c r="A696" s="29"/>
    </row>
    <row r="697" spans="1:1" x14ac:dyDescent="0.2">
      <c r="A697" s="29"/>
    </row>
    <row r="698" spans="1:1" x14ac:dyDescent="0.2">
      <c r="A698" s="29"/>
    </row>
    <row r="699" spans="1:1" x14ac:dyDescent="0.2">
      <c r="A699" s="29"/>
    </row>
    <row r="700" spans="1:1" x14ac:dyDescent="0.2">
      <c r="A700" s="29"/>
    </row>
    <row r="701" spans="1:1" x14ac:dyDescent="0.2">
      <c r="A701" s="29"/>
    </row>
    <row r="702" spans="1:1" x14ac:dyDescent="0.2">
      <c r="A702" s="29"/>
    </row>
    <row r="703" spans="1:1" x14ac:dyDescent="0.2">
      <c r="A703" s="29"/>
    </row>
    <row r="704" spans="1:1" x14ac:dyDescent="0.2">
      <c r="A704" s="29"/>
    </row>
    <row r="705" spans="1:1" x14ac:dyDescent="0.2">
      <c r="A705" s="29"/>
    </row>
    <row r="706" spans="1:1" x14ac:dyDescent="0.2">
      <c r="A706" s="29"/>
    </row>
    <row r="707" spans="1:1" x14ac:dyDescent="0.2">
      <c r="A707" s="29"/>
    </row>
    <row r="708" spans="1:1" x14ac:dyDescent="0.2">
      <c r="A708" s="29"/>
    </row>
    <row r="709" spans="1:1" x14ac:dyDescent="0.2">
      <c r="A709" s="29"/>
    </row>
    <row r="710" spans="1:1" x14ac:dyDescent="0.2">
      <c r="A710" s="29"/>
    </row>
    <row r="711" spans="1:1" x14ac:dyDescent="0.2">
      <c r="A711" s="29"/>
    </row>
    <row r="712" spans="1:1" x14ac:dyDescent="0.2">
      <c r="A712" s="29"/>
    </row>
    <row r="713" spans="1:1" x14ac:dyDescent="0.2">
      <c r="A713" s="29"/>
    </row>
    <row r="714" spans="1:1" x14ac:dyDescent="0.2">
      <c r="A714" s="29"/>
    </row>
    <row r="715" spans="1:1" x14ac:dyDescent="0.2">
      <c r="A715" s="29"/>
    </row>
    <row r="716" spans="1:1" x14ac:dyDescent="0.2">
      <c r="A716" s="29"/>
    </row>
    <row r="717" spans="1:1" x14ac:dyDescent="0.2">
      <c r="A717" s="29"/>
    </row>
    <row r="718" spans="1:1" x14ac:dyDescent="0.2">
      <c r="A718" s="29"/>
    </row>
    <row r="719" spans="1:1" x14ac:dyDescent="0.2">
      <c r="A719" s="29"/>
    </row>
    <row r="720" spans="1:1" x14ac:dyDescent="0.2">
      <c r="A720" s="29"/>
    </row>
    <row r="721" spans="1:1" x14ac:dyDescent="0.2">
      <c r="A721" s="29"/>
    </row>
    <row r="722" spans="1:1" x14ac:dyDescent="0.2">
      <c r="A722" s="29"/>
    </row>
    <row r="723" spans="1:1" x14ac:dyDescent="0.2">
      <c r="A723" s="29"/>
    </row>
    <row r="724" spans="1:1" x14ac:dyDescent="0.2">
      <c r="A724" s="29"/>
    </row>
    <row r="725" spans="1:1" x14ac:dyDescent="0.2">
      <c r="A725" s="29"/>
    </row>
    <row r="726" spans="1:1" x14ac:dyDescent="0.2">
      <c r="A726" s="29"/>
    </row>
    <row r="727" spans="1:1" x14ac:dyDescent="0.2">
      <c r="A727" s="29"/>
    </row>
    <row r="728" spans="1:1" x14ac:dyDescent="0.2">
      <c r="A728" s="29"/>
    </row>
    <row r="729" spans="1:1" x14ac:dyDescent="0.2">
      <c r="A729" s="29"/>
    </row>
    <row r="730" spans="1:1" x14ac:dyDescent="0.2">
      <c r="A730" s="29"/>
    </row>
    <row r="731" spans="1:1" x14ac:dyDescent="0.2">
      <c r="A731" s="29"/>
    </row>
    <row r="732" spans="1:1" x14ac:dyDescent="0.2">
      <c r="A732" s="29"/>
    </row>
    <row r="733" spans="1:1" x14ac:dyDescent="0.2">
      <c r="A733" s="29"/>
    </row>
    <row r="734" spans="1:1" x14ac:dyDescent="0.2">
      <c r="A734" s="29"/>
    </row>
    <row r="735" spans="1:1" x14ac:dyDescent="0.2">
      <c r="A735" s="29"/>
    </row>
    <row r="736" spans="1:1" x14ac:dyDescent="0.2">
      <c r="A736" s="29"/>
    </row>
    <row r="737" spans="1:1" x14ac:dyDescent="0.2">
      <c r="A737" s="29"/>
    </row>
    <row r="738" spans="1:1" x14ac:dyDescent="0.2">
      <c r="A738" s="29"/>
    </row>
    <row r="739" spans="1:1" x14ac:dyDescent="0.2">
      <c r="A739" s="29"/>
    </row>
    <row r="740" spans="1:1" x14ac:dyDescent="0.2">
      <c r="A740" s="29"/>
    </row>
    <row r="741" spans="1:1" x14ac:dyDescent="0.2">
      <c r="A741" s="29"/>
    </row>
    <row r="742" spans="1:1" x14ac:dyDescent="0.2">
      <c r="A742" s="29"/>
    </row>
    <row r="743" spans="1:1" x14ac:dyDescent="0.2">
      <c r="A743" s="29"/>
    </row>
    <row r="744" spans="1:1" x14ac:dyDescent="0.2">
      <c r="A744" s="29"/>
    </row>
    <row r="745" spans="1:1" x14ac:dyDescent="0.2">
      <c r="A745" s="29"/>
    </row>
    <row r="746" spans="1:1" x14ac:dyDescent="0.2">
      <c r="A746" s="29"/>
    </row>
    <row r="747" spans="1:1" x14ac:dyDescent="0.2">
      <c r="A747" s="29"/>
    </row>
    <row r="748" spans="1:1" x14ac:dyDescent="0.2">
      <c r="A748" s="29"/>
    </row>
    <row r="749" spans="1:1" x14ac:dyDescent="0.2">
      <c r="A749" s="29"/>
    </row>
    <row r="750" spans="1:1" x14ac:dyDescent="0.2">
      <c r="A750" s="29"/>
    </row>
    <row r="751" spans="1:1" x14ac:dyDescent="0.2">
      <c r="A751" s="29"/>
    </row>
    <row r="752" spans="1:1" x14ac:dyDescent="0.2">
      <c r="A752" s="29"/>
    </row>
    <row r="753" spans="1:1" x14ac:dyDescent="0.2">
      <c r="A753" s="29"/>
    </row>
    <row r="754" spans="1:1" x14ac:dyDescent="0.2">
      <c r="A754" s="29"/>
    </row>
    <row r="755" spans="1:1" x14ac:dyDescent="0.2">
      <c r="A755" s="29"/>
    </row>
    <row r="756" spans="1:1" x14ac:dyDescent="0.2">
      <c r="A756" s="29"/>
    </row>
    <row r="757" spans="1:1" x14ac:dyDescent="0.2">
      <c r="A757" s="29"/>
    </row>
    <row r="758" spans="1:1" x14ac:dyDescent="0.2">
      <c r="A758" s="29"/>
    </row>
    <row r="759" spans="1:1" x14ac:dyDescent="0.2">
      <c r="A759" s="29"/>
    </row>
    <row r="760" spans="1:1" x14ac:dyDescent="0.2">
      <c r="A760" s="29"/>
    </row>
    <row r="761" spans="1:1" x14ac:dyDescent="0.2">
      <c r="A761" s="29"/>
    </row>
    <row r="762" spans="1:1" x14ac:dyDescent="0.2">
      <c r="A762" s="29"/>
    </row>
    <row r="763" spans="1:1" x14ac:dyDescent="0.2">
      <c r="A763" s="29"/>
    </row>
    <row r="764" spans="1:1" x14ac:dyDescent="0.2">
      <c r="A764" s="29"/>
    </row>
    <row r="765" spans="1:1" x14ac:dyDescent="0.2">
      <c r="A765" s="29"/>
    </row>
    <row r="766" spans="1:1" x14ac:dyDescent="0.2">
      <c r="A766" s="29"/>
    </row>
    <row r="767" spans="1:1" x14ac:dyDescent="0.2">
      <c r="A767" s="29"/>
    </row>
    <row r="768" spans="1:1" x14ac:dyDescent="0.2">
      <c r="A768" s="29"/>
    </row>
    <row r="769" spans="1:1" x14ac:dyDescent="0.2">
      <c r="A769" s="29"/>
    </row>
    <row r="770" spans="1:1" x14ac:dyDescent="0.2">
      <c r="A770" s="29"/>
    </row>
    <row r="771" spans="1:1" x14ac:dyDescent="0.2">
      <c r="A771" s="29"/>
    </row>
    <row r="772" spans="1:1" x14ac:dyDescent="0.2">
      <c r="A772" s="29"/>
    </row>
    <row r="773" spans="1:1" x14ac:dyDescent="0.2">
      <c r="A773" s="29"/>
    </row>
    <row r="774" spans="1:1" x14ac:dyDescent="0.2">
      <c r="A774" s="29"/>
    </row>
    <row r="775" spans="1:1" x14ac:dyDescent="0.2">
      <c r="A775" s="29"/>
    </row>
    <row r="776" spans="1:1" x14ac:dyDescent="0.2">
      <c r="A776" s="29"/>
    </row>
    <row r="777" spans="1:1" x14ac:dyDescent="0.2">
      <c r="A777" s="29"/>
    </row>
    <row r="778" spans="1:1" x14ac:dyDescent="0.2">
      <c r="A778" s="29"/>
    </row>
    <row r="779" spans="1:1" x14ac:dyDescent="0.2">
      <c r="A779" s="29"/>
    </row>
    <row r="780" spans="1:1" x14ac:dyDescent="0.2">
      <c r="A780" s="29"/>
    </row>
    <row r="781" spans="1:1" x14ac:dyDescent="0.2">
      <c r="A781" s="29"/>
    </row>
    <row r="782" spans="1:1" x14ac:dyDescent="0.2">
      <c r="A782" s="29"/>
    </row>
    <row r="783" spans="1:1" x14ac:dyDescent="0.2">
      <c r="A783" s="29"/>
    </row>
    <row r="784" spans="1:1" x14ac:dyDescent="0.2">
      <c r="A784" s="29"/>
    </row>
    <row r="785" spans="1:1" x14ac:dyDescent="0.2">
      <c r="A785" s="29"/>
    </row>
    <row r="786" spans="1:1" x14ac:dyDescent="0.2">
      <c r="A786" s="29"/>
    </row>
    <row r="787" spans="1:1" x14ac:dyDescent="0.2">
      <c r="A787" s="29"/>
    </row>
    <row r="788" spans="1:1" x14ac:dyDescent="0.2">
      <c r="A788" s="29"/>
    </row>
    <row r="789" spans="1:1" x14ac:dyDescent="0.2">
      <c r="A789" s="29"/>
    </row>
    <row r="790" spans="1:1" x14ac:dyDescent="0.2">
      <c r="A790" s="29"/>
    </row>
    <row r="791" spans="1:1" x14ac:dyDescent="0.2">
      <c r="A791" s="29"/>
    </row>
    <row r="792" spans="1:1" x14ac:dyDescent="0.2">
      <c r="A792" s="29"/>
    </row>
    <row r="793" spans="1:1" x14ac:dyDescent="0.2">
      <c r="A793" s="29"/>
    </row>
    <row r="794" spans="1:1" x14ac:dyDescent="0.2">
      <c r="A794" s="29"/>
    </row>
    <row r="795" spans="1:1" x14ac:dyDescent="0.2">
      <c r="A795" s="29"/>
    </row>
    <row r="796" spans="1:1" x14ac:dyDescent="0.2">
      <c r="A796" s="29"/>
    </row>
    <row r="797" spans="1:1" x14ac:dyDescent="0.2">
      <c r="A797" s="29"/>
    </row>
    <row r="798" spans="1:1" x14ac:dyDescent="0.2">
      <c r="A798" s="29"/>
    </row>
    <row r="799" spans="1:1" x14ac:dyDescent="0.2">
      <c r="A799" s="29"/>
    </row>
    <row r="800" spans="1:1" x14ac:dyDescent="0.2">
      <c r="A800" s="29"/>
    </row>
    <row r="801" spans="1:1" x14ac:dyDescent="0.2">
      <c r="A801" s="29"/>
    </row>
    <row r="802" spans="1:1" x14ac:dyDescent="0.2">
      <c r="A802" s="29"/>
    </row>
    <row r="803" spans="1:1" x14ac:dyDescent="0.2">
      <c r="A803" s="29"/>
    </row>
    <row r="804" spans="1:1" x14ac:dyDescent="0.2">
      <c r="A804" s="29"/>
    </row>
    <row r="805" spans="1:1" x14ac:dyDescent="0.2">
      <c r="A805" s="29"/>
    </row>
    <row r="806" spans="1:1" x14ac:dyDescent="0.2">
      <c r="A806" s="29"/>
    </row>
    <row r="807" spans="1:1" x14ac:dyDescent="0.2">
      <c r="A807" s="29"/>
    </row>
    <row r="808" spans="1:1" x14ac:dyDescent="0.2">
      <c r="A808" s="29"/>
    </row>
    <row r="809" spans="1:1" x14ac:dyDescent="0.2">
      <c r="A809" s="29"/>
    </row>
    <row r="810" spans="1:1" x14ac:dyDescent="0.2">
      <c r="A810" s="29"/>
    </row>
    <row r="811" spans="1:1" x14ac:dyDescent="0.2">
      <c r="A811" s="29"/>
    </row>
    <row r="812" spans="1:1" x14ac:dyDescent="0.2">
      <c r="A812" s="29"/>
    </row>
    <row r="813" spans="1:1" x14ac:dyDescent="0.2">
      <c r="A813" s="29"/>
    </row>
    <row r="814" spans="1:1" x14ac:dyDescent="0.2">
      <c r="A814" s="29"/>
    </row>
    <row r="815" spans="1:1" x14ac:dyDescent="0.2">
      <c r="A815" s="29"/>
    </row>
    <row r="816" spans="1:1" x14ac:dyDescent="0.2">
      <c r="A816" s="29"/>
    </row>
    <row r="817" spans="1:1" x14ac:dyDescent="0.2">
      <c r="A817" s="29"/>
    </row>
    <row r="818" spans="1:1" x14ac:dyDescent="0.2">
      <c r="A818" s="29"/>
    </row>
    <row r="819" spans="1:1" x14ac:dyDescent="0.2">
      <c r="A819" s="29"/>
    </row>
    <row r="820" spans="1:1" x14ac:dyDescent="0.2">
      <c r="A820" s="29"/>
    </row>
    <row r="821" spans="1:1" x14ac:dyDescent="0.2">
      <c r="A821" s="29"/>
    </row>
    <row r="822" spans="1:1" x14ac:dyDescent="0.2">
      <c r="A822" s="29"/>
    </row>
    <row r="823" spans="1:1" x14ac:dyDescent="0.2">
      <c r="A823" s="29"/>
    </row>
    <row r="824" spans="1:1" x14ac:dyDescent="0.2">
      <c r="A824" s="29"/>
    </row>
    <row r="825" spans="1:1" x14ac:dyDescent="0.2">
      <c r="A825" s="29"/>
    </row>
    <row r="826" spans="1:1" x14ac:dyDescent="0.2">
      <c r="A826" s="29"/>
    </row>
    <row r="827" spans="1:1" x14ac:dyDescent="0.2">
      <c r="A827" s="29"/>
    </row>
    <row r="828" spans="1:1" x14ac:dyDescent="0.2">
      <c r="A828" s="29"/>
    </row>
    <row r="829" spans="1:1" x14ac:dyDescent="0.2">
      <c r="A829" s="29"/>
    </row>
    <row r="830" spans="1:1" x14ac:dyDescent="0.2">
      <c r="A830" s="29"/>
    </row>
    <row r="831" spans="1:1" x14ac:dyDescent="0.2">
      <c r="A831" s="29"/>
    </row>
    <row r="832" spans="1:1" x14ac:dyDescent="0.2">
      <c r="A832" s="29"/>
    </row>
    <row r="833" spans="1:1" x14ac:dyDescent="0.2">
      <c r="A833" s="29"/>
    </row>
    <row r="834" spans="1:1" x14ac:dyDescent="0.2">
      <c r="A834" s="29"/>
    </row>
    <row r="835" spans="1:1" x14ac:dyDescent="0.2">
      <c r="A835" s="29"/>
    </row>
    <row r="836" spans="1:1" x14ac:dyDescent="0.2">
      <c r="A836" s="29"/>
    </row>
    <row r="837" spans="1:1" x14ac:dyDescent="0.2">
      <c r="A837" s="29"/>
    </row>
    <row r="838" spans="1:1" x14ac:dyDescent="0.2">
      <c r="A838" s="29"/>
    </row>
    <row r="839" spans="1:1" x14ac:dyDescent="0.2">
      <c r="A839" s="29"/>
    </row>
    <row r="840" spans="1:1" x14ac:dyDescent="0.2">
      <c r="A840" s="29"/>
    </row>
    <row r="841" spans="1:1" x14ac:dyDescent="0.2">
      <c r="A841" s="29"/>
    </row>
    <row r="842" spans="1:1" x14ac:dyDescent="0.2">
      <c r="A842" s="29"/>
    </row>
    <row r="843" spans="1:1" x14ac:dyDescent="0.2">
      <c r="A843" s="29"/>
    </row>
    <row r="844" spans="1:1" x14ac:dyDescent="0.2">
      <c r="A844" s="29"/>
    </row>
    <row r="845" spans="1:1" x14ac:dyDescent="0.2">
      <c r="A845" s="29"/>
    </row>
    <row r="846" spans="1:1" x14ac:dyDescent="0.2">
      <c r="A846" s="29"/>
    </row>
    <row r="847" spans="1:1" x14ac:dyDescent="0.2">
      <c r="A847" s="29"/>
    </row>
    <row r="848" spans="1:1" x14ac:dyDescent="0.2">
      <c r="A848" s="29"/>
    </row>
    <row r="849" spans="1:1" x14ac:dyDescent="0.2">
      <c r="A849" s="29"/>
    </row>
    <row r="850" spans="1:1" x14ac:dyDescent="0.2">
      <c r="A850" s="29"/>
    </row>
    <row r="851" spans="1:1" x14ac:dyDescent="0.2">
      <c r="A851" s="29"/>
    </row>
    <row r="852" spans="1:1" x14ac:dyDescent="0.2">
      <c r="A852" s="29"/>
    </row>
    <row r="853" spans="1:1" x14ac:dyDescent="0.2">
      <c r="A853" s="29"/>
    </row>
    <row r="854" spans="1:1" x14ac:dyDescent="0.2">
      <c r="A854" s="29"/>
    </row>
    <row r="855" spans="1:1" x14ac:dyDescent="0.2">
      <c r="A855" s="29"/>
    </row>
    <row r="856" spans="1:1" x14ac:dyDescent="0.2">
      <c r="A856" s="29"/>
    </row>
    <row r="857" spans="1:1" x14ac:dyDescent="0.2">
      <c r="A857" s="29"/>
    </row>
    <row r="858" spans="1:1" x14ac:dyDescent="0.2">
      <c r="A858" s="29"/>
    </row>
    <row r="859" spans="1:1" x14ac:dyDescent="0.2">
      <c r="A859" s="29"/>
    </row>
    <row r="860" spans="1:1" x14ac:dyDescent="0.2">
      <c r="A860" s="29"/>
    </row>
    <row r="861" spans="1:1" x14ac:dyDescent="0.2">
      <c r="A861" s="29"/>
    </row>
    <row r="862" spans="1:1" x14ac:dyDescent="0.2">
      <c r="A862" s="29"/>
    </row>
    <row r="863" spans="1:1" x14ac:dyDescent="0.2">
      <c r="A863" s="29"/>
    </row>
    <row r="864" spans="1:1" x14ac:dyDescent="0.2">
      <c r="A864" s="29"/>
    </row>
    <row r="865" spans="1:1" x14ac:dyDescent="0.2">
      <c r="A865" s="29"/>
    </row>
    <row r="866" spans="1:1" x14ac:dyDescent="0.2">
      <c r="A866" s="29"/>
    </row>
    <row r="867" spans="1:1" x14ac:dyDescent="0.2">
      <c r="A867" s="29"/>
    </row>
    <row r="868" spans="1:1" x14ac:dyDescent="0.2">
      <c r="A868" s="29"/>
    </row>
    <row r="869" spans="1:1" x14ac:dyDescent="0.2">
      <c r="A869" s="29"/>
    </row>
    <row r="870" spans="1:1" x14ac:dyDescent="0.2">
      <c r="A870" s="29"/>
    </row>
    <row r="871" spans="1:1" x14ac:dyDescent="0.2">
      <c r="A871" s="29"/>
    </row>
    <row r="872" spans="1:1" x14ac:dyDescent="0.2">
      <c r="A872" s="29"/>
    </row>
    <row r="873" spans="1:1" x14ac:dyDescent="0.2">
      <c r="A873" s="29"/>
    </row>
    <row r="874" spans="1:1" x14ac:dyDescent="0.2">
      <c r="A874" s="29"/>
    </row>
    <row r="875" spans="1:1" x14ac:dyDescent="0.2">
      <c r="A875" s="29"/>
    </row>
    <row r="876" spans="1:1" x14ac:dyDescent="0.2">
      <c r="A876" s="29"/>
    </row>
    <row r="877" spans="1:1" x14ac:dyDescent="0.2">
      <c r="A877" s="29"/>
    </row>
    <row r="878" spans="1:1" x14ac:dyDescent="0.2">
      <c r="A878" s="29"/>
    </row>
    <row r="879" spans="1:1" x14ac:dyDescent="0.2">
      <c r="A879" s="29"/>
    </row>
    <row r="880" spans="1:1" x14ac:dyDescent="0.2">
      <c r="A880" s="29"/>
    </row>
    <row r="881" spans="1:1" x14ac:dyDescent="0.2">
      <c r="A881" s="29"/>
    </row>
    <row r="882" spans="1:1" x14ac:dyDescent="0.2">
      <c r="A882" s="29"/>
    </row>
    <row r="883" spans="1:1" x14ac:dyDescent="0.2">
      <c r="A883" s="29"/>
    </row>
    <row r="884" spans="1:1" x14ac:dyDescent="0.2">
      <c r="A884" s="29"/>
    </row>
    <row r="885" spans="1:1" x14ac:dyDescent="0.2">
      <c r="A885" s="29"/>
    </row>
    <row r="886" spans="1:1" x14ac:dyDescent="0.2">
      <c r="A886" s="29"/>
    </row>
    <row r="887" spans="1:1" x14ac:dyDescent="0.2">
      <c r="A887" s="29"/>
    </row>
    <row r="888" spans="1:1" x14ac:dyDescent="0.2">
      <c r="A888" s="29"/>
    </row>
    <row r="889" spans="1:1" x14ac:dyDescent="0.2">
      <c r="A889" s="29"/>
    </row>
    <row r="890" spans="1:1" x14ac:dyDescent="0.2">
      <c r="A890" s="29"/>
    </row>
    <row r="891" spans="1:1" x14ac:dyDescent="0.2">
      <c r="A891" s="29"/>
    </row>
    <row r="892" spans="1:1" x14ac:dyDescent="0.2">
      <c r="A892" s="29"/>
    </row>
    <row r="893" spans="1:1" x14ac:dyDescent="0.2">
      <c r="A893" s="29"/>
    </row>
    <row r="894" spans="1:1" x14ac:dyDescent="0.2">
      <c r="A894" s="29"/>
    </row>
    <row r="895" spans="1:1" x14ac:dyDescent="0.2">
      <c r="A895" s="29"/>
    </row>
    <row r="896" spans="1:1" x14ac:dyDescent="0.2">
      <c r="A896" s="29"/>
    </row>
    <row r="897" spans="1:1" x14ac:dyDescent="0.2">
      <c r="A897" s="29"/>
    </row>
    <row r="898" spans="1:1" x14ac:dyDescent="0.2">
      <c r="A898" s="29"/>
    </row>
    <row r="899" spans="1:1" x14ac:dyDescent="0.2">
      <c r="A899" s="29"/>
    </row>
    <row r="900" spans="1:1" x14ac:dyDescent="0.2">
      <c r="A900" s="29"/>
    </row>
    <row r="901" spans="1:1" x14ac:dyDescent="0.2">
      <c r="A901" s="29"/>
    </row>
    <row r="902" spans="1:1" x14ac:dyDescent="0.2">
      <c r="A902" s="29"/>
    </row>
    <row r="903" spans="1:1" x14ac:dyDescent="0.2">
      <c r="A903" s="29"/>
    </row>
    <row r="904" spans="1:1" x14ac:dyDescent="0.2">
      <c r="A904" s="29"/>
    </row>
    <row r="905" spans="1:1" x14ac:dyDescent="0.2">
      <c r="A905" s="29"/>
    </row>
    <row r="906" spans="1:1" x14ac:dyDescent="0.2">
      <c r="A906" s="29"/>
    </row>
    <row r="907" spans="1:1" x14ac:dyDescent="0.2">
      <c r="A907" s="29"/>
    </row>
    <row r="908" spans="1:1" x14ac:dyDescent="0.2">
      <c r="A908" s="29"/>
    </row>
    <row r="909" spans="1:1" x14ac:dyDescent="0.2">
      <c r="A909" s="29"/>
    </row>
    <row r="910" spans="1:1" x14ac:dyDescent="0.2">
      <c r="A910" s="29"/>
    </row>
    <row r="911" spans="1:1" x14ac:dyDescent="0.2">
      <c r="A911" s="29"/>
    </row>
    <row r="912" spans="1:1" x14ac:dyDescent="0.2">
      <c r="A912" s="29"/>
    </row>
    <row r="913" spans="1:1" x14ac:dyDescent="0.2">
      <c r="A913" s="29"/>
    </row>
    <row r="914" spans="1:1" x14ac:dyDescent="0.2">
      <c r="A914" s="29"/>
    </row>
    <row r="915" spans="1:1" x14ac:dyDescent="0.2">
      <c r="A915" s="29"/>
    </row>
    <row r="916" spans="1:1" x14ac:dyDescent="0.2">
      <c r="A916" s="29"/>
    </row>
    <row r="917" spans="1:1" x14ac:dyDescent="0.2">
      <c r="A917" s="29"/>
    </row>
    <row r="918" spans="1:1" x14ac:dyDescent="0.2">
      <c r="A918" s="29"/>
    </row>
    <row r="919" spans="1:1" x14ac:dyDescent="0.2">
      <c r="A919" s="29"/>
    </row>
    <row r="920" spans="1:1" x14ac:dyDescent="0.2">
      <c r="A920" s="29"/>
    </row>
    <row r="921" spans="1:1" x14ac:dyDescent="0.2">
      <c r="A921" s="29"/>
    </row>
    <row r="922" spans="1:1" x14ac:dyDescent="0.2">
      <c r="A922" s="29"/>
    </row>
    <row r="923" spans="1:1" x14ac:dyDescent="0.2">
      <c r="A923" s="29"/>
    </row>
    <row r="924" spans="1:1" x14ac:dyDescent="0.2">
      <c r="A924" s="29"/>
    </row>
    <row r="925" spans="1:1" x14ac:dyDescent="0.2">
      <c r="A925" s="29"/>
    </row>
    <row r="926" spans="1:1" x14ac:dyDescent="0.2">
      <c r="A926" s="29"/>
    </row>
    <row r="927" spans="1:1" x14ac:dyDescent="0.2">
      <c r="A927" s="29"/>
    </row>
    <row r="928" spans="1:1" x14ac:dyDescent="0.2">
      <c r="A928" s="29"/>
    </row>
    <row r="929" spans="1:1" x14ac:dyDescent="0.2">
      <c r="A929" s="29"/>
    </row>
    <row r="930" spans="1:1" x14ac:dyDescent="0.2">
      <c r="A930" s="29"/>
    </row>
    <row r="931" spans="1:1" x14ac:dyDescent="0.2">
      <c r="A931" s="29"/>
    </row>
    <row r="932" spans="1:1" x14ac:dyDescent="0.2">
      <c r="A932" s="29"/>
    </row>
    <row r="933" spans="1:1" x14ac:dyDescent="0.2">
      <c r="A933" s="29"/>
    </row>
    <row r="934" spans="1:1" x14ac:dyDescent="0.2">
      <c r="A934" s="29"/>
    </row>
    <row r="935" spans="1:1" x14ac:dyDescent="0.2">
      <c r="A935" s="29"/>
    </row>
    <row r="936" spans="1:1" x14ac:dyDescent="0.2">
      <c r="A936" s="29"/>
    </row>
    <row r="937" spans="1:1" x14ac:dyDescent="0.2">
      <c r="A937" s="29"/>
    </row>
    <row r="938" spans="1:1" x14ac:dyDescent="0.2">
      <c r="A938" s="29"/>
    </row>
    <row r="939" spans="1:1" x14ac:dyDescent="0.2">
      <c r="A939" s="29"/>
    </row>
    <row r="940" spans="1:1" x14ac:dyDescent="0.2">
      <c r="A940" s="29"/>
    </row>
    <row r="941" spans="1:1" x14ac:dyDescent="0.2">
      <c r="A941" s="29"/>
    </row>
    <row r="942" spans="1:1" x14ac:dyDescent="0.2">
      <c r="A942" s="29"/>
    </row>
    <row r="943" spans="1:1" x14ac:dyDescent="0.2">
      <c r="A943" s="29"/>
    </row>
    <row r="944" spans="1:1" x14ac:dyDescent="0.2">
      <c r="A944" s="29"/>
    </row>
    <row r="945" spans="1:1" x14ac:dyDescent="0.2">
      <c r="A945" s="29"/>
    </row>
    <row r="946" spans="1:1" x14ac:dyDescent="0.2">
      <c r="A946" s="29"/>
    </row>
    <row r="947" spans="1:1" x14ac:dyDescent="0.2">
      <c r="A947" s="29"/>
    </row>
    <row r="948" spans="1:1" x14ac:dyDescent="0.2">
      <c r="A948" s="29"/>
    </row>
    <row r="949" spans="1:1" x14ac:dyDescent="0.2">
      <c r="A949" s="29"/>
    </row>
    <row r="950" spans="1:1" x14ac:dyDescent="0.2">
      <c r="A950" s="29"/>
    </row>
    <row r="951" spans="1:1" x14ac:dyDescent="0.2">
      <c r="A951" s="29"/>
    </row>
    <row r="952" spans="1:1" x14ac:dyDescent="0.2">
      <c r="A952" s="29"/>
    </row>
    <row r="953" spans="1:1" x14ac:dyDescent="0.2">
      <c r="A953" s="29"/>
    </row>
    <row r="954" spans="1:1" x14ac:dyDescent="0.2">
      <c r="A954" s="29"/>
    </row>
    <row r="955" spans="1:1" x14ac:dyDescent="0.2">
      <c r="A955" s="29"/>
    </row>
    <row r="956" spans="1:1" x14ac:dyDescent="0.2">
      <c r="A956" s="29"/>
    </row>
    <row r="957" spans="1:1" x14ac:dyDescent="0.2">
      <c r="A957" s="29"/>
    </row>
    <row r="958" spans="1:1" x14ac:dyDescent="0.2">
      <c r="A958" s="29"/>
    </row>
    <row r="959" spans="1:1" x14ac:dyDescent="0.2">
      <c r="A959" s="29"/>
    </row>
    <row r="960" spans="1:1" x14ac:dyDescent="0.2">
      <c r="A960" s="29"/>
    </row>
    <row r="961" spans="1:1" x14ac:dyDescent="0.2">
      <c r="A961" s="29"/>
    </row>
    <row r="962" spans="1:1" x14ac:dyDescent="0.2">
      <c r="A962" s="29"/>
    </row>
    <row r="963" spans="1:1" x14ac:dyDescent="0.2">
      <c r="A963" s="29"/>
    </row>
    <row r="964" spans="1:1" x14ac:dyDescent="0.2">
      <c r="A964" s="29"/>
    </row>
    <row r="965" spans="1:1" x14ac:dyDescent="0.2">
      <c r="A965" s="29"/>
    </row>
    <row r="966" spans="1:1" x14ac:dyDescent="0.2">
      <c r="A966" s="29"/>
    </row>
    <row r="967" spans="1:1" x14ac:dyDescent="0.2">
      <c r="A967" s="29"/>
    </row>
    <row r="968" spans="1:1" x14ac:dyDescent="0.2">
      <c r="A968" s="29"/>
    </row>
    <row r="969" spans="1:1" x14ac:dyDescent="0.2">
      <c r="A969" s="29"/>
    </row>
    <row r="970" spans="1:1" x14ac:dyDescent="0.2">
      <c r="A970" s="29"/>
    </row>
    <row r="971" spans="1:1" x14ac:dyDescent="0.2">
      <c r="A971" s="29"/>
    </row>
    <row r="972" spans="1:1" x14ac:dyDescent="0.2">
      <c r="A972" s="29"/>
    </row>
    <row r="973" spans="1:1" x14ac:dyDescent="0.2">
      <c r="A973" s="29"/>
    </row>
    <row r="974" spans="1:1" x14ac:dyDescent="0.2">
      <c r="A974" s="29"/>
    </row>
    <row r="975" spans="1:1" x14ac:dyDescent="0.2">
      <c r="A975" s="29"/>
    </row>
    <row r="976" spans="1:1" x14ac:dyDescent="0.2">
      <c r="A976" s="29"/>
    </row>
    <row r="977" spans="1:1" x14ac:dyDescent="0.2">
      <c r="A977" s="29"/>
    </row>
    <row r="978" spans="1:1" x14ac:dyDescent="0.2">
      <c r="A978" s="29"/>
    </row>
    <row r="979" spans="1:1" x14ac:dyDescent="0.2">
      <c r="A979" s="29"/>
    </row>
    <row r="980" spans="1:1" x14ac:dyDescent="0.2">
      <c r="A980" s="29"/>
    </row>
    <row r="981" spans="1:1" x14ac:dyDescent="0.2">
      <c r="A981" s="29"/>
    </row>
    <row r="982" spans="1:1" x14ac:dyDescent="0.2">
      <c r="A982" s="29"/>
    </row>
    <row r="983" spans="1:1" x14ac:dyDescent="0.2">
      <c r="A983" s="29"/>
    </row>
    <row r="984" spans="1:1" x14ac:dyDescent="0.2">
      <c r="A984" s="29"/>
    </row>
    <row r="985" spans="1:1" x14ac:dyDescent="0.2">
      <c r="A985" s="29"/>
    </row>
    <row r="986" spans="1:1" x14ac:dyDescent="0.2">
      <c r="A986" s="29"/>
    </row>
    <row r="987" spans="1:1" x14ac:dyDescent="0.2">
      <c r="A987" s="29"/>
    </row>
    <row r="988" spans="1:1" x14ac:dyDescent="0.2">
      <c r="A988" s="29"/>
    </row>
    <row r="989" spans="1:1" x14ac:dyDescent="0.2">
      <c r="A989" s="29"/>
    </row>
    <row r="990" spans="1:1" x14ac:dyDescent="0.2">
      <c r="A990" s="29"/>
    </row>
    <row r="991" spans="1:1" x14ac:dyDescent="0.2">
      <c r="A991" s="29"/>
    </row>
    <row r="992" spans="1:1" x14ac:dyDescent="0.2">
      <c r="A992" s="29"/>
    </row>
    <row r="993" spans="1:1" x14ac:dyDescent="0.2">
      <c r="A993" s="29"/>
    </row>
    <row r="994" spans="1:1" x14ac:dyDescent="0.2">
      <c r="A994" s="29"/>
    </row>
    <row r="995" spans="1:1" x14ac:dyDescent="0.2">
      <c r="A995" s="29"/>
    </row>
    <row r="996" spans="1:1" x14ac:dyDescent="0.2">
      <c r="A996" s="29"/>
    </row>
    <row r="997" spans="1:1" x14ac:dyDescent="0.2">
      <c r="A997" s="29"/>
    </row>
    <row r="998" spans="1:1" x14ac:dyDescent="0.2">
      <c r="A998" s="29"/>
    </row>
  </sheetData>
  <phoneticPr fontId="8" type="noConversion"/>
  <pageMargins left="0.2" right="0.22" top="0.81739583333333332" bottom="0.38" header="0.45" footer="0.2"/>
  <pageSetup scale="59" orientation="landscape" r:id="rId1"/>
  <headerFooter alignWithMargins="0">
    <oddHeader xml:space="preserve">&amp;C&amp;"Arial,Bold"&amp;14&amp;A&amp;R&amp;"Times New Roman,Bold"KyPSC Case No. 2024-00354
AG-DR-02-043 Attachment
Page &amp;P of &amp;N&amp;"Arial,Regular"
</oddHeader>
    <oddFooter>&amp;L&amp;D
&amp;R&amp;"Arial,Bold"&amp;14&amp;KFF0000A1</odd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DF995"/>
  <sheetViews>
    <sheetView view="pageLayout" zoomScaleNormal="90" workbookViewId="0">
      <selection activeCell="CZ73" sqref="CZ73"/>
    </sheetView>
  </sheetViews>
  <sheetFormatPr defaultRowHeight="12.75" outlineLevelCol="1" x14ac:dyDescent="0.2"/>
  <cols>
    <col min="1" max="1" width="29.28515625" style="10" customWidth="1"/>
    <col min="2" max="26" width="12.5703125" hidden="1" customWidth="1" outlineLevel="1"/>
    <col min="27" max="30" width="12.85546875" hidden="1" customWidth="1" outlineLevel="1"/>
    <col min="31" max="37" width="12.85546875" hidden="1" customWidth="1" outlineLevel="1" collapsed="1"/>
    <col min="38" max="38" width="12.85546875" hidden="1" customWidth="1" outlineLevel="1"/>
    <col min="39" max="39" width="15.140625" hidden="1" customWidth="1" outlineLevel="1"/>
    <col min="40" max="40" width="12.85546875" hidden="1" customWidth="1" outlineLevel="1"/>
    <col min="41" max="42" width="14" hidden="1" customWidth="1" outlineLevel="1"/>
    <col min="43" max="45" width="14" hidden="1" customWidth="1" outlineLevel="1" collapsed="1"/>
    <col min="46" max="46" width="14" hidden="1" customWidth="1" outlineLevel="1"/>
    <col min="47" max="48" width="14" hidden="1" customWidth="1" outlineLevel="1" collapsed="1"/>
    <col min="49" max="49" width="14" hidden="1" customWidth="1" outlineLevel="1"/>
    <col min="50" max="50" width="14" hidden="1" customWidth="1" outlineLevel="1" collapsed="1"/>
    <col min="51" max="54" width="14" hidden="1" customWidth="1" outlineLevel="1"/>
    <col min="55" max="55" width="14" hidden="1" customWidth="1" outlineLevel="1" collapsed="1"/>
    <col min="56" max="57" width="14" hidden="1" customWidth="1" outlineLevel="1"/>
    <col min="58" max="58" width="14" hidden="1" customWidth="1" outlineLevel="1" collapsed="1"/>
    <col min="59" max="60" width="14" hidden="1" customWidth="1" outlineLevel="1"/>
    <col min="61" max="61" width="14" hidden="1" customWidth="1" outlineLevel="1" collapsed="1"/>
    <col min="62" max="72" width="14" hidden="1" customWidth="1" outlineLevel="1"/>
    <col min="73" max="73" width="14" hidden="1" customWidth="1" outlineLevel="1" collapsed="1"/>
    <col min="74" max="74" width="14" hidden="1" customWidth="1" outlineLevel="1"/>
    <col min="75" max="84" width="14.140625" hidden="1" customWidth="1" outlineLevel="1"/>
    <col min="85" max="85" width="14.140625" hidden="1" customWidth="1" collapsed="1"/>
    <col min="86" max="97" width="14.140625" hidden="1" customWidth="1"/>
    <col min="98" max="110" width="14.140625" customWidth="1"/>
  </cols>
  <sheetData>
    <row r="1" spans="1:110" s="21" customFormat="1" x14ac:dyDescent="0.2">
      <c r="A1" s="19"/>
      <c r="B1" s="46">
        <v>42035</v>
      </c>
      <c r="C1" s="46">
        <v>42063</v>
      </c>
      <c r="D1" s="46">
        <v>42094</v>
      </c>
      <c r="E1" s="46">
        <v>42095</v>
      </c>
      <c r="F1" s="46">
        <v>42125</v>
      </c>
      <c r="G1" s="46">
        <v>42185</v>
      </c>
      <c r="H1" s="46">
        <v>42186</v>
      </c>
      <c r="I1" s="46">
        <v>42217</v>
      </c>
      <c r="J1" s="46">
        <v>42248</v>
      </c>
      <c r="K1" s="46">
        <v>42278</v>
      </c>
      <c r="L1" s="46">
        <v>42309</v>
      </c>
      <c r="M1" s="46">
        <v>42339</v>
      </c>
      <c r="N1" s="46">
        <v>42400</v>
      </c>
      <c r="O1" s="46">
        <v>42429</v>
      </c>
      <c r="P1" s="46">
        <v>42460</v>
      </c>
      <c r="Q1" s="46">
        <v>42461</v>
      </c>
      <c r="R1" s="46">
        <v>42491</v>
      </c>
      <c r="S1" s="46">
        <v>42522</v>
      </c>
      <c r="T1" s="46">
        <v>42552</v>
      </c>
      <c r="U1" s="46">
        <v>42583</v>
      </c>
      <c r="V1" s="46">
        <v>42614</v>
      </c>
      <c r="W1" s="46">
        <v>42644</v>
      </c>
      <c r="X1" s="46">
        <v>42675</v>
      </c>
      <c r="Y1" s="46">
        <v>42735</v>
      </c>
      <c r="Z1" s="46" t="e">
        <f>'DEK Charge-offs'!Z1</f>
        <v>#REF!</v>
      </c>
      <c r="AA1" s="46" t="e">
        <f>'DEK Charge-offs'!AA1</f>
        <v>#REF!</v>
      </c>
      <c r="AB1" s="46" t="e">
        <f>'DEK Charge-offs'!AB1</f>
        <v>#REF!</v>
      </c>
      <c r="AC1" s="46" t="e">
        <f>'DEK Charge-offs'!AC1</f>
        <v>#REF!</v>
      </c>
      <c r="AD1" s="46" t="e">
        <f>'DEK Charge-offs'!AD1</f>
        <v>#REF!</v>
      </c>
      <c r="AE1" s="46" t="e">
        <f>'DEK Charge-offs'!AE1</f>
        <v>#REF!</v>
      </c>
      <c r="AF1" s="46" t="e">
        <f>'DEK Charge-offs'!AF1</f>
        <v>#REF!</v>
      </c>
      <c r="AG1" s="46" t="e">
        <f>'DEK Charge-offs'!AG1</f>
        <v>#REF!</v>
      </c>
      <c r="AH1" s="46" t="e">
        <f>'DEK Charge-offs'!AH1</f>
        <v>#REF!</v>
      </c>
      <c r="AI1" s="46" t="e">
        <f>'DEK Charge-offs'!AI1</f>
        <v>#REF!</v>
      </c>
      <c r="AJ1" s="46" t="e">
        <f>'DEK Charge-offs'!AJ1</f>
        <v>#REF!</v>
      </c>
      <c r="AK1" s="46" t="e">
        <f>'DEK Charge-offs'!AK1</f>
        <v>#REF!</v>
      </c>
      <c r="AL1" s="46" t="e">
        <f>'DEK Charge-offs'!AL1</f>
        <v>#REF!</v>
      </c>
      <c r="AM1" s="46" t="e">
        <f>'DEK Charge-offs'!AM1</f>
        <v>#REF!</v>
      </c>
      <c r="AN1" s="46" t="e">
        <f>'DEK Charge-offs'!AN1</f>
        <v>#REF!</v>
      </c>
      <c r="AO1" s="46" t="e">
        <f>'DEK Charge-offs'!AO1</f>
        <v>#REF!</v>
      </c>
      <c r="AP1" s="46" t="e">
        <f>'DEK Charge-offs'!AP1</f>
        <v>#REF!</v>
      </c>
      <c r="AQ1" s="46" t="e">
        <f>'DEK Charge-offs'!AQ1</f>
        <v>#REF!</v>
      </c>
      <c r="AR1" s="46" t="e">
        <f>'DEK Charge-offs'!AR1</f>
        <v>#REF!</v>
      </c>
      <c r="AS1" s="46" t="e">
        <f>'DEK Charge-offs'!AS1</f>
        <v>#REF!</v>
      </c>
      <c r="AT1" s="46" t="e">
        <f>'DEK Charge-offs'!AT1</f>
        <v>#REF!</v>
      </c>
      <c r="AU1" s="46" t="e">
        <f>'DEK Charge-offs'!AU1</f>
        <v>#REF!</v>
      </c>
      <c r="AV1" s="46" t="e">
        <f>'DEK Charge-offs'!AV1</f>
        <v>#REF!</v>
      </c>
      <c r="AW1" s="46" t="e">
        <f>'DEK Charge-offs'!AW1</f>
        <v>#REF!</v>
      </c>
      <c r="AX1" s="46" t="e">
        <f>'DEK Charge-offs'!AX1</f>
        <v>#REF!</v>
      </c>
      <c r="AY1" s="46" t="e">
        <f>'DEK Charge-offs'!AY1</f>
        <v>#REF!</v>
      </c>
      <c r="AZ1" s="46" t="e">
        <f>'DEK Charge-offs'!AZ1</f>
        <v>#REF!</v>
      </c>
      <c r="BA1" s="46" t="e">
        <f>'DEK Charge-offs'!BA1</f>
        <v>#REF!</v>
      </c>
      <c r="BB1" s="46" t="e">
        <f>'DEK Charge-offs'!BB1</f>
        <v>#REF!</v>
      </c>
      <c r="BC1" s="46" t="e">
        <f>'DEK Charge-offs'!BC1</f>
        <v>#REF!</v>
      </c>
      <c r="BD1" s="46" t="e">
        <f>'DEK Charge-offs'!BD1</f>
        <v>#REF!</v>
      </c>
      <c r="BE1" s="46" t="e">
        <f>'DEK Charge-offs'!BE1</f>
        <v>#REF!</v>
      </c>
      <c r="BF1" s="46" t="e">
        <f>'DEK Charge-offs'!BF1</f>
        <v>#REF!</v>
      </c>
      <c r="BG1" s="46" t="e">
        <f>'DEK Charge-offs'!BG1</f>
        <v>#REF!</v>
      </c>
      <c r="BH1" s="46" t="e">
        <f>'DEK Charge-offs'!BH1</f>
        <v>#REF!</v>
      </c>
      <c r="BI1" s="46" t="e">
        <f>'DEK Charge-offs'!BI1</f>
        <v>#REF!</v>
      </c>
      <c r="BJ1" s="46" t="e">
        <f>'DEK Charge-offs'!BJ1</f>
        <v>#REF!</v>
      </c>
      <c r="BK1" s="46" t="e">
        <f>'DEK Charge-offs'!BK1</f>
        <v>#REF!</v>
      </c>
      <c r="BL1" s="46" t="e">
        <f>'DEK Charge-offs'!BL1</f>
        <v>#REF!</v>
      </c>
      <c r="BM1" s="46" t="e">
        <f>'DEK Charge-offs'!BM1</f>
        <v>#REF!</v>
      </c>
      <c r="BN1" s="46" t="e">
        <f>'DEK Charge-offs'!BN1</f>
        <v>#REF!</v>
      </c>
      <c r="BO1" s="46" t="e">
        <f>'DEK Charge-offs'!BO1</f>
        <v>#REF!</v>
      </c>
      <c r="BP1" s="46" t="e">
        <f>'DEK Charge-offs'!BP1</f>
        <v>#REF!</v>
      </c>
      <c r="BQ1" s="46" t="e">
        <f>'DEK Charge-offs'!BQ1</f>
        <v>#REF!</v>
      </c>
      <c r="BR1" s="46" t="e">
        <f>'DEK Charge-offs'!BR1</f>
        <v>#REF!</v>
      </c>
      <c r="BS1" s="46" t="e">
        <f>'DEK Charge-offs'!BS1</f>
        <v>#REF!</v>
      </c>
      <c r="BT1" s="46" t="e">
        <f>'DEK Charge-offs'!BT1</f>
        <v>#REF!</v>
      </c>
      <c r="BU1" s="46" t="e">
        <f>'DEK Charge-offs'!BU1</f>
        <v>#REF!</v>
      </c>
      <c r="BV1" s="46" t="e">
        <f>'DEK Charge-offs'!BV1</f>
        <v>#REF!</v>
      </c>
      <c r="BW1" s="46" t="e">
        <f>'DEK Charge-offs'!BW1</f>
        <v>#REF!</v>
      </c>
      <c r="BX1" s="46" t="e">
        <f>'DEK Charge-offs'!BX1</f>
        <v>#REF!</v>
      </c>
      <c r="BY1" s="46" t="e">
        <f>'DEK Charge-offs'!BY1</f>
        <v>#REF!</v>
      </c>
      <c r="BZ1" s="46" t="e">
        <f>'DEK Charge-offs'!BZ1</f>
        <v>#REF!</v>
      </c>
      <c r="CA1" s="46" t="e">
        <f>'DEK Charge-offs'!CA1</f>
        <v>#REF!</v>
      </c>
      <c r="CB1" s="46" t="e">
        <f>'DEK Charge-offs'!CB1</f>
        <v>#REF!</v>
      </c>
      <c r="CC1" s="46" t="e">
        <f>'DEK Charge-offs'!CC1</f>
        <v>#REF!</v>
      </c>
      <c r="CD1" s="46" t="e">
        <f>'DEK Charge-offs'!CD1</f>
        <v>#REF!</v>
      </c>
      <c r="CE1" s="46" t="e">
        <f>'DEK Charge-offs'!CE1</f>
        <v>#REF!</v>
      </c>
      <c r="CF1" s="46" t="e">
        <f>'DEK Charge-offs'!CF1</f>
        <v>#REF!</v>
      </c>
      <c r="CG1" s="46" t="e">
        <f>'DEK Charge-offs'!CG1</f>
        <v>#REF!</v>
      </c>
      <c r="CH1" s="46" t="e">
        <f>'DEK Charge-offs'!CH1</f>
        <v>#REF!</v>
      </c>
      <c r="CI1" s="46" t="e">
        <f>'DEK Charge-offs'!CI1</f>
        <v>#REF!</v>
      </c>
      <c r="CJ1" s="46" t="e">
        <f>'DEK Charge-offs'!CJ1</f>
        <v>#REF!</v>
      </c>
      <c r="CK1" s="46" t="e">
        <f>'DEK Charge-offs'!CK1</f>
        <v>#REF!</v>
      </c>
      <c r="CL1" s="46" t="e">
        <f>'DEK Charge-offs'!CL1</f>
        <v>#REF!</v>
      </c>
      <c r="CM1" s="46" t="e">
        <f>'DEK Charge-offs'!CM1</f>
        <v>#REF!</v>
      </c>
      <c r="CN1" s="46" t="e">
        <f>'DEK Charge-offs'!CN1</f>
        <v>#REF!</v>
      </c>
      <c r="CO1" s="46" t="e">
        <f>'DEK Charge-offs'!CO1</f>
        <v>#REF!</v>
      </c>
      <c r="CP1" s="46" t="e">
        <f>'DEK Charge-offs'!CP1</f>
        <v>#REF!</v>
      </c>
      <c r="CQ1" s="46" t="e">
        <f>'DEK Charge-offs'!CQ1</f>
        <v>#REF!</v>
      </c>
      <c r="CR1" s="46">
        <v>44866</v>
      </c>
      <c r="CS1" s="46">
        <v>44896</v>
      </c>
      <c r="CT1" s="46">
        <v>44927</v>
      </c>
      <c r="CU1" s="46">
        <v>44958</v>
      </c>
      <c r="CV1" s="46">
        <v>44986</v>
      </c>
      <c r="CW1" s="46">
        <f>'DEK Charge-offs'!CW1</f>
        <v>45017</v>
      </c>
      <c r="CX1" s="46">
        <f>'DEK Charge-offs'!CX1</f>
        <v>45047</v>
      </c>
      <c r="CY1" s="46">
        <v>45078</v>
      </c>
      <c r="CZ1" s="46">
        <f>'DEK Charge-offs'!CZ1</f>
        <v>45108</v>
      </c>
      <c r="DA1" s="46">
        <f>'DEK Charge-offs'!DA1</f>
        <v>45139</v>
      </c>
      <c r="DB1" s="46">
        <f>'DEK Charge-offs'!DB1</f>
        <v>45170</v>
      </c>
      <c r="DC1" s="46">
        <f>'DEK Charge-offs'!DC1</f>
        <v>45200</v>
      </c>
      <c r="DD1" s="46">
        <v>45231</v>
      </c>
      <c r="DE1" s="46">
        <v>45261</v>
      </c>
      <c r="DF1" s="46">
        <v>45292</v>
      </c>
    </row>
    <row r="2" spans="1:110" x14ac:dyDescent="0.2">
      <c r="A2" s="19"/>
    </row>
    <row r="3" spans="1:110" x14ac:dyDescent="0.2">
      <c r="A3" s="20" t="s">
        <v>48</v>
      </c>
      <c r="B3" s="62">
        <v>284513</v>
      </c>
      <c r="C3" s="62">
        <v>334858</v>
      </c>
      <c r="D3" s="62">
        <v>284612</v>
      </c>
      <c r="E3" s="62">
        <v>252567</v>
      </c>
      <c r="F3" s="62">
        <v>148420</v>
      </c>
      <c r="G3" s="62">
        <v>131842</v>
      </c>
      <c r="H3" s="62">
        <v>179262</v>
      </c>
      <c r="I3" s="62">
        <v>198933</v>
      </c>
      <c r="J3" s="62">
        <v>151170</v>
      </c>
      <c r="K3" s="62">
        <v>163727</v>
      </c>
      <c r="L3" s="62">
        <v>138245</v>
      </c>
      <c r="M3" s="62">
        <v>234433</v>
      </c>
      <c r="N3" s="62">
        <v>182030</v>
      </c>
      <c r="O3" s="62">
        <v>287786</v>
      </c>
      <c r="P3" s="62">
        <v>235478</v>
      </c>
      <c r="Q3" s="62">
        <v>136071</v>
      </c>
      <c r="R3" s="62">
        <v>153514</v>
      </c>
      <c r="S3" s="62">
        <v>121613</v>
      </c>
      <c r="T3" s="62">
        <v>202002</v>
      </c>
      <c r="U3" s="62">
        <v>197001</v>
      </c>
      <c r="V3" s="62">
        <v>198621</v>
      </c>
      <c r="W3" s="62">
        <v>191068</v>
      </c>
      <c r="X3" s="62">
        <v>138884</v>
      </c>
      <c r="Y3" s="62">
        <v>238133</v>
      </c>
      <c r="Z3" s="62">
        <f>103745+99046</f>
        <v>202791</v>
      </c>
      <c r="AA3" s="62">
        <f>156035+124645</f>
        <v>280680</v>
      </c>
      <c r="AB3" s="62">
        <f>74665+61550</f>
        <v>136215</v>
      </c>
      <c r="AC3" s="62">
        <f>113872+70375</f>
        <v>184247</v>
      </c>
      <c r="AD3" s="62">
        <f>73527+38343</f>
        <v>111870</v>
      </c>
      <c r="AE3" s="62">
        <f>81968+26130</f>
        <v>108098</v>
      </c>
      <c r="AF3" s="62">
        <f>156922+41806</f>
        <v>198728</v>
      </c>
      <c r="AG3" s="62">
        <f>198999+27993</f>
        <v>226992</v>
      </c>
      <c r="AH3" s="62">
        <f>148083+29278</f>
        <v>177361</v>
      </c>
      <c r="AI3" s="62">
        <f>112389+26976</f>
        <v>139365</v>
      </c>
      <c r="AJ3" s="62">
        <f>97930+30163</f>
        <v>128093</v>
      </c>
      <c r="AK3" s="62">
        <f>141246+66131</f>
        <v>207377</v>
      </c>
      <c r="AL3" s="62">
        <f>133489+89213</f>
        <v>222702</v>
      </c>
      <c r="AM3" s="62">
        <f>217980+149656</f>
        <v>367636</v>
      </c>
      <c r="AN3" s="62">
        <f>146294+83395</f>
        <v>229689</v>
      </c>
      <c r="AO3" s="62">
        <f>91712+56657</f>
        <v>148369</v>
      </c>
      <c r="AP3" s="47">
        <f>'[1]Input Data'!$D$12+'[1]Input Data'!$D$14</f>
        <v>193435.71000000002</v>
      </c>
      <c r="AQ3" s="47">
        <f>'[2]Input Data'!$D$12+'[2]Input Data'!$D$14</f>
        <v>137502.68</v>
      </c>
      <c r="AR3" s="47">
        <f>'[3]Input Data'!$D$12+'[3]Input Data'!$D$14</f>
        <v>231063.12</v>
      </c>
      <c r="AS3" s="47">
        <f>'[4]Input Data'!$G$12+'[4]Input Data'!$G$14</f>
        <v>204490.12000000002</v>
      </c>
      <c r="AT3" s="47">
        <f>'[5]Input Data'!$G$12+'[5]Input Data'!$G$14</f>
        <v>211743.31</v>
      </c>
      <c r="AU3" s="47">
        <f>'[6]Input Data'!$G$12+'[6]Input Data'!$G$14</f>
        <v>209071.06</v>
      </c>
      <c r="AV3" s="47">
        <f>'[7]Input Data'!$G$12+'[7]Input Data'!$G$14</f>
        <v>163829.15000000002</v>
      </c>
      <c r="AW3" s="47">
        <f>'[8]Input Data'!$G$12+'[8]Input Data'!$G$14</f>
        <v>346116.38</v>
      </c>
      <c r="AX3" s="47">
        <f>'[9]Input Data'!$G$12+'[9]Input Data'!$G$14</f>
        <v>285189.27</v>
      </c>
      <c r="AY3" s="47">
        <f>'[10]Input Data'!$G$12+'[10]Input Data'!$G$14</f>
        <v>270175.27</v>
      </c>
      <c r="AZ3" s="47">
        <f>'[11]Input Data'!$G$12+'[11]Input Data'!$G$14</f>
        <v>241700.93</v>
      </c>
      <c r="BA3" s="47">
        <f>'[12]Input Data'!$G$12+'[12]Input Data'!$G$14</f>
        <v>189475.21</v>
      </c>
      <c r="BB3" s="47">
        <f>'[13]Input Data'!$G$12+'[13]Input Data'!$G$14</f>
        <v>162015.51</v>
      </c>
      <c r="BC3" s="47">
        <f>'[14]Input Data'!$G$12+'[14]Input Data'!$G$14</f>
        <v>120091.03</v>
      </c>
      <c r="BD3" s="47">
        <f>'[15]Input Data'!$G$12+'[15]Input Data'!$G$14</f>
        <v>183891.81</v>
      </c>
      <c r="BE3" s="47">
        <f>'[16]Input Data'!$G$12+'[16]Input Data'!$G$14</f>
        <v>198709.07</v>
      </c>
      <c r="BF3" s="47">
        <f>'[17]Input Data'!$G$12+'[17]Input Data'!$G$14</f>
        <v>168920.39</v>
      </c>
      <c r="BG3" s="47">
        <f>'[18]Input Data'!$G$12+'[18]Input Data'!$G$14</f>
        <v>189181.68</v>
      </c>
      <c r="BH3" s="47">
        <f>'[19]Input Data'!$G$12+'[19]Input Data'!$G$14</f>
        <v>179516</v>
      </c>
      <c r="BI3" s="47">
        <f>'[20]Input Data'!$G$12+'[20]Input Data'!$G$14</f>
        <v>272513.03999999998</v>
      </c>
      <c r="BJ3" s="47">
        <f>'[21]Input Data'!$G$12+'[21]Input Data'!$G$14</f>
        <v>225996.51</v>
      </c>
      <c r="BK3" s="47">
        <f>'[22]Input Data'!$G$12+'[22]Input Data'!$G$14</f>
        <v>271246.01</v>
      </c>
      <c r="BL3" s="47">
        <f>'[23]Input Data'!$G$12+'[23]Input Data'!$G$14</f>
        <v>127572.38</v>
      </c>
      <c r="BM3" s="47">
        <f>'[24]Input Data'!$G$12+'[24]Input Data'!$G$14</f>
        <v>-8398.2999999999993</v>
      </c>
      <c r="BN3" s="47">
        <f>'[25]Input Data'!$G$12+'[25]Input Data'!$G$14</f>
        <v>6708.7</v>
      </c>
      <c r="BO3" s="47">
        <f>'[26]Input Data'!$G$12+'[26]Input Data'!$G$14</f>
        <v>-11795.91</v>
      </c>
      <c r="BP3" s="47">
        <f>'[27]Input Data'!$G$12+'[27]Input Data'!$G$14</f>
        <v>25347.29</v>
      </c>
      <c r="BQ3" s="47">
        <f>'[28]Input Data'!$G$12+'[28]Input Data'!$G$14</f>
        <v>-18587.440000000002</v>
      </c>
      <c r="BR3" s="47">
        <f>'[29]Input Data'!$G$12+'[29]Input Data'!$G$14</f>
        <v>14084.4</v>
      </c>
      <c r="BS3" s="47">
        <f>'[30]Input Data'!$G$12+'[30]Input Data'!$G$14</f>
        <v>13772.789999999999</v>
      </c>
      <c r="BT3" s="47">
        <f>'[31]Input Data'!$G$12+'[31]Input Data'!$G$14</f>
        <v>32735.230000000003</v>
      </c>
      <c r="BU3" s="47">
        <f>'[32]Input Data'!$G$12+'[32]Input Data'!$G$14</f>
        <v>64589.869999999995</v>
      </c>
      <c r="BV3" s="47">
        <f>'[33]Input Data'!$G$12+'[33]Input Data'!$G$14</f>
        <v>315953.72000000003</v>
      </c>
      <c r="BW3" s="47">
        <f>'[34]Input Data'!$G$12+'[34]Input Data'!$G$14</f>
        <v>226509.34</v>
      </c>
      <c r="BX3" s="47">
        <f>'[35]Input Data'!$G$12+'[35]Input Data'!$G$14</f>
        <v>234030.26</v>
      </c>
      <c r="BY3" s="47">
        <f>'[36]Input Data'!$G$12+'[36]Input Data'!$G$14</f>
        <v>162456.14000000001</v>
      </c>
      <c r="BZ3" s="47">
        <f>'[37]Input Data'!$G$12+'[37]Input Data'!$G$14</f>
        <v>135682.91</v>
      </c>
      <c r="CA3" s="47">
        <f>'[38]Input Data'!$G$12+'[38]Input Data'!$G$14</f>
        <v>151288.22999999998</v>
      </c>
      <c r="CB3" s="47">
        <f>'[39]Input Data'!$G$12+'[39]Input Data'!$G$14</f>
        <v>234222.17</v>
      </c>
      <c r="CC3" s="47">
        <f>'[40]Input Data'!$G$12+'[40]Input Data'!$G$14</f>
        <v>220667.31</v>
      </c>
      <c r="CD3" s="47">
        <f>'[41]Input Data'!$G$12+'[41]Input Data'!$G$14</f>
        <v>213992.7</v>
      </c>
      <c r="CE3" s="47">
        <f>'[42]Input Data'!$G$12+'[42]Input Data'!$G$14</f>
        <v>224085.98</v>
      </c>
      <c r="CF3" s="47">
        <f>'[43]Input Data'!$G$12+'[43]Input Data'!$G$14</f>
        <v>159070.27000000002</v>
      </c>
      <c r="CG3" s="47">
        <f>'[44]Input Data'!$G$12+'[44]Input Data'!$G$14</f>
        <v>315499.33</v>
      </c>
      <c r="CH3" s="47">
        <f>'[45]Input Data'!$G$12+'[45]Input Data'!$G$14</f>
        <v>444608.97</v>
      </c>
      <c r="CI3" s="47">
        <f>'[46]Input Data'!$G$12+'[46]Input Data'!$G$14</f>
        <v>407745.92000000004</v>
      </c>
      <c r="CJ3" s="47">
        <f>'[47]Input Data'!$G$12+'[47]Input Data'!$G$14</f>
        <v>296775</v>
      </c>
      <c r="CK3" s="47">
        <f>'[48]Input Data'!$G$12+'[48]Input Data'!$G$14</f>
        <v>-1037.93</v>
      </c>
      <c r="CL3" s="47">
        <f>'[49]Input Data'!$G$12+'[49]Input Data'!$G$14</f>
        <v>-3535.47</v>
      </c>
      <c r="CM3" s="47">
        <f>'[50]Input Data'!$G$12+'[50]Input Data'!$G$14</f>
        <v>-1362.84</v>
      </c>
      <c r="CN3" s="47">
        <f>'[51]Input Data'!$G$12+'[51]Input Data'!$G$14</f>
        <v>237545.46</v>
      </c>
      <c r="CO3" s="47">
        <f>'[52]Input Data'!$G$12+'[52]Input Data'!$G$14</f>
        <v>256976.62</v>
      </c>
      <c r="CP3" s="47">
        <f>'[53]Input Data'!$G$12+'[53]Input Data'!$G$14</f>
        <v>264429.7</v>
      </c>
      <c r="CQ3" s="47">
        <f>'[54]Input Data'!$G$12+'[54]Input Data'!$G$14</f>
        <v>145724.12</v>
      </c>
      <c r="CR3" s="47">
        <v>43687.68</v>
      </c>
      <c r="CS3" s="47">
        <v>270803.71000000002</v>
      </c>
      <c r="CT3" s="47">
        <v>418608.02999999997</v>
      </c>
      <c r="CU3" s="47">
        <v>340995.82</v>
      </c>
      <c r="CV3" s="47">
        <v>270554.55</v>
      </c>
      <c r="CW3" s="47">
        <v>94737.510000000009</v>
      </c>
      <c r="CX3" s="47">
        <v>119929.59</v>
      </c>
      <c r="CY3" s="47">
        <v>145640.54999999999</v>
      </c>
      <c r="CZ3" s="47">
        <v>168327.76</v>
      </c>
      <c r="DA3" s="47">
        <v>161044.19</v>
      </c>
      <c r="DB3" s="47">
        <v>195532.34</v>
      </c>
      <c r="DC3" s="47">
        <v>121214.56999999999</v>
      </c>
      <c r="DD3" s="47">
        <v>62955.820000000007</v>
      </c>
      <c r="DE3" s="47">
        <v>86041.84</v>
      </c>
      <c r="DF3" s="47">
        <v>112215.93</v>
      </c>
    </row>
    <row r="4" spans="1:110" x14ac:dyDescent="0.2">
      <c r="A4" s="29" t="s">
        <v>38</v>
      </c>
      <c r="B4" s="10">
        <v>51399439</v>
      </c>
      <c r="C4" s="10">
        <v>50602169</v>
      </c>
      <c r="D4" s="10">
        <v>47481299</v>
      </c>
      <c r="E4" s="10">
        <v>34134119</v>
      </c>
      <c r="F4" s="10">
        <v>30681839</v>
      </c>
      <c r="G4" s="10">
        <v>32110656</v>
      </c>
      <c r="H4" s="10">
        <v>33469269</v>
      </c>
      <c r="I4" s="10">
        <v>34705582</v>
      </c>
      <c r="J4" s="10">
        <v>34057057</v>
      </c>
      <c r="K4" s="10">
        <v>29879491</v>
      </c>
      <c r="L4" s="10">
        <v>29085584</v>
      </c>
      <c r="M4" s="10">
        <v>36013694</v>
      </c>
      <c r="N4" s="10">
        <v>41787769</v>
      </c>
      <c r="O4" s="10">
        <v>44371096</v>
      </c>
      <c r="P4" s="10">
        <v>37337752</v>
      </c>
      <c r="Q4" s="10">
        <v>31395616</v>
      </c>
      <c r="R4" s="10">
        <v>28547647</v>
      </c>
      <c r="S4" s="10">
        <v>35271577</v>
      </c>
      <c r="T4" s="10">
        <v>36092376</v>
      </c>
      <c r="U4" s="10">
        <v>37275704</v>
      </c>
      <c r="V4" s="10">
        <v>37065442</v>
      </c>
      <c r="W4" s="10">
        <v>31470212</v>
      </c>
      <c r="X4" s="10">
        <v>30332277</v>
      </c>
      <c r="Y4" s="10">
        <v>40003197</v>
      </c>
      <c r="Z4" s="10">
        <f>'DEK TURNOVER'!AA14+'DEK TURNOVER'!AA18+'DEK TURNOVER'!AA22+'DEK TURNOVER'!AA24</f>
        <v>47351584</v>
      </c>
      <c r="AA4" s="10">
        <f>'DEK TURNOVER'!AB14+'DEK TURNOVER'!AB18+'DEK TURNOVER'!AB22+'DEK TURNOVER'!AB24</f>
        <v>39389368</v>
      </c>
      <c r="AB4" s="10">
        <f>'DEK TURNOVER'!AC14+'DEK TURNOVER'!AC18+'DEK TURNOVER'!AC22+'DEK TURNOVER'!AC24</f>
        <v>36761975</v>
      </c>
      <c r="AC4" s="10">
        <f>'DEK TURNOVER'!AD14+'DEK TURNOVER'!AD18+'DEK TURNOVER'!AD22+'DEK TURNOVER'!AD24</f>
        <v>31170471</v>
      </c>
      <c r="AD4" s="10">
        <f>'DEK TURNOVER'!AE14+'DEK TURNOVER'!AE18+'DEK TURNOVER'!AE22+'DEK TURNOVER'!AE24</f>
        <v>28407697</v>
      </c>
      <c r="AE4" s="10">
        <f>'DEK TURNOVER'!AF14+'DEK TURNOVER'!AF18+'DEK TURNOVER'!AF22+'DEK TURNOVER'!AF24</f>
        <v>30627950</v>
      </c>
      <c r="AF4" s="10">
        <f>'DEK TURNOVER'!AG14+'DEK TURNOVER'!AG18+'DEK TURNOVER'!AG22+'DEK TURNOVER'!AG24</f>
        <v>35022772</v>
      </c>
      <c r="AG4" s="10">
        <f>'DEK TURNOVER'!AH14+'DEK TURNOVER'!AH18+'DEK TURNOVER'!AH22+'DEK TURNOVER'!AH24</f>
        <v>34325800</v>
      </c>
      <c r="AH4" s="10">
        <f>'DEK TURNOVER'!AI14+'DEK TURNOVER'!AI18+'DEK TURNOVER'!AI22+'DEK TURNOVER'!AI24</f>
        <v>31728157</v>
      </c>
      <c r="AI4" s="10">
        <f>'DEK TURNOVER'!AJ14+'DEK TURNOVER'!AJ18+'DEK TURNOVER'!AJ22+'DEK TURNOVER'!AJ24</f>
        <v>28650261</v>
      </c>
      <c r="AJ4" s="10">
        <f>'DEK TURNOVER'!AK14+'DEK TURNOVER'!AK18+'DEK TURNOVER'!AK22+'DEK TURNOVER'!AK24</f>
        <v>32418437</v>
      </c>
      <c r="AK4" s="10">
        <f>'DEK TURNOVER'!AL14+'DEK TURNOVER'!AL18+'DEK TURNOVER'!AL22+'DEK TURNOVER'!AL24</f>
        <v>39642418</v>
      </c>
      <c r="AL4" s="10">
        <f>'DEK TURNOVER'!AM14+'DEK TURNOVER'!AM18+'DEK TURNOVER'!AM22+'DEK TURNOVER'!AM24</f>
        <v>53200358</v>
      </c>
      <c r="AM4" s="10">
        <f>'DEK TURNOVER'!AN14+'DEK TURNOVER'!AN18+'DEK TURNOVER'!AN22+'DEK TURNOVER'!AN24</f>
        <v>43985687</v>
      </c>
      <c r="AN4" s="10">
        <f>'DEK TURNOVER'!AO14+'DEK TURNOVER'!AO18+'DEK TURNOVER'!AO22+'DEK TURNOVER'!AO24</f>
        <v>38039507</v>
      </c>
      <c r="AO4" s="10">
        <f>'DEK TURNOVER'!AP14+'DEK TURNOVER'!AP18+'DEK TURNOVER'!AP22+'DEK TURNOVER'!AP24</f>
        <v>36540156</v>
      </c>
      <c r="AP4" s="10">
        <f>'DEK TURNOVER'!AQ14+'DEK TURNOVER'!AQ18+'DEK TURNOVER'!AQ22+'DEK TURNOVER'!AQ24</f>
        <v>32424039.980000004</v>
      </c>
      <c r="AQ4" s="10">
        <f>'DEK TURNOVER'!AR14+'DEK TURNOVER'!AR18+'DEK TURNOVER'!AR22+'DEK TURNOVER'!AR24</f>
        <v>40100043.32</v>
      </c>
      <c r="AR4" s="10">
        <f>'DEK TURNOVER'!AS14+'DEK TURNOVER'!AS18+'DEK TURNOVER'!AS22+'DEK TURNOVER'!AS24</f>
        <v>41531541.380000003</v>
      </c>
      <c r="AS4" s="10">
        <f>'DEK TURNOVER'!AT14+'DEK TURNOVER'!AT18+'DEK TURNOVER'!AT22+'DEK TURNOVER'!AT24</f>
        <v>36376832.340000004</v>
      </c>
      <c r="AT4" s="10">
        <f>'DEK TURNOVER'!AU14+'DEK TURNOVER'!AU18+'DEK TURNOVER'!AU22+'DEK TURNOVER'!AU24</f>
        <v>37418238.530000001</v>
      </c>
      <c r="AU4" s="10">
        <f>'DEK TURNOVER'!AV14+'DEK TURNOVER'!AV18+'DEK TURNOVER'!AV22+'DEK TURNOVER'!AV24</f>
        <v>36112584.759999998</v>
      </c>
      <c r="AV4" s="10">
        <f>'DEK TURNOVER'!AW14+'DEK TURNOVER'!AW18+'DEK TURNOVER'!AW22+'DEK TURNOVER'!AW24</f>
        <v>36998792.509999998</v>
      </c>
      <c r="AW4" s="10">
        <f>'DEK TURNOVER'!AX14+'DEK TURNOVER'!AX18+'DEK TURNOVER'!AX22+'DEK TURNOVER'!AX24</f>
        <v>46967347.719999999</v>
      </c>
      <c r="AX4" s="10">
        <f>'DEK TURNOVER'!AY14+'DEK TURNOVER'!AY18+'DEK TURNOVER'!AY22+'DEK TURNOVER'!AY24</f>
        <v>52406575.799999997</v>
      </c>
      <c r="AY4" s="10">
        <f>'DEK TURNOVER'!AZ14+'DEK TURNOVER'!AZ18+'DEK TURNOVER'!AZ22+'DEK TURNOVER'!AZ24</f>
        <v>50274024.029999986</v>
      </c>
      <c r="AZ4" s="10">
        <f>'DEK TURNOVER'!BA14+'DEK TURNOVER'!BA18+'DEK TURNOVER'!BA22+'DEK TURNOVER'!BA24</f>
        <v>43270122.660000004</v>
      </c>
      <c r="BA4" s="10">
        <f>'DEK TURNOVER'!BB14+'DEK TURNOVER'!BB18+'DEK TURNOVER'!BB22+'DEK TURNOVER'!BB24</f>
        <v>37051900.61999999</v>
      </c>
      <c r="BB4" s="10">
        <f>'DEK TURNOVER'!BC14+'DEK TURNOVER'!BC18+'DEK TURNOVER'!BC22+'DEK TURNOVER'!BC24</f>
        <v>33195310.530000009</v>
      </c>
      <c r="BC4" s="10">
        <f>'DEK TURNOVER'!BD14+'DEK TURNOVER'!BD18+'DEK TURNOVER'!BD22+'DEK TURNOVER'!BD24</f>
        <v>37871501.18</v>
      </c>
      <c r="BD4" s="10">
        <f>'DEK TURNOVER'!BE14+'DEK TURNOVER'!BE18+'DEK TURNOVER'!BE22+'DEK TURNOVER'!BE24</f>
        <v>39556139.799999997</v>
      </c>
      <c r="BE4" s="10">
        <f>'DEK TURNOVER'!BF14+'DEK TURNOVER'!BF18+'DEK TURNOVER'!BF22+'DEK TURNOVER'!BF24</f>
        <v>36080181.789999999</v>
      </c>
      <c r="BF4" s="10">
        <f>'DEK TURNOVER'!BG14+'DEK TURNOVER'!BG18+'DEK TURNOVER'!BG22+'DEK TURNOVER'!BG24</f>
        <v>37116920.07</v>
      </c>
      <c r="BG4" s="10">
        <f>'DEK TURNOVER'!BH14+'DEK TURNOVER'!BH18+'DEK TURNOVER'!BH22+'DEK TURNOVER'!BH24</f>
        <v>35437823.060000002</v>
      </c>
      <c r="BH4" s="10">
        <f>'DEK TURNOVER'!BI14+'DEK TURNOVER'!BI18+'DEK TURNOVER'!BI22+'DEK TURNOVER'!BI24</f>
        <v>35006658.780000001</v>
      </c>
      <c r="BI4" s="10">
        <f>'DEK TURNOVER'!BJ14+'DEK TURNOVER'!BJ18+'DEK TURNOVER'!BJ22+'DEK TURNOVER'!BJ24</f>
        <v>47775419.900000006</v>
      </c>
      <c r="BJ4" s="10">
        <f>'DEK TURNOVER'!BK14+'DEK TURNOVER'!BK18+'DEK TURNOVER'!BK22+'DEK TURNOVER'!BK24</f>
        <v>50581094.310000002</v>
      </c>
      <c r="BK4" s="10">
        <f>'DEK TURNOVER'!BL14+'DEK TURNOVER'!BL18+'DEK TURNOVER'!BL22+'DEK TURNOVER'!BL24</f>
        <v>45011299.569999993</v>
      </c>
      <c r="BL4" s="10">
        <f>'DEK TURNOVER'!BM14+'DEK TURNOVER'!BM18+'DEK TURNOVER'!BM22+'DEK TURNOVER'!BM24</f>
        <v>40157479.459999993</v>
      </c>
      <c r="BM4" s="10">
        <f>'DEK TURNOVER'!BN14+'DEK TURNOVER'!BN18+'DEK TURNOVER'!BN22+'DEK TURNOVER'!BN24</f>
        <v>32849201.079999998</v>
      </c>
      <c r="BN4" s="10">
        <f>'DEK TURNOVER'!BO14+'DEK TURNOVER'!BO18+'DEK TURNOVER'!BO22+'DEK TURNOVER'!BO24</f>
        <v>30479801.390000001</v>
      </c>
      <c r="BO4" s="10">
        <f>'DEK TURNOVER'!BP14+'DEK TURNOVER'!BP18+'DEK TURNOVER'!BP22+'DEK TURNOVER'!BP24</f>
        <v>33835958.460000001</v>
      </c>
      <c r="BP4" s="10">
        <f>'DEK TURNOVER'!BQ14+'DEK TURNOVER'!BQ18+'DEK TURNOVER'!BQ22+'DEK TURNOVER'!BQ24</f>
        <v>36899207.559999987</v>
      </c>
      <c r="BQ4" s="10">
        <f>'DEK TURNOVER'!BR14+'DEK TURNOVER'!BR18+'DEK TURNOVER'!BR22+'DEK TURNOVER'!BR24</f>
        <v>36860101.229999997</v>
      </c>
      <c r="BR4" s="10">
        <f>'DEK TURNOVER'!BS14+'DEK TURNOVER'!BS18+'DEK TURNOVER'!BS22+'DEK TURNOVER'!BS24</f>
        <v>38076636.920000002</v>
      </c>
      <c r="BS4" s="10">
        <f>'DEK TURNOVER'!BT14+'DEK TURNOVER'!BT18+'DEK TURNOVER'!BT22+'DEK TURNOVER'!BT24</f>
        <v>31613805.739999998</v>
      </c>
      <c r="BT4" s="10">
        <f>'DEK TURNOVER'!BU14+'DEK TURNOVER'!BU18+'DEK TURNOVER'!BU22+'DEK TURNOVER'!BU24</f>
        <v>33892915.81000001</v>
      </c>
      <c r="BU4" s="10">
        <f>'DEK TURNOVER'!BV14+'DEK TURNOVER'!BV18+'DEK TURNOVER'!BV22+'DEK TURNOVER'!BV24</f>
        <v>45708663.290000007</v>
      </c>
      <c r="BV4" s="10">
        <f>'DEK TURNOVER'!BW14+'DEK TURNOVER'!BW18+'DEK TURNOVER'!BW22+'DEK TURNOVER'!BW24</f>
        <v>52002715.450000003</v>
      </c>
      <c r="BW4" s="10">
        <f>'DEK TURNOVER'!BX14+'DEK TURNOVER'!BX18+'DEK TURNOVER'!BX22+'DEK TURNOVER'!BX24</f>
        <v>50512136.86999999</v>
      </c>
      <c r="BX4" s="10">
        <f>'DEK TURNOVER'!BY14+'DEK TURNOVER'!BY18+'DEK TURNOVER'!BY22+'DEK TURNOVER'!BY24</f>
        <v>45609351.329999998</v>
      </c>
      <c r="BY4" s="10">
        <f>'DEK TURNOVER'!BZ14+'DEK TURNOVER'!BZ18+'DEK TURNOVER'!BZ22+'DEK TURNOVER'!BZ24</f>
        <v>36506595.93999999</v>
      </c>
      <c r="BZ4" s="10">
        <f>'DEK TURNOVER'!CA14+'DEK TURNOVER'!CA18+'DEK TURNOVER'!CA22+'DEK TURNOVER'!CA24</f>
        <v>33970615.20000001</v>
      </c>
      <c r="CA4" s="10">
        <f>'DEK TURNOVER'!CB14+'DEK TURNOVER'!CB18+'DEK TURNOVER'!CB22+'DEK TURNOVER'!CB24</f>
        <v>37819339.060000002</v>
      </c>
      <c r="CB4" s="10">
        <f>'DEK TURNOVER'!CC14+'DEK TURNOVER'!CC18+'DEK TURNOVER'!CC22+'DEK TURNOVER'!CC24</f>
        <v>40950103.060000002</v>
      </c>
      <c r="CC4" s="10">
        <f>'DEK TURNOVER'!CD14+'DEK TURNOVER'!CD18+'DEK TURNOVER'!CD22+'DEK TURNOVER'!CD24</f>
        <v>40147408.149999999</v>
      </c>
      <c r="CD4" s="10">
        <f>'DEK TURNOVER'!CE14+'DEK TURNOVER'!CE18+'DEK TURNOVER'!CE22+'DEK TURNOVER'!CE24</f>
        <v>40759223.75</v>
      </c>
      <c r="CE4" s="10">
        <f>'DEK TURNOVER'!CF14+'DEK TURNOVER'!CF18+'DEK TURNOVER'!CF22+'DEK TURNOVER'!CF24</f>
        <v>34269888.969999999</v>
      </c>
      <c r="CF4" s="10">
        <f>'DEK TURNOVER'!CG14+'DEK TURNOVER'!CG18+'DEK TURNOVER'!CG22+'DEK TURNOVER'!CG24</f>
        <v>41554484.909999996</v>
      </c>
      <c r="CG4" s="10">
        <f>'DEK TURNOVER'!CH14+'DEK TURNOVER'!CH18+'DEK TURNOVER'!CH22+'DEK TURNOVER'!CH24</f>
        <v>58077533.019999996</v>
      </c>
      <c r="CH4" s="10">
        <f>'DEK TURNOVER'!CI14+'DEK TURNOVER'!CI18+'DEK TURNOVER'!CI22+'DEK TURNOVER'!CI24</f>
        <v>73151443.110000014</v>
      </c>
      <c r="CI4" s="10">
        <f>'DEK TURNOVER'!CJ14+'DEK TURNOVER'!CJ18+'DEK TURNOVER'!CJ22+'DEK TURNOVER'!CJ24</f>
        <v>69545915.360000014</v>
      </c>
      <c r="CJ4" s="10">
        <f>'DEK TURNOVER'!CK14+'DEK TURNOVER'!CK18+'DEK TURNOVER'!CK22+'DEK TURNOVER'!CK24</f>
        <v>48855309.019999996</v>
      </c>
      <c r="CK4" s="10">
        <f>'DEK TURNOVER'!CL14+'DEK TURNOVER'!CL18+'DEK TURNOVER'!CL22+'DEK TURNOVER'!CL24</f>
        <v>34399817.24000001</v>
      </c>
      <c r="CL4" s="10">
        <f>'DEK TURNOVER'!CM14+'DEK TURNOVER'!CM18+'DEK TURNOVER'!CM22+'DEK TURNOVER'!CM24</f>
        <v>49669153.620000005</v>
      </c>
      <c r="CM4" s="10">
        <f>'DEK TURNOVER'!CN14+'DEK TURNOVER'!CN18+'DEK TURNOVER'!CN22+'DEK TURNOVER'!CN24</f>
        <v>44617473.140000008</v>
      </c>
      <c r="CN4" s="10">
        <f>'DEK TURNOVER'!CO14+'DEK TURNOVER'!CO18+'DEK TURNOVER'!CO22+'DEK TURNOVER'!CO24</f>
        <v>63196252.280000001</v>
      </c>
      <c r="CO4" s="10">
        <f>'DEK TURNOVER'!CP14+'DEK TURNOVER'!CP18+'DEK TURNOVER'!CP22+'DEK TURNOVER'!CP24</f>
        <v>54563138.11999999</v>
      </c>
      <c r="CP4" s="10">
        <f>'DEK TURNOVER'!CQ14+'DEK TURNOVER'!CQ18+'DEK TURNOVER'!CQ22+'DEK TURNOVER'!CQ24</f>
        <v>48645130.509999998</v>
      </c>
      <c r="CQ4" s="10">
        <f>'DEK TURNOVER'!CR14+'DEK TURNOVER'!CR18+'DEK TURNOVER'!CR22+'DEK TURNOVER'!CR24</f>
        <v>48722269.469999999</v>
      </c>
      <c r="CR4" s="10">
        <v>47520745.82</v>
      </c>
      <c r="CS4" s="10">
        <v>72583841.629999995</v>
      </c>
      <c r="CT4" s="10">
        <v>75542537.319999978</v>
      </c>
      <c r="CU4" s="10">
        <v>57979324.75999999</v>
      </c>
      <c r="CV4" s="10">
        <v>50020127.640000008</v>
      </c>
      <c r="CW4" s="10">
        <v>66612549.879999995</v>
      </c>
      <c r="CX4" s="10">
        <v>38120744.170000002</v>
      </c>
      <c r="CY4" s="10">
        <v>45251954.369999997</v>
      </c>
      <c r="CZ4" s="10">
        <v>42333294.510000005</v>
      </c>
      <c r="DA4" s="10">
        <v>48547964.57</v>
      </c>
      <c r="DB4" s="10">
        <f>'DEK TURNOVER'!DC14+'DEK TURNOVER'!DC18+'DEK TURNOVER'!DC22+'DEK TURNOVER'!DC24</f>
        <v>49591625.600000001</v>
      </c>
      <c r="DC4" s="10">
        <v>42141491.990000002</v>
      </c>
      <c r="DD4" s="10">
        <v>41793291.949999988</v>
      </c>
      <c r="DE4" s="10">
        <v>59823029.420000002</v>
      </c>
      <c r="DF4" s="10">
        <v>71563336.879999995</v>
      </c>
    </row>
    <row r="5" spans="1:110" x14ac:dyDescent="0.2">
      <c r="A5" s="29"/>
    </row>
    <row r="6" spans="1:110" x14ac:dyDescent="0.2">
      <c r="A6" s="29" t="s">
        <v>49</v>
      </c>
      <c r="B6" s="17">
        <v>2828520</v>
      </c>
      <c r="C6" s="17">
        <v>2776584</v>
      </c>
      <c r="D6" s="17">
        <v>2733106</v>
      </c>
      <c r="E6" s="17">
        <v>2720331</v>
      </c>
      <c r="F6" s="17">
        <v>2707027</v>
      </c>
      <c r="G6" s="17">
        <v>2697560</v>
      </c>
      <c r="H6" s="17">
        <v>2672438</v>
      </c>
      <c r="I6" s="17">
        <v>2636384</v>
      </c>
      <c r="J6" s="17">
        <v>2583099</v>
      </c>
      <c r="K6" s="17">
        <v>2575239</v>
      </c>
      <c r="L6" s="17">
        <v>2544776</v>
      </c>
      <c r="M6" s="17">
        <v>2502582</v>
      </c>
      <c r="N6" s="17">
        <v>2400099</v>
      </c>
      <c r="O6" s="17">
        <v>2353027</v>
      </c>
      <c r="P6" s="17">
        <v>2303893</v>
      </c>
      <c r="Q6" s="17">
        <v>2187397</v>
      </c>
      <c r="R6" s="17">
        <v>2192491</v>
      </c>
      <c r="S6" s="17">
        <v>2182262</v>
      </c>
      <c r="T6" s="17">
        <v>2205002</v>
      </c>
      <c r="U6" s="17">
        <v>2203070</v>
      </c>
      <c r="V6" s="17">
        <v>2250521</v>
      </c>
      <c r="W6" s="17">
        <v>2277862</v>
      </c>
      <c r="X6" s="17">
        <v>2278501</v>
      </c>
      <c r="Y6" s="17">
        <v>2282201</v>
      </c>
      <c r="Z6" s="17">
        <f t="shared" ref="Z6:AI7" si="0">SUM(O3:Z3)</f>
        <v>2302962</v>
      </c>
      <c r="AA6" s="17">
        <f t="shared" si="0"/>
        <v>2295856</v>
      </c>
      <c r="AB6" s="17">
        <f t="shared" si="0"/>
        <v>2196593</v>
      </c>
      <c r="AC6" s="17">
        <f t="shared" si="0"/>
        <v>2244769</v>
      </c>
      <c r="AD6" s="17">
        <f t="shared" si="0"/>
        <v>2203125</v>
      </c>
      <c r="AE6" s="17">
        <f t="shared" si="0"/>
        <v>2189610</v>
      </c>
      <c r="AF6" s="17">
        <f t="shared" si="0"/>
        <v>2186336</v>
      </c>
      <c r="AG6" s="17">
        <f t="shared" si="0"/>
        <v>2216327</v>
      </c>
      <c r="AH6" s="17">
        <f t="shared" si="0"/>
        <v>2195067</v>
      </c>
      <c r="AI6" s="17">
        <f t="shared" si="0"/>
        <v>2143364</v>
      </c>
      <c r="AJ6" s="17">
        <f t="shared" ref="AJ6:AK7" si="1">SUM(Y3:AJ3)</f>
        <v>2132573</v>
      </c>
      <c r="AK6" s="17">
        <f t="shared" si="1"/>
        <v>2101817</v>
      </c>
      <c r="AL6" s="17">
        <f t="shared" ref="AL6:AL7" si="2">SUM(AA3:AL3)</f>
        <v>2121728</v>
      </c>
      <c r="AM6" s="17">
        <f t="shared" ref="AM6:AM7" si="3">SUM(AB3:AM3)</f>
        <v>2208684</v>
      </c>
      <c r="AN6" s="17">
        <f t="shared" ref="AN6:AN7" si="4">SUM(AC3:AN3)</f>
        <v>2302158</v>
      </c>
      <c r="AO6" s="17">
        <f t="shared" ref="AO6:AO7" si="5">SUM(AD3:AO3)</f>
        <v>2266280</v>
      </c>
      <c r="AP6" s="17">
        <f t="shared" ref="AP6:CQ7" si="6">SUM(AE3:AP3)</f>
        <v>2347845.71</v>
      </c>
      <c r="AQ6" s="17">
        <f t="shared" si="6"/>
        <v>2377250.39</v>
      </c>
      <c r="AR6" s="17">
        <f t="shared" si="6"/>
        <v>2409585.5100000002</v>
      </c>
      <c r="AS6" s="17">
        <f t="shared" si="6"/>
        <v>2387083.63</v>
      </c>
      <c r="AT6" s="17">
        <f t="shared" si="6"/>
        <v>2421465.94</v>
      </c>
      <c r="AU6" s="17">
        <f t="shared" si="6"/>
        <v>2491172</v>
      </c>
      <c r="AV6" s="17">
        <f t="shared" si="6"/>
        <v>2526908.15</v>
      </c>
      <c r="AW6" s="17">
        <f t="shared" si="6"/>
        <v>2665647.5299999998</v>
      </c>
      <c r="AX6" s="17">
        <f t="shared" si="6"/>
        <v>2728134.8</v>
      </c>
      <c r="AY6" s="17">
        <f t="shared" si="6"/>
        <v>2630674.0699999998</v>
      </c>
      <c r="AZ6" s="17">
        <f t="shared" si="6"/>
        <v>2642686</v>
      </c>
      <c r="BA6" s="17">
        <f t="shared" si="6"/>
        <v>2683792.21</v>
      </c>
      <c r="BB6" s="17">
        <f t="shared" si="6"/>
        <v>2652372.0099999998</v>
      </c>
      <c r="BC6" s="17">
        <f t="shared" si="6"/>
        <v>2634960.36</v>
      </c>
      <c r="BD6" s="17">
        <f t="shared" si="6"/>
        <v>2587789.0499999998</v>
      </c>
      <c r="BE6" s="17">
        <f t="shared" si="6"/>
        <v>2582007.9999999995</v>
      </c>
      <c r="BF6" s="17">
        <f t="shared" si="6"/>
        <v>2539185.08</v>
      </c>
      <c r="BG6" s="17">
        <f t="shared" si="6"/>
        <v>2519295.7000000002</v>
      </c>
      <c r="BH6" s="17">
        <f t="shared" si="6"/>
        <v>2534982.5500000003</v>
      </c>
      <c r="BI6" s="17">
        <f t="shared" si="6"/>
        <v>2461379.21</v>
      </c>
      <c r="BJ6" s="17">
        <f t="shared" si="6"/>
        <v>2402186.4500000002</v>
      </c>
      <c r="BK6" s="17">
        <f t="shared" si="6"/>
        <v>2403257.1900000004</v>
      </c>
      <c r="BL6" s="17">
        <f t="shared" si="6"/>
        <v>2289128.64</v>
      </c>
      <c r="BM6" s="17">
        <f t="shared" si="6"/>
        <v>2091255.1300000001</v>
      </c>
      <c r="BN6" s="17">
        <f t="shared" si="6"/>
        <v>1935948.3199999998</v>
      </c>
      <c r="BO6" s="17">
        <f t="shared" si="6"/>
        <v>1804061.3800000001</v>
      </c>
      <c r="BP6" s="17">
        <f t="shared" si="6"/>
        <v>1645516.86</v>
      </c>
      <c r="BQ6" s="17">
        <f t="shared" si="6"/>
        <v>1428220.3500000003</v>
      </c>
      <c r="BR6" s="17">
        <f t="shared" si="6"/>
        <v>1273384.3600000001</v>
      </c>
      <c r="BS6" s="17">
        <f t="shared" si="6"/>
        <v>1097975.47</v>
      </c>
      <c r="BT6" s="17">
        <f t="shared" si="6"/>
        <v>951194.70000000007</v>
      </c>
      <c r="BU6" s="17">
        <f t="shared" si="6"/>
        <v>743271.53</v>
      </c>
      <c r="BV6" s="17">
        <f t="shared" si="6"/>
        <v>833228.74</v>
      </c>
      <c r="BW6" s="17">
        <f t="shared" si="6"/>
        <v>788492.07</v>
      </c>
      <c r="BX6" s="17">
        <f t="shared" si="6"/>
        <v>894949.95000000007</v>
      </c>
      <c r="BY6" s="17">
        <f t="shared" si="6"/>
        <v>1065804.3900000001</v>
      </c>
      <c r="BZ6" s="17">
        <f t="shared" si="6"/>
        <v>1194778.5999999999</v>
      </c>
      <c r="CA6" s="17">
        <f t="shared" si="6"/>
        <v>1357862.74</v>
      </c>
      <c r="CB6" s="17">
        <f t="shared" si="6"/>
        <v>1566737.6199999999</v>
      </c>
      <c r="CC6" s="17">
        <f t="shared" si="6"/>
        <v>1805992.3699999999</v>
      </c>
      <c r="CD6" s="17">
        <f t="shared" si="6"/>
        <v>2005900.67</v>
      </c>
      <c r="CE6" s="17">
        <f t="shared" si="6"/>
        <v>2216213.86</v>
      </c>
      <c r="CF6" s="17">
        <f t="shared" si="6"/>
        <v>2342548.9</v>
      </c>
      <c r="CG6" s="17">
        <f t="shared" si="6"/>
        <v>2593458.3600000003</v>
      </c>
      <c r="CH6" s="17">
        <f t="shared" si="6"/>
        <v>2722113.6100000003</v>
      </c>
      <c r="CI6" s="17">
        <f t="shared" si="6"/>
        <v>2903350.19</v>
      </c>
      <c r="CJ6" s="17">
        <f t="shared" si="6"/>
        <v>2966094.9299999997</v>
      </c>
      <c r="CK6" s="17">
        <f t="shared" si="6"/>
        <v>2802600.86</v>
      </c>
      <c r="CL6" s="17">
        <f t="shared" si="6"/>
        <v>2663382.4799999995</v>
      </c>
      <c r="CM6" s="17">
        <f t="shared" si="6"/>
        <v>2510731.4099999997</v>
      </c>
      <c r="CN6" s="17">
        <f t="shared" si="6"/>
        <v>2514054.6999999997</v>
      </c>
      <c r="CO6" s="17">
        <f t="shared" si="6"/>
        <v>2550364.0100000002</v>
      </c>
      <c r="CP6" s="17">
        <f t="shared" si="6"/>
        <v>2600801.0100000002</v>
      </c>
      <c r="CQ6" s="17">
        <f t="shared" si="6"/>
        <v>2522439.1500000004</v>
      </c>
      <c r="CR6" s="17">
        <v>2407056.5600000005</v>
      </c>
      <c r="CS6" s="17">
        <v>2362360.94</v>
      </c>
      <c r="CT6" s="17">
        <v>2336360</v>
      </c>
      <c r="CU6" s="17">
        <v>2269609.9</v>
      </c>
      <c r="CV6" s="17">
        <v>2243389.4500000002</v>
      </c>
      <c r="CW6" s="17">
        <v>2339164.8899999997</v>
      </c>
      <c r="CX6" s="17">
        <v>2462629.9500000002</v>
      </c>
      <c r="CY6" s="17">
        <v>2609633.34</v>
      </c>
      <c r="CZ6" s="17">
        <v>2540415.6399999997</v>
      </c>
      <c r="DA6" s="17">
        <v>2444483.2100000004</v>
      </c>
      <c r="DB6" s="17">
        <v>2375585.85</v>
      </c>
      <c r="DC6" s="17">
        <v>2351076.2999999998</v>
      </c>
      <c r="DD6" s="17">
        <v>2370344.44</v>
      </c>
      <c r="DE6" s="17">
        <v>2185582.5699999998</v>
      </c>
      <c r="DF6" s="17">
        <v>1879190.4700000002</v>
      </c>
    </row>
    <row r="7" spans="1:110" x14ac:dyDescent="0.2">
      <c r="A7" s="29" t="s">
        <v>47</v>
      </c>
      <c r="B7" s="17">
        <v>524925847</v>
      </c>
      <c r="C7" s="17">
        <v>517499951</v>
      </c>
      <c r="D7" s="17">
        <v>510795865</v>
      </c>
      <c r="E7" s="17">
        <v>505340772</v>
      </c>
      <c r="F7" s="17">
        <v>501526197</v>
      </c>
      <c r="G7" s="17">
        <v>494680039</v>
      </c>
      <c r="H7" s="17">
        <v>488058844</v>
      </c>
      <c r="I7" s="17">
        <v>481347321</v>
      </c>
      <c r="J7" s="17">
        <v>474948045</v>
      </c>
      <c r="K7" s="17">
        <v>468920678</v>
      </c>
      <c r="L7" s="17">
        <v>459184569</v>
      </c>
      <c r="M7" s="17">
        <v>443620198</v>
      </c>
      <c r="N7" s="17">
        <v>434008528</v>
      </c>
      <c r="O7" s="17">
        <v>427777455</v>
      </c>
      <c r="P7" s="17">
        <v>417633908</v>
      </c>
      <c r="Q7" s="17">
        <v>414895405</v>
      </c>
      <c r="R7" s="17">
        <v>412761213</v>
      </c>
      <c r="S7" s="17">
        <v>415922134</v>
      </c>
      <c r="T7" s="17">
        <v>418545241</v>
      </c>
      <c r="U7" s="17">
        <v>421115363</v>
      </c>
      <c r="V7" s="17">
        <v>424123748</v>
      </c>
      <c r="W7" s="17">
        <v>425714469</v>
      </c>
      <c r="X7" s="17">
        <v>426961162</v>
      </c>
      <c r="Y7" s="17">
        <v>430950665</v>
      </c>
      <c r="Z7" s="17">
        <f t="shared" si="0"/>
        <v>436514480</v>
      </c>
      <c r="AA7" s="17">
        <f t="shared" si="0"/>
        <v>431532752</v>
      </c>
      <c r="AB7" s="17">
        <f t="shared" si="0"/>
        <v>430956975</v>
      </c>
      <c r="AC7" s="17">
        <f t="shared" si="0"/>
        <v>430731830</v>
      </c>
      <c r="AD7" s="17">
        <f t="shared" si="0"/>
        <v>430591880</v>
      </c>
      <c r="AE7" s="17">
        <f t="shared" si="0"/>
        <v>425948253</v>
      </c>
      <c r="AF7" s="17">
        <f t="shared" si="0"/>
        <v>424878649</v>
      </c>
      <c r="AG7" s="17">
        <f t="shared" si="0"/>
        <v>421928745</v>
      </c>
      <c r="AH7" s="17">
        <f t="shared" si="0"/>
        <v>416591460</v>
      </c>
      <c r="AI7" s="17">
        <f t="shared" si="0"/>
        <v>413771509</v>
      </c>
      <c r="AJ7" s="17">
        <f t="shared" si="1"/>
        <v>415857669</v>
      </c>
      <c r="AK7" s="17">
        <f t="shared" si="1"/>
        <v>415496890</v>
      </c>
      <c r="AL7" s="17">
        <f t="shared" si="2"/>
        <v>421345664</v>
      </c>
      <c r="AM7" s="17">
        <f t="shared" si="3"/>
        <v>425941983</v>
      </c>
      <c r="AN7" s="17">
        <f t="shared" si="4"/>
        <v>427219515</v>
      </c>
      <c r="AO7" s="17">
        <f t="shared" si="5"/>
        <v>432589200</v>
      </c>
      <c r="AP7" s="17">
        <f t="shared" si="6"/>
        <v>436605542.98000002</v>
      </c>
      <c r="AQ7" s="17">
        <f t="shared" si="6"/>
        <v>446077636.30000001</v>
      </c>
      <c r="AR7" s="17">
        <f t="shared" si="6"/>
        <v>452586405.68000001</v>
      </c>
      <c r="AS7" s="17">
        <f t="shared" si="6"/>
        <v>454637438.01999998</v>
      </c>
      <c r="AT7" s="17">
        <f t="shared" si="6"/>
        <v>460327519.54999995</v>
      </c>
      <c r="AU7" s="17">
        <f t="shared" si="6"/>
        <v>467789843.30999994</v>
      </c>
      <c r="AV7" s="17">
        <f t="shared" si="6"/>
        <v>472370198.81999993</v>
      </c>
      <c r="AW7" s="17">
        <f t="shared" si="6"/>
        <v>479695128.53999996</v>
      </c>
      <c r="AX7" s="17">
        <f t="shared" si="6"/>
        <v>478901346.33999997</v>
      </c>
      <c r="AY7" s="17">
        <f t="shared" si="6"/>
        <v>485189683.36999995</v>
      </c>
      <c r="AZ7" s="17">
        <f t="shared" si="6"/>
        <v>490420299.02999997</v>
      </c>
      <c r="BA7" s="17">
        <f t="shared" si="6"/>
        <v>490932043.64999998</v>
      </c>
      <c r="BB7" s="17">
        <f t="shared" si="6"/>
        <v>491703314.19999999</v>
      </c>
      <c r="BC7" s="17">
        <f t="shared" si="6"/>
        <v>489474772.06</v>
      </c>
      <c r="BD7" s="17">
        <f t="shared" si="6"/>
        <v>487499370.48000002</v>
      </c>
      <c r="BE7" s="17">
        <f t="shared" si="6"/>
        <v>487202719.93000007</v>
      </c>
      <c r="BF7" s="17">
        <f t="shared" si="6"/>
        <v>486901401.47000003</v>
      </c>
      <c r="BG7" s="17">
        <f t="shared" si="6"/>
        <v>486226639.76999998</v>
      </c>
      <c r="BH7" s="17">
        <f t="shared" si="6"/>
        <v>484234506.03999996</v>
      </c>
      <c r="BI7" s="17">
        <f t="shared" si="6"/>
        <v>485042578.21999991</v>
      </c>
      <c r="BJ7" s="17">
        <f t="shared" si="6"/>
        <v>483217096.72999996</v>
      </c>
      <c r="BK7" s="17">
        <f t="shared" si="6"/>
        <v>477954372.26999998</v>
      </c>
      <c r="BL7" s="17">
        <f t="shared" si="6"/>
        <v>474841729.06999999</v>
      </c>
      <c r="BM7" s="17">
        <f t="shared" si="6"/>
        <v>470639029.52999997</v>
      </c>
      <c r="BN7" s="17">
        <f t="shared" si="6"/>
        <v>467923520.38999993</v>
      </c>
      <c r="BO7" s="17">
        <f t="shared" si="6"/>
        <v>463887977.66999996</v>
      </c>
      <c r="BP7" s="17">
        <f t="shared" si="6"/>
        <v>461231045.42999995</v>
      </c>
      <c r="BQ7" s="17">
        <f t="shared" si="6"/>
        <v>462010964.86999995</v>
      </c>
      <c r="BR7" s="17">
        <f t="shared" si="6"/>
        <v>462970681.71999997</v>
      </c>
      <c r="BS7" s="17">
        <f t="shared" si="6"/>
        <v>459146664.39999998</v>
      </c>
      <c r="BT7" s="17">
        <f t="shared" si="6"/>
        <v>458032921.43000001</v>
      </c>
      <c r="BU7" s="17">
        <f t="shared" si="6"/>
        <v>455966164.81999999</v>
      </c>
      <c r="BV7" s="17">
        <f t="shared" si="6"/>
        <v>457387785.95999998</v>
      </c>
      <c r="BW7" s="17">
        <f t="shared" si="6"/>
        <v>462888623.25999999</v>
      </c>
      <c r="BX7" s="17">
        <f t="shared" si="6"/>
        <v>468340495.13</v>
      </c>
      <c r="BY7" s="17">
        <f t="shared" si="6"/>
        <v>471997889.99000001</v>
      </c>
      <c r="BZ7" s="17">
        <f t="shared" si="6"/>
        <v>475488703.79999995</v>
      </c>
      <c r="CA7" s="17">
        <f t="shared" si="6"/>
        <v>479472084.39999998</v>
      </c>
      <c r="CB7" s="17">
        <f t="shared" si="6"/>
        <v>483522979.89999998</v>
      </c>
      <c r="CC7" s="17">
        <f t="shared" si="6"/>
        <v>486810286.81999993</v>
      </c>
      <c r="CD7" s="17">
        <f t="shared" si="6"/>
        <v>489492873.64999998</v>
      </c>
      <c r="CE7" s="17">
        <f t="shared" si="6"/>
        <v>492148956.88</v>
      </c>
      <c r="CF7" s="17">
        <f t="shared" si="6"/>
        <v>499810525.9799999</v>
      </c>
      <c r="CG7" s="17">
        <f t="shared" si="6"/>
        <v>512179395.70999992</v>
      </c>
      <c r="CH7" s="17">
        <f t="shared" si="6"/>
        <v>533328123.37</v>
      </c>
      <c r="CI7" s="17">
        <f t="shared" si="6"/>
        <v>552361901.86000001</v>
      </c>
      <c r="CJ7" s="17">
        <f t="shared" si="6"/>
        <v>555607859.54999995</v>
      </c>
      <c r="CK7" s="17">
        <f t="shared" si="6"/>
        <v>553501080.85000002</v>
      </c>
      <c r="CL7" s="17">
        <f t="shared" si="6"/>
        <v>569199619.26999998</v>
      </c>
      <c r="CM7" s="17">
        <f t="shared" si="6"/>
        <v>575997753.35000002</v>
      </c>
      <c r="CN7" s="17">
        <f t="shared" si="6"/>
        <v>598243902.57000005</v>
      </c>
      <c r="CO7" s="17">
        <f t="shared" si="6"/>
        <v>612659632.53999996</v>
      </c>
      <c r="CP7" s="17">
        <f t="shared" si="6"/>
        <v>620545539.29999995</v>
      </c>
      <c r="CQ7" s="17">
        <f t="shared" si="6"/>
        <v>634997919.80000007</v>
      </c>
      <c r="CR7" s="17">
        <v>640964180.71000004</v>
      </c>
      <c r="CS7" s="17">
        <v>655470489.32000005</v>
      </c>
      <c r="CT7" s="17">
        <v>657861583.52999997</v>
      </c>
      <c r="CU7" s="17">
        <v>646294992.92999995</v>
      </c>
      <c r="CV7" s="17">
        <v>647459811.54999995</v>
      </c>
      <c r="CW7" s="17">
        <v>679672544.18999994</v>
      </c>
      <c r="CX7" s="17">
        <v>668124134.74000001</v>
      </c>
      <c r="CY7" s="17">
        <v>668758615.96999991</v>
      </c>
      <c r="CZ7" s="17">
        <v>647895658.19999993</v>
      </c>
      <c r="DA7" s="17">
        <v>641880484.64999998</v>
      </c>
      <c r="DB7" s="17">
        <v>642826979.74000001</v>
      </c>
      <c r="DC7" s="17">
        <v>636246202.25999999</v>
      </c>
      <c r="DD7" s="17">
        <v>630518748.3900001</v>
      </c>
      <c r="DE7" s="17">
        <v>617757936.17999995</v>
      </c>
      <c r="DF7" s="17">
        <v>613778735.74000001</v>
      </c>
    </row>
    <row r="8" spans="1:110" x14ac:dyDescent="0.2">
      <c r="A8" s="29"/>
    </row>
    <row r="9" spans="1:110" x14ac:dyDescent="0.2">
      <c r="A9" s="29" t="s">
        <v>32</v>
      </c>
      <c r="B9" s="3">
        <v>5.3884182235743481E-3</v>
      </c>
      <c r="C9" s="3">
        <v>5.365380218171267E-3</v>
      </c>
      <c r="D9" s="3">
        <v>5.3506815291075229E-3</v>
      </c>
      <c r="E9" s="3">
        <v>5.3831615233294492E-3</v>
      </c>
      <c r="F9" s="3">
        <v>5.3975784638823163E-3</v>
      </c>
      <c r="G9" s="3">
        <v>5.4531409948401013E-3</v>
      </c>
      <c r="H9" s="3">
        <v>5.4756471127485606E-3</v>
      </c>
      <c r="I9" s="3">
        <v>5.4770929118768278E-3</v>
      </c>
      <c r="J9" s="3">
        <v>5.4386980369610744E-3</v>
      </c>
      <c r="K9" s="3">
        <v>5.4918435480040828E-3</v>
      </c>
      <c r="L9" s="3">
        <v>5.5419458139500328E-3</v>
      </c>
      <c r="M9" s="3">
        <v>5.6412715455304852E-3</v>
      </c>
      <c r="N9" s="3">
        <v>5.5300733629823975E-3</v>
      </c>
      <c r="O9" s="3">
        <v>5.5005867478453256E-3</v>
      </c>
      <c r="P9" s="3">
        <v>5.5165372252293267E-3</v>
      </c>
      <c r="Q9" s="3">
        <v>5.2721649206985072E-3</v>
      </c>
      <c r="R9" s="3">
        <v>5.3117660549175678E-3</v>
      </c>
      <c r="S9" s="3">
        <v>5.2468042010959679E-3</v>
      </c>
      <c r="T9" s="3">
        <v>5.2682524707048338E-3</v>
      </c>
      <c r="U9" s="3">
        <v>5.2315118220942229E-3</v>
      </c>
      <c r="V9" s="3">
        <v>5.3062838631709915E-3</v>
      </c>
      <c r="W9" s="3">
        <v>5.3506802466702155E-3</v>
      </c>
      <c r="X9" s="3">
        <v>5.336553304583708E-3</v>
      </c>
      <c r="Y9" s="3">
        <v>5.2957361140166708E-3</v>
      </c>
      <c r="Z9" s="3">
        <f t="shared" ref="Z9" si="7">Z6/Z7</f>
        <v>5.2757974947360278E-3</v>
      </c>
      <c r="AA9" s="3">
        <f t="shared" ref="AA9:AB9" si="8">AA6/AA7</f>
        <v>5.3202358091234752E-3</v>
      </c>
      <c r="AB9" s="3">
        <f t="shared" si="8"/>
        <v>5.0970122945567823E-3</v>
      </c>
      <c r="AC9" s="3">
        <f t="shared" ref="AC9:AD9" si="9">AC6/AC7</f>
        <v>5.2115233740678045E-3</v>
      </c>
      <c r="AD9" s="3">
        <f t="shared" si="9"/>
        <v>5.1165038225987908E-3</v>
      </c>
      <c r="AE9" s="3">
        <f t="shared" ref="AE9:AF9" si="10">AE6/AE7</f>
        <v>5.1405540099726619E-3</v>
      </c>
      <c r="AF9" s="3">
        <f t="shared" si="10"/>
        <v>5.1457892862957202E-3</v>
      </c>
      <c r="AG9" s="3">
        <f t="shared" ref="AG9" si="11">AG6/AG7</f>
        <v>5.2528466625330304E-3</v>
      </c>
      <c r="AH9" s="3">
        <f t="shared" ref="AH9" si="12">AH6/AH7</f>
        <v>5.2691118536131298E-3</v>
      </c>
      <c r="AI9" s="3">
        <f t="shared" ref="AI9:AJ9" si="13">AI6/AI7</f>
        <v>5.1800666633139304E-3</v>
      </c>
      <c r="AJ9" s="3">
        <f t="shared" si="13"/>
        <v>5.1281319522810103E-3</v>
      </c>
      <c r="AK9" s="3">
        <f t="shared" ref="AK9:AL9" si="14">AK6/AK7</f>
        <v>5.0585625322009031E-3</v>
      </c>
      <c r="AL9" s="3">
        <f t="shared" si="14"/>
        <v>5.0355994644814949E-3</v>
      </c>
      <c r="AM9" s="3">
        <f t="shared" ref="AM9:AN9" si="15">AM6/AM7</f>
        <v>5.1854104271285232E-3</v>
      </c>
      <c r="AN9" s="3">
        <f t="shared" si="15"/>
        <v>5.3887004670186943E-3</v>
      </c>
      <c r="AO9" s="3">
        <f t="shared" ref="AO9:AP9" si="16">AO6/AO7</f>
        <v>5.2388732774650872E-3</v>
      </c>
      <c r="AP9" s="3">
        <f t="shared" si="16"/>
        <v>5.3774986317742419E-3</v>
      </c>
      <c r="AQ9" s="3">
        <f t="shared" ref="AQ9:AR9" si="17">AQ6/AQ7</f>
        <v>5.3292301531144932E-3</v>
      </c>
      <c r="AR9" s="3">
        <f t="shared" si="17"/>
        <v>5.3240342170235025E-3</v>
      </c>
      <c r="AS9" s="3">
        <f t="shared" ref="AS9:AT9" si="18">AS6/AS7</f>
        <v>5.2505214713421591E-3</v>
      </c>
      <c r="AT9" s="3">
        <f t="shared" si="18"/>
        <v>5.2603110549791594E-3</v>
      </c>
      <c r="AU9" s="3">
        <f t="shared" ref="AU9:AV9" si="19">AU6/AU7</f>
        <v>5.3254084833755646E-3</v>
      </c>
      <c r="AV9" s="3">
        <f t="shared" si="19"/>
        <v>5.3494233046714624E-3</v>
      </c>
      <c r="AW9" s="3">
        <f t="shared" ref="AW9:AX9" si="20">AW6/AW7</f>
        <v>5.5569618522355322E-3</v>
      </c>
      <c r="AX9" s="3">
        <f t="shared" si="20"/>
        <v>5.6966530181001788E-3</v>
      </c>
      <c r="AY9" s="3">
        <f t="shared" ref="AY9:AZ9" si="21">AY6/AY7</f>
        <v>5.4219497243387978E-3</v>
      </c>
      <c r="AZ9" s="3">
        <f t="shared" si="21"/>
        <v>5.3886146336661767E-3</v>
      </c>
      <c r="BA9" s="3">
        <f t="shared" ref="BA9:BB9" si="22">BA6/BA7</f>
        <v>5.4667285314000712E-3</v>
      </c>
      <c r="BB9" s="3">
        <f t="shared" si="22"/>
        <v>5.3942528622476383E-3</v>
      </c>
      <c r="BC9" s="3">
        <f t="shared" ref="BC9:BD9" si="23">BC6/BC7</f>
        <v>5.3832403841990156E-3</v>
      </c>
      <c r="BD9" s="3">
        <f t="shared" si="23"/>
        <v>5.3082920854892988E-3</v>
      </c>
      <c r="BE9" s="3">
        <f t="shared" ref="BE9" si="24">BE6/BE7</f>
        <v>5.2996584263137435E-3</v>
      </c>
      <c r="BF9" s="3">
        <f t="shared" ref="BF9:BG9" si="25">BF6/BF7</f>
        <v>5.2149882344432923E-3</v>
      </c>
      <c r="BG9" s="3">
        <f t="shared" si="25"/>
        <v>5.1813197672420904E-3</v>
      </c>
      <c r="BH9" s="3">
        <f t="shared" ref="BH9:BI9" si="26">BH6/BH7</f>
        <v>5.2350307926849792E-3</v>
      </c>
      <c r="BI9" s="3">
        <f t="shared" si="26"/>
        <v>5.0745631837780568E-3</v>
      </c>
      <c r="BJ9" s="3">
        <f t="shared" ref="BJ9:BK9" si="27">BJ6/BJ7</f>
        <v>4.9712364613254453E-3</v>
      </c>
      <c r="BK9" s="3">
        <f t="shared" si="27"/>
        <v>5.0282146778696741E-3</v>
      </c>
      <c r="BL9" s="3">
        <f t="shared" ref="BL9:BM9" si="28">BL6/BL7</f>
        <v>4.8208244976349632E-3</v>
      </c>
      <c r="BM9" s="3">
        <f t="shared" si="28"/>
        <v>4.4434375365944804E-3</v>
      </c>
      <c r="BN9" s="3">
        <f t="shared" ref="BN9:BO9" si="29">BN6/BN7</f>
        <v>4.1373178214816949E-3</v>
      </c>
      <c r="BO9" s="3">
        <f t="shared" si="29"/>
        <v>3.8890022308001502E-3</v>
      </c>
      <c r="BP9" s="3">
        <f t="shared" ref="BP9:BQ9" si="30">BP6/BP7</f>
        <v>3.5676628368888422E-3</v>
      </c>
      <c r="BQ9" s="3">
        <f t="shared" si="30"/>
        <v>3.0913126713385929E-3</v>
      </c>
      <c r="BR9" s="3">
        <f t="shared" ref="BR9:BS9" si="31">BR6/BR7</f>
        <v>2.7504643604411437E-3</v>
      </c>
      <c r="BS9" s="3">
        <f t="shared" si="31"/>
        <v>2.391339315150647E-3</v>
      </c>
      <c r="BT9" s="3">
        <f t="shared" ref="BT9:BU9" si="32">BT6/BT7</f>
        <v>2.0766950485356516E-3</v>
      </c>
      <c r="BU9" s="3">
        <f t="shared" si="32"/>
        <v>1.6301023789636201E-3</v>
      </c>
      <c r="BV9" s="3">
        <f t="shared" ref="BV9:BW9" si="33">BV6/BV7</f>
        <v>1.8217118287300932E-3</v>
      </c>
      <c r="BW9" s="3">
        <f t="shared" si="33"/>
        <v>1.7034163951726929E-3</v>
      </c>
      <c r="BX9" s="3">
        <f t="shared" ref="BX9:BY9" si="34">BX6/BX7</f>
        <v>1.9108959385448479E-3</v>
      </c>
      <c r="BY9" s="3">
        <f t="shared" si="34"/>
        <v>2.258070242692358E-3</v>
      </c>
      <c r="BZ9" s="3">
        <f t="shared" ref="BZ9:CA9" si="35">BZ6/BZ7</f>
        <v>2.5127381375237624E-3</v>
      </c>
      <c r="CA9" s="3">
        <f t="shared" si="35"/>
        <v>2.8319954053199932E-3</v>
      </c>
      <c r="CB9" s="3">
        <f t="shared" ref="CB9:CC9" si="36">CB6/CB7</f>
        <v>3.240254724447689E-3</v>
      </c>
      <c r="CC9" s="3">
        <f t="shared" si="36"/>
        <v>3.7098484130179705E-3</v>
      </c>
      <c r="CD9" s="3">
        <f t="shared" ref="CD9:CE9" si="37">CD6/CD7</f>
        <v>4.0979159819888832E-3</v>
      </c>
      <c r="CE9" s="3">
        <f t="shared" si="37"/>
        <v>4.5031363554030174E-3</v>
      </c>
      <c r="CF9" s="3">
        <f t="shared" ref="CF9:CG9" si="38">CF6/CF7</f>
        <v>4.6868738816711868E-3</v>
      </c>
      <c r="CG9" s="3">
        <f t="shared" si="38"/>
        <v>5.0635741728830442E-3</v>
      </c>
      <c r="CH9" s="3">
        <f t="shared" ref="CH9:CI9" si="39">CH6/CH7</f>
        <v>5.104012878224904E-3</v>
      </c>
      <c r="CI9" s="3">
        <f t="shared" si="39"/>
        <v>5.2562462766229563E-3</v>
      </c>
      <c r="CJ9" s="3">
        <f t="shared" ref="CJ9:CK9" si="40">CJ6/CJ7</f>
        <v>5.3384682722132665E-3</v>
      </c>
      <c r="CK9" s="3">
        <f t="shared" si="40"/>
        <v>5.0634063003022582E-3</v>
      </c>
      <c r="CL9" s="3">
        <f t="shared" ref="CL9:CM9" si="41">CL6/CL7</f>
        <v>4.6791712254055876E-3</v>
      </c>
      <c r="CM9" s="3">
        <f t="shared" si="41"/>
        <v>4.3589256996187896E-3</v>
      </c>
      <c r="CN9" s="3">
        <f t="shared" ref="CN9:CO9" si="42">CN6/CN7</f>
        <v>4.2023908462749974E-3</v>
      </c>
      <c r="CO9" s="3">
        <f t="shared" si="42"/>
        <v>4.1627746868625123E-3</v>
      </c>
      <c r="CP9" s="3">
        <f t="shared" ref="CP9:CQ9" si="43">CP6/CP7</f>
        <v>4.1911525348064015E-3</v>
      </c>
      <c r="CQ9" s="3">
        <f t="shared" si="43"/>
        <v>3.9723581311801332E-3</v>
      </c>
      <c r="CR9" s="3">
        <v>3.7553682911480152E-3</v>
      </c>
      <c r="CS9" s="3">
        <v>3.6040691053090229E-3</v>
      </c>
      <c r="CT9" s="3">
        <v>3.5514461681489216E-3</v>
      </c>
      <c r="CU9" s="3">
        <v>3.5117244057711904E-3</v>
      </c>
      <c r="CV9" s="3">
        <v>3.4649091881539199E-3</v>
      </c>
      <c r="CW9" s="3">
        <v>3.4416056820239819E-3</v>
      </c>
      <c r="CX9" s="3">
        <v>3.6858868314319027E-3</v>
      </c>
      <c r="CY9" s="3">
        <v>3.9022051868668056E-3</v>
      </c>
      <c r="CZ9" s="3">
        <v>3.9210258748420181E-3</v>
      </c>
      <c r="DA9" s="3">
        <v>3.8083152058017637E-3</v>
      </c>
      <c r="DB9" s="3">
        <v>3.6955291623896021E-3</v>
      </c>
      <c r="DC9" s="3">
        <v>3.6952303866785831E-3</v>
      </c>
      <c r="DD9" s="3">
        <v>3.759356000202314E-3</v>
      </c>
      <c r="DE9" s="3">
        <v>3.5379271426521555E-3</v>
      </c>
      <c r="DF9" s="3">
        <v>3.0616741189874578E-3</v>
      </c>
    </row>
    <row r="10" spans="1:110" x14ac:dyDescent="0.2">
      <c r="A10" s="29"/>
    </row>
    <row r="11" spans="1:110" x14ac:dyDescent="0.2">
      <c r="A11" s="1" t="s">
        <v>18</v>
      </c>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c r="DA11" s="23"/>
      <c r="DB11" s="23"/>
      <c r="DC11" s="23"/>
      <c r="DD11" s="23"/>
      <c r="DE11" s="23"/>
      <c r="DF11" s="23"/>
    </row>
    <row r="12" spans="1:110" x14ac:dyDescent="0.2">
      <c r="A12" t="s">
        <v>19</v>
      </c>
      <c r="B12" s="24">
        <v>0.33339999999999997</v>
      </c>
      <c r="C12" s="24">
        <v>0.33339999999999997</v>
      </c>
      <c r="D12" s="24">
        <v>0.33339999999999997</v>
      </c>
      <c r="E12" s="24">
        <v>0.33339999999999997</v>
      </c>
      <c r="F12" s="24">
        <v>0.33339999999999997</v>
      </c>
      <c r="G12" s="24">
        <v>0.33339999999999997</v>
      </c>
      <c r="H12" s="24">
        <v>0.33339999999999997</v>
      </c>
      <c r="I12" s="24">
        <v>0.33339999999999997</v>
      </c>
      <c r="J12" s="24">
        <v>0.33339999999999997</v>
      </c>
      <c r="K12" s="24">
        <v>0.33339999999999997</v>
      </c>
      <c r="L12" s="24">
        <v>0.33339999999999997</v>
      </c>
      <c r="M12" s="24">
        <v>0.33339999999999997</v>
      </c>
      <c r="N12" s="24">
        <v>0.33339999999999997</v>
      </c>
      <c r="O12" s="24">
        <v>0.33339999999999997</v>
      </c>
      <c r="P12" s="24">
        <v>0.33339999999999997</v>
      </c>
      <c r="Q12" s="24">
        <v>0.33339999999999997</v>
      </c>
      <c r="R12" s="24">
        <v>0.33339999999999997</v>
      </c>
      <c r="S12" s="24">
        <v>0.33339999999999997</v>
      </c>
      <c r="T12" s="24">
        <v>0.33339999999999997</v>
      </c>
      <c r="U12" s="24">
        <v>0.33339999999999997</v>
      </c>
      <c r="V12" s="24">
        <v>0.33339999999999997</v>
      </c>
      <c r="W12" s="24">
        <v>0.33339999999999997</v>
      </c>
      <c r="X12" s="24">
        <v>0.33339999999999997</v>
      </c>
      <c r="Y12" s="24">
        <v>0.33339999999999997</v>
      </c>
      <c r="Z12" s="24">
        <v>0.33339999999999997</v>
      </c>
      <c r="AA12" s="24">
        <v>0.33339999999999997</v>
      </c>
      <c r="AB12" s="24">
        <v>0.33339999999999997</v>
      </c>
      <c r="AC12" s="24">
        <v>0.33339999999999997</v>
      </c>
      <c r="AD12" s="24">
        <v>0.33339999999999997</v>
      </c>
      <c r="AE12" s="24">
        <v>0.33339999999999997</v>
      </c>
      <c r="AF12" s="24">
        <v>0.33339999999999997</v>
      </c>
      <c r="AG12" s="24">
        <v>0.33339999999999997</v>
      </c>
      <c r="AH12" s="24">
        <v>0.33339999999999997</v>
      </c>
      <c r="AI12" s="24">
        <v>0.33339999999999997</v>
      </c>
      <c r="AJ12" s="24">
        <v>0.33339999999999997</v>
      </c>
      <c r="AK12" s="24">
        <v>0.33339999999999997</v>
      </c>
      <c r="AL12" s="24">
        <v>0.33339999999999997</v>
      </c>
      <c r="AM12" s="24">
        <v>0.33339999999999997</v>
      </c>
      <c r="AN12" s="24">
        <v>0.33339999999999997</v>
      </c>
      <c r="AO12" s="24">
        <v>0.33339999999999997</v>
      </c>
      <c r="AP12" s="24">
        <v>0.33339999999999997</v>
      </c>
      <c r="AQ12" s="24">
        <v>0.33339999999999997</v>
      </c>
      <c r="AR12" s="24">
        <v>0.33339999999999997</v>
      </c>
      <c r="AS12" s="24">
        <v>0.33339999999999997</v>
      </c>
      <c r="AT12" s="24">
        <v>0.33339999999999997</v>
      </c>
      <c r="AU12" s="24">
        <v>0.33339999999999997</v>
      </c>
      <c r="AV12" s="24">
        <v>0.33339999999999997</v>
      </c>
      <c r="AW12" s="24">
        <v>0.33339999999999997</v>
      </c>
      <c r="AX12" s="24">
        <v>0.33339999999999997</v>
      </c>
      <c r="AY12" s="24">
        <v>0.33339999999999997</v>
      </c>
      <c r="AZ12" s="24">
        <v>0.33339999999999997</v>
      </c>
      <c r="BA12" s="24">
        <v>0.33339999999999997</v>
      </c>
      <c r="BB12" s="24">
        <v>0.33339999999999997</v>
      </c>
      <c r="BC12" s="24">
        <v>0.33339999999999997</v>
      </c>
      <c r="BD12" s="24">
        <v>0.33339999999999997</v>
      </c>
      <c r="BE12" s="24">
        <v>0.33339999999999997</v>
      </c>
      <c r="BF12" s="24">
        <v>0.33339999999999997</v>
      </c>
      <c r="BG12" s="24">
        <v>0.33339999999999997</v>
      </c>
      <c r="BH12" s="24">
        <v>0.33339999999999997</v>
      </c>
      <c r="BI12" s="24">
        <v>0.33339999999999997</v>
      </c>
      <c r="BJ12" s="24">
        <v>0.33339999999999997</v>
      </c>
      <c r="BK12" s="24">
        <v>0.33339999999999997</v>
      </c>
      <c r="BL12" s="24">
        <v>0.33339999999999997</v>
      </c>
      <c r="BM12" s="24">
        <v>0.33339999999999997</v>
      </c>
      <c r="BN12" s="24">
        <v>0.33339999999999997</v>
      </c>
      <c r="BO12" s="24">
        <v>0.33339999999999997</v>
      </c>
      <c r="BP12" s="24">
        <v>0.33339999999999997</v>
      </c>
      <c r="BQ12" s="24">
        <v>0.33339999999999997</v>
      </c>
      <c r="BR12" s="24">
        <v>0.33339999999999997</v>
      </c>
      <c r="BS12" s="24">
        <v>0.33339999999999997</v>
      </c>
      <c r="BT12" s="24">
        <v>0.33339999999999997</v>
      </c>
      <c r="BU12" s="24">
        <v>0.33339999999999997</v>
      </c>
      <c r="BV12" s="24">
        <v>0.33339999999999997</v>
      </c>
      <c r="BW12" s="24">
        <v>0.33339999999999997</v>
      </c>
      <c r="BX12" s="24">
        <v>0.33339999999999997</v>
      </c>
      <c r="BY12" s="24">
        <v>0.33339999999999997</v>
      </c>
      <c r="BZ12" s="24">
        <v>0.33339999999999997</v>
      </c>
      <c r="CA12" s="24">
        <v>0.33339999999999997</v>
      </c>
      <c r="CB12" s="24">
        <v>0.33339999999999997</v>
      </c>
      <c r="CC12" s="24">
        <v>0.33339999999999997</v>
      </c>
      <c r="CD12" s="24">
        <v>0.33339999999999997</v>
      </c>
      <c r="CE12" s="24">
        <v>0.33339999999999997</v>
      </c>
      <c r="CF12" s="24">
        <v>0.33339999999999997</v>
      </c>
      <c r="CG12" s="24">
        <v>0.33339999999999997</v>
      </c>
      <c r="CH12" s="24">
        <v>0.33339999999999997</v>
      </c>
      <c r="CI12" s="24">
        <v>0.33339999999999997</v>
      </c>
      <c r="CJ12" s="24">
        <v>0.33339999999999997</v>
      </c>
      <c r="CK12" s="24">
        <v>0.33339999999999997</v>
      </c>
      <c r="CL12" s="24">
        <v>0.33339999999999997</v>
      </c>
      <c r="CM12" s="24">
        <v>0.33339999999999997</v>
      </c>
      <c r="CN12" s="24">
        <v>0.33339999999999997</v>
      </c>
      <c r="CO12" s="24">
        <v>0.33339999999999997</v>
      </c>
      <c r="CP12" s="24">
        <v>0.33339999999999997</v>
      </c>
      <c r="CQ12" s="24">
        <v>0.33339999999999997</v>
      </c>
      <c r="CR12" s="24">
        <v>0.33339999999999997</v>
      </c>
      <c r="CS12" s="24">
        <v>0.33339999999999997</v>
      </c>
      <c r="CT12" s="24">
        <v>0.33339999999999997</v>
      </c>
      <c r="CU12" s="24">
        <v>0.33339999999999997</v>
      </c>
      <c r="CV12" s="24">
        <v>0.33339999999999997</v>
      </c>
      <c r="CW12" s="24">
        <v>0.33339999999999997</v>
      </c>
      <c r="CX12" s="24">
        <v>0.33339999999999997</v>
      </c>
      <c r="CY12" s="24">
        <v>0.33339999999999997</v>
      </c>
      <c r="CZ12" s="24">
        <v>0.33339999999999997</v>
      </c>
      <c r="DA12" s="24">
        <v>0.33339999999999997</v>
      </c>
      <c r="DB12" s="24">
        <v>0.33339999999999997</v>
      </c>
      <c r="DC12" s="24">
        <v>0.33339999999999997</v>
      </c>
      <c r="DD12" s="24">
        <v>0.33339999999999997</v>
      </c>
      <c r="DE12" s="24">
        <v>0.33339999999999997</v>
      </c>
      <c r="DF12" s="24">
        <v>0.33339999999999997</v>
      </c>
    </row>
    <row r="13" spans="1:110" x14ac:dyDescent="0.2">
      <c r="A13" t="s">
        <v>20</v>
      </c>
      <c r="B13" s="24">
        <v>0.33329999999999999</v>
      </c>
      <c r="C13" s="24">
        <v>0.33329999999999999</v>
      </c>
      <c r="D13" s="24">
        <v>0.33329999999999999</v>
      </c>
      <c r="E13" s="24">
        <v>0.33329999999999999</v>
      </c>
      <c r="F13" s="24">
        <v>0.33329999999999999</v>
      </c>
      <c r="G13" s="24">
        <v>0.33329999999999999</v>
      </c>
      <c r="H13" s="24">
        <v>0.33329999999999999</v>
      </c>
      <c r="I13" s="24">
        <v>0.33329999999999999</v>
      </c>
      <c r="J13" s="24">
        <v>0.33329999999999999</v>
      </c>
      <c r="K13" s="24">
        <v>0.33329999999999999</v>
      </c>
      <c r="L13" s="24">
        <v>0.33329999999999999</v>
      </c>
      <c r="M13" s="24">
        <v>0.33329999999999999</v>
      </c>
      <c r="N13" s="24">
        <v>0.33329999999999999</v>
      </c>
      <c r="O13" s="24">
        <v>0.33329999999999999</v>
      </c>
      <c r="P13" s="24">
        <v>0.33329999999999999</v>
      </c>
      <c r="Q13" s="24">
        <v>0.33329999999999999</v>
      </c>
      <c r="R13" s="24">
        <v>0.33329999999999999</v>
      </c>
      <c r="S13" s="24">
        <v>0.33329999999999999</v>
      </c>
      <c r="T13" s="24">
        <v>0.33329999999999999</v>
      </c>
      <c r="U13" s="24">
        <v>0.33329999999999999</v>
      </c>
      <c r="V13" s="24">
        <v>0.33329999999999999</v>
      </c>
      <c r="W13" s="24">
        <v>0.33329999999999999</v>
      </c>
      <c r="X13" s="24">
        <v>0.33329999999999999</v>
      </c>
      <c r="Y13" s="24">
        <v>0.33329999999999999</v>
      </c>
      <c r="Z13" s="24">
        <v>0.33329999999999999</v>
      </c>
      <c r="AA13" s="24">
        <v>0.33329999999999999</v>
      </c>
      <c r="AB13" s="24">
        <v>0.33329999999999999</v>
      </c>
      <c r="AC13" s="24">
        <v>0.33329999999999999</v>
      </c>
      <c r="AD13" s="24">
        <v>0.33329999999999999</v>
      </c>
      <c r="AE13" s="24">
        <v>0.33329999999999999</v>
      </c>
      <c r="AF13" s="24">
        <v>0.33329999999999999</v>
      </c>
      <c r="AG13" s="24">
        <v>0.33329999999999999</v>
      </c>
      <c r="AH13" s="24">
        <v>0.33329999999999999</v>
      </c>
      <c r="AI13" s="24">
        <v>0.33329999999999999</v>
      </c>
      <c r="AJ13" s="24">
        <v>0.33329999999999999</v>
      </c>
      <c r="AK13" s="24">
        <v>0.33329999999999999</v>
      </c>
      <c r="AL13" s="24">
        <v>0.33329999999999999</v>
      </c>
      <c r="AM13" s="24">
        <v>0.33329999999999999</v>
      </c>
      <c r="AN13" s="24">
        <v>0.33329999999999999</v>
      </c>
      <c r="AO13" s="24">
        <v>0.33329999999999999</v>
      </c>
      <c r="AP13" s="24">
        <v>0.33329999999999999</v>
      </c>
      <c r="AQ13" s="24">
        <v>0.33329999999999999</v>
      </c>
      <c r="AR13" s="24">
        <v>0.33329999999999999</v>
      </c>
      <c r="AS13" s="24">
        <v>0.33329999999999999</v>
      </c>
      <c r="AT13" s="24">
        <v>0.33329999999999999</v>
      </c>
      <c r="AU13" s="24">
        <v>0.33329999999999999</v>
      </c>
      <c r="AV13" s="24">
        <v>0.33329999999999999</v>
      </c>
      <c r="AW13" s="24">
        <v>0.33329999999999999</v>
      </c>
      <c r="AX13" s="24">
        <v>0.33329999999999999</v>
      </c>
      <c r="AY13" s="24">
        <v>0.33329999999999999</v>
      </c>
      <c r="AZ13" s="24">
        <v>0.33329999999999999</v>
      </c>
      <c r="BA13" s="24">
        <v>0.33329999999999999</v>
      </c>
      <c r="BB13" s="24">
        <v>0.33329999999999999</v>
      </c>
      <c r="BC13" s="24">
        <v>0.33329999999999999</v>
      </c>
      <c r="BD13" s="24">
        <v>0.33329999999999999</v>
      </c>
      <c r="BE13" s="24">
        <v>0.33329999999999999</v>
      </c>
      <c r="BF13" s="24">
        <v>0.33329999999999999</v>
      </c>
      <c r="BG13" s="24">
        <v>0.33329999999999999</v>
      </c>
      <c r="BH13" s="24">
        <v>0.33329999999999999</v>
      </c>
      <c r="BI13" s="24">
        <v>0.33329999999999999</v>
      </c>
      <c r="BJ13" s="24">
        <v>0.33329999999999999</v>
      </c>
      <c r="BK13" s="24">
        <v>0.33329999999999999</v>
      </c>
      <c r="BL13" s="24">
        <v>0.33329999999999999</v>
      </c>
      <c r="BM13" s="24">
        <v>0.33329999999999999</v>
      </c>
      <c r="BN13" s="24">
        <v>0.33329999999999999</v>
      </c>
      <c r="BO13" s="24">
        <v>0.33329999999999999</v>
      </c>
      <c r="BP13" s="24">
        <v>0.33329999999999999</v>
      </c>
      <c r="BQ13" s="24">
        <v>0.33329999999999999</v>
      </c>
      <c r="BR13" s="24">
        <v>0.33329999999999999</v>
      </c>
      <c r="BS13" s="24">
        <v>0.33329999999999999</v>
      </c>
      <c r="BT13" s="24">
        <v>0.33329999999999999</v>
      </c>
      <c r="BU13" s="24">
        <v>0.33329999999999999</v>
      </c>
      <c r="BV13" s="24">
        <v>0.33329999999999999</v>
      </c>
      <c r="BW13" s="24">
        <v>0.33329999999999999</v>
      </c>
      <c r="BX13" s="24">
        <v>0.33329999999999999</v>
      </c>
      <c r="BY13" s="24">
        <v>0.33329999999999999</v>
      </c>
      <c r="BZ13" s="24">
        <v>0.33329999999999999</v>
      </c>
      <c r="CA13" s="24">
        <v>0.33329999999999999</v>
      </c>
      <c r="CB13" s="24">
        <v>0.33329999999999999</v>
      </c>
      <c r="CC13" s="24">
        <v>0.33329999999999999</v>
      </c>
      <c r="CD13" s="24">
        <v>0.33329999999999999</v>
      </c>
      <c r="CE13" s="24">
        <v>0.33329999999999999</v>
      </c>
      <c r="CF13" s="24">
        <v>0.33329999999999999</v>
      </c>
      <c r="CG13" s="24">
        <v>0.33329999999999999</v>
      </c>
      <c r="CH13" s="24">
        <v>0.33329999999999999</v>
      </c>
      <c r="CI13" s="24">
        <v>0.33329999999999999</v>
      </c>
      <c r="CJ13" s="24">
        <v>0.33329999999999999</v>
      </c>
      <c r="CK13" s="24">
        <v>0.33329999999999999</v>
      </c>
      <c r="CL13" s="24">
        <v>0.33329999999999999</v>
      </c>
      <c r="CM13" s="24">
        <v>0.33329999999999999</v>
      </c>
      <c r="CN13" s="24">
        <v>0.33329999999999999</v>
      </c>
      <c r="CO13" s="24">
        <v>0.33329999999999999</v>
      </c>
      <c r="CP13" s="24">
        <v>0.33329999999999999</v>
      </c>
      <c r="CQ13" s="24">
        <v>0.33329999999999999</v>
      </c>
      <c r="CR13" s="24">
        <v>0.33329999999999999</v>
      </c>
      <c r="CS13" s="24">
        <v>0.33329999999999999</v>
      </c>
      <c r="CT13" s="24">
        <v>0.33329999999999999</v>
      </c>
      <c r="CU13" s="24">
        <v>0.33329999999999999</v>
      </c>
      <c r="CV13" s="24">
        <v>0.33329999999999999</v>
      </c>
      <c r="CW13" s="24">
        <v>0.33329999999999999</v>
      </c>
      <c r="CX13" s="24">
        <v>0.33329999999999999</v>
      </c>
      <c r="CY13" s="24">
        <v>0.33329999999999999</v>
      </c>
      <c r="CZ13" s="24">
        <v>0.33329999999999999</v>
      </c>
      <c r="DA13" s="24">
        <v>0.33329999999999999</v>
      </c>
      <c r="DB13" s="24">
        <v>0.33329999999999999</v>
      </c>
      <c r="DC13" s="24">
        <v>0.33329999999999999</v>
      </c>
      <c r="DD13" s="24">
        <v>0.33329999999999999</v>
      </c>
      <c r="DE13" s="24">
        <v>0.33329999999999999</v>
      </c>
      <c r="DF13" s="24">
        <v>0.33329999999999999</v>
      </c>
    </row>
    <row r="14" spans="1:110" x14ac:dyDescent="0.2">
      <c r="A14" t="s">
        <v>21</v>
      </c>
      <c r="B14" s="24">
        <v>0.33329999999999999</v>
      </c>
      <c r="C14" s="24">
        <v>0.33329999999999999</v>
      </c>
      <c r="D14" s="24">
        <v>0.33329999999999999</v>
      </c>
      <c r="E14" s="24">
        <v>0.33329999999999999</v>
      </c>
      <c r="F14" s="24">
        <v>0.33329999999999999</v>
      </c>
      <c r="G14" s="24">
        <v>0.33329999999999999</v>
      </c>
      <c r="H14" s="24">
        <v>0.33329999999999999</v>
      </c>
      <c r="I14" s="24">
        <v>0.33329999999999999</v>
      </c>
      <c r="J14" s="24">
        <v>0.33329999999999999</v>
      </c>
      <c r="K14" s="24">
        <v>0.33329999999999999</v>
      </c>
      <c r="L14" s="24">
        <v>0.33329999999999999</v>
      </c>
      <c r="M14" s="24">
        <v>0.33329999999999999</v>
      </c>
      <c r="N14" s="24">
        <v>0.33329999999999999</v>
      </c>
      <c r="O14" s="24">
        <v>0.33329999999999999</v>
      </c>
      <c r="P14" s="24">
        <v>0.33329999999999999</v>
      </c>
      <c r="Q14" s="24">
        <v>0.33329999999999999</v>
      </c>
      <c r="R14" s="24">
        <v>0.33329999999999999</v>
      </c>
      <c r="S14" s="24">
        <v>0.33329999999999999</v>
      </c>
      <c r="T14" s="24">
        <v>0.33329999999999999</v>
      </c>
      <c r="U14" s="24">
        <v>0.33329999999999999</v>
      </c>
      <c r="V14" s="24">
        <v>0.33329999999999999</v>
      </c>
      <c r="W14" s="24">
        <v>0.33329999999999999</v>
      </c>
      <c r="X14" s="24">
        <v>0.33329999999999999</v>
      </c>
      <c r="Y14" s="24">
        <v>0.33329999999999999</v>
      </c>
      <c r="Z14" s="24">
        <v>0.33329999999999999</v>
      </c>
      <c r="AA14" s="24">
        <v>0.33329999999999999</v>
      </c>
      <c r="AB14" s="24">
        <v>0.33329999999999999</v>
      </c>
      <c r="AC14" s="24">
        <v>0.33329999999999999</v>
      </c>
      <c r="AD14" s="24">
        <v>0.33329999999999999</v>
      </c>
      <c r="AE14" s="24">
        <v>0.33329999999999999</v>
      </c>
      <c r="AF14" s="24">
        <v>0.33329999999999999</v>
      </c>
      <c r="AG14" s="24">
        <v>0.33329999999999999</v>
      </c>
      <c r="AH14" s="24">
        <v>0.33329999999999999</v>
      </c>
      <c r="AI14" s="24">
        <v>0.33329999999999999</v>
      </c>
      <c r="AJ14" s="24">
        <v>0.33329999999999999</v>
      </c>
      <c r="AK14" s="24">
        <v>0.33329999999999999</v>
      </c>
      <c r="AL14" s="24">
        <v>0.33329999999999999</v>
      </c>
      <c r="AM14" s="24">
        <v>0.33329999999999999</v>
      </c>
      <c r="AN14" s="24">
        <v>0.33329999999999999</v>
      </c>
      <c r="AO14" s="24">
        <v>0.33329999999999999</v>
      </c>
      <c r="AP14" s="24">
        <v>0.33329999999999999</v>
      </c>
      <c r="AQ14" s="24">
        <v>0.33329999999999999</v>
      </c>
      <c r="AR14" s="24">
        <v>0.33329999999999999</v>
      </c>
      <c r="AS14" s="24">
        <v>0.33329999999999999</v>
      </c>
      <c r="AT14" s="24">
        <v>0.33329999999999999</v>
      </c>
      <c r="AU14" s="24">
        <v>0.33329999999999999</v>
      </c>
      <c r="AV14" s="24">
        <v>0.33329999999999999</v>
      </c>
      <c r="AW14" s="24">
        <v>0.33329999999999999</v>
      </c>
      <c r="AX14" s="24">
        <v>0.33329999999999999</v>
      </c>
      <c r="AY14" s="24">
        <v>0.33329999999999999</v>
      </c>
      <c r="AZ14" s="24">
        <v>0.33329999999999999</v>
      </c>
      <c r="BA14" s="24">
        <v>0.33329999999999999</v>
      </c>
      <c r="BB14" s="24">
        <v>0.33329999999999999</v>
      </c>
      <c r="BC14" s="24">
        <v>0.33329999999999999</v>
      </c>
      <c r="BD14" s="24">
        <v>0.33329999999999999</v>
      </c>
      <c r="BE14" s="24">
        <v>0.33329999999999999</v>
      </c>
      <c r="BF14" s="24">
        <v>0.33329999999999999</v>
      </c>
      <c r="BG14" s="24">
        <v>0.33329999999999999</v>
      </c>
      <c r="BH14" s="24">
        <v>0.33329999999999999</v>
      </c>
      <c r="BI14" s="24">
        <v>0.33329999999999999</v>
      </c>
      <c r="BJ14" s="24">
        <v>0.33329999999999999</v>
      </c>
      <c r="BK14" s="24">
        <v>0.33329999999999999</v>
      </c>
      <c r="BL14" s="24">
        <v>0.33329999999999999</v>
      </c>
      <c r="BM14" s="24">
        <v>0.33329999999999999</v>
      </c>
      <c r="BN14" s="24">
        <v>0.33329999999999999</v>
      </c>
      <c r="BO14" s="24">
        <v>0.33329999999999999</v>
      </c>
      <c r="BP14" s="24">
        <v>0.33329999999999999</v>
      </c>
      <c r="BQ14" s="24">
        <v>0.33329999999999999</v>
      </c>
      <c r="BR14" s="24">
        <v>0.33329999999999999</v>
      </c>
      <c r="BS14" s="24">
        <v>0.33329999999999999</v>
      </c>
      <c r="BT14" s="24">
        <v>0.33329999999999999</v>
      </c>
      <c r="BU14" s="24">
        <v>0.33329999999999999</v>
      </c>
      <c r="BV14" s="24">
        <v>0.33329999999999999</v>
      </c>
      <c r="BW14" s="24">
        <v>0.33329999999999999</v>
      </c>
      <c r="BX14" s="24">
        <v>0.33329999999999999</v>
      </c>
      <c r="BY14" s="24">
        <v>0.33329999999999999</v>
      </c>
      <c r="BZ14" s="24">
        <v>0.33329999999999999</v>
      </c>
      <c r="CA14" s="24">
        <v>0.33329999999999999</v>
      </c>
      <c r="CB14" s="24">
        <v>0.33329999999999999</v>
      </c>
      <c r="CC14" s="24">
        <v>0.33329999999999999</v>
      </c>
      <c r="CD14" s="24">
        <v>0.33329999999999999</v>
      </c>
      <c r="CE14" s="24">
        <v>0.33329999999999999</v>
      </c>
      <c r="CF14" s="24">
        <v>0.33329999999999999</v>
      </c>
      <c r="CG14" s="24">
        <v>0.33329999999999999</v>
      </c>
      <c r="CH14" s="24">
        <v>0.33329999999999999</v>
      </c>
      <c r="CI14" s="24">
        <v>0.33329999999999999</v>
      </c>
      <c r="CJ14" s="24">
        <v>0.33329999999999999</v>
      </c>
      <c r="CK14" s="24">
        <v>0.33329999999999999</v>
      </c>
      <c r="CL14" s="24">
        <v>0.33329999999999999</v>
      </c>
      <c r="CM14" s="24">
        <v>0.33329999999999999</v>
      </c>
      <c r="CN14" s="24">
        <v>0.33329999999999999</v>
      </c>
      <c r="CO14" s="24">
        <v>0.33329999999999999</v>
      </c>
      <c r="CP14" s="24">
        <v>0.33329999999999999</v>
      </c>
      <c r="CQ14" s="24">
        <v>0.33329999999999999</v>
      </c>
      <c r="CR14" s="24">
        <v>0.33329999999999999</v>
      </c>
      <c r="CS14" s="24">
        <v>0.33329999999999999</v>
      </c>
      <c r="CT14" s="24">
        <v>0.33329999999999999</v>
      </c>
      <c r="CU14" s="24">
        <v>0.33329999999999999</v>
      </c>
      <c r="CV14" s="24">
        <v>0.33329999999999999</v>
      </c>
      <c r="CW14" s="24">
        <v>0.33329999999999999</v>
      </c>
      <c r="CX14" s="24">
        <v>0.33329999999999999</v>
      </c>
      <c r="CY14" s="24">
        <v>0.33329999999999999</v>
      </c>
      <c r="CZ14" s="24">
        <v>0.33329999999999999</v>
      </c>
      <c r="DA14" s="24">
        <v>0.33329999999999999</v>
      </c>
      <c r="DB14" s="24">
        <v>0.33329999999999999</v>
      </c>
      <c r="DC14" s="24">
        <v>0.33329999999999999</v>
      </c>
      <c r="DD14" s="24">
        <v>0.33329999999999999</v>
      </c>
      <c r="DE14" s="24">
        <v>0.33329999999999999</v>
      </c>
      <c r="DF14" s="24">
        <v>0.33329999999999999</v>
      </c>
    </row>
    <row r="15" spans="1:110" x14ac:dyDescent="0.2">
      <c r="A15" t="s">
        <v>12</v>
      </c>
      <c r="B15" s="4">
        <v>1</v>
      </c>
      <c r="C15" s="4">
        <v>1</v>
      </c>
      <c r="D15" s="4">
        <v>1</v>
      </c>
      <c r="E15" s="4">
        <v>1</v>
      </c>
      <c r="F15" s="4">
        <v>1</v>
      </c>
      <c r="G15" s="4">
        <v>1</v>
      </c>
      <c r="H15" s="4">
        <v>1</v>
      </c>
      <c r="I15" s="4">
        <v>1</v>
      </c>
      <c r="J15" s="4">
        <v>1</v>
      </c>
      <c r="K15" s="4">
        <v>1</v>
      </c>
      <c r="L15" s="4">
        <v>1</v>
      </c>
      <c r="M15" s="4">
        <v>1</v>
      </c>
      <c r="N15" s="4">
        <v>1</v>
      </c>
      <c r="O15" s="4">
        <v>1</v>
      </c>
      <c r="P15" s="4">
        <v>1</v>
      </c>
      <c r="Q15" s="4">
        <v>1</v>
      </c>
      <c r="R15" s="4">
        <v>1</v>
      </c>
      <c r="S15" s="4">
        <v>1</v>
      </c>
      <c r="T15" s="4">
        <v>1</v>
      </c>
      <c r="U15" s="4">
        <v>1</v>
      </c>
      <c r="V15" s="4">
        <v>1</v>
      </c>
      <c r="W15" s="4">
        <v>1</v>
      </c>
      <c r="X15" s="4">
        <v>1</v>
      </c>
      <c r="Y15" s="4">
        <v>1</v>
      </c>
      <c r="Z15" s="4">
        <f t="shared" ref="Z15" si="44">SUM(Z12:Z14)</f>
        <v>1</v>
      </c>
      <c r="AA15" s="4">
        <f t="shared" ref="AA15:AB15" si="45">SUM(AA12:AA14)</f>
        <v>1</v>
      </c>
      <c r="AB15" s="4">
        <f t="shared" si="45"/>
        <v>1</v>
      </c>
      <c r="AC15" s="4">
        <f t="shared" ref="AC15:AD15" si="46">SUM(AC12:AC14)</f>
        <v>1</v>
      </c>
      <c r="AD15" s="4">
        <f t="shared" si="46"/>
        <v>1</v>
      </c>
      <c r="AE15" s="4">
        <f t="shared" ref="AE15:AF15" si="47">SUM(AE12:AE14)</f>
        <v>1</v>
      </c>
      <c r="AF15" s="4">
        <f t="shared" si="47"/>
        <v>1</v>
      </c>
      <c r="AG15" s="4">
        <f t="shared" ref="AG15" si="48">SUM(AG12:AG14)</f>
        <v>1</v>
      </c>
      <c r="AH15" s="4">
        <f t="shared" ref="AH15" si="49">SUM(AH12:AH14)</f>
        <v>1</v>
      </c>
      <c r="AI15" s="4">
        <f t="shared" ref="AI15:AJ15" si="50">SUM(AI12:AI14)</f>
        <v>1</v>
      </c>
      <c r="AJ15" s="4">
        <f t="shared" si="50"/>
        <v>1</v>
      </c>
      <c r="AK15" s="4">
        <f t="shared" ref="AK15:AL15" si="51">SUM(AK12:AK14)</f>
        <v>1</v>
      </c>
      <c r="AL15" s="4">
        <f t="shared" si="51"/>
        <v>1</v>
      </c>
      <c r="AM15" s="4">
        <f t="shared" ref="AM15:AN15" si="52">SUM(AM12:AM14)</f>
        <v>1</v>
      </c>
      <c r="AN15" s="4">
        <f t="shared" si="52"/>
        <v>1</v>
      </c>
      <c r="AO15" s="4">
        <f t="shared" ref="AO15:AP15" si="53">SUM(AO12:AO14)</f>
        <v>1</v>
      </c>
      <c r="AP15" s="4">
        <f t="shared" si="53"/>
        <v>1</v>
      </c>
      <c r="AQ15" s="4">
        <f t="shared" ref="AQ15:AR15" si="54">SUM(AQ12:AQ14)</f>
        <v>1</v>
      </c>
      <c r="AR15" s="4">
        <f t="shared" si="54"/>
        <v>1</v>
      </c>
      <c r="AS15" s="4">
        <f t="shared" ref="AS15:AT15" si="55">SUM(AS12:AS14)</f>
        <v>1</v>
      </c>
      <c r="AT15" s="4">
        <f t="shared" si="55"/>
        <v>1</v>
      </c>
      <c r="AU15" s="4">
        <f t="shared" ref="AU15:AV15" si="56">SUM(AU12:AU14)</f>
        <v>1</v>
      </c>
      <c r="AV15" s="4">
        <f t="shared" si="56"/>
        <v>1</v>
      </c>
      <c r="AW15" s="4">
        <f t="shared" ref="AW15:AX15" si="57">SUM(AW12:AW14)</f>
        <v>1</v>
      </c>
      <c r="AX15" s="4">
        <f t="shared" si="57"/>
        <v>1</v>
      </c>
      <c r="AY15" s="4">
        <f t="shared" ref="AY15:AZ15" si="58">SUM(AY12:AY14)</f>
        <v>1</v>
      </c>
      <c r="AZ15" s="4">
        <f t="shared" si="58"/>
        <v>1</v>
      </c>
      <c r="BA15" s="4">
        <f t="shared" ref="BA15:BB15" si="59">SUM(BA12:BA14)</f>
        <v>1</v>
      </c>
      <c r="BB15" s="4">
        <f t="shared" si="59"/>
        <v>1</v>
      </c>
      <c r="BC15" s="4">
        <f t="shared" ref="BC15:BD15" si="60">SUM(BC12:BC14)</f>
        <v>1</v>
      </c>
      <c r="BD15" s="4">
        <f t="shared" si="60"/>
        <v>1</v>
      </c>
      <c r="BE15" s="4">
        <f t="shared" ref="BE15" si="61">SUM(BE12:BE14)</f>
        <v>1</v>
      </c>
      <c r="BF15" s="4">
        <f t="shared" ref="BF15:BG15" si="62">SUM(BF12:BF14)</f>
        <v>1</v>
      </c>
      <c r="BG15" s="4">
        <f t="shared" si="62"/>
        <v>1</v>
      </c>
      <c r="BH15" s="4">
        <f t="shared" ref="BH15:BI15" si="63">SUM(BH12:BH14)</f>
        <v>1</v>
      </c>
      <c r="BI15" s="4">
        <f t="shared" si="63"/>
        <v>1</v>
      </c>
      <c r="BJ15" s="4">
        <f t="shared" ref="BJ15:BK15" si="64">SUM(BJ12:BJ14)</f>
        <v>1</v>
      </c>
      <c r="BK15" s="4">
        <f t="shared" si="64"/>
        <v>1</v>
      </c>
      <c r="BL15" s="4">
        <f t="shared" ref="BL15:BM15" si="65">SUM(BL12:BL14)</f>
        <v>1</v>
      </c>
      <c r="BM15" s="4">
        <f t="shared" si="65"/>
        <v>1</v>
      </c>
      <c r="BN15" s="4">
        <f t="shared" ref="BN15:BO15" si="66">SUM(BN12:BN14)</f>
        <v>1</v>
      </c>
      <c r="BO15" s="4">
        <f t="shared" si="66"/>
        <v>1</v>
      </c>
      <c r="BP15" s="4">
        <f t="shared" ref="BP15:BQ15" si="67">SUM(BP12:BP14)</f>
        <v>1</v>
      </c>
      <c r="BQ15" s="4">
        <f t="shared" si="67"/>
        <v>1</v>
      </c>
      <c r="BR15" s="4">
        <f t="shared" ref="BR15:BS15" si="68">SUM(BR12:BR14)</f>
        <v>1</v>
      </c>
      <c r="BS15" s="4">
        <f t="shared" si="68"/>
        <v>1</v>
      </c>
      <c r="BT15" s="4">
        <f t="shared" ref="BT15:BU15" si="69">SUM(BT12:BT14)</f>
        <v>1</v>
      </c>
      <c r="BU15" s="4">
        <f t="shared" si="69"/>
        <v>1</v>
      </c>
      <c r="BV15" s="4">
        <f t="shared" ref="BV15:BW15" si="70">SUM(BV12:BV14)</f>
        <v>1</v>
      </c>
      <c r="BW15" s="4">
        <f t="shared" si="70"/>
        <v>1</v>
      </c>
      <c r="BX15" s="4">
        <f t="shared" ref="BX15:BY15" si="71">SUM(BX12:BX14)</f>
        <v>1</v>
      </c>
      <c r="BY15" s="4">
        <f t="shared" si="71"/>
        <v>1</v>
      </c>
      <c r="BZ15" s="4">
        <f t="shared" ref="BZ15:CA15" si="72">SUM(BZ12:BZ14)</f>
        <v>1</v>
      </c>
      <c r="CA15" s="4">
        <f t="shared" si="72"/>
        <v>1</v>
      </c>
      <c r="CB15" s="4">
        <f t="shared" ref="CB15:CC15" si="73">SUM(CB12:CB14)</f>
        <v>1</v>
      </c>
      <c r="CC15" s="4">
        <f t="shared" si="73"/>
        <v>1</v>
      </c>
      <c r="CD15" s="4">
        <f t="shared" ref="CD15:CE15" si="74">SUM(CD12:CD14)</f>
        <v>1</v>
      </c>
      <c r="CE15" s="4">
        <f t="shared" si="74"/>
        <v>1</v>
      </c>
      <c r="CF15" s="4">
        <f t="shared" ref="CF15:CG15" si="75">SUM(CF12:CF14)</f>
        <v>1</v>
      </c>
      <c r="CG15" s="4">
        <f t="shared" si="75"/>
        <v>1</v>
      </c>
      <c r="CH15" s="4">
        <f t="shared" ref="CH15:CI15" si="76">SUM(CH12:CH14)</f>
        <v>1</v>
      </c>
      <c r="CI15" s="4">
        <f t="shared" si="76"/>
        <v>1</v>
      </c>
      <c r="CJ15" s="4">
        <f t="shared" ref="CJ15:CK15" si="77">SUM(CJ12:CJ14)</f>
        <v>1</v>
      </c>
      <c r="CK15" s="4">
        <f t="shared" si="77"/>
        <v>1</v>
      </c>
      <c r="CL15" s="4">
        <f t="shared" ref="CL15:CM15" si="78">SUM(CL12:CL14)</f>
        <v>1</v>
      </c>
      <c r="CM15" s="4">
        <f t="shared" si="78"/>
        <v>1</v>
      </c>
      <c r="CN15" s="4">
        <f t="shared" ref="CN15:CO15" si="79">SUM(CN12:CN14)</f>
        <v>1</v>
      </c>
      <c r="CO15" s="4">
        <f t="shared" si="79"/>
        <v>1</v>
      </c>
      <c r="CP15" s="4">
        <f t="shared" ref="CP15:CQ15" si="80">SUM(CP12:CP14)</f>
        <v>1</v>
      </c>
      <c r="CQ15" s="4">
        <f t="shared" si="80"/>
        <v>1</v>
      </c>
      <c r="CR15" s="4">
        <v>1</v>
      </c>
      <c r="CS15" s="4">
        <v>1</v>
      </c>
      <c r="CT15" s="4">
        <v>1</v>
      </c>
      <c r="CU15" s="4">
        <v>1</v>
      </c>
      <c r="CV15" s="4">
        <v>1</v>
      </c>
      <c r="CW15" s="4">
        <v>1</v>
      </c>
      <c r="CX15" s="4">
        <v>1</v>
      </c>
      <c r="CY15" s="4">
        <v>1</v>
      </c>
      <c r="CZ15" s="4">
        <v>1</v>
      </c>
      <c r="DA15" s="4">
        <v>1</v>
      </c>
      <c r="DB15" s="4">
        <v>1</v>
      </c>
      <c r="DC15" s="4">
        <v>1</v>
      </c>
      <c r="DD15" s="4">
        <v>1</v>
      </c>
      <c r="DE15" s="4">
        <v>1</v>
      </c>
      <c r="DF15" s="4">
        <v>1</v>
      </c>
    </row>
    <row r="16" spans="1:110" ht="13.5" thickBot="1" x14ac:dyDescent="0.25">
      <c r="A16"/>
    </row>
    <row r="17" spans="1:110" ht="13.5" thickBot="1" x14ac:dyDescent="0.25">
      <c r="A17" s="7" t="s">
        <v>50</v>
      </c>
      <c r="B17" s="28">
        <v>5.219003866279593E-3</v>
      </c>
      <c r="C17" s="28">
        <v>5.2389045086803695E-3</v>
      </c>
      <c r="D17" s="28">
        <v>5.2683810580443184E-3</v>
      </c>
      <c r="E17" s="28">
        <v>5.3175836610453771E-3</v>
      </c>
      <c r="F17" s="28">
        <v>5.3324626772750889E-3</v>
      </c>
      <c r="G17" s="28">
        <v>5.3502507673567979E-3</v>
      </c>
      <c r="H17" s="28">
        <v>5.3645815883088879E-3</v>
      </c>
      <c r="I17" s="28">
        <v>5.3408402088001312E-3</v>
      </c>
      <c r="J17" s="28">
        <v>5.3340650759322473E-3</v>
      </c>
      <c r="K17" s="28">
        <v>5.3452610088044082E-3</v>
      </c>
      <c r="L17" s="28">
        <v>5.3532329324326635E-3</v>
      </c>
      <c r="M17" s="28">
        <v>5.3752817926046303E-3</v>
      </c>
      <c r="N17" s="28">
        <v>5.3553411125544211E-3</v>
      </c>
      <c r="O17" s="28">
        <v>5.3627773308142761E-3</v>
      </c>
      <c r="P17" s="28">
        <v>5.3968494406658029E-3</v>
      </c>
      <c r="Q17" s="28">
        <v>5.3962362307831638E-3</v>
      </c>
      <c r="R17" s="28">
        <v>5.4087209034932773E-3</v>
      </c>
      <c r="S17" s="28">
        <v>5.4025010844871869E-3</v>
      </c>
      <c r="T17" s="28">
        <v>5.4155017758860712E-3</v>
      </c>
      <c r="U17" s="28">
        <v>5.3840684236485595E-3</v>
      </c>
      <c r="V17" s="28">
        <v>5.3943026092387455E-3</v>
      </c>
      <c r="W17" s="28">
        <v>5.393700355793579E-3</v>
      </c>
      <c r="X17" s="28">
        <v>5.4297866727454711E-3</v>
      </c>
      <c r="Y17" s="28">
        <v>5.4383172005799604E-3</v>
      </c>
      <c r="Z17" s="28">
        <f t="shared" ref="Z17:AI17" si="81">IF(Z3=0,0,(Z9*Z12)+(N9*Z13)+(B9*Z14))</f>
        <v>5.3980841305443549E-3</v>
      </c>
      <c r="AA17" s="28">
        <f t="shared" si="81"/>
        <v>5.3953934085350964E-3</v>
      </c>
      <c r="AB17" s="28">
        <f t="shared" si="81"/>
        <v>5.321387909825703E-3</v>
      </c>
      <c r="AC17" s="28">
        <f t="shared" si="81"/>
        <v>5.2889421967087236E-3</v>
      </c>
      <c r="AD17" s="28">
        <f t="shared" si="81"/>
        <v>5.2752669025704375E-3</v>
      </c>
      <c r="AE17" s="28">
        <f t="shared" si="81"/>
        <v>5.2801524407303773E-3</v>
      </c>
      <c r="AF17" s="28">
        <f t="shared" si="81"/>
        <v>5.2965478792160094E-3</v>
      </c>
      <c r="AG17" s="28">
        <f t="shared" si="81"/>
        <v>5.3204770351210628E-3</v>
      </c>
      <c r="AH17" s="28">
        <f t="shared" si="81"/>
        <v>5.3380243593086352E-3</v>
      </c>
      <c r="AI17" s="28">
        <f t="shared" si="81"/>
        <v>5.3408474063138082E-3</v>
      </c>
      <c r="AJ17" s="28">
        <f t="shared" ref="AJ17:AK17" si="82">IF(AJ3=0,0,(AJ9*AJ12)+(X9*AJ13)+(L9*AJ14))</f>
        <v>5.3355229490977835E-3</v>
      </c>
      <c r="AK17" s="28">
        <f t="shared" si="82"/>
        <v>5.3318294011628483E-3</v>
      </c>
      <c r="AL17" s="28">
        <f t="shared" ref="AL17" si="83">IF(AL3=0,0,(AL9*AL12)+(Z9*AL13)+(N9*AL14))</f>
        <v>5.2804656183356811E-3</v>
      </c>
      <c r="AM17" s="28">
        <f t="shared" ref="AM17" si="84">IF(AM3=0,0,(AM9*AM12)+(AA9*AM13)+(O9*AM14))</f>
        <v>5.3353959946423508E-3</v>
      </c>
      <c r="AN17" s="28">
        <f t="shared" ref="AN17" si="85">IF(AN3=0,0,(AN9*AN12)+(AB9*AN13)+(P9*AN14))</f>
        <v>5.3340887906487425E-3</v>
      </c>
      <c r="AO17" s="28">
        <f t="shared" ref="AO17" si="86">IF(AO3=0,0,(AO9*AO12)+(AC9*AO13)+(Q9*AO14))</f>
        <v>5.2408536593524712E-3</v>
      </c>
      <c r="AP17" s="28">
        <f t="shared" ref="AP17:CQ17" si="87">IF(AP3=0,0,(AP9*AP12)+(AD9*AP13)+(R9*AP14))</f>
        <v>5.2686003940097346E-3</v>
      </c>
      <c r="AQ17" s="28">
        <f t="shared" si="87"/>
        <v>5.2388718247975462E-3</v>
      </c>
      <c r="AR17" s="28">
        <f t="shared" si="87"/>
        <v>5.2460331255639201E-3</v>
      </c>
      <c r="AS17" s="28">
        <f t="shared" si="87"/>
        <v>5.2449605414717389E-3</v>
      </c>
      <c r="AT17" s="28">
        <f t="shared" si="87"/>
        <v>5.2785670981341992E-3</v>
      </c>
      <c r="AU17" s="28">
        <f t="shared" si="87"/>
        <v>5.2853891334551286E-3</v>
      </c>
      <c r="AV17" s="28">
        <f t="shared" si="87"/>
        <v>5.2713773258904759E-3</v>
      </c>
      <c r="AW17" s="28">
        <f t="shared" si="87"/>
        <v>5.3037788203196433E-3</v>
      </c>
      <c r="AX17" s="28">
        <f t="shared" si="87"/>
        <v>5.3360527227417996E-3</v>
      </c>
      <c r="AY17" s="28">
        <f t="shared" si="87"/>
        <v>5.3092099286373463E-3</v>
      </c>
      <c r="AZ17" s="28">
        <f t="shared" si="87"/>
        <v>5.2914521822974092E-3</v>
      </c>
      <c r="BA17" s="28">
        <f t="shared" si="87"/>
        <v>5.3057244963246961E-3</v>
      </c>
      <c r="BB17" s="28">
        <f t="shared" si="87"/>
        <v>5.2960949223158941E-3</v>
      </c>
      <c r="BC17" s="28">
        <f t="shared" si="87"/>
        <v>5.2843514056489004E-3</v>
      </c>
      <c r="BD17" s="28">
        <f t="shared" si="87"/>
        <v>5.2593767549584287E-3</v>
      </c>
      <c r="BE17" s="28">
        <f t="shared" si="87"/>
        <v>5.2676787183536028E-3</v>
      </c>
      <c r="BF17" s="28">
        <f t="shared" si="87"/>
        <v>5.2481337327972034E-3</v>
      </c>
      <c r="BG17" s="28">
        <f t="shared" si="87"/>
        <v>5.2289268767901215E-3</v>
      </c>
      <c r="BH17" s="28">
        <f t="shared" si="87"/>
        <v>5.2375284334234308E-3</v>
      </c>
      <c r="BI17" s="28">
        <f t="shared" si="87"/>
        <v>5.2300136428042676E-3</v>
      </c>
      <c r="BJ17" s="28">
        <f t="shared" si="87"/>
        <v>5.2344699886503754E-3</v>
      </c>
      <c r="BK17" s="28">
        <f t="shared" si="87"/>
        <v>5.2118399120858073E-3</v>
      </c>
      <c r="BL17" s="28">
        <f t="shared" si="87"/>
        <v>5.1993420105697638E-3</v>
      </c>
      <c r="BM17" s="28">
        <f t="shared" si="87"/>
        <v>5.0496191575953569E-3</v>
      </c>
      <c r="BN17" s="28">
        <f t="shared" si="87"/>
        <v>4.9696065346394895E-3</v>
      </c>
      <c r="BO17" s="28">
        <f t="shared" si="87"/>
        <v>4.8670597738353621E-3</v>
      </c>
      <c r="BP17" s="28">
        <f t="shared" si="87"/>
        <v>4.7332131464462562E-3</v>
      </c>
      <c r="BQ17" s="28">
        <f t="shared" si="87"/>
        <v>4.5470186045129986E-3</v>
      </c>
      <c r="BR17" s="28">
        <f t="shared" si="87"/>
        <v>4.4084220709355798E-3</v>
      </c>
      <c r="BS17" s="28">
        <f t="shared" si="87"/>
        <v>4.2991650536020904E-3</v>
      </c>
      <c r="BT17" s="28">
        <f t="shared" si="87"/>
        <v>4.2201686798306881E-3</v>
      </c>
      <c r="BU17" s="28">
        <f t="shared" si="87"/>
        <v>4.0869634276498E-3</v>
      </c>
      <c r="BV17" s="28">
        <f t="shared" si="87"/>
        <v>4.1629662871911733E-3</v>
      </c>
      <c r="BW17" s="28">
        <f t="shared" si="87"/>
        <v>4.0509588214066592E-3</v>
      </c>
      <c r="BX17" s="28">
        <f t="shared" si="87"/>
        <v>4.039898768373522E-3</v>
      </c>
      <c r="BY17" s="28">
        <f t="shared" si="87"/>
        <v>4.0558989693762161E-3</v>
      </c>
      <c r="BZ17" s="28">
        <f t="shared" si="87"/>
        <v>4.0146194039374092E-3</v>
      </c>
      <c r="CA17" s="28">
        <f t="shared" si="87"/>
        <v>4.0346257317129073E-3</v>
      </c>
      <c r="CB17" s="28">
        <f t="shared" si="87"/>
        <v>4.0386567007594937E-3</v>
      </c>
      <c r="CC17" s="28">
        <f t="shared" si="87"/>
        <v>4.033574127747715E-3</v>
      </c>
      <c r="CD17" s="28">
        <f t="shared" si="87"/>
        <v>4.0211305382700756E-3</v>
      </c>
      <c r="CE17" s="28">
        <f t="shared" si="87"/>
        <v>4.0253129330528646E-3</v>
      </c>
      <c r="CF17" s="28">
        <f t="shared" si="87"/>
        <v>3.9996019750280099E-3</v>
      </c>
      <c r="CG17" s="28">
        <f t="shared" si="87"/>
        <v>3.9228606613010072E-3</v>
      </c>
      <c r="CH17" s="28">
        <f t="shared" si="87"/>
        <v>3.9657675586756936E-3</v>
      </c>
      <c r="CI17" s="28">
        <f t="shared" si="87"/>
        <v>3.9960851452711145E-3</v>
      </c>
      <c r="CJ17" s="28">
        <f t="shared" si="87"/>
        <v>4.0235277433346341E-3</v>
      </c>
      <c r="CK17" s="28">
        <f t="shared" si="87"/>
        <v>3.9217522033570757E-3</v>
      </c>
      <c r="CL17" s="28">
        <f t="shared" si="87"/>
        <v>3.7764993376867414E-3</v>
      </c>
      <c r="CM17" s="28">
        <f t="shared" si="87"/>
        <v>3.6933743403717483E-3</v>
      </c>
      <c r="CN17" s="28">
        <f t="shared" si="87"/>
        <v>3.6701560313415495E-3</v>
      </c>
      <c r="CO17" s="28">
        <f t="shared" si="87"/>
        <v>3.6546960700160041E-3</v>
      </c>
      <c r="CP17" s="28">
        <f t="shared" si="87"/>
        <v>3.6798954232363816E-3</v>
      </c>
      <c r="CQ17" s="28">
        <f t="shared" si="87"/>
        <v>3.6223129419309923E-3</v>
      </c>
      <c r="CR17" s="28">
        <v>3.5063373127066869E-3</v>
      </c>
      <c r="CS17" s="28">
        <v>3.4325990344405209E-3</v>
      </c>
      <c r="CT17" s="28">
        <v>3.4923961972889508E-3</v>
      </c>
      <c r="CU17" s="28">
        <v>3.4904644853936046E-3</v>
      </c>
      <c r="CV17" s="28">
        <v>3.5714138147761964E-3</v>
      </c>
      <c r="CW17" s="28">
        <v>3.5876794661669014E-3</v>
      </c>
      <c r="CX17" s="28">
        <v>3.6259380602637488E-3</v>
      </c>
      <c r="CY17" s="28">
        <v>3.6977292135774893E-3</v>
      </c>
      <c r="CZ17" s="28">
        <v>3.7879037953941997E-3</v>
      </c>
      <c r="DA17" s="28">
        <v>3.8936375688044728E-3</v>
      </c>
      <c r="DB17" s="28">
        <v>3.9948359593885612E-3</v>
      </c>
      <c r="DC17" s="28">
        <v>4.0568721232968029E-3</v>
      </c>
      <c r="DD17" s="28">
        <v>4.0671686066680911E-3</v>
      </c>
      <c r="DE17" s="28">
        <v>4.0684704139816443E-3</v>
      </c>
      <c r="DF17" s="28">
        <v>3.9056266514268146E-3</v>
      </c>
    </row>
    <row r="18" spans="1:110" x14ac:dyDescent="0.2">
      <c r="A18" s="29"/>
    </row>
    <row r="19" spans="1:110" x14ac:dyDescent="0.2">
      <c r="A19" s="29"/>
    </row>
    <row r="20" spans="1:110" x14ac:dyDescent="0.2">
      <c r="A20" s="29"/>
    </row>
    <row r="21" spans="1:110" x14ac:dyDescent="0.2">
      <c r="A21" s="29"/>
    </row>
    <row r="22" spans="1:110" x14ac:dyDescent="0.2">
      <c r="A22" s="29"/>
    </row>
    <row r="23" spans="1:110" x14ac:dyDescent="0.2">
      <c r="A23" s="29"/>
    </row>
    <row r="24" spans="1:110" x14ac:dyDescent="0.2">
      <c r="A24" s="17"/>
    </row>
    <row r="25" spans="1:110" x14ac:dyDescent="0.2">
      <c r="A25" s="17"/>
    </row>
    <row r="26" spans="1:110" x14ac:dyDescent="0.2">
      <c r="A26" s="17"/>
    </row>
    <row r="27" spans="1:110" x14ac:dyDescent="0.2">
      <c r="A27" s="17"/>
    </row>
    <row r="28" spans="1:110" x14ac:dyDescent="0.2">
      <c r="A28" s="17"/>
    </row>
    <row r="29" spans="1:110" x14ac:dyDescent="0.2">
      <c r="A29" s="17"/>
    </row>
    <row r="30" spans="1:110" x14ac:dyDescent="0.2">
      <c r="A30" s="17"/>
    </row>
    <row r="31" spans="1:110" x14ac:dyDescent="0.2">
      <c r="A31" s="17"/>
    </row>
    <row r="32" spans="1:110" x14ac:dyDescent="0.2">
      <c r="A32" s="17"/>
    </row>
    <row r="33" spans="1:1" x14ac:dyDescent="0.2">
      <c r="A33" s="17"/>
    </row>
    <row r="34" spans="1:1" x14ac:dyDescent="0.2">
      <c r="A34" s="17"/>
    </row>
    <row r="35" spans="1:1" x14ac:dyDescent="0.2">
      <c r="A35" s="17"/>
    </row>
    <row r="36" spans="1:1" x14ac:dyDescent="0.2">
      <c r="A36" s="17"/>
    </row>
    <row r="37" spans="1:1" x14ac:dyDescent="0.2">
      <c r="A37" s="17"/>
    </row>
    <row r="38" spans="1:1" x14ac:dyDescent="0.2">
      <c r="A38" s="29"/>
    </row>
    <row r="39" spans="1:1" x14ac:dyDescent="0.2">
      <c r="A39" s="29"/>
    </row>
    <row r="40" spans="1:1" x14ac:dyDescent="0.2">
      <c r="A40" s="29"/>
    </row>
    <row r="41" spans="1:1" x14ac:dyDescent="0.2">
      <c r="A41" s="29"/>
    </row>
    <row r="42" spans="1:1" x14ac:dyDescent="0.2">
      <c r="A42" s="29"/>
    </row>
    <row r="43" spans="1:1" x14ac:dyDescent="0.2">
      <c r="A43" s="29"/>
    </row>
    <row r="44" spans="1:1" x14ac:dyDescent="0.2">
      <c r="A44" s="29"/>
    </row>
    <row r="45" spans="1:1" x14ac:dyDescent="0.2">
      <c r="A45" s="29"/>
    </row>
    <row r="46" spans="1:1" x14ac:dyDescent="0.2">
      <c r="A46" s="29"/>
    </row>
    <row r="47" spans="1:1" x14ac:dyDescent="0.2">
      <c r="A47" s="29"/>
    </row>
    <row r="48" spans="1:1" x14ac:dyDescent="0.2">
      <c r="A48" s="29"/>
    </row>
    <row r="49" spans="1:1" x14ac:dyDescent="0.2">
      <c r="A49" s="29"/>
    </row>
    <row r="50" spans="1:1" x14ac:dyDescent="0.2">
      <c r="A50" s="29"/>
    </row>
    <row r="51" spans="1:1" x14ac:dyDescent="0.2">
      <c r="A51" s="29"/>
    </row>
    <row r="52" spans="1:1" x14ac:dyDescent="0.2">
      <c r="A52" s="29"/>
    </row>
    <row r="53" spans="1:1" x14ac:dyDescent="0.2">
      <c r="A53" s="29"/>
    </row>
    <row r="54" spans="1:1" x14ac:dyDescent="0.2">
      <c r="A54" s="29"/>
    </row>
    <row r="55" spans="1:1" x14ac:dyDescent="0.2">
      <c r="A55" s="29"/>
    </row>
    <row r="56" spans="1:1" x14ac:dyDescent="0.2">
      <c r="A56" s="29"/>
    </row>
    <row r="57" spans="1:1" x14ac:dyDescent="0.2">
      <c r="A57" s="29"/>
    </row>
    <row r="58" spans="1:1" x14ac:dyDescent="0.2">
      <c r="A58" s="29"/>
    </row>
    <row r="59" spans="1:1" x14ac:dyDescent="0.2">
      <c r="A59" s="29"/>
    </row>
    <row r="60" spans="1:1" x14ac:dyDescent="0.2">
      <c r="A60" s="29"/>
    </row>
    <row r="61" spans="1:1" x14ac:dyDescent="0.2">
      <c r="A61" s="29"/>
    </row>
    <row r="62" spans="1:1" x14ac:dyDescent="0.2">
      <c r="A62" s="29"/>
    </row>
    <row r="63" spans="1:1" x14ac:dyDescent="0.2">
      <c r="A63" s="29"/>
    </row>
    <row r="64" spans="1:1" x14ac:dyDescent="0.2">
      <c r="A64" s="29"/>
    </row>
    <row r="65" spans="1:41" x14ac:dyDescent="0.2">
      <c r="A65" s="29"/>
    </row>
    <row r="66" spans="1:41" x14ac:dyDescent="0.2">
      <c r="A66" s="29"/>
    </row>
    <row r="67" spans="1:41" x14ac:dyDescent="0.2">
      <c r="A67" s="29"/>
    </row>
    <row r="68" spans="1:41" x14ac:dyDescent="0.2">
      <c r="A68" s="29"/>
    </row>
    <row r="69" spans="1:41" x14ac:dyDescent="0.2">
      <c r="A69" s="29"/>
      <c r="AO69" s="37"/>
    </row>
    <row r="70" spans="1:41" x14ac:dyDescent="0.2">
      <c r="A70" s="29"/>
    </row>
    <row r="71" spans="1:41" x14ac:dyDescent="0.2">
      <c r="A71" s="29"/>
    </row>
    <row r="72" spans="1:41" x14ac:dyDescent="0.2">
      <c r="A72" s="29"/>
    </row>
    <row r="73" spans="1:41" x14ac:dyDescent="0.2">
      <c r="A73" s="29"/>
    </row>
    <row r="74" spans="1:41" x14ac:dyDescent="0.2">
      <c r="A74" s="29"/>
    </row>
    <row r="75" spans="1:41" x14ac:dyDescent="0.2">
      <c r="A75" s="29"/>
    </row>
    <row r="76" spans="1:41" x14ac:dyDescent="0.2">
      <c r="A76" s="29"/>
    </row>
    <row r="77" spans="1:41" x14ac:dyDescent="0.2">
      <c r="A77" s="29"/>
    </row>
    <row r="78" spans="1:41" x14ac:dyDescent="0.2">
      <c r="A78" s="29"/>
    </row>
    <row r="79" spans="1:41" x14ac:dyDescent="0.2">
      <c r="A79" s="29"/>
    </row>
    <row r="80" spans="1:41" x14ac:dyDescent="0.2">
      <c r="A80" s="29"/>
    </row>
    <row r="81" spans="1:1" x14ac:dyDescent="0.2">
      <c r="A81" s="29"/>
    </row>
    <row r="82" spans="1:1" x14ac:dyDescent="0.2">
      <c r="A82" s="29"/>
    </row>
    <row r="83" spans="1:1" x14ac:dyDescent="0.2">
      <c r="A83" s="29"/>
    </row>
    <row r="84" spans="1:1" x14ac:dyDescent="0.2">
      <c r="A84" s="29"/>
    </row>
    <row r="85" spans="1:1" x14ac:dyDescent="0.2">
      <c r="A85" s="29"/>
    </row>
    <row r="86" spans="1:1" x14ac:dyDescent="0.2">
      <c r="A86" s="29"/>
    </row>
    <row r="87" spans="1:1" x14ac:dyDescent="0.2">
      <c r="A87" s="29"/>
    </row>
    <row r="88" spans="1:1" x14ac:dyDescent="0.2">
      <c r="A88" s="29"/>
    </row>
    <row r="89" spans="1:1" x14ac:dyDescent="0.2">
      <c r="A89" s="29"/>
    </row>
    <row r="90" spans="1:1" x14ac:dyDescent="0.2">
      <c r="A90" s="29"/>
    </row>
    <row r="91" spans="1:1" x14ac:dyDescent="0.2">
      <c r="A91" s="29"/>
    </row>
    <row r="92" spans="1:1" x14ac:dyDescent="0.2">
      <c r="A92" s="29"/>
    </row>
    <row r="93" spans="1:1" x14ac:dyDescent="0.2">
      <c r="A93" s="29"/>
    </row>
    <row r="94" spans="1:1" x14ac:dyDescent="0.2">
      <c r="A94" s="29"/>
    </row>
    <row r="95" spans="1:1" x14ac:dyDescent="0.2">
      <c r="A95" s="29"/>
    </row>
    <row r="96" spans="1:1" x14ac:dyDescent="0.2">
      <c r="A96" s="29"/>
    </row>
    <row r="97" spans="1:1" x14ac:dyDescent="0.2">
      <c r="A97" s="29"/>
    </row>
    <row r="98" spans="1:1" x14ac:dyDescent="0.2">
      <c r="A98" s="29"/>
    </row>
    <row r="99" spans="1:1" x14ac:dyDescent="0.2">
      <c r="A99" s="29"/>
    </row>
    <row r="100" spans="1:1" x14ac:dyDescent="0.2">
      <c r="A100" s="29"/>
    </row>
    <row r="101" spans="1:1" x14ac:dyDescent="0.2">
      <c r="A101" s="29"/>
    </row>
    <row r="102" spans="1:1" x14ac:dyDescent="0.2">
      <c r="A102" s="29"/>
    </row>
    <row r="103" spans="1:1" x14ac:dyDescent="0.2">
      <c r="A103" s="29"/>
    </row>
    <row r="104" spans="1:1" x14ac:dyDescent="0.2">
      <c r="A104" s="29"/>
    </row>
    <row r="105" spans="1:1" x14ac:dyDescent="0.2">
      <c r="A105" s="29"/>
    </row>
    <row r="106" spans="1:1" x14ac:dyDescent="0.2">
      <c r="A106" s="29"/>
    </row>
    <row r="107" spans="1:1" x14ac:dyDescent="0.2">
      <c r="A107" s="29"/>
    </row>
    <row r="108" spans="1:1" x14ac:dyDescent="0.2">
      <c r="A108" s="29"/>
    </row>
    <row r="109" spans="1:1" x14ac:dyDescent="0.2">
      <c r="A109" s="29"/>
    </row>
    <row r="110" spans="1:1" x14ac:dyDescent="0.2">
      <c r="A110" s="29"/>
    </row>
    <row r="111" spans="1:1" x14ac:dyDescent="0.2">
      <c r="A111" s="29"/>
    </row>
    <row r="112" spans="1:1" x14ac:dyDescent="0.2">
      <c r="A112" s="29"/>
    </row>
    <row r="113" spans="1:1" x14ac:dyDescent="0.2">
      <c r="A113" s="29"/>
    </row>
    <row r="114" spans="1:1" x14ac:dyDescent="0.2">
      <c r="A114" s="29"/>
    </row>
    <row r="115" spans="1:1" x14ac:dyDescent="0.2">
      <c r="A115" s="29"/>
    </row>
    <row r="116" spans="1:1" x14ac:dyDescent="0.2">
      <c r="A116" s="29"/>
    </row>
    <row r="117" spans="1:1" x14ac:dyDescent="0.2">
      <c r="A117" s="29"/>
    </row>
    <row r="118" spans="1:1" x14ac:dyDescent="0.2">
      <c r="A118" s="29"/>
    </row>
    <row r="119" spans="1:1" x14ac:dyDescent="0.2">
      <c r="A119" s="29"/>
    </row>
    <row r="120" spans="1:1" x14ac:dyDescent="0.2">
      <c r="A120" s="29"/>
    </row>
    <row r="121" spans="1:1" x14ac:dyDescent="0.2">
      <c r="A121" s="29"/>
    </row>
    <row r="122" spans="1:1" x14ac:dyDescent="0.2">
      <c r="A122" s="29"/>
    </row>
    <row r="123" spans="1:1" x14ac:dyDescent="0.2">
      <c r="A123" s="29"/>
    </row>
    <row r="124" spans="1:1" x14ac:dyDescent="0.2">
      <c r="A124" s="29"/>
    </row>
    <row r="125" spans="1:1" x14ac:dyDescent="0.2">
      <c r="A125" s="29"/>
    </row>
    <row r="126" spans="1:1" x14ac:dyDescent="0.2">
      <c r="A126" s="29"/>
    </row>
    <row r="127" spans="1:1" x14ac:dyDescent="0.2">
      <c r="A127" s="29"/>
    </row>
    <row r="128" spans="1:1" x14ac:dyDescent="0.2">
      <c r="A128" s="29"/>
    </row>
    <row r="129" spans="1:1" x14ac:dyDescent="0.2">
      <c r="A129" s="29"/>
    </row>
    <row r="130" spans="1:1" x14ac:dyDescent="0.2">
      <c r="A130" s="29"/>
    </row>
    <row r="131" spans="1:1" x14ac:dyDescent="0.2">
      <c r="A131" s="29"/>
    </row>
    <row r="132" spans="1:1" x14ac:dyDescent="0.2">
      <c r="A132" s="29"/>
    </row>
    <row r="133" spans="1:1" x14ac:dyDescent="0.2">
      <c r="A133" s="29"/>
    </row>
    <row r="134" spans="1:1" x14ac:dyDescent="0.2">
      <c r="A134" s="29"/>
    </row>
    <row r="135" spans="1:1" x14ac:dyDescent="0.2">
      <c r="A135" s="29"/>
    </row>
    <row r="136" spans="1:1" x14ac:dyDescent="0.2">
      <c r="A136" s="29"/>
    </row>
    <row r="137" spans="1:1" x14ac:dyDescent="0.2">
      <c r="A137" s="29"/>
    </row>
    <row r="138" spans="1:1" x14ac:dyDescent="0.2">
      <c r="A138" s="29"/>
    </row>
    <row r="139" spans="1:1" x14ac:dyDescent="0.2">
      <c r="A139" s="29"/>
    </row>
    <row r="140" spans="1:1" x14ac:dyDescent="0.2">
      <c r="A140" s="29"/>
    </row>
    <row r="141" spans="1:1" x14ac:dyDescent="0.2">
      <c r="A141" s="29"/>
    </row>
    <row r="142" spans="1:1" x14ac:dyDescent="0.2">
      <c r="A142" s="29"/>
    </row>
    <row r="143" spans="1:1" x14ac:dyDescent="0.2">
      <c r="A143" s="29"/>
    </row>
    <row r="144" spans="1:1" x14ac:dyDescent="0.2">
      <c r="A144" s="29"/>
    </row>
    <row r="145" spans="1:1" x14ac:dyDescent="0.2">
      <c r="A145" s="29"/>
    </row>
    <row r="146" spans="1:1" x14ac:dyDescent="0.2">
      <c r="A146" s="29"/>
    </row>
    <row r="147" spans="1:1" x14ac:dyDescent="0.2">
      <c r="A147" s="29"/>
    </row>
    <row r="148" spans="1:1" x14ac:dyDescent="0.2">
      <c r="A148" s="29"/>
    </row>
    <row r="149" spans="1:1" x14ac:dyDescent="0.2">
      <c r="A149" s="29"/>
    </row>
    <row r="150" spans="1:1" x14ac:dyDescent="0.2">
      <c r="A150" s="29"/>
    </row>
    <row r="151" spans="1:1" x14ac:dyDescent="0.2">
      <c r="A151" s="29"/>
    </row>
    <row r="152" spans="1:1" x14ac:dyDescent="0.2">
      <c r="A152" s="29"/>
    </row>
    <row r="153" spans="1:1" x14ac:dyDescent="0.2">
      <c r="A153" s="29"/>
    </row>
    <row r="154" spans="1:1" x14ac:dyDescent="0.2">
      <c r="A154" s="29"/>
    </row>
    <row r="155" spans="1:1" x14ac:dyDescent="0.2">
      <c r="A155" s="29"/>
    </row>
    <row r="156" spans="1:1" x14ac:dyDescent="0.2">
      <c r="A156" s="29"/>
    </row>
    <row r="157" spans="1:1" x14ac:dyDescent="0.2">
      <c r="A157" s="29"/>
    </row>
    <row r="158" spans="1:1" x14ac:dyDescent="0.2">
      <c r="A158" s="29"/>
    </row>
    <row r="159" spans="1:1" x14ac:dyDescent="0.2">
      <c r="A159" s="29"/>
    </row>
    <row r="160" spans="1:1" x14ac:dyDescent="0.2">
      <c r="A160" s="29"/>
    </row>
    <row r="161" spans="1:1" x14ac:dyDescent="0.2">
      <c r="A161" s="29"/>
    </row>
    <row r="162" spans="1:1" x14ac:dyDescent="0.2">
      <c r="A162" s="29"/>
    </row>
    <row r="163" spans="1:1" x14ac:dyDescent="0.2">
      <c r="A163" s="29"/>
    </row>
    <row r="164" spans="1:1" x14ac:dyDescent="0.2">
      <c r="A164" s="29"/>
    </row>
    <row r="165" spans="1:1" x14ac:dyDescent="0.2">
      <c r="A165" s="29"/>
    </row>
    <row r="166" spans="1:1" x14ac:dyDescent="0.2">
      <c r="A166" s="29"/>
    </row>
    <row r="167" spans="1:1" x14ac:dyDescent="0.2">
      <c r="A167" s="29"/>
    </row>
    <row r="168" spans="1:1" x14ac:dyDescent="0.2">
      <c r="A168" s="29"/>
    </row>
    <row r="169" spans="1:1" x14ac:dyDescent="0.2">
      <c r="A169" s="29"/>
    </row>
    <row r="170" spans="1:1" x14ac:dyDescent="0.2">
      <c r="A170" s="29"/>
    </row>
    <row r="171" spans="1:1" x14ac:dyDescent="0.2">
      <c r="A171" s="29"/>
    </row>
    <row r="172" spans="1:1" x14ac:dyDescent="0.2">
      <c r="A172" s="29"/>
    </row>
    <row r="173" spans="1:1" x14ac:dyDescent="0.2">
      <c r="A173" s="29"/>
    </row>
    <row r="174" spans="1:1" x14ac:dyDescent="0.2">
      <c r="A174" s="29"/>
    </row>
    <row r="175" spans="1:1" x14ac:dyDescent="0.2">
      <c r="A175" s="29"/>
    </row>
    <row r="176" spans="1:1" x14ac:dyDescent="0.2">
      <c r="A176" s="29"/>
    </row>
    <row r="177" spans="1:1" x14ac:dyDescent="0.2">
      <c r="A177" s="29"/>
    </row>
    <row r="178" spans="1:1" x14ac:dyDescent="0.2">
      <c r="A178" s="29"/>
    </row>
    <row r="179" spans="1:1" x14ac:dyDescent="0.2">
      <c r="A179" s="29"/>
    </row>
    <row r="180" spans="1:1" x14ac:dyDescent="0.2">
      <c r="A180" s="29"/>
    </row>
    <row r="181" spans="1:1" x14ac:dyDescent="0.2">
      <c r="A181" s="29"/>
    </row>
    <row r="182" spans="1:1" x14ac:dyDescent="0.2">
      <c r="A182" s="29"/>
    </row>
    <row r="183" spans="1:1" x14ac:dyDescent="0.2">
      <c r="A183" s="29"/>
    </row>
    <row r="184" spans="1:1" x14ac:dyDescent="0.2">
      <c r="A184" s="29"/>
    </row>
    <row r="185" spans="1:1" x14ac:dyDescent="0.2">
      <c r="A185" s="29"/>
    </row>
    <row r="186" spans="1:1" x14ac:dyDescent="0.2">
      <c r="A186" s="29"/>
    </row>
    <row r="187" spans="1:1" x14ac:dyDescent="0.2">
      <c r="A187" s="29"/>
    </row>
    <row r="188" spans="1:1" x14ac:dyDescent="0.2">
      <c r="A188" s="29"/>
    </row>
    <row r="189" spans="1:1" x14ac:dyDescent="0.2">
      <c r="A189" s="29"/>
    </row>
    <row r="190" spans="1:1" x14ac:dyDescent="0.2">
      <c r="A190" s="29"/>
    </row>
    <row r="191" spans="1:1" x14ac:dyDescent="0.2">
      <c r="A191" s="29"/>
    </row>
    <row r="192" spans="1:1" x14ac:dyDescent="0.2">
      <c r="A192" s="29"/>
    </row>
    <row r="193" spans="1:1" x14ac:dyDescent="0.2">
      <c r="A193" s="29"/>
    </row>
    <row r="194" spans="1:1" x14ac:dyDescent="0.2">
      <c r="A194" s="29"/>
    </row>
    <row r="195" spans="1:1" x14ac:dyDescent="0.2">
      <c r="A195" s="29"/>
    </row>
    <row r="196" spans="1:1" x14ac:dyDescent="0.2">
      <c r="A196" s="29"/>
    </row>
    <row r="197" spans="1:1" x14ac:dyDescent="0.2">
      <c r="A197" s="29"/>
    </row>
    <row r="198" spans="1:1" x14ac:dyDescent="0.2">
      <c r="A198" s="29"/>
    </row>
    <row r="199" spans="1:1" x14ac:dyDescent="0.2">
      <c r="A199" s="29"/>
    </row>
    <row r="200" spans="1:1" x14ac:dyDescent="0.2">
      <c r="A200" s="29"/>
    </row>
    <row r="201" spans="1:1" x14ac:dyDescent="0.2">
      <c r="A201" s="29"/>
    </row>
    <row r="202" spans="1:1" x14ac:dyDescent="0.2">
      <c r="A202" s="29"/>
    </row>
    <row r="203" spans="1:1" x14ac:dyDescent="0.2">
      <c r="A203" s="29"/>
    </row>
    <row r="204" spans="1:1" x14ac:dyDescent="0.2">
      <c r="A204" s="29"/>
    </row>
    <row r="205" spans="1:1" x14ac:dyDescent="0.2">
      <c r="A205" s="29"/>
    </row>
    <row r="206" spans="1:1" x14ac:dyDescent="0.2">
      <c r="A206" s="29"/>
    </row>
    <row r="207" spans="1:1" x14ac:dyDescent="0.2">
      <c r="A207" s="29"/>
    </row>
    <row r="208" spans="1:1" x14ac:dyDescent="0.2">
      <c r="A208" s="29"/>
    </row>
    <row r="209" spans="1:1" x14ac:dyDescent="0.2">
      <c r="A209" s="29"/>
    </row>
    <row r="210" spans="1:1" x14ac:dyDescent="0.2">
      <c r="A210" s="29"/>
    </row>
    <row r="211" spans="1:1" x14ac:dyDescent="0.2">
      <c r="A211" s="29"/>
    </row>
    <row r="212" spans="1:1" x14ac:dyDescent="0.2">
      <c r="A212" s="29"/>
    </row>
    <row r="213" spans="1:1" x14ac:dyDescent="0.2">
      <c r="A213" s="29"/>
    </row>
    <row r="214" spans="1:1" x14ac:dyDescent="0.2">
      <c r="A214" s="29"/>
    </row>
    <row r="215" spans="1:1" x14ac:dyDescent="0.2">
      <c r="A215" s="29"/>
    </row>
    <row r="216" spans="1:1" x14ac:dyDescent="0.2">
      <c r="A216" s="29"/>
    </row>
    <row r="217" spans="1:1" x14ac:dyDescent="0.2">
      <c r="A217" s="29"/>
    </row>
    <row r="218" spans="1:1" x14ac:dyDescent="0.2">
      <c r="A218" s="29"/>
    </row>
    <row r="219" spans="1:1" x14ac:dyDescent="0.2">
      <c r="A219" s="29"/>
    </row>
    <row r="220" spans="1:1" x14ac:dyDescent="0.2">
      <c r="A220" s="29"/>
    </row>
    <row r="221" spans="1:1" x14ac:dyDescent="0.2">
      <c r="A221" s="29"/>
    </row>
    <row r="222" spans="1:1" x14ac:dyDescent="0.2">
      <c r="A222" s="29"/>
    </row>
    <row r="223" spans="1:1" x14ac:dyDescent="0.2">
      <c r="A223" s="29"/>
    </row>
    <row r="224" spans="1:1" x14ac:dyDescent="0.2">
      <c r="A224" s="29"/>
    </row>
    <row r="225" spans="1:1" x14ac:dyDescent="0.2">
      <c r="A225" s="29"/>
    </row>
    <row r="226" spans="1:1" x14ac:dyDescent="0.2">
      <c r="A226" s="29"/>
    </row>
    <row r="227" spans="1:1" x14ac:dyDescent="0.2">
      <c r="A227" s="29"/>
    </row>
    <row r="228" spans="1:1" x14ac:dyDescent="0.2">
      <c r="A228" s="29"/>
    </row>
    <row r="229" spans="1:1" x14ac:dyDescent="0.2">
      <c r="A229" s="29"/>
    </row>
    <row r="230" spans="1:1" x14ac:dyDescent="0.2">
      <c r="A230" s="29"/>
    </row>
    <row r="231" spans="1:1" x14ac:dyDescent="0.2">
      <c r="A231" s="29"/>
    </row>
    <row r="232" spans="1:1" x14ac:dyDescent="0.2">
      <c r="A232" s="29"/>
    </row>
    <row r="233" spans="1:1" x14ac:dyDescent="0.2">
      <c r="A233" s="29"/>
    </row>
    <row r="234" spans="1:1" x14ac:dyDescent="0.2">
      <c r="A234" s="29"/>
    </row>
    <row r="235" spans="1:1" x14ac:dyDescent="0.2">
      <c r="A235" s="29"/>
    </row>
    <row r="236" spans="1:1" x14ac:dyDescent="0.2">
      <c r="A236" s="29"/>
    </row>
    <row r="237" spans="1:1" x14ac:dyDescent="0.2">
      <c r="A237" s="29"/>
    </row>
    <row r="238" spans="1:1" x14ac:dyDescent="0.2">
      <c r="A238" s="29"/>
    </row>
    <row r="239" spans="1:1" x14ac:dyDescent="0.2">
      <c r="A239" s="29"/>
    </row>
    <row r="240" spans="1:1" x14ac:dyDescent="0.2">
      <c r="A240" s="29"/>
    </row>
    <row r="241" spans="1:1" x14ac:dyDescent="0.2">
      <c r="A241" s="29"/>
    </row>
    <row r="242" spans="1:1" x14ac:dyDescent="0.2">
      <c r="A242" s="29"/>
    </row>
    <row r="243" spans="1:1" x14ac:dyDescent="0.2">
      <c r="A243" s="29"/>
    </row>
    <row r="244" spans="1:1" x14ac:dyDescent="0.2">
      <c r="A244" s="29"/>
    </row>
    <row r="245" spans="1:1" x14ac:dyDescent="0.2">
      <c r="A245" s="29"/>
    </row>
    <row r="246" spans="1:1" x14ac:dyDescent="0.2">
      <c r="A246" s="29"/>
    </row>
    <row r="247" spans="1:1" x14ac:dyDescent="0.2">
      <c r="A247" s="29"/>
    </row>
    <row r="248" spans="1:1" x14ac:dyDescent="0.2">
      <c r="A248" s="29"/>
    </row>
    <row r="249" spans="1:1" x14ac:dyDescent="0.2">
      <c r="A249" s="29"/>
    </row>
    <row r="250" spans="1:1" x14ac:dyDescent="0.2">
      <c r="A250" s="29"/>
    </row>
    <row r="251" spans="1:1" x14ac:dyDescent="0.2">
      <c r="A251" s="29"/>
    </row>
    <row r="252" spans="1:1" x14ac:dyDescent="0.2">
      <c r="A252" s="29"/>
    </row>
    <row r="253" spans="1:1" x14ac:dyDescent="0.2">
      <c r="A253" s="29"/>
    </row>
    <row r="254" spans="1:1" x14ac:dyDescent="0.2">
      <c r="A254" s="29"/>
    </row>
    <row r="255" spans="1:1" x14ac:dyDescent="0.2">
      <c r="A255" s="29"/>
    </row>
    <row r="256" spans="1:1" x14ac:dyDescent="0.2">
      <c r="A256" s="29"/>
    </row>
    <row r="257" spans="1:1" x14ac:dyDescent="0.2">
      <c r="A257" s="29"/>
    </row>
    <row r="258" spans="1:1" x14ac:dyDescent="0.2">
      <c r="A258" s="29"/>
    </row>
    <row r="259" spans="1:1" x14ac:dyDescent="0.2">
      <c r="A259" s="29"/>
    </row>
    <row r="260" spans="1:1" x14ac:dyDescent="0.2">
      <c r="A260" s="29"/>
    </row>
    <row r="261" spans="1:1" x14ac:dyDescent="0.2">
      <c r="A261" s="29"/>
    </row>
    <row r="262" spans="1:1" x14ac:dyDescent="0.2">
      <c r="A262" s="29"/>
    </row>
    <row r="263" spans="1:1" x14ac:dyDescent="0.2">
      <c r="A263" s="29"/>
    </row>
    <row r="264" spans="1:1" x14ac:dyDescent="0.2">
      <c r="A264" s="29"/>
    </row>
    <row r="265" spans="1:1" x14ac:dyDescent="0.2">
      <c r="A265" s="29"/>
    </row>
    <row r="266" spans="1:1" x14ac:dyDescent="0.2">
      <c r="A266" s="29"/>
    </row>
    <row r="267" spans="1:1" x14ac:dyDescent="0.2">
      <c r="A267" s="29"/>
    </row>
    <row r="268" spans="1:1" x14ac:dyDescent="0.2">
      <c r="A268" s="29"/>
    </row>
    <row r="269" spans="1:1" x14ac:dyDescent="0.2">
      <c r="A269" s="29"/>
    </row>
    <row r="270" spans="1:1" x14ac:dyDescent="0.2">
      <c r="A270" s="29"/>
    </row>
    <row r="271" spans="1:1" x14ac:dyDescent="0.2">
      <c r="A271" s="29"/>
    </row>
    <row r="272" spans="1:1" x14ac:dyDescent="0.2">
      <c r="A272" s="29"/>
    </row>
    <row r="273" spans="1:1" x14ac:dyDescent="0.2">
      <c r="A273" s="29"/>
    </row>
    <row r="274" spans="1:1" x14ac:dyDescent="0.2">
      <c r="A274" s="29"/>
    </row>
    <row r="275" spans="1:1" x14ac:dyDescent="0.2">
      <c r="A275" s="29"/>
    </row>
    <row r="276" spans="1:1" x14ac:dyDescent="0.2">
      <c r="A276" s="29"/>
    </row>
    <row r="277" spans="1:1" x14ac:dyDescent="0.2">
      <c r="A277" s="29"/>
    </row>
    <row r="278" spans="1:1" x14ac:dyDescent="0.2">
      <c r="A278" s="29"/>
    </row>
    <row r="279" spans="1:1" x14ac:dyDescent="0.2">
      <c r="A279" s="29"/>
    </row>
    <row r="280" spans="1:1" x14ac:dyDescent="0.2">
      <c r="A280" s="29"/>
    </row>
    <row r="281" spans="1:1" x14ac:dyDescent="0.2">
      <c r="A281" s="29"/>
    </row>
    <row r="282" spans="1:1" x14ac:dyDescent="0.2">
      <c r="A282" s="29"/>
    </row>
    <row r="283" spans="1:1" x14ac:dyDescent="0.2">
      <c r="A283" s="29"/>
    </row>
    <row r="284" spans="1:1" x14ac:dyDescent="0.2">
      <c r="A284" s="29"/>
    </row>
    <row r="285" spans="1:1" x14ac:dyDescent="0.2">
      <c r="A285" s="29"/>
    </row>
    <row r="286" spans="1:1" x14ac:dyDescent="0.2">
      <c r="A286" s="29"/>
    </row>
    <row r="287" spans="1:1" x14ac:dyDescent="0.2">
      <c r="A287" s="29"/>
    </row>
    <row r="288" spans="1:1" x14ac:dyDescent="0.2">
      <c r="A288" s="29"/>
    </row>
    <row r="289" spans="1:1" x14ac:dyDescent="0.2">
      <c r="A289" s="29"/>
    </row>
    <row r="290" spans="1:1" x14ac:dyDescent="0.2">
      <c r="A290" s="29"/>
    </row>
    <row r="291" spans="1:1" x14ac:dyDescent="0.2">
      <c r="A291" s="29"/>
    </row>
    <row r="292" spans="1:1" x14ac:dyDescent="0.2">
      <c r="A292" s="29"/>
    </row>
    <row r="293" spans="1:1" x14ac:dyDescent="0.2">
      <c r="A293" s="29"/>
    </row>
    <row r="294" spans="1:1" x14ac:dyDescent="0.2">
      <c r="A294" s="29"/>
    </row>
    <row r="295" spans="1:1" x14ac:dyDescent="0.2">
      <c r="A295" s="29"/>
    </row>
    <row r="296" spans="1:1" x14ac:dyDescent="0.2">
      <c r="A296" s="29"/>
    </row>
    <row r="297" spans="1:1" x14ac:dyDescent="0.2">
      <c r="A297" s="29"/>
    </row>
    <row r="298" spans="1:1" x14ac:dyDescent="0.2">
      <c r="A298" s="29"/>
    </row>
    <row r="299" spans="1:1" x14ac:dyDescent="0.2">
      <c r="A299" s="29"/>
    </row>
    <row r="300" spans="1:1" x14ac:dyDescent="0.2">
      <c r="A300" s="29"/>
    </row>
    <row r="301" spans="1:1" x14ac:dyDescent="0.2">
      <c r="A301" s="29"/>
    </row>
    <row r="302" spans="1:1" x14ac:dyDescent="0.2">
      <c r="A302" s="29"/>
    </row>
    <row r="303" spans="1:1" x14ac:dyDescent="0.2">
      <c r="A303" s="29"/>
    </row>
    <row r="304" spans="1:1" x14ac:dyDescent="0.2">
      <c r="A304" s="29"/>
    </row>
    <row r="305" spans="1:1" x14ac:dyDescent="0.2">
      <c r="A305" s="29"/>
    </row>
    <row r="306" spans="1:1" x14ac:dyDescent="0.2">
      <c r="A306" s="29"/>
    </row>
    <row r="307" spans="1:1" x14ac:dyDescent="0.2">
      <c r="A307" s="29"/>
    </row>
    <row r="308" spans="1:1" x14ac:dyDescent="0.2">
      <c r="A308" s="29"/>
    </row>
    <row r="309" spans="1:1" x14ac:dyDescent="0.2">
      <c r="A309" s="29"/>
    </row>
    <row r="310" spans="1:1" x14ac:dyDescent="0.2">
      <c r="A310" s="29"/>
    </row>
    <row r="311" spans="1:1" x14ac:dyDescent="0.2">
      <c r="A311" s="29"/>
    </row>
    <row r="312" spans="1:1" x14ac:dyDescent="0.2">
      <c r="A312" s="29"/>
    </row>
    <row r="313" spans="1:1" x14ac:dyDescent="0.2">
      <c r="A313" s="29"/>
    </row>
    <row r="314" spans="1:1" x14ac:dyDescent="0.2">
      <c r="A314" s="29"/>
    </row>
    <row r="315" spans="1:1" x14ac:dyDescent="0.2">
      <c r="A315" s="29"/>
    </row>
    <row r="316" spans="1:1" x14ac:dyDescent="0.2">
      <c r="A316" s="29"/>
    </row>
    <row r="317" spans="1:1" x14ac:dyDescent="0.2">
      <c r="A317" s="29"/>
    </row>
    <row r="318" spans="1:1" x14ac:dyDescent="0.2">
      <c r="A318" s="29"/>
    </row>
    <row r="319" spans="1:1" x14ac:dyDescent="0.2">
      <c r="A319" s="29"/>
    </row>
    <row r="320" spans="1:1" x14ac:dyDescent="0.2">
      <c r="A320" s="29"/>
    </row>
    <row r="321" spans="1:1" x14ac:dyDescent="0.2">
      <c r="A321" s="29"/>
    </row>
    <row r="322" spans="1:1" x14ac:dyDescent="0.2">
      <c r="A322" s="29"/>
    </row>
    <row r="323" spans="1:1" x14ac:dyDescent="0.2">
      <c r="A323" s="29"/>
    </row>
    <row r="324" spans="1:1" x14ac:dyDescent="0.2">
      <c r="A324" s="29"/>
    </row>
    <row r="325" spans="1:1" x14ac:dyDescent="0.2">
      <c r="A325" s="29"/>
    </row>
    <row r="326" spans="1:1" x14ac:dyDescent="0.2">
      <c r="A326" s="29"/>
    </row>
    <row r="327" spans="1:1" x14ac:dyDescent="0.2">
      <c r="A327" s="29"/>
    </row>
    <row r="328" spans="1:1" x14ac:dyDescent="0.2">
      <c r="A328" s="29"/>
    </row>
    <row r="329" spans="1:1" x14ac:dyDescent="0.2">
      <c r="A329" s="29"/>
    </row>
    <row r="330" spans="1:1" x14ac:dyDescent="0.2">
      <c r="A330" s="29"/>
    </row>
    <row r="331" spans="1:1" x14ac:dyDescent="0.2">
      <c r="A331" s="29"/>
    </row>
    <row r="332" spans="1:1" x14ac:dyDescent="0.2">
      <c r="A332" s="29"/>
    </row>
    <row r="333" spans="1:1" x14ac:dyDescent="0.2">
      <c r="A333" s="29"/>
    </row>
    <row r="334" spans="1:1" x14ac:dyDescent="0.2">
      <c r="A334" s="29"/>
    </row>
    <row r="335" spans="1:1" x14ac:dyDescent="0.2">
      <c r="A335" s="29"/>
    </row>
    <row r="336" spans="1:1" x14ac:dyDescent="0.2">
      <c r="A336" s="29"/>
    </row>
    <row r="337" spans="1:1" x14ac:dyDescent="0.2">
      <c r="A337" s="29"/>
    </row>
    <row r="338" spans="1:1" x14ac:dyDescent="0.2">
      <c r="A338" s="29"/>
    </row>
    <row r="339" spans="1:1" x14ac:dyDescent="0.2">
      <c r="A339" s="29"/>
    </row>
    <row r="340" spans="1:1" x14ac:dyDescent="0.2">
      <c r="A340" s="29"/>
    </row>
    <row r="341" spans="1:1" x14ac:dyDescent="0.2">
      <c r="A341" s="29"/>
    </row>
    <row r="342" spans="1:1" x14ac:dyDescent="0.2">
      <c r="A342" s="29"/>
    </row>
    <row r="343" spans="1:1" x14ac:dyDescent="0.2">
      <c r="A343" s="29"/>
    </row>
    <row r="344" spans="1:1" x14ac:dyDescent="0.2">
      <c r="A344" s="29"/>
    </row>
    <row r="345" spans="1:1" x14ac:dyDescent="0.2">
      <c r="A345" s="29"/>
    </row>
    <row r="346" spans="1:1" x14ac:dyDescent="0.2">
      <c r="A346" s="29"/>
    </row>
    <row r="347" spans="1:1" x14ac:dyDescent="0.2">
      <c r="A347" s="29"/>
    </row>
    <row r="348" spans="1:1" x14ac:dyDescent="0.2">
      <c r="A348" s="29"/>
    </row>
    <row r="349" spans="1:1" x14ac:dyDescent="0.2">
      <c r="A349" s="29"/>
    </row>
    <row r="350" spans="1:1" x14ac:dyDescent="0.2">
      <c r="A350" s="29"/>
    </row>
    <row r="351" spans="1:1" x14ac:dyDescent="0.2">
      <c r="A351" s="29"/>
    </row>
    <row r="352" spans="1:1" x14ac:dyDescent="0.2">
      <c r="A352" s="29"/>
    </row>
    <row r="353" spans="1:1" x14ac:dyDescent="0.2">
      <c r="A353" s="29"/>
    </row>
    <row r="354" spans="1:1" x14ac:dyDescent="0.2">
      <c r="A354" s="29"/>
    </row>
    <row r="355" spans="1:1" x14ac:dyDescent="0.2">
      <c r="A355" s="29"/>
    </row>
    <row r="356" spans="1:1" x14ac:dyDescent="0.2">
      <c r="A356" s="29"/>
    </row>
    <row r="357" spans="1:1" x14ac:dyDescent="0.2">
      <c r="A357" s="29"/>
    </row>
    <row r="358" spans="1:1" x14ac:dyDescent="0.2">
      <c r="A358" s="29"/>
    </row>
    <row r="359" spans="1:1" x14ac:dyDescent="0.2">
      <c r="A359" s="29"/>
    </row>
    <row r="360" spans="1:1" x14ac:dyDescent="0.2">
      <c r="A360" s="29"/>
    </row>
    <row r="361" spans="1:1" x14ac:dyDescent="0.2">
      <c r="A361" s="29"/>
    </row>
    <row r="362" spans="1:1" x14ac:dyDescent="0.2">
      <c r="A362" s="29"/>
    </row>
    <row r="363" spans="1:1" x14ac:dyDescent="0.2">
      <c r="A363" s="29"/>
    </row>
    <row r="364" spans="1:1" x14ac:dyDescent="0.2">
      <c r="A364" s="29"/>
    </row>
    <row r="365" spans="1:1" x14ac:dyDescent="0.2">
      <c r="A365" s="29"/>
    </row>
    <row r="366" spans="1:1" x14ac:dyDescent="0.2">
      <c r="A366" s="29"/>
    </row>
    <row r="367" spans="1:1" x14ac:dyDescent="0.2">
      <c r="A367" s="29"/>
    </row>
    <row r="368" spans="1:1" x14ac:dyDescent="0.2">
      <c r="A368" s="29"/>
    </row>
    <row r="369" spans="1:1" x14ac:dyDescent="0.2">
      <c r="A369" s="29"/>
    </row>
    <row r="370" spans="1:1" x14ac:dyDescent="0.2">
      <c r="A370" s="29"/>
    </row>
    <row r="371" spans="1:1" x14ac:dyDescent="0.2">
      <c r="A371" s="29"/>
    </row>
    <row r="372" spans="1:1" x14ac:dyDescent="0.2">
      <c r="A372" s="29"/>
    </row>
    <row r="373" spans="1:1" x14ac:dyDescent="0.2">
      <c r="A373" s="29"/>
    </row>
    <row r="374" spans="1:1" x14ac:dyDescent="0.2">
      <c r="A374" s="29"/>
    </row>
    <row r="375" spans="1:1" x14ac:dyDescent="0.2">
      <c r="A375" s="29"/>
    </row>
    <row r="376" spans="1:1" x14ac:dyDescent="0.2">
      <c r="A376" s="29"/>
    </row>
    <row r="377" spans="1:1" x14ac:dyDescent="0.2">
      <c r="A377" s="29"/>
    </row>
    <row r="378" spans="1:1" x14ac:dyDescent="0.2">
      <c r="A378" s="29"/>
    </row>
    <row r="379" spans="1:1" x14ac:dyDescent="0.2">
      <c r="A379" s="29"/>
    </row>
    <row r="380" spans="1:1" x14ac:dyDescent="0.2">
      <c r="A380" s="29"/>
    </row>
    <row r="381" spans="1:1" x14ac:dyDescent="0.2">
      <c r="A381" s="29"/>
    </row>
    <row r="382" spans="1:1" x14ac:dyDescent="0.2">
      <c r="A382" s="29"/>
    </row>
    <row r="383" spans="1:1" x14ac:dyDescent="0.2">
      <c r="A383" s="29"/>
    </row>
    <row r="384" spans="1:1" x14ac:dyDescent="0.2">
      <c r="A384" s="29"/>
    </row>
    <row r="385" spans="1:1" x14ac:dyDescent="0.2">
      <c r="A385" s="29"/>
    </row>
    <row r="386" spans="1:1" x14ac:dyDescent="0.2">
      <c r="A386" s="29"/>
    </row>
    <row r="387" spans="1:1" x14ac:dyDescent="0.2">
      <c r="A387" s="29"/>
    </row>
    <row r="388" spans="1:1" x14ac:dyDescent="0.2">
      <c r="A388" s="29"/>
    </row>
    <row r="389" spans="1:1" x14ac:dyDescent="0.2">
      <c r="A389" s="29"/>
    </row>
    <row r="390" spans="1:1" x14ac:dyDescent="0.2">
      <c r="A390" s="29"/>
    </row>
    <row r="391" spans="1:1" x14ac:dyDescent="0.2">
      <c r="A391" s="29"/>
    </row>
    <row r="392" spans="1:1" x14ac:dyDescent="0.2">
      <c r="A392" s="29"/>
    </row>
    <row r="393" spans="1:1" x14ac:dyDescent="0.2">
      <c r="A393" s="29"/>
    </row>
    <row r="394" spans="1:1" x14ac:dyDescent="0.2">
      <c r="A394" s="29"/>
    </row>
    <row r="395" spans="1:1" x14ac:dyDescent="0.2">
      <c r="A395" s="29"/>
    </row>
    <row r="396" spans="1:1" x14ac:dyDescent="0.2">
      <c r="A396" s="29"/>
    </row>
    <row r="397" spans="1:1" x14ac:dyDescent="0.2">
      <c r="A397" s="29"/>
    </row>
    <row r="398" spans="1:1" x14ac:dyDescent="0.2">
      <c r="A398" s="29"/>
    </row>
    <row r="399" spans="1:1" x14ac:dyDescent="0.2">
      <c r="A399" s="29"/>
    </row>
    <row r="400" spans="1:1" x14ac:dyDescent="0.2">
      <c r="A400" s="29"/>
    </row>
    <row r="401" spans="1:1" x14ac:dyDescent="0.2">
      <c r="A401" s="29"/>
    </row>
    <row r="402" spans="1:1" x14ac:dyDescent="0.2">
      <c r="A402" s="29"/>
    </row>
    <row r="403" spans="1:1" x14ac:dyDescent="0.2">
      <c r="A403" s="29"/>
    </row>
    <row r="404" spans="1:1" x14ac:dyDescent="0.2">
      <c r="A404" s="29"/>
    </row>
    <row r="405" spans="1:1" x14ac:dyDescent="0.2">
      <c r="A405" s="29"/>
    </row>
    <row r="406" spans="1:1" x14ac:dyDescent="0.2">
      <c r="A406" s="29"/>
    </row>
    <row r="407" spans="1:1" x14ac:dyDescent="0.2">
      <c r="A407" s="29"/>
    </row>
    <row r="408" spans="1:1" x14ac:dyDescent="0.2">
      <c r="A408" s="29"/>
    </row>
    <row r="409" spans="1:1" x14ac:dyDescent="0.2">
      <c r="A409" s="29"/>
    </row>
    <row r="410" spans="1:1" x14ac:dyDescent="0.2">
      <c r="A410" s="29"/>
    </row>
    <row r="411" spans="1:1" x14ac:dyDescent="0.2">
      <c r="A411" s="29"/>
    </row>
    <row r="412" spans="1:1" x14ac:dyDescent="0.2">
      <c r="A412" s="29"/>
    </row>
    <row r="413" spans="1:1" x14ac:dyDescent="0.2">
      <c r="A413" s="29"/>
    </row>
    <row r="414" spans="1:1" x14ac:dyDescent="0.2">
      <c r="A414" s="29"/>
    </row>
    <row r="415" spans="1:1" x14ac:dyDescent="0.2">
      <c r="A415" s="29"/>
    </row>
    <row r="416" spans="1:1" x14ac:dyDescent="0.2">
      <c r="A416" s="29"/>
    </row>
    <row r="417" spans="1:1" x14ac:dyDescent="0.2">
      <c r="A417" s="29"/>
    </row>
    <row r="418" spans="1:1" x14ac:dyDescent="0.2">
      <c r="A418" s="29"/>
    </row>
    <row r="419" spans="1:1" x14ac:dyDescent="0.2">
      <c r="A419" s="29"/>
    </row>
    <row r="420" spans="1:1" x14ac:dyDescent="0.2">
      <c r="A420" s="29"/>
    </row>
    <row r="421" spans="1:1" x14ac:dyDescent="0.2">
      <c r="A421" s="29"/>
    </row>
    <row r="422" spans="1:1" x14ac:dyDescent="0.2">
      <c r="A422" s="29"/>
    </row>
    <row r="423" spans="1:1" x14ac:dyDescent="0.2">
      <c r="A423" s="29"/>
    </row>
    <row r="424" spans="1:1" x14ac:dyDescent="0.2">
      <c r="A424" s="29"/>
    </row>
    <row r="425" spans="1:1" x14ac:dyDescent="0.2">
      <c r="A425" s="29"/>
    </row>
    <row r="426" spans="1:1" x14ac:dyDescent="0.2">
      <c r="A426" s="29"/>
    </row>
    <row r="427" spans="1:1" x14ac:dyDescent="0.2">
      <c r="A427" s="29"/>
    </row>
    <row r="428" spans="1:1" x14ac:dyDescent="0.2">
      <c r="A428" s="29"/>
    </row>
    <row r="429" spans="1:1" x14ac:dyDescent="0.2">
      <c r="A429" s="29"/>
    </row>
    <row r="430" spans="1:1" x14ac:dyDescent="0.2">
      <c r="A430" s="29"/>
    </row>
    <row r="431" spans="1:1" x14ac:dyDescent="0.2">
      <c r="A431" s="29"/>
    </row>
    <row r="432" spans="1:1" x14ac:dyDescent="0.2">
      <c r="A432" s="29"/>
    </row>
    <row r="433" spans="1:1" x14ac:dyDescent="0.2">
      <c r="A433" s="29"/>
    </row>
    <row r="434" spans="1:1" x14ac:dyDescent="0.2">
      <c r="A434" s="29"/>
    </row>
    <row r="435" spans="1:1" x14ac:dyDescent="0.2">
      <c r="A435" s="29"/>
    </row>
    <row r="436" spans="1:1" x14ac:dyDescent="0.2">
      <c r="A436" s="29"/>
    </row>
    <row r="437" spans="1:1" x14ac:dyDescent="0.2">
      <c r="A437" s="29"/>
    </row>
    <row r="438" spans="1:1" x14ac:dyDescent="0.2">
      <c r="A438" s="29"/>
    </row>
    <row r="439" spans="1:1" x14ac:dyDescent="0.2">
      <c r="A439" s="29"/>
    </row>
    <row r="440" spans="1:1" x14ac:dyDescent="0.2">
      <c r="A440" s="29"/>
    </row>
    <row r="441" spans="1:1" x14ac:dyDescent="0.2">
      <c r="A441" s="29"/>
    </row>
    <row r="442" spans="1:1" x14ac:dyDescent="0.2">
      <c r="A442" s="29"/>
    </row>
    <row r="443" spans="1:1" x14ac:dyDescent="0.2">
      <c r="A443" s="29"/>
    </row>
    <row r="444" spans="1:1" x14ac:dyDescent="0.2">
      <c r="A444" s="29"/>
    </row>
    <row r="445" spans="1:1" x14ac:dyDescent="0.2">
      <c r="A445" s="29"/>
    </row>
    <row r="446" spans="1:1" x14ac:dyDescent="0.2">
      <c r="A446" s="29"/>
    </row>
    <row r="447" spans="1:1" x14ac:dyDescent="0.2">
      <c r="A447" s="29"/>
    </row>
    <row r="448" spans="1:1" x14ac:dyDescent="0.2">
      <c r="A448" s="29"/>
    </row>
    <row r="449" spans="1:1" x14ac:dyDescent="0.2">
      <c r="A449" s="29"/>
    </row>
    <row r="450" spans="1:1" x14ac:dyDescent="0.2">
      <c r="A450" s="29"/>
    </row>
    <row r="451" spans="1:1" x14ac:dyDescent="0.2">
      <c r="A451" s="29"/>
    </row>
    <row r="452" spans="1:1" x14ac:dyDescent="0.2">
      <c r="A452" s="29"/>
    </row>
    <row r="453" spans="1:1" x14ac:dyDescent="0.2">
      <c r="A453" s="29"/>
    </row>
    <row r="454" spans="1:1" x14ac:dyDescent="0.2">
      <c r="A454" s="29"/>
    </row>
    <row r="455" spans="1:1" x14ac:dyDescent="0.2">
      <c r="A455" s="29"/>
    </row>
    <row r="456" spans="1:1" x14ac:dyDescent="0.2">
      <c r="A456" s="29"/>
    </row>
    <row r="457" spans="1:1" x14ac:dyDescent="0.2">
      <c r="A457" s="29"/>
    </row>
    <row r="458" spans="1:1" x14ac:dyDescent="0.2">
      <c r="A458" s="29"/>
    </row>
    <row r="459" spans="1:1" x14ac:dyDescent="0.2">
      <c r="A459" s="29"/>
    </row>
    <row r="460" spans="1:1" x14ac:dyDescent="0.2">
      <c r="A460" s="29"/>
    </row>
    <row r="461" spans="1:1" x14ac:dyDescent="0.2">
      <c r="A461" s="29"/>
    </row>
    <row r="462" spans="1:1" x14ac:dyDescent="0.2">
      <c r="A462" s="29"/>
    </row>
    <row r="463" spans="1:1" x14ac:dyDescent="0.2">
      <c r="A463" s="29"/>
    </row>
    <row r="464" spans="1:1" x14ac:dyDescent="0.2">
      <c r="A464" s="29"/>
    </row>
    <row r="465" spans="1:1" x14ac:dyDescent="0.2">
      <c r="A465" s="29"/>
    </row>
    <row r="466" spans="1:1" x14ac:dyDescent="0.2">
      <c r="A466" s="29"/>
    </row>
    <row r="467" spans="1:1" x14ac:dyDescent="0.2">
      <c r="A467" s="29"/>
    </row>
    <row r="468" spans="1:1" x14ac:dyDescent="0.2">
      <c r="A468" s="29"/>
    </row>
    <row r="469" spans="1:1" x14ac:dyDescent="0.2">
      <c r="A469" s="29"/>
    </row>
    <row r="470" spans="1:1" x14ac:dyDescent="0.2">
      <c r="A470" s="29"/>
    </row>
    <row r="471" spans="1:1" x14ac:dyDescent="0.2">
      <c r="A471" s="29"/>
    </row>
    <row r="472" spans="1:1" x14ac:dyDescent="0.2">
      <c r="A472" s="29"/>
    </row>
    <row r="473" spans="1:1" x14ac:dyDescent="0.2">
      <c r="A473" s="29"/>
    </row>
    <row r="474" spans="1:1" x14ac:dyDescent="0.2">
      <c r="A474" s="29"/>
    </row>
    <row r="475" spans="1:1" x14ac:dyDescent="0.2">
      <c r="A475" s="29"/>
    </row>
    <row r="476" spans="1:1" x14ac:dyDescent="0.2">
      <c r="A476" s="29"/>
    </row>
    <row r="477" spans="1:1" x14ac:dyDescent="0.2">
      <c r="A477" s="29"/>
    </row>
    <row r="478" spans="1:1" x14ac:dyDescent="0.2">
      <c r="A478" s="29"/>
    </row>
    <row r="479" spans="1:1" x14ac:dyDescent="0.2">
      <c r="A479" s="29"/>
    </row>
    <row r="480" spans="1:1" x14ac:dyDescent="0.2">
      <c r="A480" s="29"/>
    </row>
    <row r="481" spans="1:1" x14ac:dyDescent="0.2">
      <c r="A481" s="29"/>
    </row>
    <row r="482" spans="1:1" x14ac:dyDescent="0.2">
      <c r="A482" s="29"/>
    </row>
    <row r="483" spans="1:1" x14ac:dyDescent="0.2">
      <c r="A483" s="29"/>
    </row>
    <row r="484" spans="1:1" x14ac:dyDescent="0.2">
      <c r="A484" s="29"/>
    </row>
    <row r="485" spans="1:1" x14ac:dyDescent="0.2">
      <c r="A485" s="29"/>
    </row>
    <row r="486" spans="1:1" x14ac:dyDescent="0.2">
      <c r="A486" s="29"/>
    </row>
    <row r="487" spans="1:1" x14ac:dyDescent="0.2">
      <c r="A487" s="29"/>
    </row>
    <row r="488" spans="1:1" x14ac:dyDescent="0.2">
      <c r="A488" s="29"/>
    </row>
    <row r="489" spans="1:1" x14ac:dyDescent="0.2">
      <c r="A489" s="29"/>
    </row>
    <row r="490" spans="1:1" x14ac:dyDescent="0.2">
      <c r="A490" s="29"/>
    </row>
    <row r="491" spans="1:1" x14ac:dyDescent="0.2">
      <c r="A491" s="29"/>
    </row>
    <row r="492" spans="1:1" x14ac:dyDescent="0.2">
      <c r="A492" s="29"/>
    </row>
    <row r="493" spans="1:1" x14ac:dyDescent="0.2">
      <c r="A493" s="29"/>
    </row>
    <row r="494" spans="1:1" x14ac:dyDescent="0.2">
      <c r="A494" s="29"/>
    </row>
    <row r="495" spans="1:1" x14ac:dyDescent="0.2">
      <c r="A495" s="29"/>
    </row>
    <row r="496" spans="1:1" x14ac:dyDescent="0.2">
      <c r="A496" s="29"/>
    </row>
    <row r="497" spans="1:1" x14ac:dyDescent="0.2">
      <c r="A497" s="29"/>
    </row>
    <row r="498" spans="1:1" x14ac:dyDescent="0.2">
      <c r="A498" s="29"/>
    </row>
    <row r="499" spans="1:1" x14ac:dyDescent="0.2">
      <c r="A499" s="29"/>
    </row>
    <row r="500" spans="1:1" x14ac:dyDescent="0.2">
      <c r="A500" s="29"/>
    </row>
    <row r="501" spans="1:1" x14ac:dyDescent="0.2">
      <c r="A501" s="29"/>
    </row>
    <row r="502" spans="1:1" x14ac:dyDescent="0.2">
      <c r="A502" s="29"/>
    </row>
    <row r="503" spans="1:1" x14ac:dyDescent="0.2">
      <c r="A503" s="29"/>
    </row>
    <row r="504" spans="1:1" x14ac:dyDescent="0.2">
      <c r="A504" s="29"/>
    </row>
    <row r="505" spans="1:1" x14ac:dyDescent="0.2">
      <c r="A505" s="29"/>
    </row>
    <row r="506" spans="1:1" x14ac:dyDescent="0.2">
      <c r="A506" s="29"/>
    </row>
    <row r="507" spans="1:1" x14ac:dyDescent="0.2">
      <c r="A507" s="29"/>
    </row>
    <row r="508" spans="1:1" x14ac:dyDescent="0.2">
      <c r="A508" s="29"/>
    </row>
    <row r="509" spans="1:1" x14ac:dyDescent="0.2">
      <c r="A509" s="29"/>
    </row>
    <row r="510" spans="1:1" x14ac:dyDescent="0.2">
      <c r="A510" s="29"/>
    </row>
    <row r="511" spans="1:1" x14ac:dyDescent="0.2">
      <c r="A511" s="29"/>
    </row>
    <row r="512" spans="1:1" x14ac:dyDescent="0.2">
      <c r="A512" s="29"/>
    </row>
    <row r="513" spans="1:1" x14ac:dyDescent="0.2">
      <c r="A513" s="29"/>
    </row>
    <row r="514" spans="1:1" x14ac:dyDescent="0.2">
      <c r="A514" s="29"/>
    </row>
    <row r="515" spans="1:1" x14ac:dyDescent="0.2">
      <c r="A515" s="29"/>
    </row>
    <row r="516" spans="1:1" x14ac:dyDescent="0.2">
      <c r="A516" s="29"/>
    </row>
    <row r="517" spans="1:1" x14ac:dyDescent="0.2">
      <c r="A517" s="29"/>
    </row>
    <row r="518" spans="1:1" x14ac:dyDescent="0.2">
      <c r="A518" s="29"/>
    </row>
    <row r="519" spans="1:1" x14ac:dyDescent="0.2">
      <c r="A519" s="29"/>
    </row>
    <row r="520" spans="1:1" x14ac:dyDescent="0.2">
      <c r="A520" s="29"/>
    </row>
    <row r="521" spans="1:1" x14ac:dyDescent="0.2">
      <c r="A521" s="29"/>
    </row>
    <row r="522" spans="1:1" x14ac:dyDescent="0.2">
      <c r="A522" s="29"/>
    </row>
    <row r="523" spans="1:1" x14ac:dyDescent="0.2">
      <c r="A523" s="29"/>
    </row>
    <row r="524" spans="1:1" x14ac:dyDescent="0.2">
      <c r="A524" s="29"/>
    </row>
    <row r="525" spans="1:1" x14ac:dyDescent="0.2">
      <c r="A525" s="29"/>
    </row>
    <row r="526" spans="1:1" x14ac:dyDescent="0.2">
      <c r="A526" s="29"/>
    </row>
    <row r="527" spans="1:1" x14ac:dyDescent="0.2">
      <c r="A527" s="29"/>
    </row>
    <row r="528" spans="1:1" x14ac:dyDescent="0.2">
      <c r="A528" s="29"/>
    </row>
    <row r="529" spans="1:1" x14ac:dyDescent="0.2">
      <c r="A529" s="29"/>
    </row>
    <row r="530" spans="1:1" x14ac:dyDescent="0.2">
      <c r="A530" s="29"/>
    </row>
    <row r="531" spans="1:1" x14ac:dyDescent="0.2">
      <c r="A531" s="29"/>
    </row>
    <row r="532" spans="1:1" x14ac:dyDescent="0.2">
      <c r="A532" s="29"/>
    </row>
    <row r="533" spans="1:1" x14ac:dyDescent="0.2">
      <c r="A533" s="29"/>
    </row>
    <row r="534" spans="1:1" x14ac:dyDescent="0.2">
      <c r="A534" s="29"/>
    </row>
    <row r="535" spans="1:1" x14ac:dyDescent="0.2">
      <c r="A535" s="29"/>
    </row>
    <row r="536" spans="1:1" x14ac:dyDescent="0.2">
      <c r="A536" s="29"/>
    </row>
    <row r="537" spans="1:1" x14ac:dyDescent="0.2">
      <c r="A537" s="29"/>
    </row>
    <row r="538" spans="1:1" x14ac:dyDescent="0.2">
      <c r="A538" s="29"/>
    </row>
    <row r="539" spans="1:1" x14ac:dyDescent="0.2">
      <c r="A539" s="29"/>
    </row>
    <row r="540" spans="1:1" x14ac:dyDescent="0.2">
      <c r="A540" s="29"/>
    </row>
    <row r="541" spans="1:1" x14ac:dyDescent="0.2">
      <c r="A541" s="29"/>
    </row>
    <row r="542" spans="1:1" x14ac:dyDescent="0.2">
      <c r="A542" s="29"/>
    </row>
    <row r="543" spans="1:1" x14ac:dyDescent="0.2">
      <c r="A543" s="29"/>
    </row>
    <row r="544" spans="1:1" x14ac:dyDescent="0.2">
      <c r="A544" s="29"/>
    </row>
    <row r="545" spans="1:1" x14ac:dyDescent="0.2">
      <c r="A545" s="29"/>
    </row>
    <row r="546" spans="1:1" x14ac:dyDescent="0.2">
      <c r="A546" s="29"/>
    </row>
    <row r="547" spans="1:1" x14ac:dyDescent="0.2">
      <c r="A547" s="29"/>
    </row>
    <row r="548" spans="1:1" x14ac:dyDescent="0.2">
      <c r="A548" s="29"/>
    </row>
    <row r="549" spans="1:1" x14ac:dyDescent="0.2">
      <c r="A549" s="29"/>
    </row>
    <row r="550" spans="1:1" x14ac:dyDescent="0.2">
      <c r="A550" s="29"/>
    </row>
    <row r="551" spans="1:1" x14ac:dyDescent="0.2">
      <c r="A551" s="29"/>
    </row>
    <row r="552" spans="1:1" x14ac:dyDescent="0.2">
      <c r="A552" s="29"/>
    </row>
    <row r="553" spans="1:1" x14ac:dyDescent="0.2">
      <c r="A553" s="29"/>
    </row>
    <row r="554" spans="1:1" x14ac:dyDescent="0.2">
      <c r="A554" s="29"/>
    </row>
    <row r="555" spans="1:1" x14ac:dyDescent="0.2">
      <c r="A555" s="29"/>
    </row>
    <row r="556" spans="1:1" x14ac:dyDescent="0.2">
      <c r="A556" s="29"/>
    </row>
    <row r="557" spans="1:1" x14ac:dyDescent="0.2">
      <c r="A557" s="29"/>
    </row>
    <row r="558" spans="1:1" x14ac:dyDescent="0.2">
      <c r="A558" s="29"/>
    </row>
    <row r="559" spans="1:1" x14ac:dyDescent="0.2">
      <c r="A559" s="29"/>
    </row>
    <row r="560" spans="1:1" x14ac:dyDescent="0.2">
      <c r="A560" s="29"/>
    </row>
    <row r="561" spans="1:1" x14ac:dyDescent="0.2">
      <c r="A561" s="29"/>
    </row>
    <row r="562" spans="1:1" x14ac:dyDescent="0.2">
      <c r="A562" s="29"/>
    </row>
    <row r="563" spans="1:1" x14ac:dyDescent="0.2">
      <c r="A563" s="29"/>
    </row>
    <row r="564" spans="1:1" x14ac:dyDescent="0.2">
      <c r="A564" s="29"/>
    </row>
    <row r="565" spans="1:1" x14ac:dyDescent="0.2">
      <c r="A565" s="29"/>
    </row>
    <row r="566" spans="1:1" x14ac:dyDescent="0.2">
      <c r="A566" s="29"/>
    </row>
    <row r="567" spans="1:1" x14ac:dyDescent="0.2">
      <c r="A567" s="29"/>
    </row>
    <row r="568" spans="1:1" x14ac:dyDescent="0.2">
      <c r="A568" s="29"/>
    </row>
    <row r="569" spans="1:1" x14ac:dyDescent="0.2">
      <c r="A569" s="29"/>
    </row>
    <row r="570" spans="1:1" x14ac:dyDescent="0.2">
      <c r="A570" s="29"/>
    </row>
    <row r="571" spans="1:1" x14ac:dyDescent="0.2">
      <c r="A571" s="29"/>
    </row>
    <row r="572" spans="1:1" x14ac:dyDescent="0.2">
      <c r="A572" s="29"/>
    </row>
    <row r="573" spans="1:1" x14ac:dyDescent="0.2">
      <c r="A573" s="29"/>
    </row>
    <row r="574" spans="1:1" x14ac:dyDescent="0.2">
      <c r="A574" s="29"/>
    </row>
    <row r="575" spans="1:1" x14ac:dyDescent="0.2">
      <c r="A575" s="29"/>
    </row>
    <row r="576" spans="1:1" x14ac:dyDescent="0.2">
      <c r="A576" s="29"/>
    </row>
    <row r="577" spans="1:1" x14ac:dyDescent="0.2">
      <c r="A577" s="29"/>
    </row>
    <row r="578" spans="1:1" x14ac:dyDescent="0.2">
      <c r="A578" s="29"/>
    </row>
    <row r="579" spans="1:1" x14ac:dyDescent="0.2">
      <c r="A579" s="29"/>
    </row>
    <row r="580" spans="1:1" x14ac:dyDescent="0.2">
      <c r="A580" s="29"/>
    </row>
    <row r="581" spans="1:1" x14ac:dyDescent="0.2">
      <c r="A581" s="29"/>
    </row>
    <row r="582" spans="1:1" x14ac:dyDescent="0.2">
      <c r="A582" s="29"/>
    </row>
    <row r="583" spans="1:1" x14ac:dyDescent="0.2">
      <c r="A583" s="29"/>
    </row>
    <row r="584" spans="1:1" x14ac:dyDescent="0.2">
      <c r="A584" s="29"/>
    </row>
    <row r="585" spans="1:1" x14ac:dyDescent="0.2">
      <c r="A585" s="29"/>
    </row>
    <row r="586" spans="1:1" x14ac:dyDescent="0.2">
      <c r="A586" s="29"/>
    </row>
    <row r="587" spans="1:1" x14ac:dyDescent="0.2">
      <c r="A587" s="29"/>
    </row>
    <row r="588" spans="1:1" x14ac:dyDescent="0.2">
      <c r="A588" s="29"/>
    </row>
    <row r="589" spans="1:1" x14ac:dyDescent="0.2">
      <c r="A589" s="29"/>
    </row>
    <row r="590" spans="1:1" x14ac:dyDescent="0.2">
      <c r="A590" s="29"/>
    </row>
    <row r="591" spans="1:1" x14ac:dyDescent="0.2">
      <c r="A591" s="29"/>
    </row>
    <row r="592" spans="1:1" x14ac:dyDescent="0.2">
      <c r="A592" s="29"/>
    </row>
    <row r="593" spans="1:1" x14ac:dyDescent="0.2">
      <c r="A593" s="29"/>
    </row>
    <row r="594" spans="1:1" x14ac:dyDescent="0.2">
      <c r="A594" s="29"/>
    </row>
    <row r="595" spans="1:1" x14ac:dyDescent="0.2">
      <c r="A595" s="29"/>
    </row>
    <row r="596" spans="1:1" x14ac:dyDescent="0.2">
      <c r="A596" s="29"/>
    </row>
    <row r="597" spans="1:1" x14ac:dyDescent="0.2">
      <c r="A597" s="29"/>
    </row>
    <row r="598" spans="1:1" x14ac:dyDescent="0.2">
      <c r="A598" s="29"/>
    </row>
    <row r="599" spans="1:1" x14ac:dyDescent="0.2">
      <c r="A599" s="29"/>
    </row>
    <row r="600" spans="1:1" x14ac:dyDescent="0.2">
      <c r="A600" s="29"/>
    </row>
    <row r="601" spans="1:1" x14ac:dyDescent="0.2">
      <c r="A601" s="29"/>
    </row>
    <row r="602" spans="1:1" x14ac:dyDescent="0.2">
      <c r="A602" s="29"/>
    </row>
    <row r="603" spans="1:1" x14ac:dyDescent="0.2">
      <c r="A603" s="29"/>
    </row>
    <row r="604" spans="1:1" x14ac:dyDescent="0.2">
      <c r="A604" s="29"/>
    </row>
    <row r="605" spans="1:1" x14ac:dyDescent="0.2">
      <c r="A605" s="29"/>
    </row>
    <row r="606" spans="1:1" x14ac:dyDescent="0.2">
      <c r="A606" s="29"/>
    </row>
    <row r="607" spans="1:1" x14ac:dyDescent="0.2">
      <c r="A607" s="29"/>
    </row>
    <row r="608" spans="1:1" x14ac:dyDescent="0.2">
      <c r="A608" s="29"/>
    </row>
    <row r="609" spans="1:1" x14ac:dyDescent="0.2">
      <c r="A609" s="29"/>
    </row>
    <row r="610" spans="1:1" x14ac:dyDescent="0.2">
      <c r="A610" s="29"/>
    </row>
    <row r="611" spans="1:1" x14ac:dyDescent="0.2">
      <c r="A611" s="29"/>
    </row>
    <row r="612" spans="1:1" x14ac:dyDescent="0.2">
      <c r="A612" s="29"/>
    </row>
    <row r="613" spans="1:1" x14ac:dyDescent="0.2">
      <c r="A613" s="29"/>
    </row>
    <row r="614" spans="1:1" x14ac:dyDescent="0.2">
      <c r="A614" s="29"/>
    </row>
    <row r="615" spans="1:1" x14ac:dyDescent="0.2">
      <c r="A615" s="29"/>
    </row>
    <row r="616" spans="1:1" x14ac:dyDescent="0.2">
      <c r="A616" s="29"/>
    </row>
    <row r="617" spans="1:1" x14ac:dyDescent="0.2">
      <c r="A617" s="29"/>
    </row>
    <row r="618" spans="1:1" x14ac:dyDescent="0.2">
      <c r="A618" s="29"/>
    </row>
    <row r="619" spans="1:1" x14ac:dyDescent="0.2">
      <c r="A619" s="29"/>
    </row>
    <row r="620" spans="1:1" x14ac:dyDescent="0.2">
      <c r="A620" s="29"/>
    </row>
    <row r="621" spans="1:1" x14ac:dyDescent="0.2">
      <c r="A621" s="29"/>
    </row>
    <row r="622" spans="1:1" x14ac:dyDescent="0.2">
      <c r="A622" s="29"/>
    </row>
    <row r="623" spans="1:1" x14ac:dyDescent="0.2">
      <c r="A623" s="29"/>
    </row>
    <row r="624" spans="1:1" x14ac:dyDescent="0.2">
      <c r="A624" s="29"/>
    </row>
    <row r="625" spans="1:1" x14ac:dyDescent="0.2">
      <c r="A625" s="29"/>
    </row>
    <row r="626" spans="1:1" x14ac:dyDescent="0.2">
      <c r="A626" s="29"/>
    </row>
    <row r="627" spans="1:1" x14ac:dyDescent="0.2">
      <c r="A627" s="29"/>
    </row>
    <row r="628" spans="1:1" x14ac:dyDescent="0.2">
      <c r="A628" s="29"/>
    </row>
    <row r="629" spans="1:1" x14ac:dyDescent="0.2">
      <c r="A629" s="29"/>
    </row>
    <row r="630" spans="1:1" x14ac:dyDescent="0.2">
      <c r="A630" s="29"/>
    </row>
    <row r="631" spans="1:1" x14ac:dyDescent="0.2">
      <c r="A631" s="29"/>
    </row>
    <row r="632" spans="1:1" x14ac:dyDescent="0.2">
      <c r="A632" s="29"/>
    </row>
    <row r="633" spans="1:1" x14ac:dyDescent="0.2">
      <c r="A633" s="29"/>
    </row>
    <row r="634" spans="1:1" x14ac:dyDescent="0.2">
      <c r="A634" s="29"/>
    </row>
    <row r="635" spans="1:1" x14ac:dyDescent="0.2">
      <c r="A635" s="29"/>
    </row>
    <row r="636" spans="1:1" x14ac:dyDescent="0.2">
      <c r="A636" s="29"/>
    </row>
    <row r="637" spans="1:1" x14ac:dyDescent="0.2">
      <c r="A637" s="29"/>
    </row>
    <row r="638" spans="1:1" x14ac:dyDescent="0.2">
      <c r="A638" s="29"/>
    </row>
    <row r="639" spans="1:1" x14ac:dyDescent="0.2">
      <c r="A639" s="29"/>
    </row>
    <row r="640" spans="1:1" x14ac:dyDescent="0.2">
      <c r="A640" s="29"/>
    </row>
    <row r="641" spans="1:1" x14ac:dyDescent="0.2">
      <c r="A641" s="29"/>
    </row>
    <row r="642" spans="1:1" x14ac:dyDescent="0.2">
      <c r="A642" s="29"/>
    </row>
    <row r="643" spans="1:1" x14ac:dyDescent="0.2">
      <c r="A643" s="29"/>
    </row>
    <row r="644" spans="1:1" x14ac:dyDescent="0.2">
      <c r="A644" s="29"/>
    </row>
    <row r="645" spans="1:1" x14ac:dyDescent="0.2">
      <c r="A645" s="29"/>
    </row>
    <row r="646" spans="1:1" x14ac:dyDescent="0.2">
      <c r="A646" s="29"/>
    </row>
    <row r="647" spans="1:1" x14ac:dyDescent="0.2">
      <c r="A647" s="29"/>
    </row>
    <row r="648" spans="1:1" x14ac:dyDescent="0.2">
      <c r="A648" s="29"/>
    </row>
    <row r="649" spans="1:1" x14ac:dyDescent="0.2">
      <c r="A649" s="29"/>
    </row>
    <row r="650" spans="1:1" x14ac:dyDescent="0.2">
      <c r="A650" s="29"/>
    </row>
    <row r="651" spans="1:1" x14ac:dyDescent="0.2">
      <c r="A651" s="29"/>
    </row>
    <row r="652" spans="1:1" x14ac:dyDescent="0.2">
      <c r="A652" s="29"/>
    </row>
    <row r="653" spans="1:1" x14ac:dyDescent="0.2">
      <c r="A653" s="29"/>
    </row>
    <row r="654" spans="1:1" x14ac:dyDescent="0.2">
      <c r="A654" s="29"/>
    </row>
    <row r="655" spans="1:1" x14ac:dyDescent="0.2">
      <c r="A655" s="29"/>
    </row>
    <row r="656" spans="1:1" x14ac:dyDescent="0.2">
      <c r="A656" s="29"/>
    </row>
    <row r="657" spans="1:1" x14ac:dyDescent="0.2">
      <c r="A657" s="29"/>
    </row>
    <row r="658" spans="1:1" x14ac:dyDescent="0.2">
      <c r="A658" s="29"/>
    </row>
    <row r="659" spans="1:1" x14ac:dyDescent="0.2">
      <c r="A659" s="29"/>
    </row>
    <row r="660" spans="1:1" x14ac:dyDescent="0.2">
      <c r="A660" s="29"/>
    </row>
    <row r="661" spans="1:1" x14ac:dyDescent="0.2">
      <c r="A661" s="29"/>
    </row>
    <row r="662" spans="1:1" x14ac:dyDescent="0.2">
      <c r="A662" s="29"/>
    </row>
    <row r="663" spans="1:1" x14ac:dyDescent="0.2">
      <c r="A663" s="29"/>
    </row>
    <row r="664" spans="1:1" x14ac:dyDescent="0.2">
      <c r="A664" s="29"/>
    </row>
    <row r="665" spans="1:1" x14ac:dyDescent="0.2">
      <c r="A665" s="29"/>
    </row>
    <row r="666" spans="1:1" x14ac:dyDescent="0.2">
      <c r="A666" s="29"/>
    </row>
    <row r="667" spans="1:1" x14ac:dyDescent="0.2">
      <c r="A667" s="29"/>
    </row>
    <row r="668" spans="1:1" x14ac:dyDescent="0.2">
      <c r="A668" s="29"/>
    </row>
    <row r="669" spans="1:1" x14ac:dyDescent="0.2">
      <c r="A669" s="29"/>
    </row>
    <row r="670" spans="1:1" x14ac:dyDescent="0.2">
      <c r="A670" s="29"/>
    </row>
    <row r="671" spans="1:1" x14ac:dyDescent="0.2">
      <c r="A671" s="29"/>
    </row>
    <row r="672" spans="1:1" x14ac:dyDescent="0.2">
      <c r="A672" s="29"/>
    </row>
    <row r="673" spans="1:1" x14ac:dyDescent="0.2">
      <c r="A673" s="29"/>
    </row>
    <row r="674" spans="1:1" x14ac:dyDescent="0.2">
      <c r="A674" s="29"/>
    </row>
    <row r="675" spans="1:1" x14ac:dyDescent="0.2">
      <c r="A675" s="29"/>
    </row>
    <row r="676" spans="1:1" x14ac:dyDescent="0.2">
      <c r="A676" s="29"/>
    </row>
    <row r="677" spans="1:1" x14ac:dyDescent="0.2">
      <c r="A677" s="29"/>
    </row>
    <row r="678" spans="1:1" x14ac:dyDescent="0.2">
      <c r="A678" s="29"/>
    </row>
    <row r="679" spans="1:1" x14ac:dyDescent="0.2">
      <c r="A679" s="29"/>
    </row>
    <row r="680" spans="1:1" x14ac:dyDescent="0.2">
      <c r="A680" s="29"/>
    </row>
    <row r="681" spans="1:1" x14ac:dyDescent="0.2">
      <c r="A681" s="29"/>
    </row>
    <row r="682" spans="1:1" x14ac:dyDescent="0.2">
      <c r="A682" s="29"/>
    </row>
    <row r="683" spans="1:1" x14ac:dyDescent="0.2">
      <c r="A683" s="29"/>
    </row>
    <row r="684" spans="1:1" x14ac:dyDescent="0.2">
      <c r="A684" s="29"/>
    </row>
    <row r="685" spans="1:1" x14ac:dyDescent="0.2">
      <c r="A685" s="29"/>
    </row>
    <row r="686" spans="1:1" x14ac:dyDescent="0.2">
      <c r="A686" s="29"/>
    </row>
    <row r="687" spans="1:1" x14ac:dyDescent="0.2">
      <c r="A687" s="29"/>
    </row>
    <row r="688" spans="1:1" x14ac:dyDescent="0.2">
      <c r="A688" s="29"/>
    </row>
    <row r="689" spans="1:1" x14ac:dyDescent="0.2">
      <c r="A689" s="29"/>
    </row>
    <row r="690" spans="1:1" x14ac:dyDescent="0.2">
      <c r="A690" s="29"/>
    </row>
    <row r="691" spans="1:1" x14ac:dyDescent="0.2">
      <c r="A691" s="29"/>
    </row>
    <row r="692" spans="1:1" x14ac:dyDescent="0.2">
      <c r="A692" s="29"/>
    </row>
    <row r="693" spans="1:1" x14ac:dyDescent="0.2">
      <c r="A693" s="29"/>
    </row>
    <row r="694" spans="1:1" x14ac:dyDescent="0.2">
      <c r="A694" s="29"/>
    </row>
    <row r="695" spans="1:1" x14ac:dyDescent="0.2">
      <c r="A695" s="29"/>
    </row>
    <row r="696" spans="1:1" x14ac:dyDescent="0.2">
      <c r="A696" s="29"/>
    </row>
    <row r="697" spans="1:1" x14ac:dyDescent="0.2">
      <c r="A697" s="29"/>
    </row>
    <row r="698" spans="1:1" x14ac:dyDescent="0.2">
      <c r="A698" s="29"/>
    </row>
    <row r="699" spans="1:1" x14ac:dyDescent="0.2">
      <c r="A699" s="29"/>
    </row>
    <row r="700" spans="1:1" x14ac:dyDescent="0.2">
      <c r="A700" s="29"/>
    </row>
    <row r="701" spans="1:1" x14ac:dyDescent="0.2">
      <c r="A701" s="29"/>
    </row>
    <row r="702" spans="1:1" x14ac:dyDescent="0.2">
      <c r="A702" s="29"/>
    </row>
    <row r="703" spans="1:1" x14ac:dyDescent="0.2">
      <c r="A703" s="29"/>
    </row>
    <row r="704" spans="1:1" x14ac:dyDescent="0.2">
      <c r="A704" s="29"/>
    </row>
    <row r="705" spans="1:1" x14ac:dyDescent="0.2">
      <c r="A705" s="29"/>
    </row>
    <row r="706" spans="1:1" x14ac:dyDescent="0.2">
      <c r="A706" s="29"/>
    </row>
    <row r="707" spans="1:1" x14ac:dyDescent="0.2">
      <c r="A707" s="29"/>
    </row>
    <row r="708" spans="1:1" x14ac:dyDescent="0.2">
      <c r="A708" s="29"/>
    </row>
    <row r="709" spans="1:1" x14ac:dyDescent="0.2">
      <c r="A709" s="29"/>
    </row>
    <row r="710" spans="1:1" x14ac:dyDescent="0.2">
      <c r="A710" s="29"/>
    </row>
    <row r="711" spans="1:1" x14ac:dyDescent="0.2">
      <c r="A711" s="29"/>
    </row>
    <row r="712" spans="1:1" x14ac:dyDescent="0.2">
      <c r="A712" s="29"/>
    </row>
    <row r="713" spans="1:1" x14ac:dyDescent="0.2">
      <c r="A713" s="29"/>
    </row>
    <row r="714" spans="1:1" x14ac:dyDescent="0.2">
      <c r="A714" s="29"/>
    </row>
    <row r="715" spans="1:1" x14ac:dyDescent="0.2">
      <c r="A715" s="29"/>
    </row>
    <row r="716" spans="1:1" x14ac:dyDescent="0.2">
      <c r="A716" s="29"/>
    </row>
    <row r="717" spans="1:1" x14ac:dyDescent="0.2">
      <c r="A717" s="29"/>
    </row>
    <row r="718" spans="1:1" x14ac:dyDescent="0.2">
      <c r="A718" s="29"/>
    </row>
    <row r="719" spans="1:1" x14ac:dyDescent="0.2">
      <c r="A719" s="29"/>
    </row>
    <row r="720" spans="1:1" x14ac:dyDescent="0.2">
      <c r="A720" s="29"/>
    </row>
    <row r="721" spans="1:1" x14ac:dyDescent="0.2">
      <c r="A721" s="29"/>
    </row>
    <row r="722" spans="1:1" x14ac:dyDescent="0.2">
      <c r="A722" s="29"/>
    </row>
    <row r="723" spans="1:1" x14ac:dyDescent="0.2">
      <c r="A723" s="29"/>
    </row>
    <row r="724" spans="1:1" x14ac:dyDescent="0.2">
      <c r="A724" s="29"/>
    </row>
    <row r="725" spans="1:1" x14ac:dyDescent="0.2">
      <c r="A725" s="29"/>
    </row>
    <row r="726" spans="1:1" x14ac:dyDescent="0.2">
      <c r="A726" s="29"/>
    </row>
    <row r="727" spans="1:1" x14ac:dyDescent="0.2">
      <c r="A727" s="29"/>
    </row>
    <row r="728" spans="1:1" x14ac:dyDescent="0.2">
      <c r="A728" s="29"/>
    </row>
    <row r="729" spans="1:1" x14ac:dyDescent="0.2">
      <c r="A729" s="29"/>
    </row>
    <row r="730" spans="1:1" x14ac:dyDescent="0.2">
      <c r="A730" s="29"/>
    </row>
    <row r="731" spans="1:1" x14ac:dyDescent="0.2">
      <c r="A731" s="29"/>
    </row>
    <row r="732" spans="1:1" x14ac:dyDescent="0.2">
      <c r="A732" s="29"/>
    </row>
    <row r="733" spans="1:1" x14ac:dyDescent="0.2">
      <c r="A733" s="29"/>
    </row>
    <row r="734" spans="1:1" x14ac:dyDescent="0.2">
      <c r="A734" s="29"/>
    </row>
    <row r="735" spans="1:1" x14ac:dyDescent="0.2">
      <c r="A735" s="29"/>
    </row>
    <row r="736" spans="1:1" x14ac:dyDescent="0.2">
      <c r="A736" s="29"/>
    </row>
    <row r="737" spans="1:1" x14ac:dyDescent="0.2">
      <c r="A737" s="29"/>
    </row>
    <row r="738" spans="1:1" x14ac:dyDescent="0.2">
      <c r="A738" s="29"/>
    </row>
    <row r="739" spans="1:1" x14ac:dyDescent="0.2">
      <c r="A739" s="29"/>
    </row>
    <row r="740" spans="1:1" x14ac:dyDescent="0.2">
      <c r="A740" s="29"/>
    </row>
    <row r="741" spans="1:1" x14ac:dyDescent="0.2">
      <c r="A741" s="29"/>
    </row>
    <row r="742" spans="1:1" x14ac:dyDescent="0.2">
      <c r="A742" s="29"/>
    </row>
    <row r="743" spans="1:1" x14ac:dyDescent="0.2">
      <c r="A743" s="29"/>
    </row>
    <row r="744" spans="1:1" x14ac:dyDescent="0.2">
      <c r="A744" s="29"/>
    </row>
    <row r="745" spans="1:1" x14ac:dyDescent="0.2">
      <c r="A745" s="29"/>
    </row>
    <row r="746" spans="1:1" x14ac:dyDescent="0.2">
      <c r="A746" s="29"/>
    </row>
    <row r="747" spans="1:1" x14ac:dyDescent="0.2">
      <c r="A747" s="29"/>
    </row>
    <row r="748" spans="1:1" x14ac:dyDescent="0.2">
      <c r="A748" s="29"/>
    </row>
    <row r="749" spans="1:1" x14ac:dyDescent="0.2">
      <c r="A749" s="29"/>
    </row>
    <row r="750" spans="1:1" x14ac:dyDescent="0.2">
      <c r="A750" s="29"/>
    </row>
    <row r="751" spans="1:1" x14ac:dyDescent="0.2">
      <c r="A751" s="29"/>
    </row>
    <row r="752" spans="1:1" x14ac:dyDescent="0.2">
      <c r="A752" s="29"/>
    </row>
    <row r="753" spans="1:1" x14ac:dyDescent="0.2">
      <c r="A753" s="29"/>
    </row>
    <row r="754" spans="1:1" x14ac:dyDescent="0.2">
      <c r="A754" s="29"/>
    </row>
    <row r="755" spans="1:1" x14ac:dyDescent="0.2">
      <c r="A755" s="29"/>
    </row>
    <row r="756" spans="1:1" x14ac:dyDescent="0.2">
      <c r="A756" s="29"/>
    </row>
    <row r="757" spans="1:1" x14ac:dyDescent="0.2">
      <c r="A757" s="29"/>
    </row>
    <row r="758" spans="1:1" x14ac:dyDescent="0.2">
      <c r="A758" s="29"/>
    </row>
    <row r="759" spans="1:1" x14ac:dyDescent="0.2">
      <c r="A759" s="29"/>
    </row>
    <row r="760" spans="1:1" x14ac:dyDescent="0.2">
      <c r="A760" s="29"/>
    </row>
    <row r="761" spans="1:1" x14ac:dyDescent="0.2">
      <c r="A761" s="29"/>
    </row>
    <row r="762" spans="1:1" x14ac:dyDescent="0.2">
      <c r="A762" s="29"/>
    </row>
    <row r="763" spans="1:1" x14ac:dyDescent="0.2">
      <c r="A763" s="29"/>
    </row>
    <row r="764" spans="1:1" x14ac:dyDescent="0.2">
      <c r="A764" s="29"/>
    </row>
    <row r="765" spans="1:1" x14ac:dyDescent="0.2">
      <c r="A765" s="29"/>
    </row>
    <row r="766" spans="1:1" x14ac:dyDescent="0.2">
      <c r="A766" s="29"/>
    </row>
    <row r="767" spans="1:1" x14ac:dyDescent="0.2">
      <c r="A767" s="29"/>
    </row>
    <row r="768" spans="1:1" x14ac:dyDescent="0.2">
      <c r="A768" s="29"/>
    </row>
    <row r="769" spans="1:1" x14ac:dyDescent="0.2">
      <c r="A769" s="29"/>
    </row>
    <row r="770" spans="1:1" x14ac:dyDescent="0.2">
      <c r="A770" s="29"/>
    </row>
    <row r="771" spans="1:1" x14ac:dyDescent="0.2">
      <c r="A771" s="29"/>
    </row>
    <row r="772" spans="1:1" x14ac:dyDescent="0.2">
      <c r="A772" s="29"/>
    </row>
    <row r="773" spans="1:1" x14ac:dyDescent="0.2">
      <c r="A773" s="29"/>
    </row>
    <row r="774" spans="1:1" x14ac:dyDescent="0.2">
      <c r="A774" s="29"/>
    </row>
    <row r="775" spans="1:1" x14ac:dyDescent="0.2">
      <c r="A775" s="29"/>
    </row>
    <row r="776" spans="1:1" x14ac:dyDescent="0.2">
      <c r="A776" s="29"/>
    </row>
    <row r="777" spans="1:1" x14ac:dyDescent="0.2">
      <c r="A777" s="29"/>
    </row>
    <row r="778" spans="1:1" x14ac:dyDescent="0.2">
      <c r="A778" s="29"/>
    </row>
    <row r="779" spans="1:1" x14ac:dyDescent="0.2">
      <c r="A779" s="29"/>
    </row>
    <row r="780" spans="1:1" x14ac:dyDescent="0.2">
      <c r="A780" s="29"/>
    </row>
    <row r="781" spans="1:1" x14ac:dyDescent="0.2">
      <c r="A781" s="29"/>
    </row>
    <row r="782" spans="1:1" x14ac:dyDescent="0.2">
      <c r="A782" s="29"/>
    </row>
    <row r="783" spans="1:1" x14ac:dyDescent="0.2">
      <c r="A783" s="29"/>
    </row>
    <row r="784" spans="1:1" x14ac:dyDescent="0.2">
      <c r="A784" s="29"/>
    </row>
    <row r="785" spans="1:1" x14ac:dyDescent="0.2">
      <c r="A785" s="29"/>
    </row>
    <row r="786" spans="1:1" x14ac:dyDescent="0.2">
      <c r="A786" s="29"/>
    </row>
    <row r="787" spans="1:1" x14ac:dyDescent="0.2">
      <c r="A787" s="29"/>
    </row>
    <row r="788" spans="1:1" x14ac:dyDescent="0.2">
      <c r="A788" s="29"/>
    </row>
    <row r="789" spans="1:1" x14ac:dyDescent="0.2">
      <c r="A789" s="29"/>
    </row>
    <row r="790" spans="1:1" x14ac:dyDescent="0.2">
      <c r="A790" s="29"/>
    </row>
    <row r="791" spans="1:1" x14ac:dyDescent="0.2">
      <c r="A791" s="29"/>
    </row>
    <row r="792" spans="1:1" x14ac:dyDescent="0.2">
      <c r="A792" s="29"/>
    </row>
    <row r="793" spans="1:1" x14ac:dyDescent="0.2">
      <c r="A793" s="29"/>
    </row>
    <row r="794" spans="1:1" x14ac:dyDescent="0.2">
      <c r="A794" s="29"/>
    </row>
    <row r="795" spans="1:1" x14ac:dyDescent="0.2">
      <c r="A795" s="29"/>
    </row>
    <row r="796" spans="1:1" x14ac:dyDescent="0.2">
      <c r="A796" s="29"/>
    </row>
    <row r="797" spans="1:1" x14ac:dyDescent="0.2">
      <c r="A797" s="29"/>
    </row>
    <row r="798" spans="1:1" x14ac:dyDescent="0.2">
      <c r="A798" s="29"/>
    </row>
    <row r="799" spans="1:1" x14ac:dyDescent="0.2">
      <c r="A799" s="29"/>
    </row>
    <row r="800" spans="1:1" x14ac:dyDescent="0.2">
      <c r="A800" s="29"/>
    </row>
    <row r="801" spans="1:1" x14ac:dyDescent="0.2">
      <c r="A801" s="29"/>
    </row>
    <row r="802" spans="1:1" x14ac:dyDescent="0.2">
      <c r="A802" s="29"/>
    </row>
    <row r="803" spans="1:1" x14ac:dyDescent="0.2">
      <c r="A803" s="29"/>
    </row>
    <row r="804" spans="1:1" x14ac:dyDescent="0.2">
      <c r="A804" s="29"/>
    </row>
    <row r="805" spans="1:1" x14ac:dyDescent="0.2">
      <c r="A805" s="29"/>
    </row>
    <row r="806" spans="1:1" x14ac:dyDescent="0.2">
      <c r="A806" s="29"/>
    </row>
    <row r="807" spans="1:1" x14ac:dyDescent="0.2">
      <c r="A807" s="29"/>
    </row>
    <row r="808" spans="1:1" x14ac:dyDescent="0.2">
      <c r="A808" s="29"/>
    </row>
    <row r="809" spans="1:1" x14ac:dyDescent="0.2">
      <c r="A809" s="29"/>
    </row>
    <row r="810" spans="1:1" x14ac:dyDescent="0.2">
      <c r="A810" s="29"/>
    </row>
    <row r="811" spans="1:1" x14ac:dyDescent="0.2">
      <c r="A811" s="29"/>
    </row>
    <row r="812" spans="1:1" x14ac:dyDescent="0.2">
      <c r="A812" s="29"/>
    </row>
    <row r="813" spans="1:1" x14ac:dyDescent="0.2">
      <c r="A813" s="29"/>
    </row>
    <row r="814" spans="1:1" x14ac:dyDescent="0.2">
      <c r="A814" s="29"/>
    </row>
    <row r="815" spans="1:1" x14ac:dyDescent="0.2">
      <c r="A815" s="29"/>
    </row>
    <row r="816" spans="1:1" x14ac:dyDescent="0.2">
      <c r="A816" s="29"/>
    </row>
    <row r="817" spans="1:1" x14ac:dyDescent="0.2">
      <c r="A817" s="29"/>
    </row>
    <row r="818" spans="1:1" x14ac:dyDescent="0.2">
      <c r="A818" s="29"/>
    </row>
    <row r="819" spans="1:1" x14ac:dyDescent="0.2">
      <c r="A819" s="29"/>
    </row>
    <row r="820" spans="1:1" x14ac:dyDescent="0.2">
      <c r="A820" s="29"/>
    </row>
    <row r="821" spans="1:1" x14ac:dyDescent="0.2">
      <c r="A821" s="29"/>
    </row>
    <row r="822" spans="1:1" x14ac:dyDescent="0.2">
      <c r="A822" s="29"/>
    </row>
    <row r="823" spans="1:1" x14ac:dyDescent="0.2">
      <c r="A823" s="29"/>
    </row>
    <row r="824" spans="1:1" x14ac:dyDescent="0.2">
      <c r="A824" s="29"/>
    </row>
    <row r="825" spans="1:1" x14ac:dyDescent="0.2">
      <c r="A825" s="29"/>
    </row>
    <row r="826" spans="1:1" x14ac:dyDescent="0.2">
      <c r="A826" s="29"/>
    </row>
    <row r="827" spans="1:1" x14ac:dyDescent="0.2">
      <c r="A827" s="29"/>
    </row>
    <row r="828" spans="1:1" x14ac:dyDescent="0.2">
      <c r="A828" s="29"/>
    </row>
    <row r="829" spans="1:1" x14ac:dyDescent="0.2">
      <c r="A829" s="29"/>
    </row>
    <row r="830" spans="1:1" x14ac:dyDescent="0.2">
      <c r="A830" s="29"/>
    </row>
    <row r="831" spans="1:1" x14ac:dyDescent="0.2">
      <c r="A831" s="29"/>
    </row>
    <row r="832" spans="1:1" x14ac:dyDescent="0.2">
      <c r="A832" s="29"/>
    </row>
    <row r="833" spans="1:1" x14ac:dyDescent="0.2">
      <c r="A833" s="29"/>
    </row>
    <row r="834" spans="1:1" x14ac:dyDescent="0.2">
      <c r="A834" s="29"/>
    </row>
    <row r="835" spans="1:1" x14ac:dyDescent="0.2">
      <c r="A835" s="29"/>
    </row>
    <row r="836" spans="1:1" x14ac:dyDescent="0.2">
      <c r="A836" s="29"/>
    </row>
    <row r="837" spans="1:1" x14ac:dyDescent="0.2">
      <c r="A837" s="29"/>
    </row>
    <row r="838" spans="1:1" x14ac:dyDescent="0.2">
      <c r="A838" s="29"/>
    </row>
    <row r="839" spans="1:1" x14ac:dyDescent="0.2">
      <c r="A839" s="29"/>
    </row>
    <row r="840" spans="1:1" x14ac:dyDescent="0.2">
      <c r="A840" s="29"/>
    </row>
    <row r="841" spans="1:1" x14ac:dyDescent="0.2">
      <c r="A841" s="29"/>
    </row>
    <row r="842" spans="1:1" x14ac:dyDescent="0.2">
      <c r="A842" s="29"/>
    </row>
    <row r="843" spans="1:1" x14ac:dyDescent="0.2">
      <c r="A843" s="29"/>
    </row>
    <row r="844" spans="1:1" x14ac:dyDescent="0.2">
      <c r="A844" s="29"/>
    </row>
    <row r="845" spans="1:1" x14ac:dyDescent="0.2">
      <c r="A845" s="29"/>
    </row>
    <row r="846" spans="1:1" x14ac:dyDescent="0.2">
      <c r="A846" s="29"/>
    </row>
    <row r="847" spans="1:1" x14ac:dyDescent="0.2">
      <c r="A847" s="29"/>
    </row>
    <row r="848" spans="1:1" x14ac:dyDescent="0.2">
      <c r="A848" s="29"/>
    </row>
    <row r="849" spans="1:1" x14ac:dyDescent="0.2">
      <c r="A849" s="29"/>
    </row>
    <row r="850" spans="1:1" x14ac:dyDescent="0.2">
      <c r="A850" s="29"/>
    </row>
    <row r="851" spans="1:1" x14ac:dyDescent="0.2">
      <c r="A851" s="29"/>
    </row>
    <row r="852" spans="1:1" x14ac:dyDescent="0.2">
      <c r="A852" s="29"/>
    </row>
    <row r="853" spans="1:1" x14ac:dyDescent="0.2">
      <c r="A853" s="29"/>
    </row>
    <row r="854" spans="1:1" x14ac:dyDescent="0.2">
      <c r="A854" s="29"/>
    </row>
    <row r="855" spans="1:1" x14ac:dyDescent="0.2">
      <c r="A855" s="29"/>
    </row>
    <row r="856" spans="1:1" x14ac:dyDescent="0.2">
      <c r="A856" s="29"/>
    </row>
    <row r="857" spans="1:1" x14ac:dyDescent="0.2">
      <c r="A857" s="29"/>
    </row>
    <row r="858" spans="1:1" x14ac:dyDescent="0.2">
      <c r="A858" s="29"/>
    </row>
    <row r="859" spans="1:1" x14ac:dyDescent="0.2">
      <c r="A859" s="29"/>
    </row>
    <row r="860" spans="1:1" x14ac:dyDescent="0.2">
      <c r="A860" s="29"/>
    </row>
    <row r="861" spans="1:1" x14ac:dyDescent="0.2">
      <c r="A861" s="29"/>
    </row>
    <row r="862" spans="1:1" x14ac:dyDescent="0.2">
      <c r="A862" s="29"/>
    </row>
    <row r="863" spans="1:1" x14ac:dyDescent="0.2">
      <c r="A863" s="29"/>
    </row>
    <row r="864" spans="1:1" x14ac:dyDescent="0.2">
      <c r="A864" s="29"/>
    </row>
    <row r="865" spans="1:1" x14ac:dyDescent="0.2">
      <c r="A865" s="29"/>
    </row>
    <row r="866" spans="1:1" x14ac:dyDescent="0.2">
      <c r="A866" s="29"/>
    </row>
    <row r="867" spans="1:1" x14ac:dyDescent="0.2">
      <c r="A867" s="29"/>
    </row>
    <row r="868" spans="1:1" x14ac:dyDescent="0.2">
      <c r="A868" s="29"/>
    </row>
    <row r="869" spans="1:1" x14ac:dyDescent="0.2">
      <c r="A869" s="29"/>
    </row>
    <row r="870" spans="1:1" x14ac:dyDescent="0.2">
      <c r="A870" s="29"/>
    </row>
    <row r="871" spans="1:1" x14ac:dyDescent="0.2">
      <c r="A871" s="29"/>
    </row>
    <row r="872" spans="1:1" x14ac:dyDescent="0.2">
      <c r="A872" s="29"/>
    </row>
    <row r="873" spans="1:1" x14ac:dyDescent="0.2">
      <c r="A873" s="29"/>
    </row>
    <row r="874" spans="1:1" x14ac:dyDescent="0.2">
      <c r="A874" s="29"/>
    </row>
    <row r="875" spans="1:1" x14ac:dyDescent="0.2">
      <c r="A875" s="29"/>
    </row>
    <row r="876" spans="1:1" x14ac:dyDescent="0.2">
      <c r="A876" s="29"/>
    </row>
    <row r="877" spans="1:1" x14ac:dyDescent="0.2">
      <c r="A877" s="29"/>
    </row>
    <row r="878" spans="1:1" x14ac:dyDescent="0.2">
      <c r="A878" s="29"/>
    </row>
    <row r="879" spans="1:1" x14ac:dyDescent="0.2">
      <c r="A879" s="29"/>
    </row>
    <row r="880" spans="1:1" x14ac:dyDescent="0.2">
      <c r="A880" s="29"/>
    </row>
    <row r="881" spans="1:1" x14ac:dyDescent="0.2">
      <c r="A881" s="29"/>
    </row>
    <row r="882" spans="1:1" x14ac:dyDescent="0.2">
      <c r="A882" s="29"/>
    </row>
    <row r="883" spans="1:1" x14ac:dyDescent="0.2">
      <c r="A883" s="29"/>
    </row>
    <row r="884" spans="1:1" x14ac:dyDescent="0.2">
      <c r="A884" s="29"/>
    </row>
    <row r="885" spans="1:1" x14ac:dyDescent="0.2">
      <c r="A885" s="29"/>
    </row>
    <row r="886" spans="1:1" x14ac:dyDescent="0.2">
      <c r="A886" s="29"/>
    </row>
    <row r="887" spans="1:1" x14ac:dyDescent="0.2">
      <c r="A887" s="29"/>
    </row>
    <row r="888" spans="1:1" x14ac:dyDescent="0.2">
      <c r="A888" s="29"/>
    </row>
    <row r="889" spans="1:1" x14ac:dyDescent="0.2">
      <c r="A889" s="29"/>
    </row>
    <row r="890" spans="1:1" x14ac:dyDescent="0.2">
      <c r="A890" s="29"/>
    </row>
    <row r="891" spans="1:1" x14ac:dyDescent="0.2">
      <c r="A891" s="29"/>
    </row>
    <row r="892" spans="1:1" x14ac:dyDescent="0.2">
      <c r="A892" s="29"/>
    </row>
    <row r="893" spans="1:1" x14ac:dyDescent="0.2">
      <c r="A893" s="29"/>
    </row>
    <row r="894" spans="1:1" x14ac:dyDescent="0.2">
      <c r="A894" s="29"/>
    </row>
    <row r="895" spans="1:1" x14ac:dyDescent="0.2">
      <c r="A895" s="29"/>
    </row>
    <row r="896" spans="1:1" x14ac:dyDescent="0.2">
      <c r="A896" s="29"/>
    </row>
    <row r="897" spans="1:1" x14ac:dyDescent="0.2">
      <c r="A897" s="29"/>
    </row>
    <row r="898" spans="1:1" x14ac:dyDescent="0.2">
      <c r="A898" s="29"/>
    </row>
    <row r="899" spans="1:1" x14ac:dyDescent="0.2">
      <c r="A899" s="29"/>
    </row>
    <row r="900" spans="1:1" x14ac:dyDescent="0.2">
      <c r="A900" s="29"/>
    </row>
    <row r="901" spans="1:1" x14ac:dyDescent="0.2">
      <c r="A901" s="29"/>
    </row>
    <row r="902" spans="1:1" x14ac:dyDescent="0.2">
      <c r="A902" s="29"/>
    </row>
    <row r="903" spans="1:1" x14ac:dyDescent="0.2">
      <c r="A903" s="29"/>
    </row>
    <row r="904" spans="1:1" x14ac:dyDescent="0.2">
      <c r="A904" s="29"/>
    </row>
    <row r="905" spans="1:1" x14ac:dyDescent="0.2">
      <c r="A905" s="29"/>
    </row>
    <row r="906" spans="1:1" x14ac:dyDescent="0.2">
      <c r="A906" s="29"/>
    </row>
    <row r="907" spans="1:1" x14ac:dyDescent="0.2">
      <c r="A907" s="29"/>
    </row>
    <row r="908" spans="1:1" x14ac:dyDescent="0.2">
      <c r="A908" s="29"/>
    </row>
    <row r="909" spans="1:1" x14ac:dyDescent="0.2">
      <c r="A909" s="29"/>
    </row>
    <row r="910" spans="1:1" x14ac:dyDescent="0.2">
      <c r="A910" s="29"/>
    </row>
    <row r="911" spans="1:1" x14ac:dyDescent="0.2">
      <c r="A911" s="29"/>
    </row>
    <row r="912" spans="1:1" x14ac:dyDescent="0.2">
      <c r="A912" s="29"/>
    </row>
    <row r="913" spans="1:1" x14ac:dyDescent="0.2">
      <c r="A913" s="29"/>
    </row>
    <row r="914" spans="1:1" x14ac:dyDescent="0.2">
      <c r="A914" s="29"/>
    </row>
    <row r="915" spans="1:1" x14ac:dyDescent="0.2">
      <c r="A915" s="29"/>
    </row>
    <row r="916" spans="1:1" x14ac:dyDescent="0.2">
      <c r="A916" s="29"/>
    </row>
    <row r="917" spans="1:1" x14ac:dyDescent="0.2">
      <c r="A917" s="29"/>
    </row>
    <row r="918" spans="1:1" x14ac:dyDescent="0.2">
      <c r="A918" s="29"/>
    </row>
    <row r="919" spans="1:1" x14ac:dyDescent="0.2">
      <c r="A919" s="29"/>
    </row>
    <row r="920" spans="1:1" x14ac:dyDescent="0.2">
      <c r="A920" s="29"/>
    </row>
    <row r="921" spans="1:1" x14ac:dyDescent="0.2">
      <c r="A921" s="29"/>
    </row>
    <row r="922" spans="1:1" x14ac:dyDescent="0.2">
      <c r="A922" s="29"/>
    </row>
    <row r="923" spans="1:1" x14ac:dyDescent="0.2">
      <c r="A923" s="29"/>
    </row>
    <row r="924" spans="1:1" x14ac:dyDescent="0.2">
      <c r="A924" s="29"/>
    </row>
    <row r="925" spans="1:1" x14ac:dyDescent="0.2">
      <c r="A925" s="29"/>
    </row>
    <row r="926" spans="1:1" x14ac:dyDescent="0.2">
      <c r="A926" s="29"/>
    </row>
    <row r="927" spans="1:1" x14ac:dyDescent="0.2">
      <c r="A927" s="29"/>
    </row>
    <row r="928" spans="1:1" x14ac:dyDescent="0.2">
      <c r="A928" s="29"/>
    </row>
    <row r="929" spans="1:1" x14ac:dyDescent="0.2">
      <c r="A929" s="29"/>
    </row>
    <row r="930" spans="1:1" x14ac:dyDescent="0.2">
      <c r="A930" s="29"/>
    </row>
    <row r="931" spans="1:1" x14ac:dyDescent="0.2">
      <c r="A931" s="29"/>
    </row>
    <row r="932" spans="1:1" x14ac:dyDescent="0.2">
      <c r="A932" s="29"/>
    </row>
    <row r="933" spans="1:1" x14ac:dyDescent="0.2">
      <c r="A933" s="29"/>
    </row>
    <row r="934" spans="1:1" x14ac:dyDescent="0.2">
      <c r="A934" s="29"/>
    </row>
    <row r="935" spans="1:1" x14ac:dyDescent="0.2">
      <c r="A935" s="29"/>
    </row>
    <row r="936" spans="1:1" x14ac:dyDescent="0.2">
      <c r="A936" s="29"/>
    </row>
    <row r="937" spans="1:1" x14ac:dyDescent="0.2">
      <c r="A937" s="29"/>
    </row>
    <row r="938" spans="1:1" x14ac:dyDescent="0.2">
      <c r="A938" s="29"/>
    </row>
    <row r="939" spans="1:1" x14ac:dyDescent="0.2">
      <c r="A939" s="29"/>
    </row>
    <row r="940" spans="1:1" x14ac:dyDescent="0.2">
      <c r="A940" s="29"/>
    </row>
    <row r="941" spans="1:1" x14ac:dyDescent="0.2">
      <c r="A941" s="29"/>
    </row>
    <row r="942" spans="1:1" x14ac:dyDescent="0.2">
      <c r="A942" s="29"/>
    </row>
    <row r="943" spans="1:1" x14ac:dyDescent="0.2">
      <c r="A943" s="29"/>
    </row>
    <row r="944" spans="1:1" x14ac:dyDescent="0.2">
      <c r="A944" s="29"/>
    </row>
    <row r="945" spans="1:1" x14ac:dyDescent="0.2">
      <c r="A945" s="29"/>
    </row>
    <row r="946" spans="1:1" x14ac:dyDescent="0.2">
      <c r="A946" s="29"/>
    </row>
    <row r="947" spans="1:1" x14ac:dyDescent="0.2">
      <c r="A947" s="29"/>
    </row>
    <row r="948" spans="1:1" x14ac:dyDescent="0.2">
      <c r="A948" s="29"/>
    </row>
    <row r="949" spans="1:1" x14ac:dyDescent="0.2">
      <c r="A949" s="29"/>
    </row>
    <row r="950" spans="1:1" x14ac:dyDescent="0.2">
      <c r="A950" s="29"/>
    </row>
    <row r="951" spans="1:1" x14ac:dyDescent="0.2">
      <c r="A951" s="29"/>
    </row>
    <row r="952" spans="1:1" x14ac:dyDescent="0.2">
      <c r="A952" s="29"/>
    </row>
    <row r="953" spans="1:1" x14ac:dyDescent="0.2">
      <c r="A953" s="29"/>
    </row>
    <row r="954" spans="1:1" x14ac:dyDescent="0.2">
      <c r="A954" s="29"/>
    </row>
    <row r="955" spans="1:1" x14ac:dyDescent="0.2">
      <c r="A955" s="29"/>
    </row>
    <row r="956" spans="1:1" x14ac:dyDescent="0.2">
      <c r="A956" s="29"/>
    </row>
    <row r="957" spans="1:1" x14ac:dyDescent="0.2">
      <c r="A957" s="29"/>
    </row>
    <row r="958" spans="1:1" x14ac:dyDescent="0.2">
      <c r="A958" s="29"/>
    </row>
    <row r="959" spans="1:1" x14ac:dyDescent="0.2">
      <c r="A959" s="29"/>
    </row>
    <row r="960" spans="1:1" x14ac:dyDescent="0.2">
      <c r="A960" s="29"/>
    </row>
    <row r="961" spans="1:1" x14ac:dyDescent="0.2">
      <c r="A961" s="29"/>
    </row>
    <row r="962" spans="1:1" x14ac:dyDescent="0.2">
      <c r="A962" s="29"/>
    </row>
    <row r="963" spans="1:1" x14ac:dyDescent="0.2">
      <c r="A963" s="29"/>
    </row>
    <row r="964" spans="1:1" x14ac:dyDescent="0.2">
      <c r="A964" s="29"/>
    </row>
    <row r="965" spans="1:1" x14ac:dyDescent="0.2">
      <c r="A965" s="29"/>
    </row>
    <row r="966" spans="1:1" x14ac:dyDescent="0.2">
      <c r="A966" s="29"/>
    </row>
    <row r="967" spans="1:1" x14ac:dyDescent="0.2">
      <c r="A967" s="29"/>
    </row>
    <row r="968" spans="1:1" x14ac:dyDescent="0.2">
      <c r="A968" s="29"/>
    </row>
    <row r="969" spans="1:1" x14ac:dyDescent="0.2">
      <c r="A969" s="29"/>
    </row>
    <row r="970" spans="1:1" x14ac:dyDescent="0.2">
      <c r="A970" s="29"/>
    </row>
    <row r="971" spans="1:1" x14ac:dyDescent="0.2">
      <c r="A971" s="29"/>
    </row>
    <row r="972" spans="1:1" x14ac:dyDescent="0.2">
      <c r="A972" s="29"/>
    </row>
    <row r="973" spans="1:1" x14ac:dyDescent="0.2">
      <c r="A973" s="29"/>
    </row>
    <row r="974" spans="1:1" x14ac:dyDescent="0.2">
      <c r="A974" s="29"/>
    </row>
    <row r="975" spans="1:1" x14ac:dyDescent="0.2">
      <c r="A975" s="29"/>
    </row>
    <row r="976" spans="1:1" x14ac:dyDescent="0.2">
      <c r="A976" s="29"/>
    </row>
    <row r="977" spans="1:1" x14ac:dyDescent="0.2">
      <c r="A977" s="29"/>
    </row>
    <row r="978" spans="1:1" x14ac:dyDescent="0.2">
      <c r="A978" s="29"/>
    </row>
    <row r="979" spans="1:1" x14ac:dyDescent="0.2">
      <c r="A979" s="29"/>
    </row>
    <row r="980" spans="1:1" x14ac:dyDescent="0.2">
      <c r="A980" s="29"/>
    </row>
    <row r="981" spans="1:1" x14ac:dyDescent="0.2">
      <c r="A981" s="29"/>
    </row>
    <row r="982" spans="1:1" x14ac:dyDescent="0.2">
      <c r="A982" s="29"/>
    </row>
    <row r="983" spans="1:1" x14ac:dyDescent="0.2">
      <c r="A983" s="29"/>
    </row>
    <row r="984" spans="1:1" x14ac:dyDescent="0.2">
      <c r="A984" s="29"/>
    </row>
    <row r="985" spans="1:1" x14ac:dyDescent="0.2">
      <c r="A985" s="29"/>
    </row>
    <row r="986" spans="1:1" x14ac:dyDescent="0.2">
      <c r="A986" s="29"/>
    </row>
    <row r="987" spans="1:1" x14ac:dyDescent="0.2">
      <c r="A987" s="29"/>
    </row>
    <row r="988" spans="1:1" x14ac:dyDescent="0.2">
      <c r="A988" s="29"/>
    </row>
    <row r="989" spans="1:1" x14ac:dyDescent="0.2">
      <c r="A989" s="29"/>
    </row>
    <row r="990" spans="1:1" x14ac:dyDescent="0.2">
      <c r="A990" s="29"/>
    </row>
    <row r="991" spans="1:1" x14ac:dyDescent="0.2">
      <c r="A991" s="29"/>
    </row>
    <row r="992" spans="1:1" x14ac:dyDescent="0.2">
      <c r="A992" s="29"/>
    </row>
    <row r="993" spans="1:1" x14ac:dyDescent="0.2">
      <c r="A993" s="29"/>
    </row>
    <row r="994" spans="1:1" x14ac:dyDescent="0.2">
      <c r="A994" s="29"/>
    </row>
    <row r="995" spans="1:1" x14ac:dyDescent="0.2">
      <c r="A995" s="29"/>
    </row>
  </sheetData>
  <phoneticPr fontId="8" type="noConversion"/>
  <pageMargins left="0.2" right="0.22" top="0.86333333333333329" bottom="0.38" header="0.45" footer="0.2"/>
  <pageSetup scale="56" orientation="landscape" r:id="rId1"/>
  <headerFooter alignWithMargins="0">
    <oddHeader xml:space="preserve">&amp;C&amp;"Arial,Bold"&amp;14&amp;A&amp;R&amp;"Times New Roman,Bold"KyPSC Case No. 2024-00354
AG-DR-02-043 Attachment
Page &amp;P of &amp;N&amp;"Arial,Regular"
</oddHeader>
    <oddFooter>&amp;L&amp;D
&amp;R&amp;"Arial,Bold"&amp;14&amp;KFF0000A1</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1:DI44"/>
  <sheetViews>
    <sheetView view="pageLayout" zoomScaleNormal="80" workbookViewId="0">
      <selection activeCell="AZ445" sqref="AZ445"/>
    </sheetView>
  </sheetViews>
  <sheetFormatPr defaultColWidth="14.85546875" defaultRowHeight="12.75" outlineLevelCol="1" x14ac:dyDescent="0.2"/>
  <cols>
    <col min="1" max="1" width="15.42578125" customWidth="1"/>
    <col min="2" max="2" width="35" customWidth="1"/>
    <col min="3" max="26" width="15.5703125" style="23" customWidth="1" outlineLevel="1"/>
    <col min="27" max="30" width="12.42578125" style="23" customWidth="1" outlineLevel="1"/>
    <col min="31" max="31" width="12.42578125" customWidth="1" outlineLevel="1"/>
    <col min="32" max="38" width="12.42578125" customWidth="1" outlineLevel="1" collapsed="1"/>
    <col min="39" max="39" width="12.42578125" customWidth="1" outlineLevel="1"/>
    <col min="40" max="40" width="13.42578125" customWidth="1" outlineLevel="1"/>
    <col min="41" max="43" width="14.85546875" customWidth="1" outlineLevel="1"/>
    <col min="44" max="46" width="14.85546875" customWidth="1" outlineLevel="1" collapsed="1"/>
    <col min="47" max="47" width="14.85546875" customWidth="1" outlineLevel="1"/>
    <col min="48" max="49" width="14.85546875" customWidth="1" outlineLevel="1" collapsed="1"/>
    <col min="50" max="50" width="14.85546875" customWidth="1" outlineLevel="1"/>
    <col min="51" max="51" width="14.85546875" customWidth="1" outlineLevel="1" collapsed="1"/>
    <col min="52" max="55" width="14.85546875" customWidth="1" outlineLevel="1"/>
    <col min="56" max="56" width="14.85546875" customWidth="1" outlineLevel="1" collapsed="1"/>
    <col min="57" max="58" width="14.85546875" customWidth="1" outlineLevel="1"/>
    <col min="59" max="59" width="14.85546875" customWidth="1" outlineLevel="1" collapsed="1"/>
    <col min="60" max="61" width="14.85546875" customWidth="1" outlineLevel="1"/>
    <col min="62" max="62" width="14.85546875" customWidth="1" outlineLevel="1" collapsed="1"/>
    <col min="63" max="73" width="14.85546875" customWidth="1" outlineLevel="1"/>
    <col min="74" max="74" width="14.85546875" customWidth="1" outlineLevel="1" collapsed="1"/>
    <col min="75" max="75" width="14.85546875" customWidth="1" outlineLevel="1"/>
    <col min="76" max="76" width="14.7109375" customWidth="1" outlineLevel="1"/>
    <col min="77" max="85" width="14.85546875" customWidth="1" outlineLevel="1"/>
    <col min="86" max="98" width="14.85546875" customWidth="1"/>
  </cols>
  <sheetData>
    <row r="1" spans="1:113" x14ac:dyDescent="0.2">
      <c r="C1" s="9">
        <v>42035</v>
      </c>
      <c r="D1" s="9">
        <v>42063</v>
      </c>
      <c r="E1" s="9">
        <v>42094</v>
      </c>
      <c r="F1" s="9">
        <v>42095</v>
      </c>
      <c r="G1" s="9">
        <v>42125</v>
      </c>
      <c r="H1" s="9">
        <v>42185</v>
      </c>
      <c r="I1" s="9">
        <v>42186</v>
      </c>
      <c r="J1" s="9">
        <v>42217</v>
      </c>
      <c r="K1" s="9">
        <v>42248</v>
      </c>
      <c r="L1" s="9">
        <v>42278</v>
      </c>
      <c r="M1" s="9">
        <v>42309</v>
      </c>
      <c r="N1" s="9">
        <v>42339</v>
      </c>
      <c r="O1" s="9">
        <v>42400</v>
      </c>
      <c r="P1" s="9">
        <v>42429</v>
      </c>
      <c r="Q1" s="9">
        <v>42460</v>
      </c>
      <c r="R1" s="9">
        <v>42461</v>
      </c>
      <c r="S1" s="9">
        <v>42491</v>
      </c>
      <c r="T1" s="9">
        <v>42522</v>
      </c>
      <c r="U1" s="9">
        <v>42552</v>
      </c>
      <c r="V1" s="9">
        <v>42583</v>
      </c>
      <c r="W1" s="9">
        <v>42614</v>
      </c>
      <c r="X1" s="9">
        <v>42644</v>
      </c>
      <c r="Y1" s="9">
        <v>42675</v>
      </c>
      <c r="Z1" s="9">
        <v>42735</v>
      </c>
      <c r="AA1" s="9">
        <v>42766</v>
      </c>
      <c r="AB1" s="9">
        <v>42794</v>
      </c>
      <c r="AC1" s="9">
        <v>42825</v>
      </c>
      <c r="AD1" s="9">
        <v>42855</v>
      </c>
      <c r="AE1" s="9">
        <v>42886</v>
      </c>
      <c r="AF1" s="9">
        <v>42916</v>
      </c>
      <c r="AG1" s="9">
        <v>42947</v>
      </c>
      <c r="AH1" s="9">
        <v>42978</v>
      </c>
      <c r="AI1" s="9">
        <v>43008</v>
      </c>
      <c r="AJ1" s="9">
        <v>43039</v>
      </c>
      <c r="AK1" s="9">
        <v>43069</v>
      </c>
      <c r="AL1" s="9">
        <v>43100</v>
      </c>
      <c r="AM1" s="9">
        <v>43131</v>
      </c>
      <c r="AN1" s="9">
        <v>43159</v>
      </c>
      <c r="AO1" s="9">
        <v>43190</v>
      </c>
      <c r="AP1" s="9">
        <v>43220</v>
      </c>
      <c r="AQ1" s="9">
        <v>43221</v>
      </c>
      <c r="AR1" s="9">
        <v>43252</v>
      </c>
      <c r="AS1" s="9">
        <v>43282</v>
      </c>
      <c r="AT1" s="9">
        <v>43313</v>
      </c>
      <c r="AU1" s="9">
        <v>43344</v>
      </c>
      <c r="AV1" s="9">
        <v>43374</v>
      </c>
      <c r="AW1" s="9">
        <v>43405</v>
      </c>
      <c r="AX1" s="9">
        <v>43435</v>
      </c>
      <c r="AY1" s="9">
        <v>43466</v>
      </c>
      <c r="AZ1" s="9">
        <v>43497</v>
      </c>
      <c r="BA1" s="9">
        <v>43525</v>
      </c>
      <c r="BB1" s="9">
        <v>43556</v>
      </c>
      <c r="BC1" s="9">
        <v>43586</v>
      </c>
      <c r="BD1" s="9">
        <v>43617</v>
      </c>
      <c r="BE1" s="9">
        <v>43647</v>
      </c>
      <c r="BF1" s="9">
        <v>43678</v>
      </c>
      <c r="BG1" s="9">
        <v>43709</v>
      </c>
      <c r="BH1" s="9">
        <v>43739</v>
      </c>
      <c r="BI1" s="9">
        <v>43770</v>
      </c>
      <c r="BJ1" s="9">
        <v>43800</v>
      </c>
      <c r="BK1" s="9">
        <v>43831</v>
      </c>
      <c r="BL1" s="9">
        <v>43862</v>
      </c>
      <c r="BM1" s="9">
        <v>43891</v>
      </c>
      <c r="BN1" s="9">
        <v>43922</v>
      </c>
      <c r="BO1" s="9">
        <v>43952</v>
      </c>
      <c r="BP1" s="9">
        <v>43983</v>
      </c>
      <c r="BQ1" s="9">
        <v>44013</v>
      </c>
      <c r="BR1" s="9">
        <v>44044</v>
      </c>
      <c r="BS1" s="9">
        <v>44075</v>
      </c>
      <c r="BT1" s="9">
        <v>44105</v>
      </c>
      <c r="BU1" s="9">
        <v>44136</v>
      </c>
      <c r="BV1" s="9" t="e">
        <f>#REF!</f>
        <v>#REF!</v>
      </c>
      <c r="BW1" s="9">
        <v>44197</v>
      </c>
      <c r="BX1" s="9">
        <v>44228</v>
      </c>
      <c r="BY1" s="9" t="e">
        <f>#REF!</f>
        <v>#REF!</v>
      </c>
      <c r="BZ1" s="9" t="e">
        <f>#REF!</f>
        <v>#REF!</v>
      </c>
      <c r="CA1" s="9">
        <v>44317</v>
      </c>
      <c r="CB1" s="9">
        <v>44348</v>
      </c>
      <c r="CC1" s="9">
        <v>44378</v>
      </c>
      <c r="CD1" s="9">
        <v>44409</v>
      </c>
      <c r="CE1" s="9">
        <v>44440</v>
      </c>
      <c r="CF1" s="9">
        <v>44470</v>
      </c>
      <c r="CG1" s="9">
        <v>44501</v>
      </c>
      <c r="CH1" s="9">
        <v>44531</v>
      </c>
      <c r="CI1" s="9">
        <v>44562</v>
      </c>
      <c r="CJ1" s="9">
        <v>44593</v>
      </c>
      <c r="CK1" s="9">
        <v>44621</v>
      </c>
      <c r="CL1" s="9">
        <v>44652</v>
      </c>
      <c r="CM1" s="9">
        <v>44682</v>
      </c>
      <c r="CN1" s="9">
        <v>44713</v>
      </c>
      <c r="CO1" s="9">
        <v>44743</v>
      </c>
      <c r="CP1" s="9">
        <v>44774</v>
      </c>
      <c r="CQ1" s="9">
        <v>44805</v>
      </c>
      <c r="CR1" s="9">
        <v>44835</v>
      </c>
      <c r="CS1" s="9">
        <v>44866</v>
      </c>
      <c r="CT1" s="9">
        <v>44896</v>
      </c>
      <c r="CU1" s="9">
        <v>44927</v>
      </c>
      <c r="CV1" s="9">
        <v>44958</v>
      </c>
      <c r="CW1" s="9">
        <v>44986</v>
      </c>
      <c r="CX1" s="9" t="e">
        <f>#REF!</f>
        <v>#REF!</v>
      </c>
      <c r="CY1" s="9" t="e">
        <f>#REF!</f>
        <v>#REF!</v>
      </c>
      <c r="CZ1" s="9">
        <v>45078</v>
      </c>
      <c r="DA1" s="9" t="e">
        <f>#REF!</f>
        <v>#REF!</v>
      </c>
      <c r="DB1" s="9" t="e">
        <f>#REF!</f>
        <v>#REF!</v>
      </c>
      <c r="DC1" s="9" t="e">
        <f>#REF!</f>
        <v>#REF!</v>
      </c>
      <c r="DD1" s="9" t="e">
        <f>#REF!</f>
        <v>#REF!</v>
      </c>
      <c r="DE1" s="9">
        <v>45231</v>
      </c>
      <c r="DF1" s="9">
        <v>45261</v>
      </c>
      <c r="DG1" s="9">
        <v>45292</v>
      </c>
    </row>
    <row r="2" spans="1:113" x14ac:dyDescent="0.2">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row>
    <row r="3" spans="1:113" x14ac:dyDescent="0.2">
      <c r="A3" s="1" t="s">
        <v>25</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row>
    <row r="4" spans="1:113" x14ac:dyDescent="0.2">
      <c r="A4" s="50" t="s">
        <v>70</v>
      </c>
      <c r="B4" t="s">
        <v>0</v>
      </c>
      <c r="C4" s="63">
        <v>48965104.850000001</v>
      </c>
      <c r="D4" s="63">
        <v>53759621.619999997</v>
      </c>
      <c r="E4" s="63">
        <v>47132673.579999998</v>
      </c>
      <c r="F4" s="63">
        <v>37311982.270000003</v>
      </c>
      <c r="G4" s="63">
        <v>33381711.82</v>
      </c>
      <c r="H4" s="63">
        <v>31918583.379999999</v>
      </c>
      <c r="I4" s="63">
        <v>30649114.59</v>
      </c>
      <c r="J4" s="63">
        <v>31811717.050000001</v>
      </c>
      <c r="K4" s="63">
        <v>29999789.899999999</v>
      </c>
      <c r="L4" s="63">
        <v>25139824.140000001</v>
      </c>
      <c r="M4" s="63">
        <v>24928060.079999998</v>
      </c>
      <c r="N4" s="63">
        <v>30458510.109999999</v>
      </c>
      <c r="O4" s="63">
        <v>40716531.170000002</v>
      </c>
      <c r="P4" s="63">
        <v>43231524.840000004</v>
      </c>
      <c r="Q4" s="63">
        <v>34186308.399999999</v>
      </c>
      <c r="R4" s="63">
        <v>29940032.82</v>
      </c>
      <c r="S4" s="63">
        <v>27237062.239999998</v>
      </c>
      <c r="T4" s="63">
        <v>30256338.390000001</v>
      </c>
      <c r="U4" s="63">
        <v>33790163.369999997</v>
      </c>
      <c r="V4" s="63">
        <v>30077542.030000001</v>
      </c>
      <c r="W4" s="63">
        <v>31035197.02</v>
      </c>
      <c r="X4" s="63">
        <v>26205138.739999998</v>
      </c>
      <c r="Y4" s="63">
        <v>25367163.399999999</v>
      </c>
      <c r="Z4" s="63">
        <v>35764634.450000003</v>
      </c>
      <c r="AA4" s="63">
        <v>42876883.880000003</v>
      </c>
      <c r="AB4" s="63">
        <v>40664725.649999999</v>
      </c>
      <c r="AC4" s="63">
        <v>33299302.140000001</v>
      </c>
      <c r="AD4" s="67">
        <v>31432286.800000001</v>
      </c>
      <c r="AE4" s="67">
        <v>25912657.640000001</v>
      </c>
      <c r="AF4" s="67">
        <v>27139899.66</v>
      </c>
      <c r="AG4" s="67">
        <v>32103198.93</v>
      </c>
      <c r="AH4" s="67">
        <v>28338852.579999998</v>
      </c>
      <c r="AI4" s="67">
        <v>27661619.989999998</v>
      </c>
      <c r="AJ4" s="67">
        <v>22939676.890000001</v>
      </c>
      <c r="AK4" s="67">
        <v>26140045.800000001</v>
      </c>
      <c r="AL4" s="67">
        <v>33577898.460000001</v>
      </c>
      <c r="AM4" s="67">
        <v>46450902.43</v>
      </c>
      <c r="AN4" s="67">
        <v>41982702.729999997</v>
      </c>
      <c r="AO4" s="67">
        <v>37186129.619999997</v>
      </c>
      <c r="AP4" s="67">
        <v>35993804.100000001</v>
      </c>
      <c r="AQ4" s="73">
        <v>31892073.670000002</v>
      </c>
      <c r="AR4" s="73">
        <v>34466665.920000002</v>
      </c>
      <c r="AS4" s="73">
        <v>37447601.719999999</v>
      </c>
      <c r="AT4" s="73">
        <v>30905084.98</v>
      </c>
      <c r="AU4" s="73">
        <v>33465295.280000001</v>
      </c>
      <c r="AV4" s="73">
        <v>29228870.25</v>
      </c>
      <c r="AW4" s="73">
        <v>28344038.530000001</v>
      </c>
      <c r="AX4" s="73">
        <v>42323426.219999999</v>
      </c>
      <c r="AY4" s="73">
        <v>46948484.600000001</v>
      </c>
      <c r="AZ4" s="73">
        <v>46365260.340000004</v>
      </c>
      <c r="BA4" s="73">
        <v>42241682.380000003</v>
      </c>
      <c r="BB4" s="73">
        <v>34101695.549999997</v>
      </c>
      <c r="BC4" s="73">
        <v>28930644</v>
      </c>
      <c r="BD4" s="73">
        <v>32932071.920000002</v>
      </c>
      <c r="BE4" s="73">
        <v>33475358.170000002</v>
      </c>
      <c r="BF4" s="73">
        <v>28727535.640000001</v>
      </c>
      <c r="BG4" s="73">
        <v>30955235.859999999</v>
      </c>
      <c r="BH4" s="73">
        <v>25784232.719999999</v>
      </c>
      <c r="BI4" s="73">
        <v>30221515.149999999</v>
      </c>
      <c r="BJ4" s="73">
        <v>38412223.390000001</v>
      </c>
      <c r="BK4" s="73">
        <v>41057698.18</v>
      </c>
      <c r="BL4" s="73">
        <v>41169381.020000003</v>
      </c>
      <c r="BM4" s="73">
        <v>36503459.43</v>
      </c>
      <c r="BN4" s="73">
        <v>30937059.640000001</v>
      </c>
      <c r="BO4" s="73">
        <v>31155066.510000002</v>
      </c>
      <c r="BP4" s="73">
        <v>33272901.510000002</v>
      </c>
      <c r="BQ4" s="73">
        <v>33789483.299999997</v>
      </c>
      <c r="BR4" s="73">
        <v>33300708.489999998</v>
      </c>
      <c r="BS4" s="73">
        <v>36215938.990000002</v>
      </c>
      <c r="BT4" s="73">
        <v>30506319.52</v>
      </c>
      <c r="BU4" s="73">
        <v>34616523.240000002</v>
      </c>
      <c r="BV4" s="73">
        <v>42206872.869999997</v>
      </c>
      <c r="BW4" s="73">
        <v>52586126.229999997</v>
      </c>
      <c r="BX4" s="73">
        <v>53818950.579999998</v>
      </c>
      <c r="BY4" s="73">
        <v>42189745.829999998</v>
      </c>
      <c r="BZ4" s="73">
        <v>35874494.689999998</v>
      </c>
      <c r="CA4" s="73">
        <v>35070942.759999998</v>
      </c>
      <c r="CB4" s="73">
        <v>34417801.710000001</v>
      </c>
      <c r="CC4" s="73">
        <v>38407109.75</v>
      </c>
      <c r="CD4" s="73">
        <v>35117040.329999998</v>
      </c>
      <c r="CE4" s="73">
        <v>34382989.340000004</v>
      </c>
      <c r="CF4" s="73">
        <v>29133037.039999999</v>
      </c>
      <c r="CG4" s="73">
        <v>33138856.079999998</v>
      </c>
      <c r="CH4" s="73">
        <v>47921955.340000004</v>
      </c>
      <c r="CI4" s="73">
        <v>68659102.739999995</v>
      </c>
      <c r="CJ4" s="73">
        <v>69721276.060000002</v>
      </c>
      <c r="CK4" s="73">
        <v>47568107.039999999</v>
      </c>
      <c r="CL4" s="73">
        <v>41305257.259999998</v>
      </c>
      <c r="CM4" s="73">
        <v>42715567.960000001</v>
      </c>
      <c r="CN4" s="73">
        <v>32541168.449999999</v>
      </c>
      <c r="CO4" s="73">
        <v>49425900.530000001</v>
      </c>
      <c r="CP4" s="73">
        <v>44162084.390000001</v>
      </c>
      <c r="CQ4" s="73">
        <v>45319520.950000003</v>
      </c>
      <c r="CR4" s="73">
        <v>44948612.780000001</v>
      </c>
      <c r="CS4" s="73">
        <v>39174464.979999997</v>
      </c>
      <c r="CT4" s="73">
        <v>59752747</v>
      </c>
      <c r="CU4" s="73">
        <v>65227560.060000002</v>
      </c>
      <c r="CV4" s="73">
        <v>59346238.649999999</v>
      </c>
      <c r="CW4" s="73">
        <v>44511428.289999999</v>
      </c>
      <c r="CX4" s="73">
        <v>41846500.950000003</v>
      </c>
      <c r="CY4" s="73">
        <v>34693291.259999998</v>
      </c>
      <c r="CZ4" s="73">
        <v>39732697.740000002</v>
      </c>
      <c r="DA4" s="73">
        <v>39009081.32</v>
      </c>
      <c r="DB4" s="73">
        <v>37430429.560000002</v>
      </c>
      <c r="DC4" s="73">
        <v>41673897.380000003</v>
      </c>
      <c r="DD4" s="73">
        <v>34930024.789999999</v>
      </c>
      <c r="DE4" s="73">
        <v>37810421.770000003</v>
      </c>
      <c r="DF4" s="73">
        <v>49762287.710000001</v>
      </c>
      <c r="DG4" s="73">
        <v>65615241.18</v>
      </c>
    </row>
    <row r="5" spans="1:113" x14ac:dyDescent="0.2">
      <c r="A5" s="50" t="s">
        <v>74</v>
      </c>
      <c r="B5" t="s">
        <v>54</v>
      </c>
      <c r="C5" s="63">
        <v>336289.41000000003</v>
      </c>
      <c r="D5" s="63">
        <v>365486.13</v>
      </c>
      <c r="E5" s="63">
        <v>284637.71999999997</v>
      </c>
      <c r="F5" s="63">
        <v>193404.55999999997</v>
      </c>
      <c r="G5" s="63">
        <v>184931.74999999997</v>
      </c>
      <c r="H5" s="63">
        <v>183995.36999999997</v>
      </c>
      <c r="I5" s="63">
        <v>195759.99999999997</v>
      </c>
      <c r="J5" s="63">
        <v>187667.92999999996</v>
      </c>
      <c r="K5" s="63">
        <v>188111.24999999997</v>
      </c>
      <c r="L5" s="63">
        <v>197201.21999999997</v>
      </c>
      <c r="M5" s="63">
        <v>275186.25</v>
      </c>
      <c r="N5" s="63">
        <v>188201.56</v>
      </c>
      <c r="O5" s="63">
        <v>247370.36</v>
      </c>
      <c r="P5" s="63">
        <v>312561.88</v>
      </c>
      <c r="Q5" s="63">
        <v>259047.03</v>
      </c>
      <c r="R5" s="63">
        <v>266403.11</v>
      </c>
      <c r="S5" s="63">
        <v>270792.43</v>
      </c>
      <c r="T5" s="63">
        <v>194046.78</v>
      </c>
      <c r="U5" s="63">
        <v>189448.01</v>
      </c>
      <c r="V5" s="63">
        <v>197886.48</v>
      </c>
      <c r="W5" s="63">
        <v>188969.75</v>
      </c>
      <c r="X5" s="63">
        <v>192747.46</v>
      </c>
      <c r="Y5" s="63">
        <v>309800.8</v>
      </c>
      <c r="Z5" s="63">
        <v>189364.18</v>
      </c>
      <c r="AA5" s="63">
        <f>Z5+84657.5</f>
        <v>274021.68</v>
      </c>
      <c r="AB5" s="63">
        <f>AA5+178589.93</f>
        <v>452611.61</v>
      </c>
      <c r="AC5" s="63">
        <f>AB5+93116.92</f>
        <v>545728.53</v>
      </c>
      <c r="AD5" s="67">
        <f>AC5-291971.68</f>
        <v>253756.85000000003</v>
      </c>
      <c r="AE5" s="67">
        <f>AD5-26382.66</f>
        <v>227374.19000000003</v>
      </c>
      <c r="AF5" s="67">
        <f>AE5-31759.01</f>
        <v>195615.18000000002</v>
      </c>
      <c r="AG5" s="67">
        <f>AF5-1249.42</f>
        <v>194365.76</v>
      </c>
      <c r="AH5" s="67">
        <f>AG5+6139.8</f>
        <v>200505.56</v>
      </c>
      <c r="AI5" s="67">
        <f>AH5+11707.44</f>
        <v>212213</v>
      </c>
      <c r="AJ5" s="67">
        <f>AI5+3832.51</f>
        <v>216045.51</v>
      </c>
      <c r="AK5" s="67">
        <f>AJ5+76317.27</f>
        <v>292362.78000000003</v>
      </c>
      <c r="AL5" s="67">
        <f>AK5-32032.55</f>
        <v>260330.23000000004</v>
      </c>
      <c r="AM5" s="67">
        <f>AL5+105431.51</f>
        <v>365761.74000000005</v>
      </c>
      <c r="AN5" s="67">
        <f>AM5+122510.34</f>
        <v>488272.08000000007</v>
      </c>
      <c r="AO5" s="67">
        <f>AN5-205632.53</f>
        <v>282639.55000000005</v>
      </c>
      <c r="AP5" s="67">
        <f>AO5-86928.96</f>
        <v>195710.59000000003</v>
      </c>
      <c r="AQ5" s="63">
        <v>172790.69000000003</v>
      </c>
      <c r="AR5" s="63">
        <v>183078.15000000002</v>
      </c>
      <c r="AS5" s="63">
        <v>191664.15000000002</v>
      </c>
      <c r="AT5" s="63">
        <v>190100.09000000003</v>
      </c>
      <c r="AU5" s="63">
        <v>194456.98000000004</v>
      </c>
      <c r="AV5" s="63">
        <v>188102.46000000005</v>
      </c>
      <c r="AW5" s="63">
        <v>255579.67000000004</v>
      </c>
      <c r="AX5" s="63">
        <v>288990.46000000002</v>
      </c>
      <c r="AY5" s="63">
        <v>379467.81000000006</v>
      </c>
      <c r="AZ5" s="63">
        <v>501589.18000000005</v>
      </c>
      <c r="BA5" s="63">
        <v>666905.76</v>
      </c>
      <c r="BB5" s="63">
        <v>490733.39</v>
      </c>
      <c r="BC5" s="63">
        <v>300766.93000000005</v>
      </c>
      <c r="BD5" s="63">
        <v>182626.47000000003</v>
      </c>
      <c r="BE5" s="63">
        <v>181888.70000000004</v>
      </c>
      <c r="BF5" s="63">
        <v>202631.71000000005</v>
      </c>
      <c r="BG5" s="70">
        <v>195598.29000000004</v>
      </c>
      <c r="BH5" s="70">
        <v>220322.45000000004</v>
      </c>
      <c r="BI5" s="70">
        <v>287649.55000000005</v>
      </c>
      <c r="BJ5" s="70">
        <v>336339.26000000007</v>
      </c>
      <c r="BK5" s="70">
        <v>324502.07000000007</v>
      </c>
      <c r="BL5" s="70">
        <v>329063.13000000006</v>
      </c>
      <c r="BM5" s="70">
        <v>386707.98000000004</v>
      </c>
      <c r="BN5" s="70">
        <v>397381.33</v>
      </c>
      <c r="BO5" s="70">
        <v>431663.46</v>
      </c>
      <c r="BP5" s="70">
        <v>431480.85000000003</v>
      </c>
      <c r="BQ5" s="70">
        <v>496723.37000000005</v>
      </c>
      <c r="BR5" s="70">
        <v>444662.58000000007</v>
      </c>
      <c r="BS5" s="70">
        <v>518199.35000000009</v>
      </c>
      <c r="BT5" s="70">
        <v>335597.9200000001</v>
      </c>
      <c r="BU5" s="70">
        <v>336635.69000000012</v>
      </c>
      <c r="BV5" s="70">
        <v>216373.40000000014</v>
      </c>
      <c r="BW5" s="70">
        <v>281520.49000000011</v>
      </c>
      <c r="BX5" s="70">
        <v>499717.26000000013</v>
      </c>
      <c r="BY5" s="70">
        <v>325125.81000000011</v>
      </c>
      <c r="BZ5" s="70">
        <v>277330.8000000001</v>
      </c>
      <c r="CA5" s="70">
        <v>289731.3600000001</v>
      </c>
      <c r="CB5" s="70">
        <v>230853.68000000011</v>
      </c>
      <c r="CC5" s="70">
        <v>294622.94000000012</v>
      </c>
      <c r="CD5" s="70">
        <v>392807.6700000001</v>
      </c>
      <c r="CE5" s="70">
        <v>381581.57000000012</v>
      </c>
      <c r="CF5" s="70">
        <v>306955.01000000013</v>
      </c>
      <c r="CG5" s="70">
        <v>245624.80000000013</v>
      </c>
      <c r="CH5" s="70">
        <v>200050.01000000013</v>
      </c>
      <c r="CI5" s="70">
        <v>249278.14000000013</v>
      </c>
      <c r="CJ5" s="70">
        <v>368792.06000000011</v>
      </c>
      <c r="CK5" s="70">
        <v>415354.50000000012</v>
      </c>
      <c r="CL5" s="70">
        <v>600633.42000000016</v>
      </c>
      <c r="CM5" s="70">
        <v>896251.9600000002</v>
      </c>
      <c r="CN5" s="70">
        <v>984016.82000000018</v>
      </c>
      <c r="CO5" s="70">
        <v>1045710.6800000002</v>
      </c>
      <c r="CP5" s="70">
        <v>1135036.1800000002</v>
      </c>
      <c r="CQ5" s="70">
        <v>1292256.0200000003</v>
      </c>
      <c r="CR5" s="70">
        <v>1335334.6900000002</v>
      </c>
      <c r="CS5" s="70">
        <v>1410827.4500000002</v>
      </c>
      <c r="CT5" s="70">
        <v>1478437.5400000003</v>
      </c>
      <c r="CU5" s="70">
        <v>1544565.5700000003</v>
      </c>
      <c r="CV5" s="70">
        <v>1578488.0100000002</v>
      </c>
      <c r="CW5" s="70">
        <v>1666087.1100000003</v>
      </c>
      <c r="CX5" s="70">
        <v>1667320.9200000004</v>
      </c>
      <c r="CY5" s="70">
        <v>1692324.3100000003</v>
      </c>
      <c r="CZ5" s="70">
        <v>1756055.2400000002</v>
      </c>
      <c r="DA5" s="70">
        <v>1788703.8400000003</v>
      </c>
      <c r="DB5" s="70">
        <v>1803818.3200000003</v>
      </c>
      <c r="DC5" s="70">
        <v>1813249.6100000003</v>
      </c>
      <c r="DD5" s="70">
        <v>1865136.4300000004</v>
      </c>
      <c r="DE5" s="70">
        <v>1908904.0500000005</v>
      </c>
      <c r="DF5" s="70">
        <v>1920895.0300000005</v>
      </c>
      <c r="DG5" s="70">
        <v>1977029.8000000005</v>
      </c>
      <c r="DI5" s="71"/>
    </row>
    <row r="6" spans="1:113" x14ac:dyDescent="0.2">
      <c r="A6" s="50" t="s">
        <v>73</v>
      </c>
      <c r="B6" t="s">
        <v>1</v>
      </c>
      <c r="C6" s="63">
        <v>12333000</v>
      </c>
      <c r="D6" s="63">
        <v>12441000</v>
      </c>
      <c r="E6" s="63">
        <v>10147000</v>
      </c>
      <c r="F6" s="63">
        <v>9062000</v>
      </c>
      <c r="G6" s="63">
        <v>11127000</v>
      </c>
      <c r="H6" s="63">
        <v>12962000</v>
      </c>
      <c r="I6" s="63">
        <v>14197000</v>
      </c>
      <c r="J6" s="63">
        <v>14271000</v>
      </c>
      <c r="K6" s="63">
        <v>12522000</v>
      </c>
      <c r="L6" s="63">
        <v>10661000</v>
      </c>
      <c r="M6" s="63">
        <v>11920000</v>
      </c>
      <c r="N6" s="63">
        <v>10955000</v>
      </c>
      <c r="O6" s="63">
        <v>12141000</v>
      </c>
      <c r="P6" s="63">
        <v>11436000</v>
      </c>
      <c r="Q6" s="63">
        <v>9709000</v>
      </c>
      <c r="R6" s="63">
        <v>9838000</v>
      </c>
      <c r="S6" s="63">
        <v>12535000</v>
      </c>
      <c r="T6" s="63">
        <v>13581154</v>
      </c>
      <c r="U6" s="63">
        <v>15075897</v>
      </c>
      <c r="V6" s="63">
        <v>15433639</v>
      </c>
      <c r="W6" s="63">
        <v>14153134</v>
      </c>
      <c r="X6" s="63">
        <v>12427892</v>
      </c>
      <c r="Y6" s="63">
        <v>13018040</v>
      </c>
      <c r="Z6" s="63">
        <v>13881115</v>
      </c>
      <c r="AA6" s="63">
        <v>12387602</v>
      </c>
      <c r="AB6" s="63">
        <v>10927431</v>
      </c>
      <c r="AC6" s="63">
        <v>10686455</v>
      </c>
      <c r="AD6" s="67">
        <v>10173140</v>
      </c>
      <c r="AE6" s="67">
        <v>11407161</v>
      </c>
      <c r="AF6" s="67">
        <v>13307296</v>
      </c>
      <c r="AG6" s="67">
        <v>14902260</v>
      </c>
      <c r="AH6" s="67">
        <v>14164063</v>
      </c>
      <c r="AI6" s="67">
        <v>12966636</v>
      </c>
      <c r="AJ6" s="67">
        <v>12666590</v>
      </c>
      <c r="AK6" s="67">
        <v>13930038</v>
      </c>
      <c r="AL6" s="67">
        <v>16221711</v>
      </c>
      <c r="AM6" s="67">
        <v>12977163</v>
      </c>
      <c r="AN6" s="67">
        <v>12009788</v>
      </c>
      <c r="AO6" s="67">
        <v>10988938</v>
      </c>
      <c r="AP6" s="67">
        <v>11195961</v>
      </c>
      <c r="AQ6" s="73">
        <v>14665694</v>
      </c>
      <c r="AR6" s="73">
        <v>16229918</v>
      </c>
      <c r="AS6" s="73">
        <v>14747626</v>
      </c>
      <c r="AT6" s="73">
        <v>15877559</v>
      </c>
      <c r="AU6" s="73">
        <v>15141028</v>
      </c>
      <c r="AV6" s="73">
        <v>14208188</v>
      </c>
      <c r="AW6" s="73">
        <v>15957383</v>
      </c>
      <c r="AX6" s="73">
        <v>15715472</v>
      </c>
      <c r="AY6" s="73">
        <v>14914694</v>
      </c>
      <c r="AZ6" s="73">
        <v>12080506</v>
      </c>
      <c r="BA6" s="73">
        <v>11949705</v>
      </c>
      <c r="BB6" s="73">
        <v>11161606</v>
      </c>
      <c r="BC6" s="73">
        <v>14421821</v>
      </c>
      <c r="BD6" s="73">
        <v>14657382</v>
      </c>
      <c r="BE6" s="73">
        <v>15277678</v>
      </c>
      <c r="BF6" s="73">
        <v>15544983</v>
      </c>
      <c r="BG6" s="73">
        <v>15379628</v>
      </c>
      <c r="BH6" s="73">
        <v>12766737</v>
      </c>
      <c r="BI6" s="73">
        <v>17156526</v>
      </c>
      <c r="BJ6" s="73">
        <v>15455552</v>
      </c>
      <c r="BK6" s="73">
        <v>11927629</v>
      </c>
      <c r="BL6" s="73">
        <v>12502118</v>
      </c>
      <c r="BM6" s="73">
        <v>11471965</v>
      </c>
      <c r="BN6" s="73">
        <v>10341242</v>
      </c>
      <c r="BO6" s="73">
        <v>12836949</v>
      </c>
      <c r="BP6" s="73">
        <v>14801074</v>
      </c>
      <c r="BQ6" s="73">
        <v>16167140</v>
      </c>
      <c r="BR6" s="73">
        <v>17018550</v>
      </c>
      <c r="BS6" s="73">
        <v>13913786</v>
      </c>
      <c r="BT6" s="73">
        <v>13897139</v>
      </c>
      <c r="BU6" s="73">
        <v>15162740</v>
      </c>
      <c r="BV6" s="73">
        <v>15219345</v>
      </c>
      <c r="BW6" s="73">
        <v>12026360</v>
      </c>
      <c r="BX6" s="73">
        <v>13043105.949999999</v>
      </c>
      <c r="BY6" s="73">
        <v>10825176</v>
      </c>
      <c r="BZ6" s="73">
        <v>10510253</v>
      </c>
      <c r="CA6" s="73">
        <v>12193961</v>
      </c>
      <c r="CB6" s="73">
        <v>14772326</v>
      </c>
      <c r="CC6" s="73">
        <v>14573922</v>
      </c>
      <c r="CD6" s="73">
        <v>17331065</v>
      </c>
      <c r="CE6" s="73">
        <v>13426887</v>
      </c>
      <c r="CF6" s="73">
        <v>15694088</v>
      </c>
      <c r="CG6" s="73">
        <v>18346649</v>
      </c>
      <c r="CH6" s="73">
        <v>19401430</v>
      </c>
      <c r="CI6" s="73">
        <v>17986770</v>
      </c>
      <c r="CJ6" s="73">
        <v>13540328.84</v>
      </c>
      <c r="CK6" s="73">
        <v>12279291.27</v>
      </c>
      <c r="CL6" s="73">
        <v>19379659</v>
      </c>
      <c r="CM6" s="73">
        <v>25362238</v>
      </c>
      <c r="CN6" s="73">
        <v>30372969</v>
      </c>
      <c r="CO6" s="73">
        <v>25476721</v>
      </c>
      <c r="CP6" s="73">
        <v>25085924</v>
      </c>
      <c r="CQ6" s="73">
        <v>28301586</v>
      </c>
      <c r="CR6" s="73">
        <v>22216003</v>
      </c>
      <c r="CS6" s="73">
        <v>30803179</v>
      </c>
      <c r="CT6" s="73">
        <v>30215068</v>
      </c>
      <c r="CU6" s="73">
        <v>20397554</v>
      </c>
      <c r="CV6" s="73">
        <v>15204483</v>
      </c>
      <c r="CW6" s="73">
        <v>16834202</v>
      </c>
      <c r="CX6" s="73">
        <v>25130323</v>
      </c>
      <c r="CY6" s="73">
        <v>21318414</v>
      </c>
      <c r="CZ6" s="73">
        <v>22581137</v>
      </c>
      <c r="DA6" s="73">
        <v>24152988</v>
      </c>
      <c r="DB6" s="73">
        <v>22778232</v>
      </c>
      <c r="DC6" s="73">
        <v>18811252</v>
      </c>
      <c r="DD6" s="73">
        <v>20176214</v>
      </c>
      <c r="DE6" s="73">
        <v>26213994</v>
      </c>
      <c r="DF6" s="73">
        <v>28418737</v>
      </c>
      <c r="DG6" s="73">
        <v>23356414</v>
      </c>
    </row>
    <row r="7" spans="1:113" x14ac:dyDescent="0.2">
      <c r="A7" s="50" t="s">
        <v>73</v>
      </c>
      <c r="B7" t="s">
        <v>2</v>
      </c>
      <c r="C7" s="63">
        <v>7320000</v>
      </c>
      <c r="D7" s="63">
        <v>9914000</v>
      </c>
      <c r="E7" s="63">
        <v>5454000</v>
      </c>
      <c r="F7" s="63">
        <v>2906000</v>
      </c>
      <c r="G7" s="63">
        <v>2024000</v>
      </c>
      <c r="H7" s="63">
        <v>1784000</v>
      </c>
      <c r="I7" s="63">
        <v>1671000</v>
      </c>
      <c r="J7" s="63">
        <v>1781000</v>
      </c>
      <c r="K7" s="63">
        <v>1785000</v>
      </c>
      <c r="L7" s="63">
        <v>3091000</v>
      </c>
      <c r="M7" s="63">
        <v>4802000</v>
      </c>
      <c r="N7" s="63">
        <v>4665000</v>
      </c>
      <c r="O7" s="63">
        <v>7066000</v>
      </c>
      <c r="P7" s="63">
        <v>6569000</v>
      </c>
      <c r="Q7" s="63">
        <v>4112000</v>
      </c>
      <c r="R7" s="63">
        <v>3049000</v>
      </c>
      <c r="S7" s="63">
        <v>2261000</v>
      </c>
      <c r="T7" s="63">
        <v>1768307</v>
      </c>
      <c r="U7" s="63">
        <v>1788472</v>
      </c>
      <c r="V7" s="63">
        <v>1700091</v>
      </c>
      <c r="W7" s="63">
        <v>1887687</v>
      </c>
      <c r="X7" s="63">
        <v>2547558</v>
      </c>
      <c r="Y7" s="63">
        <v>5374362</v>
      </c>
      <c r="Z7" s="63">
        <v>9037050</v>
      </c>
      <c r="AA7" s="63">
        <v>7047435</v>
      </c>
      <c r="AB7" s="63">
        <v>6489466</v>
      </c>
      <c r="AC7" s="63">
        <v>5354038</v>
      </c>
      <c r="AD7" s="67">
        <v>3499886</v>
      </c>
      <c r="AE7" s="67">
        <v>2440815</v>
      </c>
      <c r="AF7" s="67">
        <v>1881254</v>
      </c>
      <c r="AG7" s="67">
        <v>1865868</v>
      </c>
      <c r="AH7" s="67">
        <v>1705400</v>
      </c>
      <c r="AI7" s="67">
        <v>1872653</v>
      </c>
      <c r="AJ7" s="67">
        <v>3285739</v>
      </c>
      <c r="AK7" s="67">
        <v>5706955</v>
      </c>
      <c r="AL7" s="67">
        <v>8978613</v>
      </c>
      <c r="AM7" s="67">
        <v>7230265</v>
      </c>
      <c r="AN7" s="67">
        <v>5488944</v>
      </c>
      <c r="AO7" s="67">
        <v>5749035</v>
      </c>
      <c r="AP7" s="67">
        <v>3872176</v>
      </c>
      <c r="AQ7" s="73">
        <v>2036714</v>
      </c>
      <c r="AR7" s="73">
        <v>1910068</v>
      </c>
      <c r="AS7" s="73">
        <v>1931199</v>
      </c>
      <c r="AT7" s="73">
        <v>2007634</v>
      </c>
      <c r="AU7" s="73">
        <v>1937919</v>
      </c>
      <c r="AV7" s="73">
        <v>3506250</v>
      </c>
      <c r="AW7" s="73">
        <v>6866613</v>
      </c>
      <c r="AX7" s="73">
        <v>7923951</v>
      </c>
      <c r="AY7" s="73">
        <v>8380897</v>
      </c>
      <c r="AZ7" s="73">
        <v>6592745</v>
      </c>
      <c r="BA7" s="73">
        <v>5248699</v>
      </c>
      <c r="BB7" s="73">
        <v>3106016</v>
      </c>
      <c r="BC7" s="73">
        <v>1868165</v>
      </c>
      <c r="BD7" s="73">
        <v>1710383</v>
      </c>
      <c r="BE7" s="73">
        <v>1750113</v>
      </c>
      <c r="BF7" s="73">
        <v>1774957</v>
      </c>
      <c r="BG7" s="73">
        <v>1738196</v>
      </c>
      <c r="BH7" s="73">
        <v>2711054</v>
      </c>
      <c r="BI7" s="73">
        <v>5511717</v>
      </c>
      <c r="BJ7" s="73">
        <v>6844663</v>
      </c>
      <c r="BK7" s="73">
        <v>6398782</v>
      </c>
      <c r="BL7" s="73">
        <v>5723696</v>
      </c>
      <c r="BM7" s="73">
        <v>3827335</v>
      </c>
      <c r="BN7" s="73">
        <v>3079202</v>
      </c>
      <c r="BO7" s="73">
        <v>1907465</v>
      </c>
      <c r="BP7" s="73">
        <v>1715910</v>
      </c>
      <c r="BQ7" s="73">
        <v>1741310</v>
      </c>
      <c r="BR7" s="73">
        <v>1863395</v>
      </c>
      <c r="BS7" s="73">
        <v>1839378</v>
      </c>
      <c r="BT7" s="73">
        <v>2983994</v>
      </c>
      <c r="BU7" s="73">
        <v>5141650</v>
      </c>
      <c r="BV7" s="73">
        <v>8016433</v>
      </c>
      <c r="BW7" s="73">
        <v>6691437</v>
      </c>
      <c r="BX7" s="73">
        <v>6549463.1799999997</v>
      </c>
      <c r="BY7" s="73">
        <v>3871943</v>
      </c>
      <c r="BZ7" s="73">
        <v>3031636</v>
      </c>
      <c r="CA7" s="73">
        <v>2065047</v>
      </c>
      <c r="CB7" s="73">
        <v>1816100</v>
      </c>
      <c r="CC7" s="73">
        <v>1839139</v>
      </c>
      <c r="CD7" s="73">
        <v>2027082</v>
      </c>
      <c r="CE7" s="73">
        <v>1996927</v>
      </c>
      <c r="CF7" s="73">
        <v>3107317</v>
      </c>
      <c r="CG7" s="73">
        <v>7006148</v>
      </c>
      <c r="CH7" s="73">
        <v>8024125</v>
      </c>
      <c r="CI7" s="73">
        <v>9576941</v>
      </c>
      <c r="CJ7" s="73">
        <v>8072496.2999999998</v>
      </c>
      <c r="CK7" s="73">
        <v>5397499</v>
      </c>
      <c r="CL7" s="73">
        <v>4158151</v>
      </c>
      <c r="CM7" s="73">
        <v>3933252</v>
      </c>
      <c r="CN7" s="73">
        <v>2817915</v>
      </c>
      <c r="CO7" s="73">
        <v>2812351</v>
      </c>
      <c r="CP7" s="73">
        <v>3141755</v>
      </c>
      <c r="CQ7" s="73">
        <v>3279485</v>
      </c>
      <c r="CR7" s="73">
        <v>5207307</v>
      </c>
      <c r="CS7" s="73">
        <v>8052787</v>
      </c>
      <c r="CT7" s="73">
        <v>13412046</v>
      </c>
      <c r="CU7" s="73">
        <v>4427288</v>
      </c>
      <c r="CV7" s="73">
        <v>8866194</v>
      </c>
      <c r="CW7" s="73">
        <v>7356475</v>
      </c>
      <c r="CX7" s="73">
        <v>4637309</v>
      </c>
      <c r="CY7" s="73">
        <v>2652406</v>
      </c>
      <c r="CZ7" s="73">
        <v>2378498</v>
      </c>
      <c r="DA7" s="73">
        <v>2482929</v>
      </c>
      <c r="DB7" s="73">
        <v>3151656</v>
      </c>
      <c r="DC7" s="73">
        <v>2411927</v>
      </c>
      <c r="DD7" s="73">
        <v>3868154</v>
      </c>
      <c r="DE7" s="73">
        <v>7314067</v>
      </c>
      <c r="DF7" s="73">
        <v>10860382</v>
      </c>
      <c r="DG7" s="73">
        <v>10993358</v>
      </c>
    </row>
    <row r="8" spans="1:113" hidden="1" x14ac:dyDescent="0.2">
      <c r="A8" s="6" t="s">
        <v>66</v>
      </c>
      <c r="B8" t="s">
        <v>56</v>
      </c>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63"/>
      <c r="CE8" s="63"/>
      <c r="CF8" s="63"/>
      <c r="CG8" s="63"/>
      <c r="CH8" s="63"/>
      <c r="CI8" s="63"/>
      <c r="CJ8" s="63"/>
      <c r="CK8" s="63"/>
      <c r="CL8" s="63"/>
      <c r="CM8" s="63"/>
      <c r="CN8" s="63"/>
      <c r="CO8" s="63"/>
      <c r="CP8" s="63"/>
      <c r="CQ8" s="63"/>
      <c r="CR8" s="63"/>
      <c r="CS8" s="63"/>
      <c r="CT8" s="63"/>
      <c r="CU8" s="63"/>
      <c r="CV8" s="63"/>
      <c r="CW8" s="63"/>
      <c r="CX8" s="63"/>
      <c r="CY8" s="63"/>
      <c r="CZ8" s="63"/>
      <c r="DA8" s="63"/>
      <c r="DB8" s="63"/>
      <c r="DC8" s="63"/>
      <c r="DD8" s="63"/>
      <c r="DE8" s="63"/>
      <c r="DF8" s="63"/>
      <c r="DG8" s="63"/>
    </row>
    <row r="9" spans="1:113" x14ac:dyDescent="0.2">
      <c r="A9" s="50" t="s">
        <v>71</v>
      </c>
      <c r="B9" t="s">
        <v>3</v>
      </c>
      <c r="C9" s="63">
        <v>0</v>
      </c>
      <c r="D9" s="63">
        <v>0</v>
      </c>
      <c r="E9" s="63">
        <v>0</v>
      </c>
      <c r="F9" s="63">
        <v>0</v>
      </c>
      <c r="G9" s="63">
        <v>0</v>
      </c>
      <c r="H9" s="63">
        <v>0</v>
      </c>
      <c r="I9" s="63">
        <v>0</v>
      </c>
      <c r="J9" s="63">
        <v>0</v>
      </c>
      <c r="K9" s="63">
        <v>0</v>
      </c>
      <c r="L9" s="63">
        <v>0</v>
      </c>
      <c r="M9" s="63">
        <v>0</v>
      </c>
      <c r="N9" s="63">
        <v>0</v>
      </c>
      <c r="O9" s="63">
        <v>0</v>
      </c>
      <c r="P9" s="63">
        <v>0</v>
      </c>
      <c r="Q9" s="63">
        <v>0</v>
      </c>
      <c r="R9" s="63">
        <v>0</v>
      </c>
      <c r="S9" s="63">
        <v>0</v>
      </c>
      <c r="T9" s="63">
        <v>0</v>
      </c>
      <c r="U9" s="63">
        <v>0</v>
      </c>
      <c r="V9" s="63">
        <v>0</v>
      </c>
      <c r="W9" s="63">
        <v>0</v>
      </c>
      <c r="X9" s="63">
        <v>0</v>
      </c>
      <c r="Y9" s="63">
        <v>0</v>
      </c>
      <c r="Z9" s="63">
        <v>0</v>
      </c>
      <c r="AA9" s="63">
        <v>0</v>
      </c>
      <c r="AB9" s="63">
        <v>0</v>
      </c>
      <c r="AC9" s="63">
        <v>0</v>
      </c>
      <c r="AD9" s="63">
        <v>0</v>
      </c>
      <c r="AE9" s="63">
        <v>0</v>
      </c>
      <c r="AF9" s="63">
        <v>0</v>
      </c>
      <c r="AG9" s="63">
        <v>0</v>
      </c>
      <c r="AH9" s="63">
        <v>0</v>
      </c>
      <c r="AI9" s="63">
        <v>0</v>
      </c>
      <c r="AJ9" s="63">
        <v>0</v>
      </c>
      <c r="AK9" s="63">
        <v>0</v>
      </c>
      <c r="AL9" s="63">
        <v>0</v>
      </c>
      <c r="AM9" s="63">
        <v>0</v>
      </c>
      <c r="AN9" s="63">
        <v>0</v>
      </c>
      <c r="AO9" s="63">
        <v>0</v>
      </c>
      <c r="AP9" s="63">
        <v>0</v>
      </c>
      <c r="AQ9" s="63">
        <v>0</v>
      </c>
      <c r="AR9" s="63">
        <v>0</v>
      </c>
      <c r="AS9" s="63">
        <v>0</v>
      </c>
      <c r="AT9" s="63">
        <v>0</v>
      </c>
      <c r="AU9" s="63">
        <v>0</v>
      </c>
      <c r="AV9" s="63">
        <v>0</v>
      </c>
      <c r="AW9" s="63">
        <v>0</v>
      </c>
      <c r="AX9" s="63">
        <v>0</v>
      </c>
      <c r="AY9" s="63">
        <v>0</v>
      </c>
      <c r="AZ9" s="63">
        <v>0</v>
      </c>
      <c r="BA9" s="63">
        <v>0</v>
      </c>
      <c r="BB9" s="63">
        <v>0</v>
      </c>
      <c r="BC9" s="63">
        <v>0</v>
      </c>
      <c r="BD9" s="63">
        <v>0</v>
      </c>
      <c r="BE9" s="63">
        <v>0</v>
      </c>
      <c r="BF9" s="63">
        <v>0</v>
      </c>
      <c r="BG9" s="63">
        <v>0</v>
      </c>
      <c r="BH9" s="63">
        <v>0</v>
      </c>
      <c r="BI9" s="63">
        <v>0</v>
      </c>
      <c r="BJ9" s="63">
        <v>0</v>
      </c>
      <c r="BK9" s="63">
        <v>0</v>
      </c>
      <c r="BL9" s="63">
        <v>0</v>
      </c>
      <c r="BM9" s="63">
        <v>0</v>
      </c>
      <c r="BN9" s="63">
        <v>0</v>
      </c>
      <c r="BO9" s="63">
        <v>0</v>
      </c>
      <c r="BP9" s="63">
        <v>0</v>
      </c>
      <c r="BQ9" s="63">
        <v>0</v>
      </c>
      <c r="BR9" s="63">
        <v>0</v>
      </c>
      <c r="BS9" s="63">
        <v>0</v>
      </c>
      <c r="BT9" s="63">
        <v>0</v>
      </c>
      <c r="BU9" s="63">
        <v>0</v>
      </c>
      <c r="BV9" s="63">
        <v>0</v>
      </c>
      <c r="BW9" s="63">
        <v>0</v>
      </c>
      <c r="BX9" s="63">
        <v>0</v>
      </c>
      <c r="BY9" s="63">
        <v>0</v>
      </c>
      <c r="BZ9" s="63">
        <v>0</v>
      </c>
      <c r="CA9" s="63">
        <v>0</v>
      </c>
      <c r="CB9" s="63">
        <v>0</v>
      </c>
      <c r="CC9" s="63">
        <v>0</v>
      </c>
      <c r="CD9" s="63">
        <v>0</v>
      </c>
      <c r="CE9" s="63">
        <v>0</v>
      </c>
      <c r="CF9" s="63">
        <v>0</v>
      </c>
      <c r="CG9" s="63">
        <v>0</v>
      </c>
      <c r="CH9" s="63">
        <v>0</v>
      </c>
      <c r="CI9" s="63">
        <v>0</v>
      </c>
      <c r="CJ9" s="63">
        <v>0</v>
      </c>
      <c r="CK9" s="63">
        <v>0</v>
      </c>
      <c r="CL9" s="63">
        <v>0</v>
      </c>
      <c r="CM9" s="63">
        <v>0</v>
      </c>
      <c r="CN9" s="63">
        <v>0</v>
      </c>
      <c r="CO9" s="63">
        <v>0</v>
      </c>
      <c r="CP9" s="63">
        <v>0</v>
      </c>
      <c r="CQ9" s="63">
        <v>0</v>
      </c>
      <c r="CR9" s="63">
        <v>0</v>
      </c>
      <c r="CS9" s="63">
        <v>0</v>
      </c>
      <c r="CT9" s="63">
        <v>0</v>
      </c>
      <c r="CU9" s="63">
        <v>0</v>
      </c>
      <c r="CV9" s="63">
        <v>0</v>
      </c>
      <c r="CW9" s="63">
        <v>0</v>
      </c>
      <c r="CX9" s="63">
        <v>0</v>
      </c>
      <c r="CY9" s="63">
        <v>0</v>
      </c>
      <c r="CZ9" s="63">
        <v>0</v>
      </c>
      <c r="DA9" s="63">
        <v>0</v>
      </c>
      <c r="DB9" s="63">
        <v>0</v>
      </c>
      <c r="DC9" s="63">
        <v>0</v>
      </c>
      <c r="DD9" s="63">
        <v>0</v>
      </c>
      <c r="DE9" s="63">
        <v>0</v>
      </c>
      <c r="DF9" s="63">
        <v>0</v>
      </c>
      <c r="DG9" s="63">
        <v>0</v>
      </c>
    </row>
    <row r="10" spans="1:113" hidden="1" x14ac:dyDescent="0.2">
      <c r="A10" s="50" t="s">
        <v>72</v>
      </c>
      <c r="B10" t="s">
        <v>4</v>
      </c>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row>
    <row r="11" spans="1:113" ht="13.5" thickBot="1" x14ac:dyDescent="0.25">
      <c r="B11" t="s">
        <v>12</v>
      </c>
      <c r="C11" s="53">
        <v>68954394.25999999</v>
      </c>
      <c r="D11" s="53">
        <v>76480107.75</v>
      </c>
      <c r="E11" s="53">
        <v>63018311.299999997</v>
      </c>
      <c r="F11" s="53">
        <v>49473386.830000006</v>
      </c>
      <c r="G11" s="53">
        <v>46717643.57</v>
      </c>
      <c r="H11" s="53">
        <v>46848578.75</v>
      </c>
      <c r="I11" s="53">
        <v>46712874.590000004</v>
      </c>
      <c r="J11" s="53">
        <v>48051384.980000004</v>
      </c>
      <c r="K11" s="53">
        <v>44494901.149999999</v>
      </c>
      <c r="L11" s="53">
        <v>39089025.359999999</v>
      </c>
      <c r="M11" s="53">
        <v>41925246.329999998</v>
      </c>
      <c r="N11" s="53">
        <v>46266711.670000002</v>
      </c>
      <c r="O11" s="53">
        <v>60170901.530000001</v>
      </c>
      <c r="P11" s="53">
        <v>61549086.720000006</v>
      </c>
      <c r="Q11" s="53">
        <v>48266355.43</v>
      </c>
      <c r="R11" s="53">
        <v>43093435.93</v>
      </c>
      <c r="S11" s="53">
        <v>42303854.670000002</v>
      </c>
      <c r="T11" s="53">
        <v>45799846.170000002</v>
      </c>
      <c r="U11" s="53">
        <v>50843980.379999995</v>
      </c>
      <c r="V11" s="53">
        <v>47409158.510000005</v>
      </c>
      <c r="W11" s="53">
        <v>47264987.769999996</v>
      </c>
      <c r="X11" s="53">
        <v>41373336.200000003</v>
      </c>
      <c r="Y11" s="53">
        <v>44069366.200000003</v>
      </c>
      <c r="Z11" s="53">
        <v>58872163.630000003</v>
      </c>
      <c r="AA11" s="53">
        <f t="shared" ref="AA11:AB11" si="0">SUM(AA4:AA9)</f>
        <v>62585942.560000002</v>
      </c>
      <c r="AB11" s="53">
        <f t="shared" si="0"/>
        <v>58534234.259999998</v>
      </c>
      <c r="AC11" s="53">
        <f t="shared" ref="AC11:AD11" si="1">SUM(AC4:AC9)</f>
        <v>49885523.670000002</v>
      </c>
      <c r="AD11" s="53">
        <f t="shared" si="1"/>
        <v>45359069.650000006</v>
      </c>
      <c r="AE11" s="53">
        <f t="shared" ref="AE11:AF11" si="2">SUM(AE4:AE9)</f>
        <v>39988007.829999998</v>
      </c>
      <c r="AF11" s="53">
        <f t="shared" si="2"/>
        <v>42524064.840000004</v>
      </c>
      <c r="AG11" s="53">
        <f t="shared" ref="AG11" si="3">SUM(AG4:AG9)</f>
        <v>49065692.689999998</v>
      </c>
      <c r="AH11" s="53">
        <f t="shared" ref="AH11:AI11" si="4">SUM(AH4:AH9)</f>
        <v>44408821.140000001</v>
      </c>
      <c r="AI11" s="53">
        <f t="shared" si="4"/>
        <v>42713121.989999995</v>
      </c>
      <c r="AJ11" s="53">
        <f t="shared" ref="AJ11:AK11" si="5">SUM(AJ4:AJ9)</f>
        <v>39108051.400000006</v>
      </c>
      <c r="AK11" s="53">
        <f t="shared" si="5"/>
        <v>46069401.579999998</v>
      </c>
      <c r="AL11" s="53">
        <f t="shared" ref="AL11:AM11" si="6">SUM(AL4:AL9)</f>
        <v>59038552.689999998</v>
      </c>
      <c r="AM11" s="53">
        <f t="shared" si="6"/>
        <v>67024092.170000002</v>
      </c>
      <c r="AN11" s="53">
        <f t="shared" ref="AN11:AO11" si="7">SUM(AN4:AN9)</f>
        <v>59969706.809999995</v>
      </c>
      <c r="AO11" s="53">
        <f t="shared" si="7"/>
        <v>54206742.169999994</v>
      </c>
      <c r="AP11" s="53">
        <f t="shared" ref="AP11" si="8">SUM(AP4:AP9)</f>
        <v>51257651.690000005</v>
      </c>
      <c r="AQ11" s="53">
        <v>48767272.359999999</v>
      </c>
      <c r="AR11" s="53">
        <v>52789730.07</v>
      </c>
      <c r="AS11" s="53">
        <v>54318090.869999997</v>
      </c>
      <c r="AT11" s="53">
        <v>48980378.07</v>
      </c>
      <c r="AU11" s="53">
        <v>50738699.259999998</v>
      </c>
      <c r="AV11" s="53">
        <v>47131410.710000001</v>
      </c>
      <c r="AW11" s="53">
        <v>51423614.200000003</v>
      </c>
      <c r="AX11" s="53">
        <v>66251839.68</v>
      </c>
      <c r="AY11" s="53">
        <v>70623543.409999996</v>
      </c>
      <c r="AZ11" s="53">
        <v>65540100.520000003</v>
      </c>
      <c r="BA11" s="53">
        <v>60106992.140000001</v>
      </c>
      <c r="BB11" s="53">
        <v>48860050.939999998</v>
      </c>
      <c r="BC11" s="53">
        <v>45521396.93</v>
      </c>
      <c r="BD11" s="53">
        <v>49482463.390000001</v>
      </c>
      <c r="BE11" s="53">
        <v>50685037.870000005</v>
      </c>
      <c r="BF11" s="53">
        <v>46250107.350000001</v>
      </c>
      <c r="BG11" s="53">
        <v>48268658.149999999</v>
      </c>
      <c r="BH11" s="53">
        <v>41482346.170000002</v>
      </c>
      <c r="BI11" s="53">
        <v>53177407.700000003</v>
      </c>
      <c r="BJ11" s="53">
        <v>61048777.649999999</v>
      </c>
      <c r="BK11" s="53">
        <v>59708611.25</v>
      </c>
      <c r="BL11" s="53">
        <v>59724258.150000006</v>
      </c>
      <c r="BM11" s="53">
        <v>52189467.409999996</v>
      </c>
      <c r="BN11" s="53">
        <v>44754884.969999999</v>
      </c>
      <c r="BO11" s="53">
        <v>46331143.969999999</v>
      </c>
      <c r="BP11" s="53">
        <v>50221366.359999999</v>
      </c>
      <c r="BQ11" s="53">
        <v>52194656.669999994</v>
      </c>
      <c r="BR11" s="53">
        <v>52627316.07</v>
      </c>
      <c r="BS11" s="53">
        <v>52487302.340000004</v>
      </c>
      <c r="BT11" s="53">
        <v>47723050.439999998</v>
      </c>
      <c r="BU11" s="53">
        <v>55257548.93</v>
      </c>
      <c r="BV11" s="53">
        <v>65659024.269999996</v>
      </c>
      <c r="BW11" s="53">
        <v>71585443.719999999</v>
      </c>
      <c r="BX11" s="53">
        <v>73911236.969999999</v>
      </c>
      <c r="BY11" s="53">
        <v>57211990.640000001</v>
      </c>
      <c r="BZ11" s="53">
        <v>49693714.489999995</v>
      </c>
      <c r="CA11" s="53">
        <v>49619682.119999997</v>
      </c>
      <c r="CB11" s="53">
        <v>51237081.390000001</v>
      </c>
      <c r="CC11" s="53">
        <v>55114793.689999998</v>
      </c>
      <c r="CD11" s="53">
        <v>54867995</v>
      </c>
      <c r="CE11" s="53">
        <v>50188384.910000004</v>
      </c>
      <c r="CF11" s="53">
        <v>48241397.049999997</v>
      </c>
      <c r="CG11" s="53">
        <v>58737277.879999995</v>
      </c>
      <c r="CH11" s="53">
        <v>75547560.349999994</v>
      </c>
      <c r="CI11" s="53">
        <v>96472091.879999995</v>
      </c>
      <c r="CJ11" s="53">
        <v>91702893.260000005</v>
      </c>
      <c r="CK11" s="53">
        <v>65660251.810000002</v>
      </c>
      <c r="CL11" s="53">
        <v>65443700.68</v>
      </c>
      <c r="CM11" s="53">
        <v>72907309.920000002</v>
      </c>
      <c r="CN11" s="53">
        <v>66716069.269999996</v>
      </c>
      <c r="CO11" s="53">
        <v>78760683.210000008</v>
      </c>
      <c r="CP11" s="53">
        <v>73524799.569999993</v>
      </c>
      <c r="CQ11" s="53">
        <v>78192847.969999999</v>
      </c>
      <c r="CR11" s="53">
        <v>73707257.469999999</v>
      </c>
      <c r="CS11" s="53">
        <v>79441258.430000007</v>
      </c>
      <c r="CT11" s="53">
        <v>104858298.53999999</v>
      </c>
      <c r="CU11" s="53">
        <v>91596967.629999995</v>
      </c>
      <c r="CV11" s="53">
        <v>84995403.659999996</v>
      </c>
      <c r="CW11" s="53">
        <v>70368192.400000006</v>
      </c>
      <c r="CX11" s="53">
        <v>73281453.870000005</v>
      </c>
      <c r="CY11" s="53">
        <v>60356435.57</v>
      </c>
      <c r="CZ11" s="53">
        <v>66448387.980000004</v>
      </c>
      <c r="DA11" s="53">
        <v>67433702.159999996</v>
      </c>
      <c r="DB11" s="53">
        <v>65164135.880000003</v>
      </c>
      <c r="DC11" s="53">
        <v>64710325.990000002</v>
      </c>
      <c r="DD11" s="53">
        <v>60839529.219999999</v>
      </c>
      <c r="DE11" s="53">
        <v>73247386.819999993</v>
      </c>
      <c r="DF11" s="53">
        <v>90962301.74000001</v>
      </c>
      <c r="DG11" s="53">
        <v>101942042.98</v>
      </c>
    </row>
    <row r="12" spans="1:113" ht="13.5" thickTop="1" x14ac:dyDescent="0.2">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row>
    <row r="13" spans="1:113" x14ac:dyDescent="0.2">
      <c r="A13" s="1" t="s">
        <v>26</v>
      </c>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row>
    <row r="14" spans="1:113" x14ac:dyDescent="0.2">
      <c r="B14" t="s">
        <v>13</v>
      </c>
      <c r="C14" s="61">
        <v>27882397</v>
      </c>
      <c r="D14" s="61">
        <v>26788045</v>
      </c>
      <c r="E14" s="61">
        <v>26952675</v>
      </c>
      <c r="F14" s="61">
        <v>22706153</v>
      </c>
      <c r="G14" s="61">
        <v>23234886</v>
      </c>
      <c r="H14" s="61">
        <v>26782943</v>
      </c>
      <c r="I14" s="61">
        <v>28300270</v>
      </c>
      <c r="J14" s="61">
        <v>29692892</v>
      </c>
      <c r="K14" s="61">
        <v>30172793</v>
      </c>
      <c r="L14" s="61">
        <v>24003282</v>
      </c>
      <c r="M14" s="61">
        <v>21272953</v>
      </c>
      <c r="N14" s="61">
        <v>25041602</v>
      </c>
      <c r="O14" s="61">
        <v>26678488</v>
      </c>
      <c r="P14" s="61">
        <v>27687032</v>
      </c>
      <c r="Q14" s="61">
        <v>24956215</v>
      </c>
      <c r="R14" s="61">
        <v>22074850</v>
      </c>
      <c r="S14" s="61">
        <v>21547784</v>
      </c>
      <c r="T14" s="61">
        <v>28811371</v>
      </c>
      <c r="U14" s="61">
        <v>30311137</v>
      </c>
      <c r="V14" s="61">
        <v>31747972</v>
      </c>
      <c r="W14" s="61">
        <v>31307624</v>
      </c>
      <c r="X14" s="61">
        <v>25794201</v>
      </c>
      <c r="Y14" s="61">
        <v>22904269</v>
      </c>
      <c r="Z14" s="61">
        <v>25458873</v>
      </c>
      <c r="AA14" s="61">
        <f>28023380-9022</f>
        <v>28014358</v>
      </c>
      <c r="AB14" s="61">
        <f>24731772-11880</f>
        <v>24719892</v>
      </c>
      <c r="AC14" s="61">
        <f>22914864-33871</f>
        <v>22880993</v>
      </c>
      <c r="AD14" s="72">
        <f>21868935+26351</f>
        <v>21895286</v>
      </c>
      <c r="AE14" s="72">
        <f>21949749-2070</f>
        <v>21947679</v>
      </c>
      <c r="AF14" s="72">
        <f>24637649-1849</f>
        <v>24635800</v>
      </c>
      <c r="AG14" s="72">
        <f>29738583-3234</f>
        <v>29735349</v>
      </c>
      <c r="AH14" s="72">
        <f>28957549-3213</f>
        <v>28954336</v>
      </c>
      <c r="AI14" s="72">
        <f>25515586-3371</f>
        <v>25512215</v>
      </c>
      <c r="AJ14" s="72">
        <f>22496681-2949</f>
        <v>22493732</v>
      </c>
      <c r="AK14" s="72">
        <f>22570054-1511</f>
        <v>22568543</v>
      </c>
      <c r="AL14" s="72">
        <f>24980013-34180</f>
        <v>24945833</v>
      </c>
      <c r="AM14" s="72">
        <f>31383667-4231</f>
        <v>31379436</v>
      </c>
      <c r="AN14" s="72">
        <f>26300334-6257</f>
        <v>26294077</v>
      </c>
      <c r="AO14" s="72">
        <f>24575195-5106</f>
        <v>24570089</v>
      </c>
      <c r="AP14" s="72">
        <f>23893545-3556</f>
        <v>23889989</v>
      </c>
      <c r="AQ14" s="74">
        <v>25797527.030000001</v>
      </c>
      <c r="AR14" s="74">
        <v>33838183.270000003</v>
      </c>
      <c r="AS14" s="74">
        <v>35457642.549999997</v>
      </c>
      <c r="AT14" s="74">
        <v>31062469.669999998</v>
      </c>
      <c r="AU14" s="74">
        <v>32127866.470000003</v>
      </c>
      <c r="AV14" s="74">
        <v>28724650.989999998</v>
      </c>
      <c r="AW14" s="74">
        <v>27206350.690000001</v>
      </c>
      <c r="AX14" s="74">
        <v>29612073.479999997</v>
      </c>
      <c r="AY14" s="74">
        <v>32647791.420000002</v>
      </c>
      <c r="AZ14" s="74">
        <v>31949441.280000001</v>
      </c>
      <c r="BA14" s="74">
        <v>27940805.66</v>
      </c>
      <c r="BB14" s="74">
        <v>26209263.84</v>
      </c>
      <c r="BC14" s="74">
        <v>26322312.189999998</v>
      </c>
      <c r="BD14" s="74">
        <v>31889652.870000001</v>
      </c>
      <c r="BE14" s="74">
        <v>32216492.789999999</v>
      </c>
      <c r="BF14" s="74">
        <v>29638345.370000001</v>
      </c>
      <c r="BG14" s="74">
        <v>30596721.91</v>
      </c>
      <c r="BH14" s="74">
        <v>29363702.560000002</v>
      </c>
      <c r="BI14" s="74">
        <v>25251141.560000002</v>
      </c>
      <c r="BJ14" s="74">
        <v>31719693.91</v>
      </c>
      <c r="BK14" s="74">
        <v>32139842.25</v>
      </c>
      <c r="BL14" s="74">
        <v>26815982.18</v>
      </c>
      <c r="BM14" s="74">
        <v>26143555.09</v>
      </c>
      <c r="BN14" s="74">
        <v>23288244.16</v>
      </c>
      <c r="BO14" s="74">
        <v>22577026.32</v>
      </c>
      <c r="BP14" s="74">
        <v>27471676.050000001</v>
      </c>
      <c r="BQ14" s="74">
        <v>31133309.02</v>
      </c>
      <c r="BR14" s="74">
        <v>30758731.289999999</v>
      </c>
      <c r="BS14" s="74">
        <v>32159237.189999998</v>
      </c>
      <c r="BT14" s="74">
        <v>24959934.739999998</v>
      </c>
      <c r="BU14" s="74">
        <v>24085729.690000001</v>
      </c>
      <c r="BV14" s="74">
        <v>29604531.059999999</v>
      </c>
      <c r="BW14" s="74">
        <v>31689716.219999999</v>
      </c>
      <c r="BX14" s="74">
        <v>31058228.760000002</v>
      </c>
      <c r="BY14" s="74">
        <v>27457354.32</v>
      </c>
      <c r="BZ14" s="74">
        <v>25967413.41</v>
      </c>
      <c r="CA14" s="74">
        <v>25594038.960000001</v>
      </c>
      <c r="CB14" s="74">
        <v>29673463.48</v>
      </c>
      <c r="CC14" s="74">
        <v>35308501.550000004</v>
      </c>
      <c r="CD14" s="74">
        <v>33344581.850000001</v>
      </c>
      <c r="CE14" s="74">
        <v>34673734.270000003</v>
      </c>
      <c r="CF14" s="74">
        <v>27372738.850000001</v>
      </c>
      <c r="CG14" s="74">
        <v>29810178.100000001</v>
      </c>
      <c r="CH14" s="74">
        <v>37173089.289999999</v>
      </c>
      <c r="CI14" s="74">
        <v>45044699.700000003</v>
      </c>
      <c r="CJ14" s="74">
        <v>40529969.539999999</v>
      </c>
      <c r="CK14" s="74">
        <v>26104434.68</v>
      </c>
      <c r="CL14" s="74">
        <v>21353215.860000003</v>
      </c>
      <c r="CM14" s="74">
        <v>27033985.350000001</v>
      </c>
      <c r="CN14" s="74">
        <v>25129055.359999999</v>
      </c>
      <c r="CO14" s="74">
        <v>54190972.829999998</v>
      </c>
      <c r="CP14" s="74">
        <v>44283690.810000002</v>
      </c>
      <c r="CQ14" s="74">
        <v>41100007.439999998</v>
      </c>
      <c r="CR14" s="74">
        <v>39439688.920000002</v>
      </c>
      <c r="CS14" s="74">
        <v>32465368</v>
      </c>
      <c r="CT14" s="74">
        <v>42246405.530000001</v>
      </c>
      <c r="CU14" s="74">
        <v>48173073.939999998</v>
      </c>
      <c r="CV14" s="74">
        <v>34916702.390000001</v>
      </c>
      <c r="CW14" s="74">
        <v>30833555.43</v>
      </c>
      <c r="CX14" s="74">
        <v>18987284.600000001</v>
      </c>
      <c r="CY14" s="74">
        <v>37416765.219999999</v>
      </c>
      <c r="CZ14" s="74">
        <v>35638310.019999996</v>
      </c>
      <c r="DA14" s="74">
        <v>36077813.629999995</v>
      </c>
      <c r="DB14" s="74">
        <v>40051100.480000004</v>
      </c>
      <c r="DC14" s="74">
        <v>37839185.289999999</v>
      </c>
      <c r="DD14" s="74">
        <v>33677716.060000002</v>
      </c>
      <c r="DE14" s="74">
        <v>32270674.699999999</v>
      </c>
      <c r="DF14" s="74">
        <v>38950566.170000002</v>
      </c>
      <c r="DG14" s="74">
        <v>43857516.189999998</v>
      </c>
    </row>
    <row r="15" spans="1:113" x14ac:dyDescent="0.2">
      <c r="B15" t="s">
        <v>8</v>
      </c>
      <c r="C15" s="55">
        <v>-12496000</v>
      </c>
      <c r="D15" s="55">
        <v>-12333000</v>
      </c>
      <c r="E15" s="55">
        <v>-12441000</v>
      </c>
      <c r="F15" s="55">
        <v>-10147000</v>
      </c>
      <c r="G15" s="55">
        <v>-9062000</v>
      </c>
      <c r="H15" s="55">
        <v>-11127000</v>
      </c>
      <c r="I15" s="55">
        <v>-12962000</v>
      </c>
      <c r="J15" s="55">
        <v>-14197000</v>
      </c>
      <c r="K15" s="55">
        <v>-14271000</v>
      </c>
      <c r="L15" s="55">
        <v>-12522000</v>
      </c>
      <c r="M15" s="55">
        <v>-10661000</v>
      </c>
      <c r="N15" s="55">
        <v>-11920000</v>
      </c>
      <c r="O15" s="55">
        <v>-10955000</v>
      </c>
      <c r="P15" s="55">
        <v>-12141000</v>
      </c>
      <c r="Q15" s="55">
        <v>-11436000</v>
      </c>
      <c r="R15" s="55">
        <v>-9709000</v>
      </c>
      <c r="S15" s="55">
        <v>-9838000</v>
      </c>
      <c r="T15" s="55">
        <v>-12535000</v>
      </c>
      <c r="U15" s="55">
        <v>-13581154</v>
      </c>
      <c r="V15" s="55">
        <v>-15075897</v>
      </c>
      <c r="W15" s="55">
        <v>-15433639</v>
      </c>
      <c r="X15" s="55">
        <v>-14153134</v>
      </c>
      <c r="Y15" s="55">
        <v>-12427892</v>
      </c>
      <c r="Z15" s="55">
        <v>-13018040</v>
      </c>
      <c r="AA15" s="55">
        <f t="shared" ref="AA15:AJ15" si="9">-Z6</f>
        <v>-13881115</v>
      </c>
      <c r="AB15" s="55">
        <f t="shared" si="9"/>
        <v>-12387602</v>
      </c>
      <c r="AC15" s="55">
        <f t="shared" si="9"/>
        <v>-10927431</v>
      </c>
      <c r="AD15" s="55">
        <f t="shared" si="9"/>
        <v>-10686455</v>
      </c>
      <c r="AE15" s="55">
        <f t="shared" si="9"/>
        <v>-10173140</v>
      </c>
      <c r="AF15" s="55">
        <f t="shared" si="9"/>
        <v>-11407161</v>
      </c>
      <c r="AG15" s="55">
        <f t="shared" si="9"/>
        <v>-13307296</v>
      </c>
      <c r="AH15" s="55">
        <f t="shared" si="9"/>
        <v>-14902260</v>
      </c>
      <c r="AI15" s="55">
        <f t="shared" si="9"/>
        <v>-14164063</v>
      </c>
      <c r="AJ15" s="55">
        <f t="shared" si="9"/>
        <v>-12966636</v>
      </c>
      <c r="AK15" s="55">
        <f t="shared" ref="AK15:AL15" si="10">-AJ6</f>
        <v>-12666590</v>
      </c>
      <c r="AL15" s="55">
        <f t="shared" si="10"/>
        <v>-13930038</v>
      </c>
      <c r="AM15" s="55">
        <f t="shared" ref="AM15" si="11">-AL6</f>
        <v>-16221711</v>
      </c>
      <c r="AN15" s="55">
        <f t="shared" ref="AN15" si="12">-AM6</f>
        <v>-12977163</v>
      </c>
      <c r="AO15" s="55">
        <f t="shared" ref="AO15" si="13">-AN6</f>
        <v>-12009788</v>
      </c>
      <c r="AP15" s="55">
        <f t="shared" ref="AP15" si="14">-AO6</f>
        <v>-10988938</v>
      </c>
      <c r="AQ15" s="55">
        <v>-11195961</v>
      </c>
      <c r="AR15" s="55">
        <v>-14665694</v>
      </c>
      <c r="AS15" s="55">
        <v>-16229918</v>
      </c>
      <c r="AT15" s="55">
        <v>-14747626</v>
      </c>
      <c r="AU15" s="55">
        <v>-15877559</v>
      </c>
      <c r="AV15" s="55">
        <v>-15141028</v>
      </c>
      <c r="AW15" s="55">
        <v>-14208188</v>
      </c>
      <c r="AX15" s="55">
        <v>-15957383</v>
      </c>
      <c r="AY15" s="55">
        <v>-15715472</v>
      </c>
      <c r="AZ15" s="55">
        <v>-14914694</v>
      </c>
      <c r="BA15" s="55">
        <v>-12080506</v>
      </c>
      <c r="BB15" s="55">
        <v>-11949705</v>
      </c>
      <c r="BC15" s="55">
        <v>-11161606</v>
      </c>
      <c r="BD15" s="55">
        <v>-14421821</v>
      </c>
      <c r="BE15" s="55">
        <v>-14657382</v>
      </c>
      <c r="BF15" s="55">
        <v>-15277678</v>
      </c>
      <c r="BG15" s="55">
        <v>-15544983</v>
      </c>
      <c r="BH15" s="55">
        <v>-15379628</v>
      </c>
      <c r="BI15" s="55">
        <v>-12766737</v>
      </c>
      <c r="BJ15" s="55">
        <v>-17156526</v>
      </c>
      <c r="BK15" s="55">
        <v>-15455552</v>
      </c>
      <c r="BL15" s="55">
        <v>-11927629</v>
      </c>
      <c r="BM15" s="55">
        <v>-12502118</v>
      </c>
      <c r="BN15" s="55">
        <v>-11471965</v>
      </c>
      <c r="BO15" s="55">
        <v>-10341242</v>
      </c>
      <c r="BP15" s="55">
        <v>-12836949</v>
      </c>
      <c r="BQ15" s="55">
        <v>-14801074</v>
      </c>
      <c r="BR15" s="55">
        <v>-16167140</v>
      </c>
      <c r="BS15" s="55">
        <v>-17018550</v>
      </c>
      <c r="BT15" s="55">
        <v>-13913786</v>
      </c>
      <c r="BU15" s="55">
        <v>-13897139</v>
      </c>
      <c r="BV15" s="55">
        <v>-15162740</v>
      </c>
      <c r="BW15" s="55">
        <v>-15219345</v>
      </c>
      <c r="BX15" s="55">
        <v>-12026360</v>
      </c>
      <c r="BY15" s="55">
        <v>-13043105.949999999</v>
      </c>
      <c r="BZ15" s="55">
        <v>-10825176</v>
      </c>
      <c r="CA15" s="55">
        <v>-10510253</v>
      </c>
      <c r="CB15" s="55">
        <v>-12193961</v>
      </c>
      <c r="CC15" s="55">
        <v>-14772326</v>
      </c>
      <c r="CD15" s="55">
        <v>-14573922</v>
      </c>
      <c r="CE15" s="55">
        <v>-17331065</v>
      </c>
      <c r="CF15" s="55">
        <v>-13426887</v>
      </c>
      <c r="CG15" s="55">
        <v>-15694088</v>
      </c>
      <c r="CH15" s="55">
        <v>-18346649</v>
      </c>
      <c r="CI15" s="55">
        <v>-19401430</v>
      </c>
      <c r="CJ15" s="55">
        <v>-17986770</v>
      </c>
      <c r="CK15" s="55">
        <v>-13540328.84</v>
      </c>
      <c r="CL15" s="55">
        <v>-12279291.27</v>
      </c>
      <c r="CM15" s="55">
        <v>-19379659</v>
      </c>
      <c r="CN15" s="55">
        <v>-25362238</v>
      </c>
      <c r="CO15" s="55">
        <v>-30372969</v>
      </c>
      <c r="CP15" s="55">
        <v>-25476721</v>
      </c>
      <c r="CQ15" s="55">
        <v>-25085924</v>
      </c>
      <c r="CR15" s="55">
        <v>-28301586</v>
      </c>
      <c r="CS15" s="55">
        <v>-22216003</v>
      </c>
      <c r="CT15" s="55">
        <v>-30803179</v>
      </c>
      <c r="CU15" s="55">
        <v>-30215068</v>
      </c>
      <c r="CV15" s="55">
        <v>-20397554</v>
      </c>
      <c r="CW15" s="55">
        <v>-15204483</v>
      </c>
      <c r="CX15" s="55">
        <v>-16834202</v>
      </c>
      <c r="CY15" s="55">
        <v>-25130323</v>
      </c>
      <c r="CZ15" s="55">
        <v>-21318414</v>
      </c>
      <c r="DA15" s="55">
        <v>-22581137</v>
      </c>
      <c r="DB15" s="55">
        <v>-24152988</v>
      </c>
      <c r="DC15" s="55">
        <v>-22778232</v>
      </c>
      <c r="DD15" s="55">
        <v>-18811252</v>
      </c>
      <c r="DE15" s="55">
        <v>-20176214</v>
      </c>
      <c r="DF15" s="55">
        <v>-26213994</v>
      </c>
      <c r="DG15" s="55">
        <v>-28418737</v>
      </c>
    </row>
    <row r="16" spans="1:113" x14ac:dyDescent="0.2">
      <c r="B16" t="s">
        <v>9</v>
      </c>
      <c r="C16" s="55">
        <v>12333000</v>
      </c>
      <c r="D16" s="55">
        <v>12441000</v>
      </c>
      <c r="E16" s="55">
        <v>10147000</v>
      </c>
      <c r="F16" s="55">
        <v>9062000</v>
      </c>
      <c r="G16" s="55">
        <v>11127000</v>
      </c>
      <c r="H16" s="55">
        <v>12962000</v>
      </c>
      <c r="I16" s="55">
        <v>14197000</v>
      </c>
      <c r="J16" s="55">
        <v>14271000</v>
      </c>
      <c r="K16" s="55">
        <v>12522000</v>
      </c>
      <c r="L16" s="55">
        <v>10661000</v>
      </c>
      <c r="M16" s="55">
        <v>11920000</v>
      </c>
      <c r="N16" s="55">
        <v>10955000</v>
      </c>
      <c r="O16" s="55">
        <v>12141000</v>
      </c>
      <c r="P16" s="55">
        <v>11436000</v>
      </c>
      <c r="Q16" s="55">
        <v>9709000</v>
      </c>
      <c r="R16" s="55">
        <v>9838000</v>
      </c>
      <c r="S16" s="55">
        <v>12535000</v>
      </c>
      <c r="T16" s="55">
        <v>13581154</v>
      </c>
      <c r="U16" s="55">
        <v>15075897</v>
      </c>
      <c r="V16" s="55">
        <v>15433639</v>
      </c>
      <c r="W16" s="55">
        <v>14153134</v>
      </c>
      <c r="X16" s="55">
        <v>12427892</v>
      </c>
      <c r="Y16" s="55">
        <v>13018040</v>
      </c>
      <c r="Z16" s="55">
        <v>13881115</v>
      </c>
      <c r="AA16" s="55">
        <f t="shared" ref="AA16:AB16" si="15">AA6</f>
        <v>12387602</v>
      </c>
      <c r="AB16" s="55">
        <f t="shared" si="15"/>
        <v>10927431</v>
      </c>
      <c r="AC16" s="55">
        <f t="shared" ref="AC16:AD16" si="16">AC6</f>
        <v>10686455</v>
      </c>
      <c r="AD16" s="55">
        <f t="shared" si="16"/>
        <v>10173140</v>
      </c>
      <c r="AE16" s="55">
        <f t="shared" ref="AE16:AF16" si="17">AE6</f>
        <v>11407161</v>
      </c>
      <c r="AF16" s="55">
        <f t="shared" si="17"/>
        <v>13307296</v>
      </c>
      <c r="AG16" s="55">
        <f t="shared" ref="AG16" si="18">AG6</f>
        <v>14902260</v>
      </c>
      <c r="AH16" s="55">
        <f t="shared" ref="AH16:AI16" si="19">AH6</f>
        <v>14164063</v>
      </c>
      <c r="AI16" s="55">
        <f t="shared" si="19"/>
        <v>12966636</v>
      </c>
      <c r="AJ16" s="55">
        <f t="shared" ref="AJ16:AK16" si="20">AJ6</f>
        <v>12666590</v>
      </c>
      <c r="AK16" s="55">
        <f t="shared" si="20"/>
        <v>13930038</v>
      </c>
      <c r="AL16" s="55">
        <f t="shared" ref="AL16:AM16" si="21">AL6</f>
        <v>16221711</v>
      </c>
      <c r="AM16" s="55">
        <f t="shared" si="21"/>
        <v>12977163</v>
      </c>
      <c r="AN16" s="55">
        <f t="shared" ref="AN16:AO16" si="22">AN6</f>
        <v>12009788</v>
      </c>
      <c r="AO16" s="55">
        <f t="shared" si="22"/>
        <v>10988938</v>
      </c>
      <c r="AP16" s="55">
        <f t="shared" ref="AP16" si="23">AP6</f>
        <v>11195961</v>
      </c>
      <c r="AQ16" s="55">
        <v>14665694</v>
      </c>
      <c r="AR16" s="55">
        <v>16229918</v>
      </c>
      <c r="AS16" s="55">
        <v>14747626</v>
      </c>
      <c r="AT16" s="55">
        <v>15877559</v>
      </c>
      <c r="AU16" s="55">
        <v>15141028</v>
      </c>
      <c r="AV16" s="55">
        <v>14208188</v>
      </c>
      <c r="AW16" s="55">
        <v>15957383</v>
      </c>
      <c r="AX16" s="55">
        <v>15715472</v>
      </c>
      <c r="AY16" s="55">
        <v>14914694</v>
      </c>
      <c r="AZ16" s="55">
        <v>12080506</v>
      </c>
      <c r="BA16" s="55">
        <v>11949705</v>
      </c>
      <c r="BB16" s="55">
        <v>11161606</v>
      </c>
      <c r="BC16" s="55">
        <v>14421821</v>
      </c>
      <c r="BD16" s="55">
        <v>14657382</v>
      </c>
      <c r="BE16" s="55">
        <v>15277678</v>
      </c>
      <c r="BF16" s="55">
        <v>15544983</v>
      </c>
      <c r="BG16" s="55">
        <v>15379628</v>
      </c>
      <c r="BH16" s="55">
        <v>12766737</v>
      </c>
      <c r="BI16" s="55">
        <v>17156526</v>
      </c>
      <c r="BJ16" s="55">
        <v>15455552</v>
      </c>
      <c r="BK16" s="55">
        <v>11927629</v>
      </c>
      <c r="BL16" s="55">
        <v>12502118</v>
      </c>
      <c r="BM16" s="55">
        <v>11471965</v>
      </c>
      <c r="BN16" s="55">
        <v>10341242</v>
      </c>
      <c r="BO16" s="55">
        <v>12836949</v>
      </c>
      <c r="BP16" s="55">
        <v>14801074</v>
      </c>
      <c r="BQ16" s="55">
        <v>16167140</v>
      </c>
      <c r="BR16" s="55">
        <v>17018550</v>
      </c>
      <c r="BS16" s="55">
        <v>13913786</v>
      </c>
      <c r="BT16" s="55">
        <v>13897139</v>
      </c>
      <c r="BU16" s="55">
        <v>15162740</v>
      </c>
      <c r="BV16" s="55">
        <v>15219345</v>
      </c>
      <c r="BW16" s="55">
        <v>12026360</v>
      </c>
      <c r="BX16" s="55">
        <v>13043105.949999999</v>
      </c>
      <c r="BY16" s="55">
        <v>10825176</v>
      </c>
      <c r="BZ16" s="55">
        <v>10510253</v>
      </c>
      <c r="CA16" s="55">
        <v>12193961</v>
      </c>
      <c r="CB16" s="55">
        <v>14772326</v>
      </c>
      <c r="CC16" s="55">
        <v>14573922</v>
      </c>
      <c r="CD16" s="55">
        <v>17331065</v>
      </c>
      <c r="CE16" s="55">
        <v>13426887</v>
      </c>
      <c r="CF16" s="55">
        <v>15694088</v>
      </c>
      <c r="CG16" s="55">
        <v>18346649</v>
      </c>
      <c r="CH16" s="55">
        <v>19401430</v>
      </c>
      <c r="CI16" s="55">
        <v>17986770</v>
      </c>
      <c r="CJ16" s="55">
        <v>13540328.84</v>
      </c>
      <c r="CK16" s="55">
        <v>12279291.27</v>
      </c>
      <c r="CL16" s="55">
        <v>19379659</v>
      </c>
      <c r="CM16" s="55">
        <v>25362238</v>
      </c>
      <c r="CN16" s="55">
        <v>30372969</v>
      </c>
      <c r="CO16" s="55">
        <v>25476721</v>
      </c>
      <c r="CP16" s="55">
        <v>25085924</v>
      </c>
      <c r="CQ16" s="55">
        <v>28301586</v>
      </c>
      <c r="CR16" s="55">
        <v>22216003</v>
      </c>
      <c r="CS16" s="55">
        <v>30803179</v>
      </c>
      <c r="CT16" s="55">
        <v>30215068</v>
      </c>
      <c r="CU16" s="55">
        <v>20397554</v>
      </c>
      <c r="CV16" s="55">
        <v>15204483</v>
      </c>
      <c r="CW16" s="55">
        <v>16834202</v>
      </c>
      <c r="CX16" s="55">
        <v>25130323</v>
      </c>
      <c r="CY16" s="55">
        <v>21318414</v>
      </c>
      <c r="CZ16" s="55">
        <v>22581137</v>
      </c>
      <c r="DA16" s="55">
        <v>24152988</v>
      </c>
      <c r="DB16" s="55">
        <v>22778232</v>
      </c>
      <c r="DC16" s="55">
        <v>18811252</v>
      </c>
      <c r="DD16" s="55">
        <v>20176214</v>
      </c>
      <c r="DE16" s="55">
        <v>26213994</v>
      </c>
      <c r="DF16" s="55">
        <v>28418737</v>
      </c>
      <c r="DG16" s="55">
        <v>23356414</v>
      </c>
    </row>
    <row r="17" spans="1:111" x14ac:dyDescent="0.2">
      <c r="B17" s="7" t="s">
        <v>15</v>
      </c>
      <c r="C17" s="56">
        <v>27719397</v>
      </c>
      <c r="D17" s="56">
        <v>26896045</v>
      </c>
      <c r="E17" s="56">
        <v>24658675</v>
      </c>
      <c r="F17" s="56">
        <v>21621153</v>
      </c>
      <c r="G17" s="56">
        <v>25299886</v>
      </c>
      <c r="H17" s="56">
        <v>28617943</v>
      </c>
      <c r="I17" s="56">
        <v>29535270</v>
      </c>
      <c r="J17" s="56">
        <v>29766892</v>
      </c>
      <c r="K17" s="56">
        <v>28423793</v>
      </c>
      <c r="L17" s="56">
        <v>22142282</v>
      </c>
      <c r="M17" s="56">
        <v>22531953</v>
      </c>
      <c r="N17" s="56">
        <v>24076602</v>
      </c>
      <c r="O17" s="56">
        <v>27864488</v>
      </c>
      <c r="P17" s="56">
        <v>26982032</v>
      </c>
      <c r="Q17" s="56">
        <v>23229215</v>
      </c>
      <c r="R17" s="56">
        <v>22203850</v>
      </c>
      <c r="S17" s="56">
        <v>24244784</v>
      </c>
      <c r="T17" s="56">
        <v>29857525</v>
      </c>
      <c r="U17" s="56">
        <v>31805880</v>
      </c>
      <c r="V17" s="56">
        <v>32105714</v>
      </c>
      <c r="W17" s="56">
        <v>30027119</v>
      </c>
      <c r="X17" s="56">
        <v>24068959</v>
      </c>
      <c r="Y17" s="56">
        <v>23494417</v>
      </c>
      <c r="Z17" s="56">
        <v>26321948</v>
      </c>
      <c r="AA17" s="56">
        <f t="shared" ref="AA17:AB17" si="24">SUM(AA14:AA16)</f>
        <v>26520845</v>
      </c>
      <c r="AB17" s="56">
        <f t="shared" si="24"/>
        <v>23259721</v>
      </c>
      <c r="AC17" s="56">
        <f t="shared" ref="AC17:AD17" si="25">SUM(AC14:AC16)</f>
        <v>22640017</v>
      </c>
      <c r="AD17" s="56">
        <f t="shared" si="25"/>
        <v>21381971</v>
      </c>
      <c r="AE17" s="56">
        <f t="shared" ref="AE17:AF17" si="26">SUM(AE14:AE16)</f>
        <v>23181700</v>
      </c>
      <c r="AF17" s="56">
        <f t="shared" si="26"/>
        <v>26535935</v>
      </c>
      <c r="AG17" s="56">
        <f t="shared" ref="AG17" si="27">SUM(AG14:AG16)</f>
        <v>31330313</v>
      </c>
      <c r="AH17" s="56">
        <f t="shared" ref="AH17:AI17" si="28">SUM(AH14:AH16)</f>
        <v>28216139</v>
      </c>
      <c r="AI17" s="56">
        <f t="shared" si="28"/>
        <v>24314788</v>
      </c>
      <c r="AJ17" s="56">
        <f t="shared" ref="AJ17:AK17" si="29">SUM(AJ14:AJ16)</f>
        <v>22193686</v>
      </c>
      <c r="AK17" s="56">
        <f t="shared" si="29"/>
        <v>23831991</v>
      </c>
      <c r="AL17" s="56">
        <f t="shared" ref="AL17:AM17" si="30">SUM(AL14:AL16)</f>
        <v>27237506</v>
      </c>
      <c r="AM17" s="56">
        <f t="shared" si="30"/>
        <v>28134888</v>
      </c>
      <c r="AN17" s="56">
        <f t="shared" ref="AN17:AO17" si="31">SUM(AN14:AN16)</f>
        <v>25326702</v>
      </c>
      <c r="AO17" s="56">
        <f t="shared" si="31"/>
        <v>23549239</v>
      </c>
      <c r="AP17" s="56">
        <f t="shared" ref="AP17" si="32">SUM(AP14:AP16)</f>
        <v>24097012</v>
      </c>
      <c r="AQ17" s="56">
        <v>29267260.030000001</v>
      </c>
      <c r="AR17" s="56">
        <v>35402407.270000003</v>
      </c>
      <c r="AS17" s="56">
        <v>33975350.549999997</v>
      </c>
      <c r="AT17" s="56">
        <v>32192402.669999998</v>
      </c>
      <c r="AU17" s="56">
        <v>31391335.470000003</v>
      </c>
      <c r="AV17" s="56">
        <v>27791810.989999998</v>
      </c>
      <c r="AW17" s="56">
        <v>28955545.690000001</v>
      </c>
      <c r="AX17" s="56">
        <v>29370162.479999997</v>
      </c>
      <c r="AY17" s="56">
        <v>31847013.420000002</v>
      </c>
      <c r="AZ17" s="56">
        <v>29115253.280000001</v>
      </c>
      <c r="BA17" s="56">
        <v>27810004.66</v>
      </c>
      <c r="BB17" s="56">
        <v>25421164.84</v>
      </c>
      <c r="BC17" s="56">
        <v>29582527.189999998</v>
      </c>
      <c r="BD17" s="56">
        <v>32125213.870000001</v>
      </c>
      <c r="BE17" s="56">
        <v>32836788.789999999</v>
      </c>
      <c r="BF17" s="56">
        <v>29905650.370000001</v>
      </c>
      <c r="BG17" s="56">
        <v>30431366.91</v>
      </c>
      <c r="BH17" s="56">
        <v>26750811.560000002</v>
      </c>
      <c r="BI17" s="56">
        <v>29640930.560000002</v>
      </c>
      <c r="BJ17" s="56">
        <v>30018719.91</v>
      </c>
      <c r="BK17" s="56">
        <v>28611919.25</v>
      </c>
      <c r="BL17" s="56">
        <v>27390471.18</v>
      </c>
      <c r="BM17" s="56">
        <v>25113402.09</v>
      </c>
      <c r="BN17" s="56">
        <v>22157521.16</v>
      </c>
      <c r="BO17" s="56">
        <v>25072733.32</v>
      </c>
      <c r="BP17" s="56">
        <v>29435801.050000001</v>
      </c>
      <c r="BQ17" s="56">
        <v>32499375.02</v>
      </c>
      <c r="BR17" s="56">
        <v>31610141.289999999</v>
      </c>
      <c r="BS17" s="56">
        <v>29054473.189999998</v>
      </c>
      <c r="BT17" s="56">
        <v>24943287.739999998</v>
      </c>
      <c r="BU17" s="56">
        <v>25351330.690000001</v>
      </c>
      <c r="BV17" s="56">
        <v>29661136.059999999</v>
      </c>
      <c r="BW17" s="56">
        <v>28496731.219999999</v>
      </c>
      <c r="BX17" s="56">
        <v>32074974.710000001</v>
      </c>
      <c r="BY17" s="56">
        <v>25239424.370000001</v>
      </c>
      <c r="BZ17" s="56">
        <v>25652490.41</v>
      </c>
      <c r="CA17" s="56">
        <v>27277746.960000001</v>
      </c>
      <c r="CB17" s="56">
        <v>32251828.48</v>
      </c>
      <c r="CC17" s="56">
        <v>35110097.550000004</v>
      </c>
      <c r="CD17" s="56">
        <v>36101724.850000001</v>
      </c>
      <c r="CE17" s="56">
        <v>30769556.270000003</v>
      </c>
      <c r="CF17" s="56">
        <v>29639939.850000001</v>
      </c>
      <c r="CG17" s="56">
        <v>32462739.100000001</v>
      </c>
      <c r="CH17" s="56">
        <v>38227870.289999999</v>
      </c>
      <c r="CI17" s="56">
        <v>43630039.700000003</v>
      </c>
      <c r="CJ17" s="56">
        <v>36083528.379999995</v>
      </c>
      <c r="CK17" s="56">
        <v>24843397.109999999</v>
      </c>
      <c r="CL17" s="56">
        <v>28453583.590000004</v>
      </c>
      <c r="CM17" s="56">
        <v>33016564.350000001</v>
      </c>
      <c r="CN17" s="56">
        <v>30139786.359999999</v>
      </c>
      <c r="CO17" s="56">
        <v>49294724.829999998</v>
      </c>
      <c r="CP17" s="56">
        <v>43892893.810000002</v>
      </c>
      <c r="CQ17" s="56">
        <v>44315669.439999998</v>
      </c>
      <c r="CR17" s="56">
        <v>33354105.920000002</v>
      </c>
      <c r="CS17" s="56">
        <v>41052544</v>
      </c>
      <c r="CT17" s="56">
        <v>41658294.530000001</v>
      </c>
      <c r="CU17" s="56">
        <v>38355559.939999998</v>
      </c>
      <c r="CV17" s="56">
        <v>29723631.390000001</v>
      </c>
      <c r="CW17" s="56">
        <v>32463274.43</v>
      </c>
      <c r="CX17" s="56">
        <v>27283405.600000001</v>
      </c>
      <c r="CY17" s="56">
        <v>33604856.219999999</v>
      </c>
      <c r="CZ17" s="56">
        <v>36901033.019999996</v>
      </c>
      <c r="DA17" s="56">
        <v>37649664.629999995</v>
      </c>
      <c r="DB17" s="56">
        <v>38676344.480000004</v>
      </c>
      <c r="DC17" s="56">
        <v>33872205.289999999</v>
      </c>
      <c r="DD17" s="56">
        <v>35042678.060000002</v>
      </c>
      <c r="DE17" s="56">
        <v>38308454.700000003</v>
      </c>
      <c r="DF17" s="56">
        <v>41155309.170000002</v>
      </c>
      <c r="DG17" s="56">
        <v>38795193.189999998</v>
      </c>
    </row>
    <row r="18" spans="1:111" x14ac:dyDescent="0.2">
      <c r="B18" t="s">
        <v>14</v>
      </c>
      <c r="C18" s="61">
        <v>20251161</v>
      </c>
      <c r="D18" s="61">
        <v>19165579</v>
      </c>
      <c r="E18" s="61">
        <v>18369308</v>
      </c>
      <c r="F18" s="61">
        <v>8469090</v>
      </c>
      <c r="G18" s="61">
        <v>4811875</v>
      </c>
      <c r="H18" s="61">
        <v>3916702</v>
      </c>
      <c r="I18" s="61">
        <v>3612903</v>
      </c>
      <c r="J18" s="61">
        <v>3464306</v>
      </c>
      <c r="K18" s="61">
        <v>3518299</v>
      </c>
      <c r="L18" s="61">
        <v>3927195</v>
      </c>
      <c r="M18" s="61">
        <v>5938147</v>
      </c>
      <c r="N18" s="61">
        <v>9550506</v>
      </c>
      <c r="O18" s="61">
        <v>13942931</v>
      </c>
      <c r="P18" s="61">
        <v>15385025</v>
      </c>
      <c r="Q18" s="61">
        <v>10641798</v>
      </c>
      <c r="R18" s="61">
        <v>6807140</v>
      </c>
      <c r="S18" s="61">
        <v>4636008</v>
      </c>
      <c r="T18" s="61">
        <v>3874331</v>
      </c>
      <c r="U18" s="61">
        <v>3511692</v>
      </c>
      <c r="V18" s="61">
        <v>3385924</v>
      </c>
      <c r="W18" s="61">
        <v>3531234</v>
      </c>
      <c r="X18" s="61">
        <v>3768064</v>
      </c>
      <c r="Y18" s="61">
        <v>5549798</v>
      </c>
      <c r="Z18" s="61">
        <v>12518741</v>
      </c>
      <c r="AA18" s="61">
        <f>18034362-43506-6388</f>
        <v>17984468</v>
      </c>
      <c r="AB18" s="61">
        <f>13026633-43506-6496</f>
        <v>12976631</v>
      </c>
      <c r="AC18" s="61">
        <f>11648124-43506-5456</f>
        <v>11599162</v>
      </c>
      <c r="AD18" s="72">
        <f>7601186-43506-3314</f>
        <v>7554366</v>
      </c>
      <c r="AE18" s="72">
        <f>5189437-976-43506</f>
        <v>5144955</v>
      </c>
      <c r="AF18" s="72">
        <f>3885433-43506-239</f>
        <v>3841688</v>
      </c>
      <c r="AG18" s="72">
        <f>3590567-43506-40</f>
        <v>3547021</v>
      </c>
      <c r="AH18" s="72">
        <f>3483471-43506-32</f>
        <v>3439933</v>
      </c>
      <c r="AI18" s="72">
        <f>3611104-43506-31</f>
        <v>3567567</v>
      </c>
      <c r="AJ18" s="72">
        <f>3730476-43506-79</f>
        <v>3686891</v>
      </c>
      <c r="AK18" s="72">
        <f>7229977-43506-161</f>
        <v>7186310</v>
      </c>
      <c r="AL18" s="72">
        <f>12590182-43506-4259</f>
        <v>12542417</v>
      </c>
      <c r="AM18" s="72">
        <f>19673545-43506-6726</f>
        <v>19623313</v>
      </c>
      <c r="AN18" s="72">
        <f>15384884-43506-8445</f>
        <v>15332933</v>
      </c>
      <c r="AO18" s="72">
        <f>11457447-43506-6070</f>
        <v>11407871</v>
      </c>
      <c r="AP18" s="72">
        <f>10924722-43506-5204</f>
        <v>10876012</v>
      </c>
      <c r="AQ18" s="74">
        <v>5601310.8300000001</v>
      </c>
      <c r="AR18" s="74">
        <v>3691357.87</v>
      </c>
      <c r="AS18" s="74">
        <v>3530897.6</v>
      </c>
      <c r="AT18" s="74">
        <v>3567235.42</v>
      </c>
      <c r="AU18" s="74">
        <v>3153433.08</v>
      </c>
      <c r="AV18" s="74">
        <v>4448218.66</v>
      </c>
      <c r="AW18" s="74">
        <v>8241363.3399999999</v>
      </c>
      <c r="AX18" s="74">
        <v>15245113.59</v>
      </c>
      <c r="AY18" s="74">
        <v>18086134.239999998</v>
      </c>
      <c r="AZ18" s="74">
        <v>16516014.16</v>
      </c>
      <c r="BA18" s="74">
        <v>13726674.930000002</v>
      </c>
      <c r="BB18" s="74">
        <v>8844723.8200000003</v>
      </c>
      <c r="BC18" s="74">
        <v>5335206.82</v>
      </c>
      <c r="BD18" s="74">
        <v>3930395.04</v>
      </c>
      <c r="BE18" s="74">
        <v>3639323.66</v>
      </c>
      <c r="BF18" s="74">
        <v>3553811.33</v>
      </c>
      <c r="BG18" s="74">
        <v>3502363.15</v>
      </c>
      <c r="BH18" s="74">
        <v>3807534.8000000003</v>
      </c>
      <c r="BI18" s="74">
        <v>7379259.6399999997</v>
      </c>
      <c r="BJ18" s="74">
        <v>13466806.6</v>
      </c>
      <c r="BK18" s="74">
        <v>16296085.59</v>
      </c>
      <c r="BL18" s="74">
        <v>15700825.84</v>
      </c>
      <c r="BM18" s="74">
        <v>11534979.42</v>
      </c>
      <c r="BN18" s="74">
        <v>7162377.2799999993</v>
      </c>
      <c r="BO18" s="74">
        <v>5938021.8099999996</v>
      </c>
      <c r="BP18" s="74">
        <v>4027194.4699999997</v>
      </c>
      <c r="BQ18" s="74">
        <v>3442530.75</v>
      </c>
      <c r="BR18" s="74">
        <v>3329748.7600000002</v>
      </c>
      <c r="BS18" s="74">
        <v>3457886.47</v>
      </c>
      <c r="BT18" s="74">
        <v>4097346.3200000003</v>
      </c>
      <c r="BU18" s="74">
        <v>6906228.2400000002</v>
      </c>
      <c r="BV18" s="74">
        <v>14136417.130000001</v>
      </c>
      <c r="BW18" s="74">
        <v>18854885.150000002</v>
      </c>
      <c r="BX18" s="74">
        <v>18732635.91</v>
      </c>
      <c r="BY18" s="74">
        <v>14093618.719999999</v>
      </c>
      <c r="BZ18" s="74">
        <v>8306861.5800000001</v>
      </c>
      <c r="CA18" s="74">
        <v>5914259.5500000007</v>
      </c>
      <c r="CB18" s="74">
        <v>4508334.62</v>
      </c>
      <c r="CC18" s="74">
        <v>3847954.56</v>
      </c>
      <c r="CD18" s="74">
        <v>3772086.4699999997</v>
      </c>
      <c r="CE18" s="74">
        <v>4040678.0500000003</v>
      </c>
      <c r="CF18" s="74">
        <v>4328231.21</v>
      </c>
      <c r="CG18" s="74">
        <v>8652421.7599999998</v>
      </c>
      <c r="CH18" s="74">
        <v>18914530.809999999</v>
      </c>
      <c r="CI18" s="74">
        <v>24715388.850000001</v>
      </c>
      <c r="CJ18" s="74">
        <v>27878630.27</v>
      </c>
      <c r="CK18" s="74">
        <v>17123483.460000001</v>
      </c>
      <c r="CL18" s="74">
        <v>11020100.710000001</v>
      </c>
      <c r="CM18" s="74">
        <v>7914421.3099999996</v>
      </c>
      <c r="CN18" s="74">
        <v>7416052.5300000003</v>
      </c>
      <c r="CO18" s="74">
        <v>5079585.37</v>
      </c>
      <c r="CP18" s="74">
        <v>3787064.66</v>
      </c>
      <c r="CQ18" s="74">
        <v>5491558.2199999997</v>
      </c>
      <c r="CR18" s="74">
        <v>7031143.9500000002</v>
      </c>
      <c r="CS18" s="74">
        <v>11726700.710000001</v>
      </c>
      <c r="CT18" s="74">
        <v>20208268.84</v>
      </c>
      <c r="CU18" s="74">
        <v>24663070.050000001</v>
      </c>
      <c r="CV18" s="74">
        <v>22596393.580000002</v>
      </c>
      <c r="CW18" s="74">
        <v>16847095.390000001</v>
      </c>
      <c r="CX18" s="74">
        <v>9215236.3500000015</v>
      </c>
      <c r="CY18" s="74">
        <v>8374597.8000000007</v>
      </c>
      <c r="CZ18" s="74">
        <v>5523238.3899999997</v>
      </c>
      <c r="DA18" s="74">
        <v>4269139.1999999993</v>
      </c>
      <c r="DB18" s="74">
        <v>4508650.7799999993</v>
      </c>
      <c r="DC18" s="74">
        <v>5283692.9799999995</v>
      </c>
      <c r="DD18" s="74">
        <v>4840420.04</v>
      </c>
      <c r="DE18" s="74">
        <v>9242929.5700000003</v>
      </c>
      <c r="DF18" s="74">
        <v>17014180.690000001</v>
      </c>
      <c r="DG18" s="74">
        <v>23177292.740000002</v>
      </c>
    </row>
    <row r="19" spans="1:111" x14ac:dyDescent="0.2">
      <c r="B19" t="s">
        <v>8</v>
      </c>
      <c r="C19" s="55">
        <v>-6406000</v>
      </c>
      <c r="D19" s="55">
        <v>-7320000</v>
      </c>
      <c r="E19" s="55">
        <v>-9914000</v>
      </c>
      <c r="F19" s="55">
        <v>-5454000</v>
      </c>
      <c r="G19" s="55">
        <v>-2906000</v>
      </c>
      <c r="H19" s="55">
        <v>-2024000</v>
      </c>
      <c r="I19" s="55">
        <v>-1784000</v>
      </c>
      <c r="J19" s="55">
        <v>-1671000</v>
      </c>
      <c r="K19" s="55">
        <v>-1781000</v>
      </c>
      <c r="L19" s="55">
        <v>-1785000</v>
      </c>
      <c r="M19" s="55">
        <v>-3091000</v>
      </c>
      <c r="N19" s="55">
        <v>-4802000</v>
      </c>
      <c r="O19" s="55">
        <v>-4665000</v>
      </c>
      <c r="P19" s="55">
        <v>-7066000</v>
      </c>
      <c r="Q19" s="55">
        <v>-6569000</v>
      </c>
      <c r="R19" s="55">
        <v>-4112000</v>
      </c>
      <c r="S19" s="55">
        <v>-3049000</v>
      </c>
      <c r="T19" s="55">
        <v>-2261000</v>
      </c>
      <c r="U19" s="55">
        <v>-1768307</v>
      </c>
      <c r="V19" s="55">
        <v>-1788472</v>
      </c>
      <c r="W19" s="55">
        <v>-1700091</v>
      </c>
      <c r="X19" s="55">
        <v>-1887687</v>
      </c>
      <c r="Y19" s="55">
        <v>-2547558</v>
      </c>
      <c r="Z19" s="55">
        <v>-5374362</v>
      </c>
      <c r="AA19" s="55">
        <f t="shared" ref="AA19:AJ19" si="33">-Z7-Z8</f>
        <v>-9037050</v>
      </c>
      <c r="AB19" s="55">
        <f t="shared" si="33"/>
        <v>-7047435</v>
      </c>
      <c r="AC19" s="55">
        <f t="shared" si="33"/>
        <v>-6489466</v>
      </c>
      <c r="AD19" s="55">
        <f t="shared" si="33"/>
        <v>-5354038</v>
      </c>
      <c r="AE19" s="55">
        <f t="shared" si="33"/>
        <v>-3499886</v>
      </c>
      <c r="AF19" s="55">
        <f t="shared" si="33"/>
        <v>-2440815</v>
      </c>
      <c r="AG19" s="55">
        <f t="shared" si="33"/>
        <v>-1881254</v>
      </c>
      <c r="AH19" s="55">
        <f t="shared" si="33"/>
        <v>-1865868</v>
      </c>
      <c r="AI19" s="55">
        <f t="shared" si="33"/>
        <v>-1705400</v>
      </c>
      <c r="AJ19" s="55">
        <f t="shared" si="33"/>
        <v>-1872653</v>
      </c>
      <c r="AK19" s="55">
        <f t="shared" ref="AK19:AL19" si="34">-AJ7-AJ8</f>
        <v>-3285739</v>
      </c>
      <c r="AL19" s="55">
        <f t="shared" si="34"/>
        <v>-5706955</v>
      </c>
      <c r="AM19" s="55">
        <f t="shared" ref="AM19" si="35">-AL7-AL8</f>
        <v>-8978613</v>
      </c>
      <c r="AN19" s="55">
        <f t="shared" ref="AN19" si="36">-AM7-AM8</f>
        <v>-7230265</v>
      </c>
      <c r="AO19" s="55">
        <f t="shared" ref="AO19" si="37">-AN7-AN8</f>
        <v>-5488944</v>
      </c>
      <c r="AP19" s="55">
        <f t="shared" ref="AP19" si="38">-AO7-AO8</f>
        <v>-5749035</v>
      </c>
      <c r="AQ19" s="55">
        <v>-3872176</v>
      </c>
      <c r="AR19" s="55">
        <v>-2036714</v>
      </c>
      <c r="AS19" s="55">
        <v>-1910068</v>
      </c>
      <c r="AT19" s="55">
        <v>-1931199</v>
      </c>
      <c r="AU19" s="55">
        <v>-2007634</v>
      </c>
      <c r="AV19" s="55">
        <v>-1937919</v>
      </c>
      <c r="AW19" s="55">
        <v>-3506250</v>
      </c>
      <c r="AX19" s="55">
        <v>-6866613</v>
      </c>
      <c r="AY19" s="55">
        <v>-7923951</v>
      </c>
      <c r="AZ19" s="55">
        <v>-8380897</v>
      </c>
      <c r="BA19" s="55">
        <v>-6592745</v>
      </c>
      <c r="BB19" s="55">
        <v>-5248699</v>
      </c>
      <c r="BC19" s="55">
        <v>-3106016</v>
      </c>
      <c r="BD19" s="55">
        <v>-1868165</v>
      </c>
      <c r="BE19" s="55">
        <v>-1710383</v>
      </c>
      <c r="BF19" s="55">
        <v>-1750113</v>
      </c>
      <c r="BG19" s="55">
        <v>-1774957</v>
      </c>
      <c r="BH19" s="55">
        <v>-1738196</v>
      </c>
      <c r="BI19" s="55">
        <v>-2711054</v>
      </c>
      <c r="BJ19" s="55">
        <v>-5511717</v>
      </c>
      <c r="BK19" s="55">
        <v>-6844663</v>
      </c>
      <c r="BL19" s="55">
        <v>-6398782</v>
      </c>
      <c r="BM19" s="55">
        <v>-5723696</v>
      </c>
      <c r="BN19" s="55">
        <v>-3827335</v>
      </c>
      <c r="BO19" s="55">
        <v>-3079202</v>
      </c>
      <c r="BP19" s="55">
        <v>-1907465</v>
      </c>
      <c r="BQ19" s="55">
        <v>-1715910</v>
      </c>
      <c r="BR19" s="55">
        <v>-1741310</v>
      </c>
      <c r="BS19" s="55">
        <v>-1863395</v>
      </c>
      <c r="BT19" s="55">
        <v>-1839378</v>
      </c>
      <c r="BU19" s="55">
        <v>-2983994</v>
      </c>
      <c r="BV19" s="55">
        <v>-5141650</v>
      </c>
      <c r="BW19" s="55">
        <v>-8016433</v>
      </c>
      <c r="BX19" s="55">
        <v>-6691437</v>
      </c>
      <c r="BY19" s="55">
        <v>-6549463.1799999997</v>
      </c>
      <c r="BZ19" s="55">
        <v>-3871943</v>
      </c>
      <c r="CA19" s="55">
        <v>-3031636</v>
      </c>
      <c r="CB19" s="55">
        <v>-2065047</v>
      </c>
      <c r="CC19" s="55">
        <v>-1816100</v>
      </c>
      <c r="CD19" s="55">
        <v>-1839139</v>
      </c>
      <c r="CE19" s="55">
        <v>-2027082</v>
      </c>
      <c r="CF19" s="55">
        <v>-1996927</v>
      </c>
      <c r="CG19" s="55">
        <v>-3107317</v>
      </c>
      <c r="CH19" s="55">
        <v>-7006148</v>
      </c>
      <c r="CI19" s="55">
        <v>-8024125</v>
      </c>
      <c r="CJ19" s="55">
        <v>-9576941</v>
      </c>
      <c r="CK19" s="55">
        <v>-8072496.2999999998</v>
      </c>
      <c r="CL19" s="55">
        <v>-5397499</v>
      </c>
      <c r="CM19" s="55">
        <v>-4158151</v>
      </c>
      <c r="CN19" s="55">
        <v>-3933252</v>
      </c>
      <c r="CO19" s="55">
        <v>-2817915</v>
      </c>
      <c r="CP19" s="55">
        <v>-2812351</v>
      </c>
      <c r="CQ19" s="55">
        <v>-3141755</v>
      </c>
      <c r="CR19" s="55">
        <v>-3279485</v>
      </c>
      <c r="CS19" s="55">
        <v>-5207307</v>
      </c>
      <c r="CT19" s="55">
        <v>-8052787</v>
      </c>
      <c r="CU19" s="55">
        <v>-13412046</v>
      </c>
      <c r="CV19" s="55">
        <v>-4427288</v>
      </c>
      <c r="CW19" s="55">
        <v>-8866194</v>
      </c>
      <c r="CX19" s="55">
        <v>-7356475</v>
      </c>
      <c r="CY19" s="55">
        <v>-4637309</v>
      </c>
      <c r="CZ19" s="55">
        <v>-2652406</v>
      </c>
      <c r="DA19" s="55">
        <v>-2378498</v>
      </c>
      <c r="DB19" s="55">
        <v>-2482929</v>
      </c>
      <c r="DC19" s="55">
        <v>-3151656</v>
      </c>
      <c r="DD19" s="55">
        <v>-2411927</v>
      </c>
      <c r="DE19" s="55">
        <v>-3868154</v>
      </c>
      <c r="DF19" s="55">
        <v>-7314067</v>
      </c>
      <c r="DG19" s="55">
        <v>-10860382</v>
      </c>
    </row>
    <row r="20" spans="1:111" x14ac:dyDescent="0.2">
      <c r="B20" t="s">
        <v>9</v>
      </c>
      <c r="C20" s="55">
        <v>7320000</v>
      </c>
      <c r="D20" s="55">
        <v>9914000</v>
      </c>
      <c r="E20" s="55">
        <v>5454000</v>
      </c>
      <c r="F20" s="55">
        <v>2906000</v>
      </c>
      <c r="G20" s="55">
        <v>2024000</v>
      </c>
      <c r="H20" s="55">
        <v>1784000</v>
      </c>
      <c r="I20" s="55">
        <v>1671000</v>
      </c>
      <c r="J20" s="55">
        <v>1781000</v>
      </c>
      <c r="K20" s="55">
        <v>1785000</v>
      </c>
      <c r="L20" s="55">
        <v>3091000</v>
      </c>
      <c r="M20" s="55">
        <v>4802000</v>
      </c>
      <c r="N20" s="55">
        <v>4665000</v>
      </c>
      <c r="O20" s="55">
        <v>7066000</v>
      </c>
      <c r="P20" s="55">
        <v>6569000</v>
      </c>
      <c r="Q20" s="55">
        <v>4112000</v>
      </c>
      <c r="R20" s="55">
        <v>3049000</v>
      </c>
      <c r="S20" s="55">
        <v>2261000</v>
      </c>
      <c r="T20" s="55">
        <v>1768307</v>
      </c>
      <c r="U20" s="55">
        <v>1788472</v>
      </c>
      <c r="V20" s="55">
        <v>1700091</v>
      </c>
      <c r="W20" s="55">
        <v>1887687</v>
      </c>
      <c r="X20" s="55">
        <v>2547558</v>
      </c>
      <c r="Y20" s="55">
        <v>5374362</v>
      </c>
      <c r="Z20" s="55">
        <v>9037050</v>
      </c>
      <c r="AA20" s="55">
        <f t="shared" ref="AA20:AB20" si="39">AA7+AA8</f>
        <v>7047435</v>
      </c>
      <c r="AB20" s="55">
        <f t="shared" si="39"/>
        <v>6489466</v>
      </c>
      <c r="AC20" s="55">
        <f t="shared" ref="AC20:AD20" si="40">AC7+AC8</f>
        <v>5354038</v>
      </c>
      <c r="AD20" s="55">
        <f t="shared" si="40"/>
        <v>3499886</v>
      </c>
      <c r="AE20" s="55">
        <f t="shared" ref="AE20:AF20" si="41">AE7+AE8</f>
        <v>2440815</v>
      </c>
      <c r="AF20" s="55">
        <f t="shared" si="41"/>
        <v>1881254</v>
      </c>
      <c r="AG20" s="55">
        <f t="shared" ref="AG20" si="42">AG7+AG8</f>
        <v>1865868</v>
      </c>
      <c r="AH20" s="55">
        <f t="shared" ref="AH20:AI20" si="43">AH7+AH8</f>
        <v>1705400</v>
      </c>
      <c r="AI20" s="55">
        <f t="shared" si="43"/>
        <v>1872653</v>
      </c>
      <c r="AJ20" s="55">
        <f t="shared" ref="AJ20:AK20" si="44">AJ7+AJ8</f>
        <v>3285739</v>
      </c>
      <c r="AK20" s="55">
        <f t="shared" si="44"/>
        <v>5706955</v>
      </c>
      <c r="AL20" s="55">
        <f t="shared" ref="AL20:AM20" si="45">AL7+AL8</f>
        <v>8978613</v>
      </c>
      <c r="AM20" s="55">
        <f t="shared" si="45"/>
        <v>7230265</v>
      </c>
      <c r="AN20" s="55">
        <f t="shared" ref="AN20:AO20" si="46">AN7+AN8</f>
        <v>5488944</v>
      </c>
      <c r="AO20" s="55">
        <f t="shared" si="46"/>
        <v>5749035</v>
      </c>
      <c r="AP20" s="55">
        <f t="shared" ref="AP20" si="47">AP7+AP8</f>
        <v>3872176</v>
      </c>
      <c r="AQ20" s="55">
        <v>2036714</v>
      </c>
      <c r="AR20" s="55">
        <v>1910068</v>
      </c>
      <c r="AS20" s="55">
        <v>1931199</v>
      </c>
      <c r="AT20" s="55">
        <v>2007634</v>
      </c>
      <c r="AU20" s="55">
        <v>1937919</v>
      </c>
      <c r="AV20" s="55">
        <v>3506250</v>
      </c>
      <c r="AW20" s="55">
        <v>6866613</v>
      </c>
      <c r="AX20" s="55">
        <v>7923951</v>
      </c>
      <c r="AY20" s="55">
        <v>8380897</v>
      </c>
      <c r="AZ20" s="55">
        <v>6592745</v>
      </c>
      <c r="BA20" s="55">
        <v>5248699</v>
      </c>
      <c r="BB20" s="55">
        <v>3106016</v>
      </c>
      <c r="BC20" s="55">
        <v>1868165</v>
      </c>
      <c r="BD20" s="55">
        <v>1710383</v>
      </c>
      <c r="BE20" s="55">
        <v>1750113</v>
      </c>
      <c r="BF20" s="55">
        <v>1774957</v>
      </c>
      <c r="BG20" s="55">
        <v>1738196</v>
      </c>
      <c r="BH20" s="55">
        <v>2711054</v>
      </c>
      <c r="BI20" s="55">
        <v>5511717</v>
      </c>
      <c r="BJ20" s="55">
        <v>6844663</v>
      </c>
      <c r="BK20" s="55">
        <v>6398782</v>
      </c>
      <c r="BL20" s="55">
        <v>5723696</v>
      </c>
      <c r="BM20" s="55">
        <v>3827335</v>
      </c>
      <c r="BN20" s="55">
        <v>3079202</v>
      </c>
      <c r="BO20" s="55">
        <v>1907465</v>
      </c>
      <c r="BP20" s="55">
        <v>1715910</v>
      </c>
      <c r="BQ20" s="55">
        <v>1741310</v>
      </c>
      <c r="BR20" s="55">
        <v>1863395</v>
      </c>
      <c r="BS20" s="55">
        <v>1839378</v>
      </c>
      <c r="BT20" s="55">
        <v>2983994</v>
      </c>
      <c r="BU20" s="55">
        <v>5141650</v>
      </c>
      <c r="BV20" s="55">
        <v>8016433</v>
      </c>
      <c r="BW20" s="55">
        <v>6691437</v>
      </c>
      <c r="BX20" s="55">
        <v>6549463.1799999997</v>
      </c>
      <c r="BY20" s="55">
        <v>3871943</v>
      </c>
      <c r="BZ20" s="55">
        <v>3031636</v>
      </c>
      <c r="CA20" s="55">
        <v>2065047</v>
      </c>
      <c r="CB20" s="55">
        <v>1816100</v>
      </c>
      <c r="CC20" s="55">
        <v>1839139</v>
      </c>
      <c r="CD20" s="55">
        <v>2027082</v>
      </c>
      <c r="CE20" s="55">
        <v>1996927</v>
      </c>
      <c r="CF20" s="55">
        <v>3107317</v>
      </c>
      <c r="CG20" s="55">
        <v>7006148</v>
      </c>
      <c r="CH20" s="55">
        <v>8024125</v>
      </c>
      <c r="CI20" s="55">
        <v>9576941</v>
      </c>
      <c r="CJ20" s="55">
        <v>8072496.2999999998</v>
      </c>
      <c r="CK20" s="55">
        <v>5397499</v>
      </c>
      <c r="CL20" s="55">
        <v>4158151</v>
      </c>
      <c r="CM20" s="55">
        <v>3933252</v>
      </c>
      <c r="CN20" s="55">
        <v>2817915</v>
      </c>
      <c r="CO20" s="55">
        <v>2812351</v>
      </c>
      <c r="CP20" s="55">
        <v>3141755</v>
      </c>
      <c r="CQ20" s="55">
        <v>3279485</v>
      </c>
      <c r="CR20" s="55">
        <v>5207307</v>
      </c>
      <c r="CS20" s="55">
        <v>8052787</v>
      </c>
      <c r="CT20" s="55">
        <v>13412046</v>
      </c>
      <c r="CU20" s="55">
        <v>4427288</v>
      </c>
      <c r="CV20" s="55">
        <v>8866194</v>
      </c>
      <c r="CW20" s="55">
        <v>7356475</v>
      </c>
      <c r="CX20" s="55">
        <v>4637309</v>
      </c>
      <c r="CY20" s="55">
        <v>2652406</v>
      </c>
      <c r="CZ20" s="55">
        <v>2378498</v>
      </c>
      <c r="DA20" s="55">
        <v>2482929</v>
      </c>
      <c r="DB20" s="55">
        <v>3151656</v>
      </c>
      <c r="DC20" s="55">
        <v>2411927</v>
      </c>
      <c r="DD20" s="55">
        <v>3868154</v>
      </c>
      <c r="DE20" s="55">
        <v>7314067</v>
      </c>
      <c r="DF20" s="55">
        <v>10860382</v>
      </c>
      <c r="DG20" s="55">
        <v>10993358</v>
      </c>
    </row>
    <row r="21" spans="1:111" x14ac:dyDescent="0.2">
      <c r="B21" s="7" t="s">
        <v>16</v>
      </c>
      <c r="C21" s="56">
        <v>21165161</v>
      </c>
      <c r="D21" s="56">
        <v>21759579</v>
      </c>
      <c r="E21" s="56">
        <v>13909308</v>
      </c>
      <c r="F21" s="56">
        <v>5921090</v>
      </c>
      <c r="G21" s="56">
        <v>3929875</v>
      </c>
      <c r="H21" s="56">
        <v>3676702</v>
      </c>
      <c r="I21" s="56">
        <v>3499903</v>
      </c>
      <c r="J21" s="56">
        <v>3574306</v>
      </c>
      <c r="K21" s="56">
        <v>3522299</v>
      </c>
      <c r="L21" s="56">
        <v>5233195</v>
      </c>
      <c r="M21" s="56">
        <v>7649147</v>
      </c>
      <c r="N21" s="56">
        <v>9413506</v>
      </c>
      <c r="O21" s="56">
        <v>16343931</v>
      </c>
      <c r="P21" s="56">
        <v>14888025</v>
      </c>
      <c r="Q21" s="56">
        <v>8184798</v>
      </c>
      <c r="R21" s="56">
        <v>5744140</v>
      </c>
      <c r="S21" s="56">
        <v>3848008</v>
      </c>
      <c r="T21" s="56">
        <v>3381638</v>
      </c>
      <c r="U21" s="56">
        <v>3531857</v>
      </c>
      <c r="V21" s="56">
        <v>3297543</v>
      </c>
      <c r="W21" s="56">
        <v>3718830</v>
      </c>
      <c r="X21" s="56">
        <v>4427935</v>
      </c>
      <c r="Y21" s="56">
        <v>8376602</v>
      </c>
      <c r="Z21" s="56">
        <v>16181429</v>
      </c>
      <c r="AA21" s="56">
        <f t="shared" ref="AA21:AB21" si="48">SUM(AA18:AA20)</f>
        <v>15994853</v>
      </c>
      <c r="AB21" s="56">
        <f t="shared" si="48"/>
        <v>12418662</v>
      </c>
      <c r="AC21" s="56">
        <f t="shared" ref="AC21:AD21" si="49">SUM(AC18:AC20)</f>
        <v>10463734</v>
      </c>
      <c r="AD21" s="56">
        <f t="shared" si="49"/>
        <v>5700214</v>
      </c>
      <c r="AE21" s="56">
        <f t="shared" ref="AE21:AF21" si="50">SUM(AE18:AE20)</f>
        <v>4085884</v>
      </c>
      <c r="AF21" s="56">
        <f t="shared" si="50"/>
        <v>3282127</v>
      </c>
      <c r="AG21" s="56">
        <f t="shared" ref="AG21" si="51">SUM(AG18:AG20)</f>
        <v>3531635</v>
      </c>
      <c r="AH21" s="56">
        <f t="shared" ref="AH21:AI21" si="52">SUM(AH18:AH20)</f>
        <v>3279465</v>
      </c>
      <c r="AI21" s="56">
        <f t="shared" si="52"/>
        <v>3734820</v>
      </c>
      <c r="AJ21" s="56">
        <f t="shared" ref="AJ21:AK21" si="53">SUM(AJ18:AJ20)</f>
        <v>5099977</v>
      </c>
      <c r="AK21" s="56">
        <f t="shared" si="53"/>
        <v>9607526</v>
      </c>
      <c r="AL21" s="56">
        <f t="shared" ref="AL21:AM21" si="54">SUM(AL18:AL20)</f>
        <v>15814075</v>
      </c>
      <c r="AM21" s="56">
        <f t="shared" si="54"/>
        <v>17874965</v>
      </c>
      <c r="AN21" s="56">
        <f t="shared" ref="AN21:AO21" si="55">SUM(AN18:AN20)</f>
        <v>13591612</v>
      </c>
      <c r="AO21" s="56">
        <f t="shared" si="55"/>
        <v>11667962</v>
      </c>
      <c r="AP21" s="56">
        <f t="shared" ref="AP21" si="56">SUM(AP18:AP20)</f>
        <v>8999153</v>
      </c>
      <c r="AQ21" s="56">
        <v>3765848.83</v>
      </c>
      <c r="AR21" s="56">
        <v>3564711.87</v>
      </c>
      <c r="AS21" s="56">
        <v>3552028.6</v>
      </c>
      <c r="AT21" s="56">
        <v>3643670.42</v>
      </c>
      <c r="AU21" s="56">
        <v>3083718.08</v>
      </c>
      <c r="AV21" s="56">
        <v>6016549.6600000001</v>
      </c>
      <c r="AW21" s="56">
        <v>11601726.34</v>
      </c>
      <c r="AX21" s="56">
        <v>16302451.59</v>
      </c>
      <c r="AY21" s="56">
        <v>18543080.239999998</v>
      </c>
      <c r="AZ21" s="56">
        <v>14727862.16</v>
      </c>
      <c r="BA21" s="56">
        <v>12382628.930000002</v>
      </c>
      <c r="BB21" s="56">
        <v>6702040.8200000003</v>
      </c>
      <c r="BC21" s="56">
        <v>4097355.8200000003</v>
      </c>
      <c r="BD21" s="56">
        <v>3772613.04</v>
      </c>
      <c r="BE21" s="56">
        <v>3679053.66</v>
      </c>
      <c r="BF21" s="56">
        <v>3578655.33</v>
      </c>
      <c r="BG21" s="56">
        <v>3465602.15</v>
      </c>
      <c r="BH21" s="56">
        <v>4780392.8000000007</v>
      </c>
      <c r="BI21" s="56">
        <v>10179922.640000001</v>
      </c>
      <c r="BJ21" s="56">
        <v>14799752.6</v>
      </c>
      <c r="BK21" s="56">
        <v>15850204.59</v>
      </c>
      <c r="BL21" s="56">
        <v>15025739.84</v>
      </c>
      <c r="BM21" s="56">
        <v>9638618.4199999999</v>
      </c>
      <c r="BN21" s="56">
        <v>6414244.2799999993</v>
      </c>
      <c r="BO21" s="56">
        <v>4766284.8099999996</v>
      </c>
      <c r="BP21" s="56">
        <v>3835639.4699999997</v>
      </c>
      <c r="BQ21" s="56">
        <v>3467930.75</v>
      </c>
      <c r="BR21" s="56">
        <v>3451833.7600000002</v>
      </c>
      <c r="BS21" s="56">
        <v>3433869.47</v>
      </c>
      <c r="BT21" s="56">
        <v>5241962.32</v>
      </c>
      <c r="BU21" s="56">
        <v>9063884.2400000002</v>
      </c>
      <c r="BV21" s="56">
        <v>17011200.130000003</v>
      </c>
      <c r="BW21" s="56">
        <v>17529889.150000002</v>
      </c>
      <c r="BX21" s="56">
        <v>18590662.09</v>
      </c>
      <c r="BY21" s="56">
        <v>11416098.539999999</v>
      </c>
      <c r="BZ21" s="56">
        <v>7466554.5800000001</v>
      </c>
      <c r="CA21" s="56">
        <v>4947670.5500000007</v>
      </c>
      <c r="CB21" s="56">
        <v>4259387.62</v>
      </c>
      <c r="CC21" s="56">
        <v>3870993.56</v>
      </c>
      <c r="CD21" s="56">
        <v>3960029.4699999997</v>
      </c>
      <c r="CE21" s="56">
        <v>4010523.0500000003</v>
      </c>
      <c r="CF21" s="56">
        <v>5438621.21</v>
      </c>
      <c r="CG21" s="56">
        <v>12551252.76</v>
      </c>
      <c r="CH21" s="56">
        <v>19932507.809999999</v>
      </c>
      <c r="CI21" s="56">
        <v>26268204.850000001</v>
      </c>
      <c r="CJ21" s="56">
        <v>26374185.57</v>
      </c>
      <c r="CK21" s="56">
        <v>14448486.16</v>
      </c>
      <c r="CL21" s="56">
        <v>9780752.7100000009</v>
      </c>
      <c r="CM21" s="56">
        <v>7689522.3099999996</v>
      </c>
      <c r="CN21" s="56">
        <v>6300715.5300000003</v>
      </c>
      <c r="CO21" s="56">
        <v>5074021.37</v>
      </c>
      <c r="CP21" s="56">
        <v>4116468.66</v>
      </c>
      <c r="CQ21" s="56">
        <v>5629288.2199999997</v>
      </c>
      <c r="CR21" s="56">
        <v>8958965.9499999993</v>
      </c>
      <c r="CS21" s="56">
        <v>14572180.710000001</v>
      </c>
      <c r="CT21" s="56">
        <v>25567527.84</v>
      </c>
      <c r="CU21" s="56">
        <v>15678312.050000001</v>
      </c>
      <c r="CV21" s="56">
        <v>27035299.580000002</v>
      </c>
      <c r="CW21" s="56">
        <v>15337376.390000001</v>
      </c>
      <c r="CX21" s="56">
        <v>6496070.3500000015</v>
      </c>
      <c r="CY21" s="56">
        <v>6389694.8000000007</v>
      </c>
      <c r="CZ21" s="56">
        <v>5249330.3899999997</v>
      </c>
      <c r="DA21" s="56">
        <v>4373570.1999999993</v>
      </c>
      <c r="DB21" s="56">
        <v>5177377.7799999993</v>
      </c>
      <c r="DC21" s="56">
        <v>4543963.9799999995</v>
      </c>
      <c r="DD21" s="56">
        <v>6296647.04</v>
      </c>
      <c r="DE21" s="56">
        <v>12688842.57</v>
      </c>
      <c r="DF21" s="56">
        <v>20560495.690000001</v>
      </c>
      <c r="DG21" s="56">
        <v>23310268.740000002</v>
      </c>
    </row>
    <row r="22" spans="1:111" x14ac:dyDescent="0.2">
      <c r="B22" s="23" t="s">
        <v>55</v>
      </c>
      <c r="C22" s="64">
        <v>3265881</v>
      </c>
      <c r="D22" s="64">
        <v>4648545</v>
      </c>
      <c r="E22" s="64">
        <v>2159316</v>
      </c>
      <c r="F22" s="64">
        <v>2958876</v>
      </c>
      <c r="G22" s="64">
        <v>2635078</v>
      </c>
      <c r="H22" s="64">
        <v>1411011</v>
      </c>
      <c r="I22" s="64">
        <v>1556096</v>
      </c>
      <c r="J22" s="64">
        <v>1548384</v>
      </c>
      <c r="K22" s="64">
        <v>365965</v>
      </c>
      <c r="L22" s="64">
        <v>1949014</v>
      </c>
      <c r="M22" s="64">
        <v>1874484</v>
      </c>
      <c r="N22" s="64">
        <v>1421586</v>
      </c>
      <c r="O22" s="64">
        <v>1166350</v>
      </c>
      <c r="P22" s="64">
        <v>1299039</v>
      </c>
      <c r="Q22" s="64">
        <v>1739739</v>
      </c>
      <c r="R22" s="64">
        <v>2513626</v>
      </c>
      <c r="S22" s="64">
        <v>2363855</v>
      </c>
      <c r="T22" s="64">
        <v>2585875</v>
      </c>
      <c r="U22" s="64">
        <v>2269547</v>
      </c>
      <c r="V22" s="64">
        <v>2141808</v>
      </c>
      <c r="W22" s="64">
        <v>2226584</v>
      </c>
      <c r="X22" s="64">
        <v>1907947</v>
      </c>
      <c r="Y22" s="64">
        <v>1878210</v>
      </c>
      <c r="Z22" s="64">
        <v>2025583</v>
      </c>
      <c r="AA22" s="64">
        <f>44071247-'DEK Late Charges'!Z3-AA17-AA21</f>
        <v>1352758</v>
      </c>
      <c r="AB22" s="64">
        <f>37651908-'DEK Late Charges'!AA3-AB17-AB21</f>
        <v>1692845</v>
      </c>
      <c r="AC22" s="64">
        <f>35521786-'DEK Late Charges'!AB3-AC17-AC21</f>
        <v>2281820</v>
      </c>
      <c r="AD22" s="68">
        <f>28987251-'DEK Late Charges'!AC3-AD17-AD21</f>
        <v>1720819</v>
      </c>
      <c r="AE22" s="68">
        <f>28694517-'DEK Late Charges'!AD3-AE17-AE21</f>
        <v>1315063</v>
      </c>
      <c r="AF22" s="68">
        <f>32076622-'DEK Late Charges'!AE3-AF17-AF21</f>
        <v>2150462</v>
      </c>
      <c r="AG22" s="68">
        <f>36801078-'DEK Late Charges'!AF3-AG17-AG21</f>
        <v>1740402</v>
      </c>
      <c r="AH22" s="68">
        <f>33654127-'DEK Late Charges'!AG3-AH17-AH21</f>
        <v>1931531</v>
      </c>
      <c r="AI22" s="68">
        <f>30875344-'DEK Late Charges'!AH3-AI17-AI21</f>
        <v>2648375</v>
      </c>
      <c r="AJ22" s="68">
        <f>29902666-'DEK Late Charges'!AI3-AJ17-AJ21</f>
        <v>2469638</v>
      </c>
      <c r="AK22" s="68">
        <f>36231194-'DEK Late Charges'!AJ3-AK17-AK21</f>
        <v>2663584</v>
      </c>
      <c r="AL22" s="68">
        <f>45413126-'DEK Late Charges'!AK3-AL17-AL21</f>
        <v>2154168</v>
      </c>
      <c r="AM22" s="68">
        <f>48430164-'DEK Late Charges'!AL3-AM17-AM21</f>
        <v>2197609</v>
      </c>
      <c r="AN22" s="68">
        <f>41644627-'DEK Late Charges'!AM3-AN17-AN21</f>
        <v>2358677</v>
      </c>
      <c r="AO22" s="68">
        <f>37508437-'DEK Late Charges'!AN3-AO17-AO21</f>
        <v>2061547</v>
      </c>
      <c r="AP22" s="68">
        <f>35018689-'DEK Late Charges'!AO3-AP17-AP21</f>
        <v>1774155</v>
      </c>
      <c r="AQ22" s="56">
        <v>1025202.1200000029</v>
      </c>
      <c r="AR22" s="56">
        <v>2570502.1799999969</v>
      </c>
      <c r="AS22" s="56">
        <v>2543001.2300000056</v>
      </c>
      <c r="AT22" s="56">
        <v>1747127.2500000056</v>
      </c>
      <c r="AU22" s="56">
        <v>2136938.9799999986</v>
      </c>
      <c r="AV22" s="56">
        <v>2939715.1099999994</v>
      </c>
      <c r="AW22" s="56">
        <v>1551078.4799999967</v>
      </c>
      <c r="AX22" s="56">
        <v>2110160.6500000022</v>
      </c>
      <c r="AY22" s="56">
        <v>1672650.1399999969</v>
      </c>
      <c r="AZ22" s="56">
        <v>1808568.5899999924</v>
      </c>
      <c r="BA22" s="56">
        <v>1602642.0700000022</v>
      </c>
      <c r="BB22" s="56">
        <v>1997912.9599999972</v>
      </c>
      <c r="BC22" s="56">
        <v>1537791.5200000107</v>
      </c>
      <c r="BD22" s="56">
        <v>2051453.2699999986</v>
      </c>
      <c r="BE22" s="56">
        <v>3700323.3499999978</v>
      </c>
      <c r="BF22" s="56">
        <v>2888025.089999998</v>
      </c>
      <c r="BG22" s="56">
        <v>3017835.0100000002</v>
      </c>
      <c r="BH22" s="56">
        <v>2266585.6999999993</v>
      </c>
      <c r="BI22" s="56">
        <v>2376257.5799999982</v>
      </c>
      <c r="BJ22" s="56">
        <v>2588919.3900000062</v>
      </c>
      <c r="BK22" s="56">
        <v>2145166.4700000025</v>
      </c>
      <c r="BL22" s="56">
        <v>2494491.5500000007</v>
      </c>
      <c r="BM22" s="56">
        <v>2478944.9499999937</v>
      </c>
      <c r="BN22" s="56">
        <v>2398579.6399999987</v>
      </c>
      <c r="BO22" s="56">
        <v>1964753.2600000007</v>
      </c>
      <c r="BP22" s="56">
        <v>2337087.9400000004</v>
      </c>
      <c r="BQ22" s="56">
        <v>2323367.7899999954</v>
      </c>
      <c r="BR22" s="56">
        <v>2771621.1799999974</v>
      </c>
      <c r="BS22" s="56">
        <v>2459513.260000004</v>
      </c>
      <c r="BT22" s="56">
        <v>2556524.6799999997</v>
      </c>
      <c r="BU22" s="56">
        <v>2900957.8800000083</v>
      </c>
      <c r="BV22" s="56">
        <v>1967715.1000000052</v>
      </c>
      <c r="BW22" s="56">
        <v>1458114.0800000019</v>
      </c>
      <c r="BX22" s="56">
        <v>721272.1999999918</v>
      </c>
      <c r="BY22" s="56">
        <v>4058378.2900000028</v>
      </c>
      <c r="BZ22" s="56">
        <v>2232320.9499999899</v>
      </c>
      <c r="CA22" s="56">
        <v>2462316.6900000088</v>
      </c>
      <c r="CB22" s="56">
        <v>3637540.9600000018</v>
      </c>
      <c r="CC22" s="56">
        <v>1793646.9499999979</v>
      </c>
      <c r="CD22" s="56">
        <v>3030739.8299999973</v>
      </c>
      <c r="CE22" s="56">
        <v>2044811.4299999964</v>
      </c>
      <c r="CF22" s="56">
        <v>2568918.9099999974</v>
      </c>
      <c r="CG22" s="56">
        <v>3091885.0499999952</v>
      </c>
      <c r="CH22" s="56">
        <v>1989912.9200000055</v>
      </c>
      <c r="CI22" s="56">
        <v>3391354.5599999949</v>
      </c>
      <c r="CJ22" s="56">
        <v>1137315.5500000119</v>
      </c>
      <c r="CK22" s="56">
        <v>5627390.879999999</v>
      </c>
      <c r="CL22" s="56">
        <v>2026500.6700000018</v>
      </c>
      <c r="CM22" s="56">
        <v>14720746.960000005</v>
      </c>
      <c r="CN22" s="56">
        <v>12072365.250000007</v>
      </c>
      <c r="CO22" s="56">
        <v>3925694.0800000029</v>
      </c>
      <c r="CP22" s="56">
        <v>6492382.6499999948</v>
      </c>
      <c r="CQ22" s="56">
        <v>2053564.8500000006</v>
      </c>
      <c r="CR22" s="56">
        <v>2251436.5999999978</v>
      </c>
      <c r="CS22" s="56">
        <v>3328677.1099999994</v>
      </c>
      <c r="CT22" s="56">
        <v>10129167.259999994</v>
      </c>
      <c r="CU22" s="56">
        <v>2706393.329999987</v>
      </c>
      <c r="CV22" s="56">
        <v>466228.78999999538</v>
      </c>
      <c r="CW22" s="56">
        <v>2339476.8200000077</v>
      </c>
      <c r="CX22" s="56">
        <v>38410028.929999992</v>
      </c>
      <c r="CY22" s="56">
        <v>-7670618.849999994</v>
      </c>
      <c r="CZ22" s="56">
        <v>4090405.9600000018</v>
      </c>
      <c r="DA22" s="56">
        <v>1986341.6800000034</v>
      </c>
      <c r="DB22" s="56">
        <v>3988213.3099999968</v>
      </c>
      <c r="DC22" s="56">
        <v>6468747.3300000029</v>
      </c>
      <c r="DD22" s="56">
        <v>3623355.8899999997</v>
      </c>
      <c r="DE22" s="56">
        <v>279687.67999999225</v>
      </c>
      <c r="DF22" s="56">
        <v>3858282.5599999987</v>
      </c>
      <c r="DG22" s="56">
        <v>4528527.9499999955</v>
      </c>
    </row>
    <row r="23" spans="1:111" x14ac:dyDescent="0.2">
      <c r="B23" s="7" t="s">
        <v>10</v>
      </c>
      <c r="C23" s="56">
        <v>52150439</v>
      </c>
      <c r="D23" s="56">
        <v>53304169</v>
      </c>
      <c r="E23" s="56">
        <v>40727299</v>
      </c>
      <c r="F23" s="56">
        <v>30501119</v>
      </c>
      <c r="G23" s="56">
        <v>31864839</v>
      </c>
      <c r="H23" s="56">
        <v>33705656</v>
      </c>
      <c r="I23" s="56">
        <v>34591269</v>
      </c>
      <c r="J23" s="56">
        <v>34889582</v>
      </c>
      <c r="K23" s="56">
        <v>32312057</v>
      </c>
      <c r="L23" s="56">
        <v>29324491</v>
      </c>
      <c r="M23" s="56">
        <v>32055584</v>
      </c>
      <c r="N23" s="56">
        <v>34911694</v>
      </c>
      <c r="O23" s="56">
        <v>45374769</v>
      </c>
      <c r="P23" s="56">
        <v>43169096</v>
      </c>
      <c r="Q23" s="56">
        <v>33153752</v>
      </c>
      <c r="R23" s="56">
        <v>30461616</v>
      </c>
      <c r="S23" s="56">
        <v>30456647</v>
      </c>
      <c r="T23" s="56">
        <v>35825038</v>
      </c>
      <c r="U23" s="56">
        <v>37607284</v>
      </c>
      <c r="V23" s="56">
        <v>37545065</v>
      </c>
      <c r="W23" s="56">
        <v>35972533</v>
      </c>
      <c r="X23" s="56">
        <v>30404841</v>
      </c>
      <c r="Y23" s="56">
        <v>33749229</v>
      </c>
      <c r="Z23" s="56">
        <v>44528960</v>
      </c>
      <c r="AA23" s="56">
        <f t="shared" ref="AA23:AB23" si="57">AA17+AA21+AA22</f>
        <v>43868456</v>
      </c>
      <c r="AB23" s="56">
        <f t="shared" si="57"/>
        <v>37371228</v>
      </c>
      <c r="AC23" s="56">
        <f t="shared" ref="AC23:AD23" si="58">AC17+AC21+AC22</f>
        <v>35385571</v>
      </c>
      <c r="AD23" s="56">
        <f t="shared" si="58"/>
        <v>28803004</v>
      </c>
      <c r="AE23" s="56">
        <f t="shared" ref="AE23:AF23" si="59">AE17+AE21+AE22</f>
        <v>28582647</v>
      </c>
      <c r="AF23" s="56">
        <f t="shared" si="59"/>
        <v>31968524</v>
      </c>
      <c r="AG23" s="56">
        <f t="shared" ref="AG23" si="60">AG17+AG21+AG22</f>
        <v>36602350</v>
      </c>
      <c r="AH23" s="56">
        <f t="shared" ref="AH23:AI23" si="61">AH17+AH21+AH22</f>
        <v>33427135</v>
      </c>
      <c r="AI23" s="56">
        <f t="shared" si="61"/>
        <v>30697983</v>
      </c>
      <c r="AJ23" s="56">
        <f t="shared" ref="AJ23:AK23" si="62">AJ17+AJ21+AJ22</f>
        <v>29763301</v>
      </c>
      <c r="AK23" s="56">
        <f t="shared" si="62"/>
        <v>36103101</v>
      </c>
      <c r="AL23" s="56">
        <f t="shared" ref="AL23:AM23" si="63">AL17+AL21+AL22</f>
        <v>45205749</v>
      </c>
      <c r="AM23" s="56">
        <f t="shared" si="63"/>
        <v>48207462</v>
      </c>
      <c r="AN23" s="56">
        <f t="shared" ref="AN23:AO23" si="64">AN17+AN21+AN22</f>
        <v>41276991</v>
      </c>
      <c r="AO23" s="56">
        <f t="shared" si="64"/>
        <v>37278748</v>
      </c>
      <c r="AP23" s="56">
        <f t="shared" ref="AP23" si="65">AP17+AP21+AP22</f>
        <v>34870320</v>
      </c>
      <c r="AQ23" s="56">
        <v>34058310.980000004</v>
      </c>
      <c r="AR23" s="56">
        <v>41537621.32</v>
      </c>
      <c r="AS23" s="56">
        <v>40070380.380000003</v>
      </c>
      <c r="AT23" s="56">
        <v>37583200.340000004</v>
      </c>
      <c r="AU23" s="56">
        <v>36611992.530000001</v>
      </c>
      <c r="AV23" s="56">
        <v>36748075.759999998</v>
      </c>
      <c r="AW23" s="56">
        <v>42108350.509999998</v>
      </c>
      <c r="AX23" s="56">
        <v>47782774.719999999</v>
      </c>
      <c r="AY23" s="56">
        <v>52062743.799999997</v>
      </c>
      <c r="AZ23" s="56">
        <v>45651684.029999986</v>
      </c>
      <c r="BA23" s="56">
        <v>41795275.660000004</v>
      </c>
      <c r="BB23" s="56">
        <v>34121118.619999997</v>
      </c>
      <c r="BC23" s="56">
        <v>35217674.530000009</v>
      </c>
      <c r="BD23" s="56">
        <v>37949280.18</v>
      </c>
      <c r="BE23" s="56">
        <v>40216165.799999997</v>
      </c>
      <c r="BF23" s="56">
        <v>36372330.789999999</v>
      </c>
      <c r="BG23" s="56">
        <v>36914804.07</v>
      </c>
      <c r="BH23" s="56">
        <v>33797790.060000002</v>
      </c>
      <c r="BI23" s="56">
        <v>42197110.780000001</v>
      </c>
      <c r="BJ23" s="56">
        <v>47407391.900000006</v>
      </c>
      <c r="BK23" s="56">
        <v>46607290.310000002</v>
      </c>
      <c r="BL23" s="56">
        <v>44910702.569999993</v>
      </c>
      <c r="BM23" s="56">
        <v>37230965.459999993</v>
      </c>
      <c r="BN23" s="56">
        <v>30970345.079999998</v>
      </c>
      <c r="BO23" s="56">
        <v>31803771.390000001</v>
      </c>
      <c r="BP23" s="56">
        <v>35608528.460000001</v>
      </c>
      <c r="BQ23" s="56">
        <v>38290673.559999987</v>
      </c>
      <c r="BR23" s="56">
        <v>37833596.229999997</v>
      </c>
      <c r="BS23" s="56">
        <v>34947855.920000002</v>
      </c>
      <c r="BT23" s="56">
        <v>32741774.739999998</v>
      </c>
      <c r="BU23" s="56">
        <v>37316172.81000001</v>
      </c>
      <c r="BV23" s="56">
        <v>48640051.290000007</v>
      </c>
      <c r="BW23" s="56">
        <v>47484734.450000003</v>
      </c>
      <c r="BX23" s="56">
        <v>51386908.999999985</v>
      </c>
      <c r="BY23" s="56">
        <v>40713901.200000003</v>
      </c>
      <c r="BZ23" s="56">
        <v>35351365.93999999</v>
      </c>
      <c r="CA23" s="56">
        <v>34687734.20000001</v>
      </c>
      <c r="CB23" s="56">
        <v>40148757.060000002</v>
      </c>
      <c r="CC23" s="56">
        <v>40774738.060000002</v>
      </c>
      <c r="CD23" s="56">
        <v>43092494.149999999</v>
      </c>
      <c r="CE23" s="56">
        <v>36824890.75</v>
      </c>
      <c r="CF23" s="56">
        <v>37647479.969999999</v>
      </c>
      <c r="CG23" s="56">
        <v>48105876.909999996</v>
      </c>
      <c r="CH23" s="56">
        <v>60150291.019999996</v>
      </c>
      <c r="CI23" s="56">
        <v>73289599.110000014</v>
      </c>
      <c r="CJ23" s="56">
        <v>63595029.500000007</v>
      </c>
      <c r="CK23" s="56">
        <v>44919274.149999991</v>
      </c>
      <c r="CL23" s="56">
        <v>40260836.970000006</v>
      </c>
      <c r="CM23" s="56">
        <v>55426833.620000005</v>
      </c>
      <c r="CN23" s="56">
        <v>48512867.140000008</v>
      </c>
      <c r="CO23" s="56">
        <v>58294440.280000001</v>
      </c>
      <c r="CP23" s="56">
        <v>54501745.11999999</v>
      </c>
      <c r="CQ23" s="56">
        <v>51998522.509999998</v>
      </c>
      <c r="CR23" s="56">
        <v>44564508.469999999</v>
      </c>
      <c r="CS23" s="56">
        <v>58953401.82</v>
      </c>
      <c r="CT23" s="56">
        <v>77354989.629999995</v>
      </c>
      <c r="CU23" s="56">
        <v>56740265.319999978</v>
      </c>
      <c r="CV23" s="56">
        <v>57225159.75999999</v>
      </c>
      <c r="CW23" s="56">
        <v>50140127.640000008</v>
      </c>
      <c r="CX23" s="56">
        <v>72189504.879999995</v>
      </c>
      <c r="CY23" s="56">
        <v>32323932.170000002</v>
      </c>
      <c r="CZ23" s="56">
        <v>46240769.369999997</v>
      </c>
      <c r="DA23" s="56">
        <v>44009576.510000005</v>
      </c>
      <c r="DB23" s="56">
        <v>47841935.57</v>
      </c>
      <c r="DC23" s="56">
        <v>44884916.600000001</v>
      </c>
      <c r="DD23" s="56">
        <v>44962680.990000002</v>
      </c>
      <c r="DE23" s="56">
        <v>51276984.949999996</v>
      </c>
      <c r="DF23" s="56">
        <v>65574087.420000002</v>
      </c>
      <c r="DG23" s="56">
        <v>66633989.879999995</v>
      </c>
    </row>
    <row r="24" spans="1:111" x14ac:dyDescent="0.2">
      <c r="B24" t="s">
        <v>17</v>
      </c>
      <c r="C24" s="65">
        <v>0</v>
      </c>
      <c r="D24" s="65">
        <v>0</v>
      </c>
      <c r="E24" s="65">
        <v>0</v>
      </c>
      <c r="F24" s="65">
        <v>0</v>
      </c>
      <c r="G24" s="65">
        <v>0</v>
      </c>
      <c r="H24" s="65">
        <v>0</v>
      </c>
      <c r="I24" s="65">
        <v>0</v>
      </c>
      <c r="J24" s="65">
        <v>0</v>
      </c>
      <c r="K24" s="65">
        <v>0</v>
      </c>
      <c r="L24" s="65">
        <v>0</v>
      </c>
      <c r="M24" s="65">
        <v>0</v>
      </c>
      <c r="N24" s="65">
        <v>0</v>
      </c>
      <c r="O24" s="65">
        <v>0</v>
      </c>
      <c r="P24" s="65">
        <v>0</v>
      </c>
      <c r="Q24" s="65">
        <v>0</v>
      </c>
      <c r="R24" s="65">
        <v>0</v>
      </c>
      <c r="S24" s="65">
        <v>0</v>
      </c>
      <c r="T24" s="65">
        <v>0</v>
      </c>
      <c r="U24" s="65">
        <v>0</v>
      </c>
      <c r="V24" s="65">
        <v>0</v>
      </c>
      <c r="W24" s="65">
        <v>0</v>
      </c>
      <c r="X24" s="65">
        <v>0</v>
      </c>
      <c r="Y24" s="65">
        <v>0</v>
      </c>
      <c r="Z24" s="65">
        <v>0</v>
      </c>
      <c r="AA24" s="65">
        <v>0</v>
      </c>
      <c r="AB24" s="65">
        <v>0</v>
      </c>
      <c r="AC24" s="65">
        <v>0</v>
      </c>
      <c r="AD24" s="65">
        <v>0</v>
      </c>
      <c r="AE24" s="65">
        <v>0</v>
      </c>
      <c r="AF24" s="65">
        <v>0</v>
      </c>
      <c r="AG24" s="65">
        <v>0</v>
      </c>
      <c r="AH24" s="65">
        <v>0</v>
      </c>
      <c r="AI24" s="65">
        <v>0</v>
      </c>
      <c r="AJ24" s="65">
        <v>0</v>
      </c>
      <c r="AK24" s="65">
        <v>0</v>
      </c>
      <c r="AL24" s="65">
        <v>0</v>
      </c>
      <c r="AM24" s="65">
        <v>0</v>
      </c>
      <c r="AN24" s="65">
        <v>0</v>
      </c>
      <c r="AO24" s="65">
        <v>0</v>
      </c>
      <c r="AP24" s="65">
        <v>0</v>
      </c>
      <c r="AQ24" s="65">
        <v>0</v>
      </c>
      <c r="AR24" s="65">
        <v>0</v>
      </c>
      <c r="AS24" s="65">
        <v>0</v>
      </c>
      <c r="AT24" s="65">
        <v>0</v>
      </c>
      <c r="AU24" s="65">
        <v>0</v>
      </c>
      <c r="AV24" s="65">
        <v>0</v>
      </c>
      <c r="AW24" s="65">
        <v>0</v>
      </c>
      <c r="AX24" s="65">
        <v>0</v>
      </c>
      <c r="AY24" s="65">
        <v>0</v>
      </c>
      <c r="AZ24" s="65">
        <v>0</v>
      </c>
      <c r="BA24" s="65">
        <v>0</v>
      </c>
      <c r="BB24" s="65">
        <v>0</v>
      </c>
      <c r="BC24" s="65">
        <v>0</v>
      </c>
      <c r="BD24" s="65">
        <v>0</v>
      </c>
      <c r="BE24" s="65">
        <v>0</v>
      </c>
      <c r="BF24" s="65">
        <v>0</v>
      </c>
      <c r="BG24" s="65">
        <v>0</v>
      </c>
      <c r="BH24" s="65">
        <v>0</v>
      </c>
      <c r="BI24" s="65">
        <v>0</v>
      </c>
      <c r="BJ24" s="65">
        <v>0</v>
      </c>
      <c r="BK24" s="65">
        <v>0</v>
      </c>
      <c r="BL24" s="65">
        <v>0</v>
      </c>
      <c r="BM24" s="65">
        <v>0</v>
      </c>
      <c r="BN24" s="65">
        <v>0</v>
      </c>
      <c r="BO24" s="65">
        <v>0</v>
      </c>
      <c r="BP24" s="65">
        <v>0</v>
      </c>
      <c r="BQ24" s="65">
        <v>0</v>
      </c>
      <c r="BR24" s="65">
        <v>0</v>
      </c>
      <c r="BS24" s="65">
        <v>0</v>
      </c>
      <c r="BT24" s="65">
        <v>0</v>
      </c>
      <c r="BU24" s="65">
        <v>0</v>
      </c>
      <c r="BV24" s="65">
        <v>0</v>
      </c>
      <c r="BW24" s="65">
        <v>0</v>
      </c>
      <c r="BX24" s="65">
        <v>0</v>
      </c>
      <c r="BY24" s="65">
        <v>0</v>
      </c>
      <c r="BZ24" s="65">
        <v>0</v>
      </c>
      <c r="CA24" s="65">
        <v>0</v>
      </c>
      <c r="CB24" s="65">
        <v>0</v>
      </c>
      <c r="CC24" s="65">
        <v>0</v>
      </c>
      <c r="CD24" s="65">
        <v>0</v>
      </c>
      <c r="CE24" s="65">
        <v>0</v>
      </c>
      <c r="CF24" s="65">
        <v>0</v>
      </c>
      <c r="CG24" s="65">
        <v>0</v>
      </c>
      <c r="CH24" s="65">
        <v>0</v>
      </c>
      <c r="CI24" s="65">
        <v>0</v>
      </c>
      <c r="CJ24" s="65">
        <v>0</v>
      </c>
      <c r="CK24" s="65">
        <v>0</v>
      </c>
      <c r="CL24" s="65">
        <v>0</v>
      </c>
      <c r="CM24" s="65">
        <v>0</v>
      </c>
      <c r="CN24" s="65">
        <v>0</v>
      </c>
      <c r="CO24" s="65">
        <v>0</v>
      </c>
      <c r="CP24" s="65">
        <v>0</v>
      </c>
      <c r="CQ24" s="65">
        <v>0</v>
      </c>
      <c r="CR24" s="65">
        <v>0</v>
      </c>
      <c r="CS24" s="65">
        <v>0</v>
      </c>
      <c r="CT24" s="65">
        <v>0</v>
      </c>
      <c r="CU24" s="65">
        <v>0</v>
      </c>
      <c r="CV24" s="65">
        <v>0</v>
      </c>
      <c r="CW24" s="65">
        <v>0</v>
      </c>
      <c r="CX24" s="65">
        <v>0</v>
      </c>
      <c r="CY24" s="65">
        <v>0</v>
      </c>
      <c r="CZ24" s="65">
        <v>0</v>
      </c>
      <c r="DA24" s="65">
        <v>0</v>
      </c>
      <c r="DB24" s="65">
        <v>0</v>
      </c>
      <c r="DC24" s="65">
        <v>0</v>
      </c>
      <c r="DD24" s="65">
        <v>0</v>
      </c>
      <c r="DE24" s="65">
        <v>0</v>
      </c>
      <c r="DF24" s="65">
        <v>0</v>
      </c>
      <c r="DG24" s="65">
        <v>0</v>
      </c>
    </row>
    <row r="25" spans="1:111" ht="13.5" thickBot="1" x14ac:dyDescent="0.25">
      <c r="B25" s="7" t="s">
        <v>11</v>
      </c>
      <c r="C25" s="51">
        <v>52150439</v>
      </c>
      <c r="D25" s="51">
        <v>53304169</v>
      </c>
      <c r="E25" s="51">
        <v>40727299</v>
      </c>
      <c r="F25" s="51">
        <v>30501119</v>
      </c>
      <c r="G25" s="51">
        <v>31864839</v>
      </c>
      <c r="H25" s="51">
        <v>33705656</v>
      </c>
      <c r="I25" s="51">
        <v>34591269</v>
      </c>
      <c r="J25" s="51">
        <v>34889582</v>
      </c>
      <c r="K25" s="51">
        <v>32312057</v>
      </c>
      <c r="L25" s="51">
        <v>29324491</v>
      </c>
      <c r="M25" s="51">
        <v>32055584</v>
      </c>
      <c r="N25" s="51">
        <v>34911694</v>
      </c>
      <c r="O25" s="51">
        <v>45374769</v>
      </c>
      <c r="P25" s="51">
        <v>43169096</v>
      </c>
      <c r="Q25" s="51">
        <v>33153752</v>
      </c>
      <c r="R25" s="51">
        <v>30461616</v>
      </c>
      <c r="S25" s="51">
        <v>30456647</v>
      </c>
      <c r="T25" s="51">
        <v>35825038</v>
      </c>
      <c r="U25" s="51">
        <v>37607284</v>
      </c>
      <c r="V25" s="51">
        <v>37545065</v>
      </c>
      <c r="W25" s="51">
        <v>35972533</v>
      </c>
      <c r="X25" s="51">
        <v>30404841</v>
      </c>
      <c r="Y25" s="51">
        <v>33749229</v>
      </c>
      <c r="Z25" s="51">
        <v>44528960</v>
      </c>
      <c r="AA25" s="51">
        <f t="shared" ref="AA25:AB25" si="66">+AA23+AA24</f>
        <v>43868456</v>
      </c>
      <c r="AB25" s="51">
        <f t="shared" si="66"/>
        <v>37371228</v>
      </c>
      <c r="AC25" s="51">
        <f t="shared" ref="AC25:AD25" si="67">+AC23+AC24</f>
        <v>35385571</v>
      </c>
      <c r="AD25" s="51">
        <f t="shared" si="67"/>
        <v>28803004</v>
      </c>
      <c r="AE25" s="51">
        <f t="shared" ref="AE25:AF25" si="68">+AE23+AE24</f>
        <v>28582647</v>
      </c>
      <c r="AF25" s="51">
        <f t="shared" si="68"/>
        <v>31968524</v>
      </c>
      <c r="AG25" s="51">
        <f t="shared" ref="AG25" si="69">+AG23+AG24</f>
        <v>36602350</v>
      </c>
      <c r="AH25" s="51">
        <f t="shared" ref="AH25:AI25" si="70">+AH23+AH24</f>
        <v>33427135</v>
      </c>
      <c r="AI25" s="51">
        <f t="shared" si="70"/>
        <v>30697983</v>
      </c>
      <c r="AJ25" s="51">
        <f t="shared" ref="AJ25:AK25" si="71">+AJ23+AJ24</f>
        <v>29763301</v>
      </c>
      <c r="AK25" s="51">
        <f t="shared" si="71"/>
        <v>36103101</v>
      </c>
      <c r="AL25" s="51">
        <f t="shared" ref="AL25:AM25" si="72">+AL23+AL24</f>
        <v>45205749</v>
      </c>
      <c r="AM25" s="51">
        <f t="shared" si="72"/>
        <v>48207462</v>
      </c>
      <c r="AN25" s="51">
        <f t="shared" ref="AN25:AO25" si="73">+AN23+AN24</f>
        <v>41276991</v>
      </c>
      <c r="AO25" s="51">
        <f t="shared" si="73"/>
        <v>37278748</v>
      </c>
      <c r="AP25" s="51">
        <f t="shared" ref="AP25" si="74">+AP23+AP24</f>
        <v>34870320</v>
      </c>
      <c r="AQ25" s="51">
        <v>34058310.980000004</v>
      </c>
      <c r="AR25" s="51">
        <v>41537621.32</v>
      </c>
      <c r="AS25" s="51">
        <v>40070380.380000003</v>
      </c>
      <c r="AT25" s="51">
        <v>37583200.340000004</v>
      </c>
      <c r="AU25" s="51">
        <v>36611992.530000001</v>
      </c>
      <c r="AV25" s="51">
        <v>36748075.759999998</v>
      </c>
      <c r="AW25" s="51">
        <v>42108350.509999998</v>
      </c>
      <c r="AX25" s="51">
        <v>47782774.719999999</v>
      </c>
      <c r="AY25" s="51">
        <v>52062743.799999997</v>
      </c>
      <c r="AZ25" s="51">
        <v>45651684.029999986</v>
      </c>
      <c r="BA25" s="51">
        <v>41795275.660000004</v>
      </c>
      <c r="BB25" s="51">
        <v>34121118.619999997</v>
      </c>
      <c r="BC25" s="51">
        <v>35217674.530000009</v>
      </c>
      <c r="BD25" s="51">
        <v>37949280.18</v>
      </c>
      <c r="BE25" s="51">
        <v>40216165.799999997</v>
      </c>
      <c r="BF25" s="51">
        <v>36372330.789999999</v>
      </c>
      <c r="BG25" s="51">
        <v>36914804.07</v>
      </c>
      <c r="BH25" s="51">
        <v>33797790.060000002</v>
      </c>
      <c r="BI25" s="51">
        <v>42197110.780000001</v>
      </c>
      <c r="BJ25" s="51">
        <v>47407391.900000006</v>
      </c>
      <c r="BK25" s="51">
        <v>46607290.310000002</v>
      </c>
      <c r="BL25" s="51">
        <v>44910702.569999993</v>
      </c>
      <c r="BM25" s="51">
        <v>37230965.459999993</v>
      </c>
      <c r="BN25" s="51">
        <v>30970345.079999998</v>
      </c>
      <c r="BO25" s="51">
        <v>31803771.390000001</v>
      </c>
      <c r="BP25" s="51">
        <v>35608528.460000001</v>
      </c>
      <c r="BQ25" s="51">
        <v>38290673.559999987</v>
      </c>
      <c r="BR25" s="51">
        <v>37833596.229999997</v>
      </c>
      <c r="BS25" s="51">
        <v>34947855.920000002</v>
      </c>
      <c r="BT25" s="51">
        <v>32741774.739999998</v>
      </c>
      <c r="BU25" s="51">
        <v>37316172.81000001</v>
      </c>
      <c r="BV25" s="51">
        <v>48640051.290000007</v>
      </c>
      <c r="BW25" s="51">
        <v>47484734.450000003</v>
      </c>
      <c r="BX25" s="51">
        <v>51386908.999999985</v>
      </c>
      <c r="BY25" s="51">
        <v>40713901.200000003</v>
      </c>
      <c r="BZ25" s="51">
        <v>35351365.93999999</v>
      </c>
      <c r="CA25" s="51">
        <v>34687734.20000001</v>
      </c>
      <c r="CB25" s="51">
        <v>40148757.060000002</v>
      </c>
      <c r="CC25" s="51">
        <v>40774738.060000002</v>
      </c>
      <c r="CD25" s="51">
        <v>43092494.149999999</v>
      </c>
      <c r="CE25" s="51">
        <v>36824890.75</v>
      </c>
      <c r="CF25" s="51">
        <v>37647479.969999999</v>
      </c>
      <c r="CG25" s="51">
        <v>48105876.909999996</v>
      </c>
      <c r="CH25" s="51">
        <v>60150291.019999996</v>
      </c>
      <c r="CI25" s="51">
        <v>73289599.110000014</v>
      </c>
      <c r="CJ25" s="51">
        <v>63595029.500000007</v>
      </c>
      <c r="CK25" s="51">
        <v>44919274.149999991</v>
      </c>
      <c r="CL25" s="51">
        <v>40260836.970000006</v>
      </c>
      <c r="CM25" s="51">
        <v>55426833.620000005</v>
      </c>
      <c r="CN25" s="51">
        <v>48512867.140000008</v>
      </c>
      <c r="CO25" s="51">
        <v>58294440.280000001</v>
      </c>
      <c r="CP25" s="51">
        <v>54501745.11999999</v>
      </c>
      <c r="CQ25" s="51">
        <v>51998522.509999998</v>
      </c>
      <c r="CR25" s="51">
        <v>44564508.469999999</v>
      </c>
      <c r="CS25" s="51">
        <v>58953401.82</v>
      </c>
      <c r="CT25" s="51">
        <v>77354989.629999995</v>
      </c>
      <c r="CU25" s="51">
        <v>56740265.319999978</v>
      </c>
      <c r="CV25" s="51">
        <v>57225159.75999999</v>
      </c>
      <c r="CW25" s="51">
        <v>50140127.640000008</v>
      </c>
      <c r="CX25" s="51">
        <v>72189504.879999995</v>
      </c>
      <c r="CY25" s="51">
        <v>32323932.170000002</v>
      </c>
      <c r="CZ25" s="51">
        <v>46240769.369999997</v>
      </c>
      <c r="DA25" s="51">
        <v>44009576.510000005</v>
      </c>
      <c r="DB25" s="51">
        <v>47841935.57</v>
      </c>
      <c r="DC25" s="51">
        <v>44884916.600000001</v>
      </c>
      <c r="DD25" s="51">
        <v>44962680.990000002</v>
      </c>
      <c r="DE25" s="51">
        <v>51276984.949999996</v>
      </c>
      <c r="DF25" s="51">
        <v>65574087.420000002</v>
      </c>
      <c r="DG25" s="51">
        <v>66633989.879999995</v>
      </c>
    </row>
    <row r="26" spans="1:111" ht="13.5" thickTop="1" x14ac:dyDescent="0.2">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row>
    <row r="27" spans="1:111" x14ac:dyDescent="0.2">
      <c r="A27" t="s">
        <v>5</v>
      </c>
      <c r="C27" s="57">
        <v>1.3222207824559251</v>
      </c>
      <c r="D27" s="57">
        <v>1.4347866064659971</v>
      </c>
      <c r="E27" s="57">
        <v>1.5473236096506178</v>
      </c>
      <c r="F27" s="57">
        <v>1.6220187472466177</v>
      </c>
      <c r="G27" s="57">
        <v>1.4661189271974668</v>
      </c>
      <c r="H27" s="57">
        <v>1.3899322638906657</v>
      </c>
      <c r="I27" s="57">
        <v>1.3504238479947066</v>
      </c>
      <c r="J27" s="57">
        <v>1.3772416356263599</v>
      </c>
      <c r="K27" s="57">
        <v>1.3770370964002694</v>
      </c>
      <c r="L27" s="57">
        <v>1.3329822284042372</v>
      </c>
      <c r="M27" s="57">
        <v>1.3078921391667673</v>
      </c>
      <c r="N27" s="57">
        <v>1.3252496905478148</v>
      </c>
      <c r="O27" s="57">
        <v>1.3260872254798697</v>
      </c>
      <c r="P27" s="57">
        <v>1.4257673294803301</v>
      </c>
      <c r="Q27" s="57">
        <v>1.4558338805816005</v>
      </c>
      <c r="R27" s="57">
        <v>1.4146799017491389</v>
      </c>
      <c r="S27" s="57">
        <v>1.3889859468115451</v>
      </c>
      <c r="T27" s="57">
        <v>1.2784311958022208</v>
      </c>
      <c r="U27" s="57">
        <v>1.3519716122015084</v>
      </c>
      <c r="V27" s="57">
        <v>1.2627267660876338</v>
      </c>
      <c r="W27" s="57">
        <v>1.3139188104991104</v>
      </c>
      <c r="X27" s="57">
        <v>1.3607483163618583</v>
      </c>
      <c r="Y27" s="57">
        <v>1.3057888285388684</v>
      </c>
      <c r="Z27" s="57">
        <v>1.3221095581392426</v>
      </c>
      <c r="AA27" s="57">
        <f t="shared" ref="AA27:AB27" si="75">IF(AA25=0,0,AA11/AA25)</f>
        <v>1.4266730189911403</v>
      </c>
      <c r="AB27" s="57">
        <f t="shared" si="75"/>
        <v>1.5662914330778748</v>
      </c>
      <c r="AC27" s="57">
        <f t="shared" ref="AC27:AD27" si="76">IF(AC25=0,0,AC11/AC25)</f>
        <v>1.4097702046407561</v>
      </c>
      <c r="AD27" s="57">
        <f t="shared" si="76"/>
        <v>1.574803435433332</v>
      </c>
      <c r="AE27" s="57">
        <f t="shared" ref="AE27:AF27" si="77">IF(AE25=0,0,AE11/AE25)</f>
        <v>1.3990309515420316</v>
      </c>
      <c r="AF27" s="57">
        <f t="shared" si="77"/>
        <v>1.330185429893479</v>
      </c>
      <c r="AG27" s="57">
        <f t="shared" ref="AG27" si="78">IF(AG25=0,0,AG11/AG25)</f>
        <v>1.3405066256674776</v>
      </c>
      <c r="AH27" s="57">
        <f t="shared" ref="AH27:AI27" si="79">IF(AH25=0,0,AH11/AH25)</f>
        <v>1.3285260953414046</v>
      </c>
      <c r="AI27" s="57">
        <f t="shared" si="79"/>
        <v>1.3913983205346094</v>
      </c>
      <c r="AJ27" s="57">
        <f t="shared" ref="AJ27:AK27" si="80">IF(AJ25=0,0,AJ11/AJ25)</f>
        <v>1.3139688840293624</v>
      </c>
      <c r="AK27" s="57">
        <f t="shared" si="80"/>
        <v>1.2760510954446822</v>
      </c>
      <c r="AL27" s="57">
        <f t="shared" ref="AL27:AM27" si="81">IF(AL25=0,0,AL11/AL25)</f>
        <v>1.3059965600835415</v>
      </c>
      <c r="AM27" s="57">
        <f t="shared" si="81"/>
        <v>1.3903260903882475</v>
      </c>
      <c r="AN27" s="57">
        <f t="shared" ref="AN27:AO27" si="82">IF(AN25=0,0,AN11/AN25)</f>
        <v>1.4528604279803243</v>
      </c>
      <c r="AO27" s="57">
        <f t="shared" si="82"/>
        <v>1.4540923469318228</v>
      </c>
      <c r="AP27" s="57">
        <f t="shared" ref="AP27" si="83">IF(AP25=0,0,AP11/AP25)</f>
        <v>1.4699507113786168</v>
      </c>
      <c r="AQ27" s="57">
        <v>1.4318758316769586</v>
      </c>
      <c r="AR27" s="57">
        <v>1.2708895789509789</v>
      </c>
      <c r="AS27" s="57">
        <v>1.3555671384919354</v>
      </c>
      <c r="AT27" s="57">
        <v>1.3032519217867116</v>
      </c>
      <c r="AU27" s="57">
        <v>1.3858491645442275</v>
      </c>
      <c r="AV27" s="57">
        <v>1.282554521162226</v>
      </c>
      <c r="AW27" s="57">
        <v>1.2212212916720115</v>
      </c>
      <c r="AX27" s="57">
        <v>1.3865213995676473</v>
      </c>
      <c r="AY27" s="57">
        <v>1.3565082870257792</v>
      </c>
      <c r="AZ27" s="57">
        <v>1.4356557027979593</v>
      </c>
      <c r="BA27" s="57">
        <v>1.4381288600406372</v>
      </c>
      <c r="BB27" s="57">
        <v>1.4319592356904975</v>
      </c>
      <c r="BC27" s="57">
        <v>1.2925724806509531</v>
      </c>
      <c r="BD27" s="57">
        <v>1.3039104603643632</v>
      </c>
      <c r="BE27" s="57">
        <v>1.2603150216274472</v>
      </c>
      <c r="BF27" s="57">
        <v>1.2715739229644238</v>
      </c>
      <c r="BG27" s="57">
        <v>1.3075691275096615</v>
      </c>
      <c r="BH27" s="57">
        <v>1.2273685970697459</v>
      </c>
      <c r="BI27" s="57">
        <v>1.2602144250407847</v>
      </c>
      <c r="BJ27" s="57">
        <v>1.2877480747891552</v>
      </c>
      <c r="BK27" s="57">
        <v>1.2811002496145758</v>
      </c>
      <c r="BL27" s="57">
        <v>1.3298446635723609</v>
      </c>
      <c r="BM27" s="57">
        <v>1.401775827330372</v>
      </c>
      <c r="BN27" s="57">
        <v>1.4450883532099152</v>
      </c>
      <c r="BO27" s="57">
        <v>1.4567814427369394</v>
      </c>
      <c r="BP27" s="57">
        <v>1.4103746639352139</v>
      </c>
      <c r="BQ27" s="57">
        <v>1.3631167022489956</v>
      </c>
      <c r="BR27" s="57">
        <v>1.3910207147653963</v>
      </c>
      <c r="BS27" s="57">
        <v>1.5018747490589974</v>
      </c>
      <c r="BT27" s="57">
        <v>1.4575584499913397</v>
      </c>
      <c r="BU27" s="57">
        <v>1.4807935747149303</v>
      </c>
      <c r="BV27" s="57">
        <v>1.3498962794782035</v>
      </c>
      <c r="BW27" s="57">
        <v>1.5075464683366255</v>
      </c>
      <c r="BX27" s="57">
        <v>1.4383281347006107</v>
      </c>
      <c r="BY27" s="57">
        <v>1.4052200588431942</v>
      </c>
      <c r="BZ27" s="57">
        <v>1.4057084689271278</v>
      </c>
      <c r="CA27" s="57">
        <v>1.4304676642730958</v>
      </c>
      <c r="CB27" s="57">
        <v>1.2761810113680265</v>
      </c>
      <c r="CC27" s="57">
        <v>1.3516897057413002</v>
      </c>
      <c r="CD27" s="57">
        <v>1.2732610651175316</v>
      </c>
      <c r="CE27" s="57">
        <v>1.3628929750456897</v>
      </c>
      <c r="CF27" s="57">
        <v>1.2813977745241363</v>
      </c>
      <c r="CG27" s="57">
        <v>1.2210000451689096</v>
      </c>
      <c r="CH27" s="57">
        <v>1.2559799640018434</v>
      </c>
      <c r="CI27" s="57">
        <v>1.3163135431428066</v>
      </c>
      <c r="CJ27" s="57">
        <v>1.4419820854081056</v>
      </c>
      <c r="CK27" s="57">
        <v>1.4617389317275959</v>
      </c>
      <c r="CL27" s="57">
        <v>1.6254928015720282</v>
      </c>
      <c r="CM27" s="57">
        <v>1.315379305623773</v>
      </c>
      <c r="CN27" s="57">
        <v>1.3752242075791685</v>
      </c>
      <c r="CO27" s="57">
        <v>1.3510839598372761</v>
      </c>
      <c r="CP27" s="57">
        <v>1.3490356943271398</v>
      </c>
      <c r="CQ27" s="57">
        <v>1.5037513412994088</v>
      </c>
      <c r="CR27" s="57">
        <v>1.6539452582455467</v>
      </c>
      <c r="CS27" s="57">
        <v>1.3475262830897314</v>
      </c>
      <c r="CT27" s="57">
        <v>1.355546669213612</v>
      </c>
      <c r="CU27" s="57">
        <v>1.6143203968719129</v>
      </c>
      <c r="CV27" s="57">
        <v>1.4852803210417811</v>
      </c>
      <c r="CW27" s="57">
        <v>1.4034306594756805</v>
      </c>
      <c r="CX27" s="57">
        <v>1.015126145993315</v>
      </c>
      <c r="CY27" s="57">
        <v>1.8672367969518604</v>
      </c>
      <c r="CZ27" s="57">
        <v>1.4370087021759259</v>
      </c>
      <c r="DA27" s="57">
        <v>1.5322506487804417</v>
      </c>
      <c r="DB27" s="57">
        <v>1.3620714777447707</v>
      </c>
      <c r="DC27" s="57">
        <v>1.4416942459017512</v>
      </c>
      <c r="DD27" s="57">
        <v>1.3531116890812429</v>
      </c>
      <c r="DE27" s="57">
        <v>1.4284651660276684</v>
      </c>
      <c r="DF27" s="57">
        <v>1.3871683971351256</v>
      </c>
      <c r="DG27" s="57">
        <v>1.5298805183898738</v>
      </c>
    </row>
    <row r="28" spans="1:111" x14ac:dyDescent="0.2">
      <c r="A28" t="s">
        <v>7</v>
      </c>
      <c r="C28" s="58">
        <v>40.217548799701056</v>
      </c>
      <c r="D28" s="58">
        <v>43.641425946674083</v>
      </c>
      <c r="E28" s="58">
        <v>47.064426460206285</v>
      </c>
      <c r="F28" s="58">
        <v>49.33640356208462</v>
      </c>
      <c r="G28" s="58">
        <v>44.594450702256282</v>
      </c>
      <c r="H28" s="58">
        <v>42.27710636000775</v>
      </c>
      <c r="I28" s="58">
        <v>41.075392043172329</v>
      </c>
      <c r="J28" s="58">
        <v>41.891099750301784</v>
      </c>
      <c r="K28" s="58">
        <v>41.884878348841525</v>
      </c>
      <c r="L28" s="58">
        <v>40.544876113962218</v>
      </c>
      <c r="M28" s="58">
        <v>39.781719232989175</v>
      </c>
      <c r="N28" s="58">
        <v>40.309678087496039</v>
      </c>
      <c r="O28" s="58">
        <v>40.335153108346034</v>
      </c>
      <c r="P28" s="58">
        <v>43.367089605026706</v>
      </c>
      <c r="Q28" s="58">
        <v>44.281613867690346</v>
      </c>
      <c r="R28" s="58">
        <v>43.029847011536312</v>
      </c>
      <c r="S28" s="58">
        <v>42.248322548851164</v>
      </c>
      <c r="T28" s="58">
        <v>38.885615538984212</v>
      </c>
      <c r="U28" s="58">
        <v>41.122469871129212</v>
      </c>
      <c r="V28" s="58">
        <v>38.407939135165527</v>
      </c>
      <c r="W28" s="58">
        <v>39.965030486014605</v>
      </c>
      <c r="X28" s="58">
        <v>41.389427956006521</v>
      </c>
      <c r="Y28" s="58">
        <v>39.717743534723915</v>
      </c>
      <c r="Z28" s="58">
        <v>40.214165726735295</v>
      </c>
      <c r="AA28" s="58">
        <f t="shared" ref="AA28:DB28" si="84">AA29*365</f>
        <v>43.394637660980514</v>
      </c>
      <c r="AB28" s="58">
        <f t="shared" si="84"/>
        <v>47.641364422785351</v>
      </c>
      <c r="AC28" s="58">
        <f t="shared" si="84"/>
        <v>42.880510391156328</v>
      </c>
      <c r="AD28" s="58">
        <f t="shared" si="84"/>
        <v>47.90027116109718</v>
      </c>
      <c r="AE28" s="58">
        <f t="shared" si="84"/>
        <v>42.553858109403464</v>
      </c>
      <c r="AF28" s="58">
        <f t="shared" si="84"/>
        <v>40.459806825926648</v>
      </c>
      <c r="AG28" s="58">
        <f t="shared" si="84"/>
        <v>40.773743197385777</v>
      </c>
      <c r="AH28" s="58">
        <f t="shared" si="84"/>
        <v>40.409335399967723</v>
      </c>
      <c r="AI28" s="58">
        <f t="shared" si="84"/>
        <v>42.321698916261035</v>
      </c>
      <c r="AJ28" s="58">
        <f t="shared" si="84"/>
        <v>39.966553555893107</v>
      </c>
      <c r="AK28" s="58">
        <f t="shared" si="84"/>
        <v>38.813220819775751</v>
      </c>
      <c r="AL28" s="58">
        <f t="shared" si="84"/>
        <v>39.72406203587439</v>
      </c>
      <c r="AM28" s="58">
        <f t="shared" si="84"/>
        <v>42.289085249309196</v>
      </c>
      <c r="AN28" s="58">
        <f t="shared" si="84"/>
        <v>44.191171351068199</v>
      </c>
      <c r="AO28" s="58">
        <f t="shared" si="84"/>
        <v>44.228642219176272</v>
      </c>
      <c r="AP28" s="58">
        <f t="shared" si="84"/>
        <v>44.711000804432928</v>
      </c>
      <c r="AQ28" s="58">
        <v>43.552889880174156</v>
      </c>
      <c r="AR28" s="58">
        <v>38.656224693092277</v>
      </c>
      <c r="AS28" s="58">
        <v>41.231833795796369</v>
      </c>
      <c r="AT28" s="58">
        <v>39.640579287679145</v>
      </c>
      <c r="AU28" s="58">
        <v>42.152912088220255</v>
      </c>
      <c r="AV28" s="58">
        <v>39.011033352017712</v>
      </c>
      <c r="AW28" s="58">
        <v>37.145480955023686</v>
      </c>
      <c r="AX28" s="58">
        <v>42.173359236849272</v>
      </c>
      <c r="AY28" s="58">
        <v>41.260460397034116</v>
      </c>
      <c r="AZ28" s="58">
        <v>43.667860960104598</v>
      </c>
      <c r="BA28" s="58">
        <v>43.743086159569387</v>
      </c>
      <c r="BB28" s="58">
        <v>43.555426752252636</v>
      </c>
      <c r="BC28" s="58">
        <v>39.315746286466492</v>
      </c>
      <c r="BD28" s="58">
        <v>39.660609836082713</v>
      </c>
      <c r="BE28" s="58">
        <v>38.334581907834853</v>
      </c>
      <c r="BF28" s="58">
        <v>38.677040156834558</v>
      </c>
      <c r="BG28" s="58">
        <v>39.771894295085538</v>
      </c>
      <c r="BH28" s="58">
        <v>37.332461494204772</v>
      </c>
      <c r="BI28" s="58">
        <v>38.33152209499054</v>
      </c>
      <c r="BJ28" s="58">
        <v>39.169003941503469</v>
      </c>
      <c r="BK28" s="58">
        <v>38.966799259110012</v>
      </c>
      <c r="BL28" s="58">
        <v>40.449441850325975</v>
      </c>
      <c r="BM28" s="58">
        <v>42.637348081298818</v>
      </c>
      <c r="BN28" s="58">
        <v>43.954770743468252</v>
      </c>
      <c r="BO28" s="58">
        <v>44.31043554991524</v>
      </c>
      <c r="BP28" s="58">
        <v>42.898896028029419</v>
      </c>
      <c r="BQ28" s="58">
        <v>41.461466360073615</v>
      </c>
      <c r="BR28" s="58">
        <v>42.310213407447471</v>
      </c>
      <c r="BS28" s="58">
        <v>45.682023617211165</v>
      </c>
      <c r="BT28" s="58">
        <v>44.334069520569912</v>
      </c>
      <c r="BU28" s="58">
        <v>45.040804564245796</v>
      </c>
      <c r="BV28" s="58">
        <v>41.05934516746202</v>
      </c>
      <c r="BW28" s="58">
        <v>45.854538411905693</v>
      </c>
      <c r="BX28" s="58">
        <v>43.74914743047691</v>
      </c>
      <c r="BY28" s="58">
        <v>42.742110123147157</v>
      </c>
      <c r="BZ28" s="58">
        <v>42.756965929866801</v>
      </c>
      <c r="CA28" s="58">
        <v>43.510058121639993</v>
      </c>
      <c r="CB28" s="58">
        <v>38.817172429110805</v>
      </c>
      <c r="CC28" s="58">
        <v>41.113895216297884</v>
      </c>
      <c r="CD28" s="58">
        <v>38.72835739732492</v>
      </c>
      <c r="CE28" s="58">
        <v>41.454661324306393</v>
      </c>
      <c r="CF28" s="58">
        <v>38.975848975109145</v>
      </c>
      <c r="CG28" s="58">
        <v>37.138751373887665</v>
      </c>
      <c r="CH28" s="58">
        <v>38.202723905056075</v>
      </c>
      <c r="CI28" s="58">
        <v>40.0378702705937</v>
      </c>
      <c r="CJ28" s="58">
        <v>43.860288431163212</v>
      </c>
      <c r="CK28" s="58">
        <v>44.46122584004771</v>
      </c>
      <c r="CL28" s="58">
        <v>49.442072714482521</v>
      </c>
      <c r="CM28" s="58">
        <v>40.00945387938976</v>
      </c>
      <c r="CN28" s="58">
        <v>41.829736313866377</v>
      </c>
      <c r="CO28" s="58">
        <v>41.095470445050488</v>
      </c>
      <c r="CP28" s="58">
        <v>41.033169035783835</v>
      </c>
      <c r="CQ28" s="58">
        <v>45.739103297857021</v>
      </c>
      <c r="CR28" s="58">
        <v>50.307501604968706</v>
      </c>
      <c r="CS28" s="58">
        <v>40.987257777312664</v>
      </c>
      <c r="CT28" s="58">
        <v>41.231211188580701</v>
      </c>
      <c r="CU28" s="58">
        <v>49.102245404854017</v>
      </c>
      <c r="CV28" s="58">
        <v>45.17727643168751</v>
      </c>
      <c r="CW28" s="58">
        <v>42.687682559051943</v>
      </c>
      <c r="CX28" s="58">
        <v>30.876753607296664</v>
      </c>
      <c r="CY28" s="58">
        <v>56.795119240619087</v>
      </c>
      <c r="CZ28" s="58">
        <v>43.709014691184414</v>
      </c>
      <c r="DA28" s="58">
        <v>46.605957233738437</v>
      </c>
      <c r="DB28" s="58">
        <f t="shared" si="84"/>
        <v>41.429674114736777</v>
      </c>
      <c r="DC28" s="58">
        <v>43.851533312844936</v>
      </c>
      <c r="DD28" s="58">
        <v>41.157147209554473</v>
      </c>
      <c r="DE28" s="58">
        <v>43.449148800008246</v>
      </c>
      <c r="DF28" s="58">
        <v>42.193038746193402</v>
      </c>
      <c r="DG28" s="58">
        <v>46.533865767691999</v>
      </c>
    </row>
    <row r="29" spans="1:111" x14ac:dyDescent="0.2">
      <c r="A29" t="s">
        <v>6</v>
      </c>
      <c r="C29" s="59">
        <v>0.11018506520466043</v>
      </c>
      <c r="D29" s="59">
        <v>0.1195655505388331</v>
      </c>
      <c r="E29" s="59">
        <v>0.12894363413755147</v>
      </c>
      <c r="F29" s="59">
        <v>0.13516822893721814</v>
      </c>
      <c r="G29" s="59">
        <v>0.12217657726645557</v>
      </c>
      <c r="H29" s="59">
        <v>0.11582768865755548</v>
      </c>
      <c r="I29" s="59">
        <v>0.11253532066622556</v>
      </c>
      <c r="J29" s="59">
        <v>0.11477013630219667</v>
      </c>
      <c r="K29" s="59">
        <v>0.11475309136668911</v>
      </c>
      <c r="L29" s="59">
        <v>0.11108185236701977</v>
      </c>
      <c r="M29" s="59">
        <v>0.10899101159723061</v>
      </c>
      <c r="N29" s="59">
        <v>0.11043747421231791</v>
      </c>
      <c r="O29" s="59">
        <v>0.11050726878998914</v>
      </c>
      <c r="P29" s="59">
        <v>0.11881394412336084</v>
      </c>
      <c r="Q29" s="59">
        <v>0.1213194900484667</v>
      </c>
      <c r="R29" s="59">
        <v>0.11788999181242825</v>
      </c>
      <c r="S29" s="59">
        <v>0.11574882890096209</v>
      </c>
      <c r="T29" s="59">
        <v>0.10653593298351839</v>
      </c>
      <c r="U29" s="59">
        <v>0.11266430101679237</v>
      </c>
      <c r="V29" s="59">
        <v>0.10522723050730282</v>
      </c>
      <c r="W29" s="59">
        <v>0.1094932342082592</v>
      </c>
      <c r="X29" s="59">
        <v>0.11339569303015486</v>
      </c>
      <c r="Y29" s="59">
        <v>0.10881573571157237</v>
      </c>
      <c r="Z29" s="59">
        <v>0.11017579651160354</v>
      </c>
      <c r="AA29" s="59">
        <f t="shared" ref="AA29:AB29" si="85">AA27/12</f>
        <v>0.11888941824926169</v>
      </c>
      <c r="AB29" s="59">
        <f t="shared" si="85"/>
        <v>0.13052428608982289</v>
      </c>
      <c r="AC29" s="59">
        <f t="shared" ref="AC29:AD29" si="86">AC27/12</f>
        <v>0.11748085038672967</v>
      </c>
      <c r="AD29" s="59">
        <f t="shared" si="86"/>
        <v>0.13123361961944432</v>
      </c>
      <c r="AE29" s="59">
        <f t="shared" ref="AE29:AF29" si="87">AE27/12</f>
        <v>0.11658591262850264</v>
      </c>
      <c r="AF29" s="59">
        <f t="shared" si="87"/>
        <v>0.11084878582445658</v>
      </c>
      <c r="AG29" s="59">
        <f t="shared" ref="AG29" si="88">AG27/12</f>
        <v>0.1117088854722898</v>
      </c>
      <c r="AH29" s="59">
        <f t="shared" ref="AH29:AI29" si="89">AH27/12</f>
        <v>0.11071050794511705</v>
      </c>
      <c r="AI29" s="59">
        <f t="shared" si="89"/>
        <v>0.11594986004455078</v>
      </c>
      <c r="AJ29" s="59">
        <f t="shared" ref="AJ29:AK29" si="90">AJ27/12</f>
        <v>0.10949740700244687</v>
      </c>
      <c r="AK29" s="59">
        <f t="shared" si="90"/>
        <v>0.10633759128705685</v>
      </c>
      <c r="AL29" s="59">
        <f t="shared" ref="AL29:AM29" si="91">AL27/12</f>
        <v>0.10883304667362846</v>
      </c>
      <c r="AM29" s="59">
        <f t="shared" si="91"/>
        <v>0.11586050753235395</v>
      </c>
      <c r="AN29" s="59">
        <f t="shared" ref="AN29:AO29" si="92">AN27/12</f>
        <v>0.12107170233169369</v>
      </c>
      <c r="AO29" s="59">
        <f t="shared" si="92"/>
        <v>0.12117436224431856</v>
      </c>
      <c r="AP29" s="59">
        <f t="shared" ref="AP29" si="93">AP27/12</f>
        <v>0.12249589261488474</v>
      </c>
      <c r="AQ29" s="59">
        <v>0.11932298597307989</v>
      </c>
      <c r="AR29" s="59">
        <v>0.10590746491258157</v>
      </c>
      <c r="AS29" s="59">
        <v>0.11296392820766128</v>
      </c>
      <c r="AT29" s="59">
        <v>0.1086043268155593</v>
      </c>
      <c r="AU29" s="59">
        <v>0.11548743037868563</v>
      </c>
      <c r="AV29" s="59">
        <v>0.10687954343018551</v>
      </c>
      <c r="AW29" s="59">
        <v>0.10176844097266763</v>
      </c>
      <c r="AX29" s="59">
        <v>0.1155434499639706</v>
      </c>
      <c r="AY29" s="59">
        <v>0.11304235725214827</v>
      </c>
      <c r="AZ29" s="59">
        <v>0.11963797523316327</v>
      </c>
      <c r="BA29" s="59">
        <v>0.11984407167005311</v>
      </c>
      <c r="BB29" s="59">
        <v>0.11932993630754146</v>
      </c>
      <c r="BC29" s="59">
        <v>0.10771437338757943</v>
      </c>
      <c r="BD29" s="59">
        <v>0.1086592050303636</v>
      </c>
      <c r="BE29" s="59">
        <v>0.10502625180228727</v>
      </c>
      <c r="BF29" s="59">
        <v>0.10596449358036865</v>
      </c>
      <c r="BG29" s="59">
        <v>0.10896409395913846</v>
      </c>
      <c r="BH29" s="59">
        <v>0.10228071642247882</v>
      </c>
      <c r="BI29" s="59">
        <v>0.10501786875339873</v>
      </c>
      <c r="BJ29" s="59">
        <v>0.10731233956576293</v>
      </c>
      <c r="BK29" s="59">
        <v>0.10675835413454798</v>
      </c>
      <c r="BL29" s="59">
        <v>0.11082038863103007</v>
      </c>
      <c r="BM29" s="59">
        <v>0.116814652277531</v>
      </c>
      <c r="BN29" s="59">
        <v>0.1204240294341596</v>
      </c>
      <c r="BO29" s="59">
        <v>0.12139845356141162</v>
      </c>
      <c r="BP29" s="59">
        <v>0.11753122199460116</v>
      </c>
      <c r="BQ29" s="59">
        <v>0.11359305852074963</v>
      </c>
      <c r="BR29" s="59">
        <v>0.11591839289711636</v>
      </c>
      <c r="BS29" s="59">
        <v>0.12515622908824978</v>
      </c>
      <c r="BT29" s="59">
        <v>0.12146320416594497</v>
      </c>
      <c r="BU29" s="59">
        <v>0.12339946455957752</v>
      </c>
      <c r="BV29" s="59">
        <v>0.11249135662318362</v>
      </c>
      <c r="BW29" s="59">
        <v>0.12562887236138545</v>
      </c>
      <c r="BX29" s="59">
        <v>0.11986067789171756</v>
      </c>
      <c r="BY29" s="59">
        <v>0.11710167157026619</v>
      </c>
      <c r="BZ29" s="59">
        <v>0.11714237241059398</v>
      </c>
      <c r="CA29" s="59">
        <v>0.11920563868942465</v>
      </c>
      <c r="CB29" s="59">
        <v>0.10634841761400221</v>
      </c>
      <c r="CC29" s="59">
        <v>0.11264080881177502</v>
      </c>
      <c r="CD29" s="59">
        <v>0.1061050887597943</v>
      </c>
      <c r="CE29" s="59">
        <v>0.11357441458714081</v>
      </c>
      <c r="CF29" s="59">
        <v>0.10678314787701136</v>
      </c>
      <c r="CG29" s="59">
        <v>0.10175000376407579</v>
      </c>
      <c r="CH29" s="59">
        <v>0.10466499700015362</v>
      </c>
      <c r="CI29" s="59">
        <v>0.10969279526190055</v>
      </c>
      <c r="CJ29" s="59">
        <v>0.1201651737840088</v>
      </c>
      <c r="CK29" s="59">
        <v>0.12181157764396633</v>
      </c>
      <c r="CL29" s="59">
        <v>0.13545773346433568</v>
      </c>
      <c r="CM29" s="59">
        <v>0.10961494213531442</v>
      </c>
      <c r="CN29" s="59">
        <v>0.11460201729826404</v>
      </c>
      <c r="CO29" s="59">
        <v>0.11259032998643968</v>
      </c>
      <c r="CP29" s="59">
        <v>0.11241964119392832</v>
      </c>
      <c r="CQ29" s="59">
        <v>0.12531261177495073</v>
      </c>
      <c r="CR29" s="59">
        <v>0.13782877152046222</v>
      </c>
      <c r="CS29" s="59">
        <v>0.11229385692414429</v>
      </c>
      <c r="CT29" s="59">
        <v>0.11296222243446767</v>
      </c>
      <c r="CU29" s="59">
        <v>0.13452669973932607</v>
      </c>
      <c r="CV29" s="59">
        <v>0.1237733600868151</v>
      </c>
      <c r="CW29" s="59">
        <v>0.1169525549563067</v>
      </c>
      <c r="CX29" s="59">
        <v>8.4593845499442918E-2</v>
      </c>
      <c r="CY29" s="59">
        <v>0.15560306641265503</v>
      </c>
      <c r="CZ29" s="59">
        <v>0.11975072518132716</v>
      </c>
      <c r="DA29" s="59">
        <v>0.12768755406503682</v>
      </c>
      <c r="DB29" s="59">
        <v>0.11350595647873089</v>
      </c>
      <c r="DC29" s="59">
        <v>0.12014118715847927</v>
      </c>
      <c r="DD29" s="59">
        <v>0.11275930742343691</v>
      </c>
      <c r="DE29" s="59">
        <v>0.11903876383563904</v>
      </c>
      <c r="DF29" s="59">
        <v>0.11559736642792713</v>
      </c>
      <c r="DG29" s="59">
        <v>0.12749004319915616</v>
      </c>
    </row>
    <row r="30" spans="1:111" x14ac:dyDescent="0.2">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row>
    <row r="31" spans="1:111" x14ac:dyDescent="0.2">
      <c r="A31" s="1" t="s">
        <v>18</v>
      </c>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row>
    <row r="32" spans="1:111" x14ac:dyDescent="0.2">
      <c r="A32" t="s">
        <v>19</v>
      </c>
      <c r="C32" s="52">
        <v>0.33339999999999997</v>
      </c>
      <c r="D32" s="52">
        <v>0.33339999999999997</v>
      </c>
      <c r="E32" s="52">
        <v>0.33339999999999997</v>
      </c>
      <c r="F32" s="52">
        <v>0.33339999999999997</v>
      </c>
      <c r="G32" s="52">
        <v>0.33339999999999997</v>
      </c>
      <c r="H32" s="52">
        <v>0.33339999999999997</v>
      </c>
      <c r="I32" s="52">
        <v>0.33339999999999997</v>
      </c>
      <c r="J32" s="52">
        <v>0.33339999999999997</v>
      </c>
      <c r="K32" s="52">
        <v>0.33339999999999997</v>
      </c>
      <c r="L32" s="52">
        <v>0.33339999999999997</v>
      </c>
      <c r="M32" s="52">
        <v>0.33339999999999997</v>
      </c>
      <c r="N32" s="52">
        <v>0.33339999999999997</v>
      </c>
      <c r="O32" s="52">
        <v>0.33339999999999997</v>
      </c>
      <c r="P32" s="52">
        <v>0.33339999999999997</v>
      </c>
      <c r="Q32" s="52">
        <v>0.33339999999999997</v>
      </c>
      <c r="R32" s="52">
        <v>0.33339999999999997</v>
      </c>
      <c r="S32" s="52">
        <v>0.33339999999999997</v>
      </c>
      <c r="T32" s="52">
        <v>0.33339999999999997</v>
      </c>
      <c r="U32" s="52">
        <v>0.33339999999999997</v>
      </c>
      <c r="V32" s="52">
        <v>0.33339999999999997</v>
      </c>
      <c r="W32" s="52">
        <v>0.33339999999999997</v>
      </c>
      <c r="X32" s="52">
        <v>0.33339999999999997</v>
      </c>
      <c r="Y32" s="52">
        <v>0.33339999999999997</v>
      </c>
      <c r="Z32" s="52">
        <v>0.33339999999999997</v>
      </c>
      <c r="AA32" s="52">
        <v>0.33339999999999997</v>
      </c>
      <c r="AB32" s="52">
        <v>0.33339999999999997</v>
      </c>
      <c r="AC32" s="52">
        <v>0.33339999999999997</v>
      </c>
      <c r="AD32" s="52">
        <v>0.33339999999999997</v>
      </c>
      <c r="AE32" s="52">
        <v>0.33339999999999997</v>
      </c>
      <c r="AF32" s="52">
        <v>0.33339999999999997</v>
      </c>
      <c r="AG32" s="52">
        <v>0.33339999999999997</v>
      </c>
      <c r="AH32" s="52">
        <v>0.33339999999999997</v>
      </c>
      <c r="AI32" s="52">
        <v>0.33339999999999997</v>
      </c>
      <c r="AJ32" s="52">
        <v>0.33339999999999997</v>
      </c>
      <c r="AK32" s="52">
        <v>0.33339999999999997</v>
      </c>
      <c r="AL32" s="52">
        <v>0.33339999999999997</v>
      </c>
      <c r="AM32" s="52">
        <v>0.33339999999999997</v>
      </c>
      <c r="AN32" s="52">
        <v>0.33339999999999997</v>
      </c>
      <c r="AO32" s="52">
        <v>0.33339999999999997</v>
      </c>
      <c r="AP32" s="52">
        <v>0.33339999999999997</v>
      </c>
      <c r="AQ32" s="52">
        <v>0.33339999999999997</v>
      </c>
      <c r="AR32" s="52">
        <v>0.33339999999999997</v>
      </c>
      <c r="AS32" s="52">
        <v>0.33339999999999997</v>
      </c>
      <c r="AT32" s="52">
        <v>0.33339999999999997</v>
      </c>
      <c r="AU32" s="52">
        <v>0.33339999999999997</v>
      </c>
      <c r="AV32" s="52">
        <v>0.33339999999999997</v>
      </c>
      <c r="AW32" s="52">
        <v>0.33339999999999997</v>
      </c>
      <c r="AX32" s="52">
        <v>0.33339999999999997</v>
      </c>
      <c r="AY32" s="52">
        <v>0.33339999999999997</v>
      </c>
      <c r="AZ32" s="52">
        <v>0.33339999999999997</v>
      </c>
      <c r="BA32" s="52">
        <v>0.33339999999999997</v>
      </c>
      <c r="BB32" s="52">
        <v>0.33339999999999997</v>
      </c>
      <c r="BC32" s="52">
        <v>0.33339999999999997</v>
      </c>
      <c r="BD32" s="52">
        <v>0.33339999999999997</v>
      </c>
      <c r="BE32" s="52">
        <v>0.33339999999999997</v>
      </c>
      <c r="BF32" s="52">
        <v>0.33339999999999997</v>
      </c>
      <c r="BG32" s="52">
        <v>0.33339999999999997</v>
      </c>
      <c r="BH32" s="52">
        <v>0.33339999999999997</v>
      </c>
      <c r="BI32" s="52">
        <v>0.33339999999999997</v>
      </c>
      <c r="BJ32" s="52">
        <v>0.33339999999999997</v>
      </c>
      <c r="BK32" s="52">
        <v>0.33339999999999997</v>
      </c>
      <c r="BL32" s="52">
        <v>0.33339999999999997</v>
      </c>
      <c r="BM32" s="52">
        <v>0.33339999999999997</v>
      </c>
      <c r="BN32" s="52">
        <v>0.33339999999999997</v>
      </c>
      <c r="BO32" s="52">
        <v>0.33339999999999997</v>
      </c>
      <c r="BP32" s="52">
        <v>0.33339999999999997</v>
      </c>
      <c r="BQ32" s="52">
        <v>0.33339999999999997</v>
      </c>
      <c r="BR32" s="52">
        <v>0.33339999999999997</v>
      </c>
      <c r="BS32" s="52">
        <v>0.33339999999999997</v>
      </c>
      <c r="BT32" s="52">
        <v>0.33339999999999997</v>
      </c>
      <c r="BU32" s="52">
        <v>0.33339999999999997</v>
      </c>
      <c r="BV32" s="52">
        <v>0.33339999999999997</v>
      </c>
      <c r="BW32" s="52">
        <v>0.33339999999999997</v>
      </c>
      <c r="BX32" s="52">
        <v>0.33339999999999997</v>
      </c>
      <c r="BY32" s="52">
        <v>0.33339999999999997</v>
      </c>
      <c r="BZ32" s="52">
        <v>0.33339999999999997</v>
      </c>
      <c r="CA32" s="52">
        <v>0.33339999999999997</v>
      </c>
      <c r="CB32" s="52">
        <v>0.33339999999999997</v>
      </c>
      <c r="CC32" s="52">
        <v>0.33339999999999997</v>
      </c>
      <c r="CD32" s="52">
        <v>0.33339999999999997</v>
      </c>
      <c r="CE32" s="52">
        <v>0.33339999999999997</v>
      </c>
      <c r="CF32" s="52">
        <v>0.33339999999999997</v>
      </c>
      <c r="CG32" s="52">
        <v>0.33339999999999997</v>
      </c>
      <c r="CH32" s="52">
        <v>0.33339999999999997</v>
      </c>
      <c r="CI32" s="52">
        <v>0.33339999999999997</v>
      </c>
      <c r="CJ32" s="52">
        <v>0.33339999999999997</v>
      </c>
      <c r="CK32" s="52">
        <v>0.33339999999999997</v>
      </c>
      <c r="CL32" s="52">
        <v>0.33339999999999997</v>
      </c>
      <c r="CM32" s="52">
        <v>0.33339999999999997</v>
      </c>
      <c r="CN32" s="52">
        <v>0.33339999999999997</v>
      </c>
      <c r="CO32" s="52">
        <v>0.33339999999999997</v>
      </c>
      <c r="CP32" s="52">
        <v>0.33339999999999997</v>
      </c>
      <c r="CQ32" s="52">
        <v>0.33339999999999997</v>
      </c>
      <c r="CR32" s="52">
        <v>0.33339999999999997</v>
      </c>
      <c r="CS32" s="52">
        <v>0.33339999999999997</v>
      </c>
      <c r="CT32" s="52">
        <v>0.33339999999999997</v>
      </c>
      <c r="CU32" s="52">
        <v>0.33339999999999997</v>
      </c>
      <c r="CV32" s="52">
        <v>0.33339999999999997</v>
      </c>
      <c r="CW32" s="52">
        <v>0.33339999999999997</v>
      </c>
      <c r="CX32" s="52">
        <v>0.33339999999999997</v>
      </c>
      <c r="CY32" s="52">
        <v>0.33339999999999997</v>
      </c>
      <c r="CZ32" s="52">
        <v>0.33339999999999997</v>
      </c>
      <c r="DA32" s="52">
        <v>0.33339999999999997</v>
      </c>
      <c r="DB32" s="52">
        <v>0.33339999999999997</v>
      </c>
      <c r="DC32" s="52">
        <v>0.33339999999999997</v>
      </c>
      <c r="DD32" s="52">
        <v>0.33339999999999997</v>
      </c>
      <c r="DE32" s="52">
        <v>0.33339999999999997</v>
      </c>
      <c r="DF32" s="52">
        <v>0.33339999999999997</v>
      </c>
      <c r="DG32" s="52">
        <v>0.33339999999999997</v>
      </c>
    </row>
    <row r="33" spans="1:111" x14ac:dyDescent="0.2">
      <c r="A33" t="s">
        <v>20</v>
      </c>
      <c r="C33" s="52">
        <v>0.33329999999999999</v>
      </c>
      <c r="D33" s="52">
        <v>0.33329999999999999</v>
      </c>
      <c r="E33" s="52">
        <v>0.33329999999999999</v>
      </c>
      <c r="F33" s="52">
        <v>0.33329999999999999</v>
      </c>
      <c r="G33" s="52">
        <v>0.33329999999999999</v>
      </c>
      <c r="H33" s="52">
        <v>0.33329999999999999</v>
      </c>
      <c r="I33" s="52">
        <v>0.33329999999999999</v>
      </c>
      <c r="J33" s="52">
        <v>0.33329999999999999</v>
      </c>
      <c r="K33" s="52">
        <v>0.33329999999999999</v>
      </c>
      <c r="L33" s="52">
        <v>0.33329999999999999</v>
      </c>
      <c r="M33" s="52">
        <v>0.33329999999999999</v>
      </c>
      <c r="N33" s="52">
        <v>0.33329999999999999</v>
      </c>
      <c r="O33" s="52">
        <v>0.33329999999999999</v>
      </c>
      <c r="P33" s="52">
        <v>0.33329999999999999</v>
      </c>
      <c r="Q33" s="52">
        <v>0.33329999999999999</v>
      </c>
      <c r="R33" s="52">
        <v>0.33329999999999999</v>
      </c>
      <c r="S33" s="52">
        <v>0.33329999999999999</v>
      </c>
      <c r="T33" s="52">
        <v>0.33329999999999999</v>
      </c>
      <c r="U33" s="52">
        <v>0.33329999999999999</v>
      </c>
      <c r="V33" s="52">
        <v>0.33329999999999999</v>
      </c>
      <c r="W33" s="52">
        <v>0.33329999999999999</v>
      </c>
      <c r="X33" s="52">
        <v>0.33329999999999999</v>
      </c>
      <c r="Y33" s="52">
        <v>0.33329999999999999</v>
      </c>
      <c r="Z33" s="52">
        <v>0.33329999999999999</v>
      </c>
      <c r="AA33" s="52">
        <v>0.33329999999999999</v>
      </c>
      <c r="AB33" s="52">
        <v>0.33329999999999999</v>
      </c>
      <c r="AC33" s="52">
        <v>0.33329999999999999</v>
      </c>
      <c r="AD33" s="52">
        <v>0.33329999999999999</v>
      </c>
      <c r="AE33" s="52">
        <v>0.33329999999999999</v>
      </c>
      <c r="AF33" s="52">
        <v>0.33329999999999999</v>
      </c>
      <c r="AG33" s="52">
        <v>0.33329999999999999</v>
      </c>
      <c r="AH33" s="52">
        <v>0.33329999999999999</v>
      </c>
      <c r="AI33" s="52">
        <v>0.33329999999999999</v>
      </c>
      <c r="AJ33" s="52">
        <v>0.33329999999999999</v>
      </c>
      <c r="AK33" s="52">
        <v>0.33329999999999999</v>
      </c>
      <c r="AL33" s="52">
        <v>0.33329999999999999</v>
      </c>
      <c r="AM33" s="52">
        <v>0.33329999999999999</v>
      </c>
      <c r="AN33" s="52">
        <v>0.33329999999999999</v>
      </c>
      <c r="AO33" s="52">
        <v>0.33329999999999999</v>
      </c>
      <c r="AP33" s="52">
        <v>0.33329999999999999</v>
      </c>
      <c r="AQ33" s="52">
        <v>0.33329999999999999</v>
      </c>
      <c r="AR33" s="52">
        <v>0.33329999999999999</v>
      </c>
      <c r="AS33" s="52">
        <v>0.33329999999999999</v>
      </c>
      <c r="AT33" s="52">
        <v>0.33329999999999999</v>
      </c>
      <c r="AU33" s="52">
        <v>0.33329999999999999</v>
      </c>
      <c r="AV33" s="52">
        <v>0.33329999999999999</v>
      </c>
      <c r="AW33" s="52">
        <v>0.33329999999999999</v>
      </c>
      <c r="AX33" s="52">
        <v>0.33329999999999999</v>
      </c>
      <c r="AY33" s="52">
        <v>0.33329999999999999</v>
      </c>
      <c r="AZ33" s="52">
        <v>0.33329999999999999</v>
      </c>
      <c r="BA33" s="52">
        <v>0.33329999999999999</v>
      </c>
      <c r="BB33" s="52">
        <v>0.33329999999999999</v>
      </c>
      <c r="BC33" s="52">
        <v>0.33329999999999999</v>
      </c>
      <c r="BD33" s="52">
        <v>0.33329999999999999</v>
      </c>
      <c r="BE33" s="52">
        <v>0.33329999999999999</v>
      </c>
      <c r="BF33" s="52">
        <v>0.33329999999999999</v>
      </c>
      <c r="BG33" s="52">
        <v>0.33329999999999999</v>
      </c>
      <c r="BH33" s="52">
        <v>0.33329999999999999</v>
      </c>
      <c r="BI33" s="52">
        <v>0.33329999999999999</v>
      </c>
      <c r="BJ33" s="52">
        <v>0.33329999999999999</v>
      </c>
      <c r="BK33" s="52">
        <v>0.33329999999999999</v>
      </c>
      <c r="BL33" s="52">
        <v>0.33329999999999999</v>
      </c>
      <c r="BM33" s="52">
        <v>0.33329999999999999</v>
      </c>
      <c r="BN33" s="52">
        <v>0.33329999999999999</v>
      </c>
      <c r="BO33" s="52">
        <v>0.33329999999999999</v>
      </c>
      <c r="BP33" s="52">
        <v>0.33329999999999999</v>
      </c>
      <c r="BQ33" s="52">
        <v>0.33329999999999999</v>
      </c>
      <c r="BR33" s="52">
        <v>0.33329999999999999</v>
      </c>
      <c r="BS33" s="52">
        <v>0.33329999999999999</v>
      </c>
      <c r="BT33" s="52">
        <v>0.33329999999999999</v>
      </c>
      <c r="BU33" s="52">
        <v>0.33329999999999999</v>
      </c>
      <c r="BV33" s="52">
        <v>0.33329999999999999</v>
      </c>
      <c r="BW33" s="52">
        <v>0.33329999999999999</v>
      </c>
      <c r="BX33" s="52">
        <v>0.33329999999999999</v>
      </c>
      <c r="BY33" s="52">
        <v>0.33329999999999999</v>
      </c>
      <c r="BZ33" s="52">
        <v>0.33329999999999999</v>
      </c>
      <c r="CA33" s="52">
        <v>0.33329999999999999</v>
      </c>
      <c r="CB33" s="52">
        <v>0.33329999999999999</v>
      </c>
      <c r="CC33" s="52">
        <v>0.33329999999999999</v>
      </c>
      <c r="CD33" s="52">
        <v>0.33329999999999999</v>
      </c>
      <c r="CE33" s="52">
        <v>0.33329999999999999</v>
      </c>
      <c r="CF33" s="52">
        <v>0.33329999999999999</v>
      </c>
      <c r="CG33" s="52">
        <v>0.33329999999999999</v>
      </c>
      <c r="CH33" s="52">
        <v>0.33329999999999999</v>
      </c>
      <c r="CI33" s="52">
        <v>0.33329999999999999</v>
      </c>
      <c r="CJ33" s="52">
        <v>0.33329999999999999</v>
      </c>
      <c r="CK33" s="52">
        <v>0.33329999999999999</v>
      </c>
      <c r="CL33" s="52">
        <v>0.33329999999999999</v>
      </c>
      <c r="CM33" s="52">
        <v>0.33329999999999999</v>
      </c>
      <c r="CN33" s="52">
        <v>0.33329999999999999</v>
      </c>
      <c r="CO33" s="52">
        <v>0.33329999999999999</v>
      </c>
      <c r="CP33" s="52">
        <v>0.33329999999999999</v>
      </c>
      <c r="CQ33" s="52">
        <v>0.33329999999999999</v>
      </c>
      <c r="CR33" s="52">
        <v>0.33329999999999999</v>
      </c>
      <c r="CS33" s="52">
        <v>0.33329999999999999</v>
      </c>
      <c r="CT33" s="52">
        <v>0.33329999999999999</v>
      </c>
      <c r="CU33" s="52">
        <v>0.33329999999999999</v>
      </c>
      <c r="CV33" s="52">
        <v>0.33329999999999999</v>
      </c>
      <c r="CW33" s="52">
        <v>0.33329999999999999</v>
      </c>
      <c r="CX33" s="52">
        <v>0.33329999999999999</v>
      </c>
      <c r="CY33" s="52">
        <v>0.33329999999999999</v>
      </c>
      <c r="CZ33" s="52">
        <v>0.33329999999999999</v>
      </c>
      <c r="DA33" s="52">
        <v>0.33329999999999999</v>
      </c>
      <c r="DB33" s="52">
        <v>0.33329999999999999</v>
      </c>
      <c r="DC33" s="52">
        <v>0.33329999999999999</v>
      </c>
      <c r="DD33" s="52">
        <v>0.33329999999999999</v>
      </c>
      <c r="DE33" s="52">
        <v>0.33329999999999999</v>
      </c>
      <c r="DF33" s="52">
        <v>0.33329999999999999</v>
      </c>
      <c r="DG33" s="52">
        <v>0.33329999999999999</v>
      </c>
    </row>
    <row r="34" spans="1:111" x14ac:dyDescent="0.2">
      <c r="A34" t="s">
        <v>21</v>
      </c>
      <c r="C34" s="52">
        <v>0.33329999999999999</v>
      </c>
      <c r="D34" s="52">
        <v>0.33329999999999999</v>
      </c>
      <c r="E34" s="52">
        <v>0.33329999999999999</v>
      </c>
      <c r="F34" s="52">
        <v>0.33329999999999999</v>
      </c>
      <c r="G34" s="52">
        <v>0.33329999999999999</v>
      </c>
      <c r="H34" s="52">
        <v>0.33329999999999999</v>
      </c>
      <c r="I34" s="52">
        <v>0.33329999999999999</v>
      </c>
      <c r="J34" s="52">
        <v>0.33329999999999999</v>
      </c>
      <c r="K34" s="52">
        <v>0.33329999999999999</v>
      </c>
      <c r="L34" s="52">
        <v>0.33329999999999999</v>
      </c>
      <c r="M34" s="52">
        <v>0.33329999999999999</v>
      </c>
      <c r="N34" s="52">
        <v>0.33329999999999999</v>
      </c>
      <c r="O34" s="52">
        <v>0.33329999999999999</v>
      </c>
      <c r="P34" s="52">
        <v>0.33329999999999999</v>
      </c>
      <c r="Q34" s="52">
        <v>0.33329999999999999</v>
      </c>
      <c r="R34" s="52">
        <v>0.33329999999999999</v>
      </c>
      <c r="S34" s="52">
        <v>0.33329999999999999</v>
      </c>
      <c r="T34" s="52">
        <v>0.33329999999999999</v>
      </c>
      <c r="U34" s="52">
        <v>0.33329999999999999</v>
      </c>
      <c r="V34" s="52">
        <v>0.33329999999999999</v>
      </c>
      <c r="W34" s="52">
        <v>0.33329999999999999</v>
      </c>
      <c r="X34" s="52">
        <v>0.33329999999999999</v>
      </c>
      <c r="Y34" s="52">
        <v>0.33329999999999999</v>
      </c>
      <c r="Z34" s="52">
        <v>0.33329999999999999</v>
      </c>
      <c r="AA34" s="52">
        <v>0.33329999999999999</v>
      </c>
      <c r="AB34" s="52">
        <v>0.33329999999999999</v>
      </c>
      <c r="AC34" s="52">
        <v>0.33329999999999999</v>
      </c>
      <c r="AD34" s="52">
        <v>0.33329999999999999</v>
      </c>
      <c r="AE34" s="52">
        <v>0.33329999999999999</v>
      </c>
      <c r="AF34" s="52">
        <v>0.33329999999999999</v>
      </c>
      <c r="AG34" s="52">
        <v>0.33329999999999999</v>
      </c>
      <c r="AH34" s="52">
        <v>0.33329999999999999</v>
      </c>
      <c r="AI34" s="52">
        <v>0.33329999999999999</v>
      </c>
      <c r="AJ34" s="52">
        <v>0.33329999999999999</v>
      </c>
      <c r="AK34" s="52">
        <v>0.33329999999999999</v>
      </c>
      <c r="AL34" s="52">
        <v>0.33329999999999999</v>
      </c>
      <c r="AM34" s="52">
        <v>0.33329999999999999</v>
      </c>
      <c r="AN34" s="52">
        <v>0.33329999999999999</v>
      </c>
      <c r="AO34" s="52">
        <v>0.33329999999999999</v>
      </c>
      <c r="AP34" s="52">
        <v>0.33329999999999999</v>
      </c>
      <c r="AQ34" s="52">
        <v>0.33329999999999999</v>
      </c>
      <c r="AR34" s="52">
        <v>0.33329999999999999</v>
      </c>
      <c r="AS34" s="52">
        <v>0.33329999999999999</v>
      </c>
      <c r="AT34" s="52">
        <v>0.33329999999999999</v>
      </c>
      <c r="AU34" s="52">
        <v>0.33329999999999999</v>
      </c>
      <c r="AV34" s="52">
        <v>0.33329999999999999</v>
      </c>
      <c r="AW34" s="52">
        <v>0.33329999999999999</v>
      </c>
      <c r="AX34" s="52">
        <v>0.33329999999999999</v>
      </c>
      <c r="AY34" s="52">
        <v>0.33329999999999999</v>
      </c>
      <c r="AZ34" s="52">
        <v>0.33329999999999999</v>
      </c>
      <c r="BA34" s="52">
        <v>0.33329999999999999</v>
      </c>
      <c r="BB34" s="52">
        <v>0.33329999999999999</v>
      </c>
      <c r="BC34" s="52">
        <v>0.33329999999999999</v>
      </c>
      <c r="BD34" s="52">
        <v>0.33329999999999999</v>
      </c>
      <c r="BE34" s="52">
        <v>0.33329999999999999</v>
      </c>
      <c r="BF34" s="52">
        <v>0.33329999999999999</v>
      </c>
      <c r="BG34" s="52">
        <v>0.33329999999999999</v>
      </c>
      <c r="BH34" s="52">
        <v>0.33329999999999999</v>
      </c>
      <c r="BI34" s="52">
        <v>0.33329999999999999</v>
      </c>
      <c r="BJ34" s="52">
        <v>0.33329999999999999</v>
      </c>
      <c r="BK34" s="52">
        <v>0.33329999999999999</v>
      </c>
      <c r="BL34" s="52">
        <v>0.33329999999999999</v>
      </c>
      <c r="BM34" s="52">
        <v>0.33329999999999999</v>
      </c>
      <c r="BN34" s="52">
        <v>0.33329999999999999</v>
      </c>
      <c r="BO34" s="52">
        <v>0.33329999999999999</v>
      </c>
      <c r="BP34" s="52">
        <v>0.33329999999999999</v>
      </c>
      <c r="BQ34" s="52">
        <v>0.33329999999999999</v>
      </c>
      <c r="BR34" s="52">
        <v>0.33329999999999999</v>
      </c>
      <c r="BS34" s="52">
        <v>0.33329999999999999</v>
      </c>
      <c r="BT34" s="52">
        <v>0.33329999999999999</v>
      </c>
      <c r="BU34" s="52">
        <v>0.33329999999999999</v>
      </c>
      <c r="BV34" s="52">
        <v>0.33329999999999999</v>
      </c>
      <c r="BW34" s="52">
        <v>0.33329999999999999</v>
      </c>
      <c r="BX34" s="52">
        <v>0.33329999999999999</v>
      </c>
      <c r="BY34" s="52">
        <v>0.33329999999999999</v>
      </c>
      <c r="BZ34" s="52">
        <v>0.33329999999999999</v>
      </c>
      <c r="CA34" s="52">
        <v>0.33329999999999999</v>
      </c>
      <c r="CB34" s="52">
        <v>0.33329999999999999</v>
      </c>
      <c r="CC34" s="52">
        <v>0.33329999999999999</v>
      </c>
      <c r="CD34" s="52">
        <v>0.33329999999999999</v>
      </c>
      <c r="CE34" s="52">
        <v>0.33329999999999999</v>
      </c>
      <c r="CF34" s="52">
        <v>0.33329999999999999</v>
      </c>
      <c r="CG34" s="52">
        <v>0.33329999999999999</v>
      </c>
      <c r="CH34" s="52">
        <v>0.33329999999999999</v>
      </c>
      <c r="CI34" s="52">
        <v>0.33329999999999999</v>
      </c>
      <c r="CJ34" s="52">
        <v>0.33329999999999999</v>
      </c>
      <c r="CK34" s="52">
        <v>0.33329999999999999</v>
      </c>
      <c r="CL34" s="52">
        <v>0.33329999999999999</v>
      </c>
      <c r="CM34" s="52">
        <v>0.33329999999999999</v>
      </c>
      <c r="CN34" s="52">
        <v>0.33329999999999999</v>
      </c>
      <c r="CO34" s="52">
        <v>0.33329999999999999</v>
      </c>
      <c r="CP34" s="52">
        <v>0.33329999999999999</v>
      </c>
      <c r="CQ34" s="52">
        <v>0.33329999999999999</v>
      </c>
      <c r="CR34" s="52">
        <v>0.33329999999999999</v>
      </c>
      <c r="CS34" s="52">
        <v>0.33329999999999999</v>
      </c>
      <c r="CT34" s="52">
        <v>0.33329999999999999</v>
      </c>
      <c r="CU34" s="52">
        <v>0.33329999999999999</v>
      </c>
      <c r="CV34" s="52">
        <v>0.33329999999999999</v>
      </c>
      <c r="CW34" s="52">
        <v>0.33329999999999999</v>
      </c>
      <c r="CX34" s="52">
        <v>0.33329999999999999</v>
      </c>
      <c r="CY34" s="52">
        <v>0.33329999999999999</v>
      </c>
      <c r="CZ34" s="52">
        <v>0.33329999999999999</v>
      </c>
      <c r="DA34" s="52">
        <v>0.33329999999999999</v>
      </c>
      <c r="DB34" s="52">
        <v>0.33329999999999999</v>
      </c>
      <c r="DC34" s="52">
        <v>0.33329999999999999</v>
      </c>
      <c r="DD34" s="52">
        <v>0.33329999999999999</v>
      </c>
      <c r="DE34" s="52">
        <v>0.33329999999999999</v>
      </c>
      <c r="DF34" s="52">
        <v>0.33329999999999999</v>
      </c>
      <c r="DG34" s="52">
        <v>0.33329999999999999</v>
      </c>
    </row>
    <row r="35" spans="1:111" x14ac:dyDescent="0.2">
      <c r="A35" t="s">
        <v>12</v>
      </c>
      <c r="C35" s="52">
        <v>1</v>
      </c>
      <c r="D35" s="52">
        <v>1</v>
      </c>
      <c r="E35" s="52">
        <v>1</v>
      </c>
      <c r="F35" s="52">
        <v>1</v>
      </c>
      <c r="G35" s="52">
        <v>1</v>
      </c>
      <c r="H35" s="52">
        <v>1</v>
      </c>
      <c r="I35" s="52">
        <v>1</v>
      </c>
      <c r="J35" s="52">
        <v>1</v>
      </c>
      <c r="K35" s="52">
        <v>1</v>
      </c>
      <c r="L35" s="52">
        <v>1</v>
      </c>
      <c r="M35" s="52">
        <v>1</v>
      </c>
      <c r="N35" s="52">
        <v>1</v>
      </c>
      <c r="O35" s="52">
        <v>1</v>
      </c>
      <c r="P35" s="52">
        <v>1</v>
      </c>
      <c r="Q35" s="52">
        <v>1</v>
      </c>
      <c r="R35" s="52">
        <v>1</v>
      </c>
      <c r="S35" s="52">
        <v>1</v>
      </c>
      <c r="T35" s="52">
        <v>1</v>
      </c>
      <c r="U35" s="52">
        <v>1</v>
      </c>
      <c r="V35" s="52">
        <v>1</v>
      </c>
      <c r="W35" s="52">
        <v>1</v>
      </c>
      <c r="X35" s="52">
        <v>1</v>
      </c>
      <c r="Y35" s="52">
        <v>1</v>
      </c>
      <c r="Z35" s="52">
        <v>1</v>
      </c>
      <c r="AA35" s="52">
        <f t="shared" ref="AA35:AB35" si="94">SUM(AA32:AA34)</f>
        <v>1</v>
      </c>
      <c r="AB35" s="52">
        <f t="shared" si="94"/>
        <v>1</v>
      </c>
      <c r="AC35" s="52">
        <f t="shared" ref="AC35:AD35" si="95">SUM(AC32:AC34)</f>
        <v>1</v>
      </c>
      <c r="AD35" s="52">
        <f t="shared" si="95"/>
        <v>1</v>
      </c>
      <c r="AE35" s="52">
        <f t="shared" ref="AE35:AF35" si="96">SUM(AE32:AE34)</f>
        <v>1</v>
      </c>
      <c r="AF35" s="52">
        <f t="shared" si="96"/>
        <v>1</v>
      </c>
      <c r="AG35" s="52">
        <f t="shared" ref="AG35" si="97">SUM(AG32:AG34)</f>
        <v>1</v>
      </c>
      <c r="AH35" s="52">
        <f t="shared" ref="AH35:AI35" si="98">SUM(AH32:AH34)</f>
        <v>1</v>
      </c>
      <c r="AI35" s="52">
        <f t="shared" si="98"/>
        <v>1</v>
      </c>
      <c r="AJ35" s="52">
        <f t="shared" ref="AJ35:AK35" si="99">SUM(AJ32:AJ34)</f>
        <v>1</v>
      </c>
      <c r="AK35" s="52">
        <f t="shared" si="99"/>
        <v>1</v>
      </c>
      <c r="AL35" s="52">
        <f t="shared" ref="AL35:AM35" si="100">SUM(AL32:AL34)</f>
        <v>1</v>
      </c>
      <c r="AM35" s="52">
        <f t="shared" si="100"/>
        <v>1</v>
      </c>
      <c r="AN35" s="52">
        <f t="shared" ref="AN35:AO35" si="101">SUM(AN32:AN34)</f>
        <v>1</v>
      </c>
      <c r="AO35" s="52">
        <f t="shared" si="101"/>
        <v>1</v>
      </c>
      <c r="AP35" s="52">
        <f t="shared" ref="AP35" si="102">SUM(AP32:AP34)</f>
        <v>1</v>
      </c>
      <c r="AQ35" s="52">
        <v>1</v>
      </c>
      <c r="AR35" s="52">
        <v>1</v>
      </c>
      <c r="AS35" s="52">
        <v>1</v>
      </c>
      <c r="AT35" s="52">
        <v>1</v>
      </c>
      <c r="AU35" s="52">
        <v>1</v>
      </c>
      <c r="AV35" s="52">
        <v>1</v>
      </c>
      <c r="AW35" s="52">
        <v>1</v>
      </c>
      <c r="AX35" s="52">
        <v>1</v>
      </c>
      <c r="AY35" s="52">
        <v>1</v>
      </c>
      <c r="AZ35" s="52">
        <v>1</v>
      </c>
      <c r="BA35" s="52">
        <v>1</v>
      </c>
      <c r="BB35" s="52">
        <v>1</v>
      </c>
      <c r="BC35" s="52">
        <v>1</v>
      </c>
      <c r="BD35" s="52">
        <v>1</v>
      </c>
      <c r="BE35" s="52">
        <v>1</v>
      </c>
      <c r="BF35" s="52">
        <v>1</v>
      </c>
      <c r="BG35" s="52">
        <v>1</v>
      </c>
      <c r="BH35" s="52">
        <v>1</v>
      </c>
      <c r="BI35" s="52">
        <v>1</v>
      </c>
      <c r="BJ35" s="52">
        <v>1</v>
      </c>
      <c r="BK35" s="52">
        <v>1</v>
      </c>
      <c r="BL35" s="52">
        <v>1</v>
      </c>
      <c r="BM35" s="52">
        <v>1</v>
      </c>
      <c r="BN35" s="52">
        <v>1</v>
      </c>
      <c r="BO35" s="52">
        <v>1</v>
      </c>
      <c r="BP35" s="52">
        <v>1</v>
      </c>
      <c r="BQ35" s="52">
        <v>1</v>
      </c>
      <c r="BR35" s="52">
        <v>1</v>
      </c>
      <c r="BS35" s="52">
        <v>1</v>
      </c>
      <c r="BT35" s="52">
        <v>1</v>
      </c>
      <c r="BU35" s="52">
        <v>1</v>
      </c>
      <c r="BV35" s="52">
        <v>1</v>
      </c>
      <c r="BW35" s="52">
        <v>1</v>
      </c>
      <c r="BX35" s="52">
        <v>1</v>
      </c>
      <c r="BY35" s="52">
        <v>1</v>
      </c>
      <c r="BZ35" s="52">
        <v>1</v>
      </c>
      <c r="CA35" s="52">
        <v>1</v>
      </c>
      <c r="CB35" s="52">
        <v>1</v>
      </c>
      <c r="CC35" s="52">
        <v>1</v>
      </c>
      <c r="CD35" s="52">
        <v>1</v>
      </c>
      <c r="CE35" s="52">
        <v>1</v>
      </c>
      <c r="CF35" s="52">
        <v>1</v>
      </c>
      <c r="CG35" s="52">
        <v>1</v>
      </c>
      <c r="CH35" s="52">
        <v>1</v>
      </c>
      <c r="CI35" s="52">
        <v>1</v>
      </c>
      <c r="CJ35" s="52">
        <v>1</v>
      </c>
      <c r="CK35" s="52">
        <v>1</v>
      </c>
      <c r="CL35" s="52">
        <v>1</v>
      </c>
      <c r="CM35" s="52">
        <v>1</v>
      </c>
      <c r="CN35" s="52">
        <v>1</v>
      </c>
      <c r="CO35" s="52">
        <v>1</v>
      </c>
      <c r="CP35" s="52">
        <v>1</v>
      </c>
      <c r="CQ35" s="52">
        <v>1</v>
      </c>
      <c r="CR35" s="52">
        <v>1</v>
      </c>
      <c r="CS35" s="52">
        <v>1</v>
      </c>
      <c r="CT35" s="52">
        <v>1</v>
      </c>
      <c r="CU35" s="52">
        <v>1</v>
      </c>
      <c r="CV35" s="52">
        <v>1</v>
      </c>
      <c r="CW35" s="52">
        <v>1</v>
      </c>
      <c r="CX35" s="52">
        <v>1</v>
      </c>
      <c r="CY35" s="52">
        <v>1</v>
      </c>
      <c r="CZ35" s="52">
        <v>1</v>
      </c>
      <c r="DA35" s="52">
        <v>1</v>
      </c>
      <c r="DB35" s="52">
        <v>1</v>
      </c>
      <c r="DC35" s="52">
        <v>1</v>
      </c>
      <c r="DD35" s="52">
        <v>1</v>
      </c>
      <c r="DE35" s="52">
        <v>1</v>
      </c>
      <c r="DF35" s="52">
        <v>1</v>
      </c>
      <c r="DG35" s="52">
        <v>1</v>
      </c>
    </row>
    <row r="36" spans="1:111" ht="13.5" thickBot="1" x14ac:dyDescent="0.25">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37"/>
      <c r="BU36" s="37"/>
      <c r="BV36" s="37"/>
      <c r="BW36" s="37"/>
      <c r="BX36" s="37"/>
      <c r="BY36" s="37"/>
      <c r="BZ36" s="37"/>
      <c r="CA36" s="37"/>
      <c r="CB36" s="37"/>
      <c r="CC36" s="37"/>
      <c r="CD36" s="37"/>
      <c r="CE36" s="37"/>
      <c r="CF36" s="37"/>
      <c r="CG36" s="37"/>
      <c r="CH36" s="37"/>
      <c r="CI36" s="37"/>
      <c r="CJ36" s="37"/>
      <c r="CK36" s="37"/>
      <c r="CL36" s="37"/>
      <c r="CM36" s="37"/>
      <c r="CN36" s="37"/>
      <c r="CO36" s="37"/>
      <c r="CP36" s="37"/>
      <c r="CQ36" s="37"/>
      <c r="CR36" s="37"/>
      <c r="CS36" s="37"/>
      <c r="CT36" s="37"/>
      <c r="CU36" s="37"/>
      <c r="CV36" s="37"/>
      <c r="CW36" s="37"/>
      <c r="CX36" s="37"/>
      <c r="CY36" s="37"/>
      <c r="CZ36" s="37"/>
      <c r="DA36" s="37"/>
      <c r="DB36" s="37"/>
      <c r="DC36" s="37"/>
      <c r="DD36" s="37"/>
      <c r="DE36" s="37"/>
      <c r="DF36" s="37"/>
      <c r="DG36" s="37"/>
    </row>
    <row r="37" spans="1:111" ht="13.5" thickBot="1" x14ac:dyDescent="0.25">
      <c r="A37" s="7" t="s">
        <v>22</v>
      </c>
      <c r="C37" s="28" t="e">
        <v>#REF!</v>
      </c>
      <c r="D37" s="28" t="e">
        <v>#REF!</v>
      </c>
      <c r="E37" s="28" t="e">
        <v>#REF!</v>
      </c>
      <c r="F37" s="28" t="e">
        <v>#REF!</v>
      </c>
      <c r="G37" s="28" t="e">
        <v>#REF!</v>
      </c>
      <c r="H37" s="28" t="e">
        <v>#REF!</v>
      </c>
      <c r="I37" s="28" t="e">
        <v>#REF!</v>
      </c>
      <c r="J37" s="28" t="e">
        <v>#REF!</v>
      </c>
      <c r="K37" s="28" t="e">
        <v>#REF!</v>
      </c>
      <c r="L37" s="28" t="e">
        <v>#REF!</v>
      </c>
      <c r="M37" s="28" t="e">
        <v>#REF!</v>
      </c>
      <c r="N37" s="28" t="e">
        <v>#REF!</v>
      </c>
      <c r="O37" s="28" t="e">
        <v>#REF!</v>
      </c>
      <c r="P37" s="28" t="e">
        <v>#REF!</v>
      </c>
      <c r="Q37" s="28" t="e">
        <v>#REF!</v>
      </c>
      <c r="R37" s="28" t="e">
        <v>#REF!</v>
      </c>
      <c r="S37" s="28" t="e">
        <v>#REF!</v>
      </c>
      <c r="T37" s="28" t="e">
        <v>#REF!</v>
      </c>
      <c r="U37" s="28" t="e">
        <v>#REF!</v>
      </c>
      <c r="V37" s="28" t="e">
        <v>#REF!</v>
      </c>
      <c r="W37" s="28" t="e">
        <v>#REF!</v>
      </c>
      <c r="X37" s="28" t="e">
        <v>#REF!</v>
      </c>
      <c r="Y37" s="28" t="e">
        <v>#REF!</v>
      </c>
      <c r="Z37" s="28" t="e">
        <v>#REF!</v>
      </c>
      <c r="AA37" s="28">
        <f>IF(AA29=0,0,(AVERAGE(P29:AA29)*AA32)+(AVERAGE(D29:O29)*AA33)+(AVERAGE(C29:C29)*AA34))</f>
        <v>0.1134985364015717</v>
      </c>
      <c r="AB37" s="28">
        <f>IF(AB29=0,0,(AVERAGE(Q29:AB29)*AB32)+(AVERAGE(E29:P29)*AB33)+(AVERAGE(C29:D29)*AB34))</f>
        <v>0.11536627074862338</v>
      </c>
      <c r="AC37" s="28">
        <f>IF(AC29=0,0,(AVERAGE(R29:AC29)*AC32)+(AVERAGE(F29:Q29)*AC33)+(AVERAGE(C29:E29)*AC34))</f>
        <v>0.11661085098941135</v>
      </c>
      <c r="AD37" s="28">
        <f>IF(AD29=0,0,(AVERAGE(S29:AD29)*AD32)+(AVERAGE(G29:R29)*AD33)+(AVERAGE(C29:F29)*AD34))</f>
        <v>0.11780183829825627</v>
      </c>
      <c r="AE37" s="28">
        <f>IF(AE29=0,0,(AVERAGE(T29:AE29)*AE32)+(AVERAGE(H29:S29)*AE33)+(AVERAGE(C29:G29)*AE34))</f>
        <v>0.11756063699471044</v>
      </c>
      <c r="AF37" s="28">
        <f>IF(AF29=0,0,(AVERAGE(U29:AF29)*AF32)+(AVERAGE(I29:T29)*AF33)+(AVERAGE(C29:H29)*AF34))</f>
        <v>0.11701241810078744</v>
      </c>
      <c r="AG37" s="28">
        <f>IF(AG29=0,0,(AVERAGE(V29:AG29)*AG32)+(AVERAGE(J29:U29)*AG33)+(AVERAGE(C29:I29)*AG34))</f>
        <v>0.11653985943113962</v>
      </c>
      <c r="AH37" s="28">
        <f>IF(AH29=0,0,(AVERAGE(W29:AH29)*AH32)+(AVERAGE(K29:V29)*AH33)+(AVERAGE(C29:J29)*AH34))</f>
        <v>0.11618305960117897</v>
      </c>
      <c r="AI37" s="28">
        <f>IF(AI29=0,0,(AVERAGE(X29:AI29)*AI32)+(AVERAGE(L29:W29)*AI33)+(AVERAGE(C29:K29)*AI34))</f>
        <v>0.11602587515628253</v>
      </c>
      <c r="AJ37" s="28">
        <f>IF(AJ29=0,0,(AVERAGE(Y29:AJ29)*AJ32)+(AVERAGE(M29:X29)*AJ33)+(AVERAGE(C29:L29)*AJ34))</f>
        <v>0.11570708950459412</v>
      </c>
      <c r="AK37" s="28">
        <f>IF(AK29=0,0,(AVERAGE(Z29:AK29)*AK32)+(AVERAGE(N29:Y29)*AK33)+(AVERAGE(C29:M29)*AK34))</f>
        <v>0.11534522610497505</v>
      </c>
      <c r="AL37" s="28">
        <f t="shared" ref="AL37" si="103">IF(AL29=0,0,(AVERAGE(AA29:AL29)*AL32)+(AVERAGE(O29:Z29)*AL33)+(AVERAGE(C29:N29)*AL34))</f>
        <v>0.11510070744022297</v>
      </c>
      <c r="AM37" s="28">
        <f t="shared" ref="AM37" si="104">IF(AM29=0,0,(AVERAGE(AB29:AM29)*AM32)+(AVERAGE(P29:AA29)*AM33)+(AVERAGE(D29:O29)*AM34))</f>
        <v>0.115258317609952</v>
      </c>
      <c r="AN37" s="28">
        <f t="shared" ref="AN37" si="105">IF(AN29=0,0,(AVERAGE(AC29:AN29)*AN32)+(AVERAGE(Q29:AB29)*AN33)+(AVERAGE(E29:P29)*AN34))</f>
        <v>0.11530007220446738</v>
      </c>
      <c r="AO37" s="28">
        <f t="shared" ref="AO37" si="106">IF(AO29=0,0,(AVERAGE(AD29:AO29)*AO32)+(AVERAGE(R29:AC29)*AO33)+(AVERAGE(F29:Q29)*AO34))</f>
        <v>0.11508431145689832</v>
      </c>
      <c r="AP37" s="28">
        <f t="shared" ref="AP37" si="107">IF(AP29=0,0,(AVERAGE(AE29:AP29)*AP32)+(AVERAGE(S29:AD29)*AP33)+(AVERAGE(G29:R29)*AP34))</f>
        <v>0.11473226450115381</v>
      </c>
      <c r="AQ37" s="28">
        <v>0.11465302881192485</v>
      </c>
      <c r="AR37" s="28">
        <v>0.11437745341973393</v>
      </c>
      <c r="AS37" s="28">
        <v>0.11438936845288677</v>
      </c>
      <c r="AT37" s="28">
        <v>0.11421809554288601</v>
      </c>
      <c r="AU37" s="28">
        <v>0.11423848795536368</v>
      </c>
      <c r="AV37" s="28">
        <v>0.1141217470091133</v>
      </c>
      <c r="AW37" s="28">
        <v>0.11392110203376346</v>
      </c>
      <c r="AX37" s="28">
        <v>0.11406297643029303</v>
      </c>
      <c r="AY37" s="28">
        <v>0.11413336502774382</v>
      </c>
      <c r="AZ37" s="28">
        <v>0.11415624054409276</v>
      </c>
      <c r="BA37" s="28">
        <v>0.11411524971287754</v>
      </c>
      <c r="BB37" s="28">
        <v>0.11415521778826009</v>
      </c>
      <c r="BC37" s="28">
        <v>0.11393196404793768</v>
      </c>
      <c r="BD37" s="28">
        <v>0.11399096086020645</v>
      </c>
      <c r="BE37" s="28">
        <v>0.1137787478959702</v>
      </c>
      <c r="BF37" s="28">
        <v>0.11379920337921429</v>
      </c>
      <c r="BG37" s="28">
        <v>0.11378445214765816</v>
      </c>
      <c r="BH37" s="28">
        <v>0.11347569534882156</v>
      </c>
      <c r="BI37" s="28">
        <v>0.11337023667262311</v>
      </c>
      <c r="BJ37" s="28">
        <v>0.11329063556336574</v>
      </c>
      <c r="BK37" s="28">
        <v>0.11295364289088691</v>
      </c>
      <c r="BL37" s="28">
        <v>0.11240629365908059</v>
      </c>
      <c r="BM37" s="28">
        <v>0.112387764761436</v>
      </c>
      <c r="BN37" s="28">
        <v>0.11208753751148244</v>
      </c>
      <c r="BO37" s="28">
        <v>0.11222131986989543</v>
      </c>
      <c r="BP37" s="28">
        <v>0.11240699846799591</v>
      </c>
      <c r="BQ37" s="28">
        <v>0.11245940276447286</v>
      </c>
      <c r="BR37" s="28">
        <v>0.11260413471817562</v>
      </c>
      <c r="BS37" s="28">
        <v>0.11285997655282377</v>
      </c>
      <c r="BT37" s="28">
        <v>0.11319248642310445</v>
      </c>
      <c r="BU37" s="28">
        <v>0.11366653313321377</v>
      </c>
      <c r="BV37" s="28">
        <v>0.11376818585053813</v>
      </c>
      <c r="BW37" s="28">
        <v>0.11403965943798303</v>
      </c>
      <c r="BX37" s="28">
        <v>0.11400609856990654</v>
      </c>
      <c r="BY37" s="28">
        <v>0.11389298197826217</v>
      </c>
      <c r="BZ37" s="28">
        <v>0.11374426060744615</v>
      </c>
      <c r="CA37" s="28">
        <v>0.11374098301318536</v>
      </c>
      <c r="CB37" s="28">
        <v>0.11375313728443079</v>
      </c>
      <c r="CC37" s="28">
        <v>0.11374415470779582</v>
      </c>
      <c r="CD37" s="28">
        <v>0.11367465659326248</v>
      </c>
      <c r="CE37" s="28">
        <v>0.11362142606453149</v>
      </c>
      <c r="CF37" s="28">
        <v>0.11361862634423966</v>
      </c>
      <c r="CG37" s="28">
        <v>0.11361793383859772</v>
      </c>
      <c r="CH37" s="28">
        <v>0.11331571958786418</v>
      </c>
      <c r="CI37" s="28">
        <v>0.11322255270294254</v>
      </c>
      <c r="CJ37" s="28">
        <v>0.11323719818015804</v>
      </c>
      <c r="CK37" s="28">
        <v>0.11329188490780076</v>
      </c>
      <c r="CL37" s="28">
        <v>0.11373998710183952</v>
      </c>
      <c r="CM37" s="28">
        <v>0.11379269547633658</v>
      </c>
      <c r="CN37" s="28">
        <v>0.11395782586707488</v>
      </c>
      <c r="CO37" s="28">
        <v>0.11416791771798282</v>
      </c>
      <c r="CP37" s="28">
        <v>0.11434726206421972</v>
      </c>
      <c r="CQ37" s="28">
        <v>0.11480143996486381</v>
      </c>
      <c r="CR37" s="28">
        <v>0.11578904590874067</v>
      </c>
      <c r="CS37" s="28">
        <v>0.11599122434562613</v>
      </c>
      <c r="CT37" s="28">
        <v>0.11614821898584968</v>
      </c>
      <c r="CU37" s="28">
        <v>0.11691969173422638</v>
      </c>
      <c r="CV37" s="28">
        <v>0.11727949058463</v>
      </c>
      <c r="CW37" s="28">
        <v>0.11728328033967728</v>
      </c>
      <c r="CX37" s="28">
        <v>0.11628767311515746</v>
      </c>
      <c r="CY37" s="28">
        <v>0.11723808947146971</v>
      </c>
      <c r="CZ37" s="28">
        <v>0.11729977907838007</v>
      </c>
      <c r="DA37" s="28">
        <v>0.11769137950232329</v>
      </c>
      <c r="DB37" s="28">
        <v>0.11762438313343</v>
      </c>
      <c r="DC37" s="28">
        <v>0.11748504724862549</v>
      </c>
      <c r="DD37" s="28">
        <v>0.11724308760440152</v>
      </c>
      <c r="DE37" s="28">
        <v>0.11712202534935173</v>
      </c>
      <c r="DF37" s="28">
        <v>0.11720831673121176</v>
      </c>
      <c r="DG37" s="28">
        <v>0.11725995211242635</v>
      </c>
    </row>
    <row r="38" spans="1:111" x14ac:dyDescent="0.2">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row>
    <row r="39" spans="1:111" x14ac:dyDescent="0.2">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row>
    <row r="40" spans="1:111" x14ac:dyDescent="0.2">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row>
    <row r="41" spans="1:111" x14ac:dyDescent="0.2">
      <c r="A41" s="8" t="s">
        <v>23</v>
      </c>
      <c r="B41" s="2" t="s">
        <v>24</v>
      </c>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row>
    <row r="42" spans="1:111" x14ac:dyDescent="0.2">
      <c r="B42" s="2"/>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row>
    <row r="43" spans="1:111" x14ac:dyDescent="0.2">
      <c r="A43" t="s">
        <v>57</v>
      </c>
    </row>
    <row r="44" spans="1:111" x14ac:dyDescent="0.2">
      <c r="A44" t="s">
        <v>67</v>
      </c>
    </row>
  </sheetData>
  <phoneticPr fontId="0" type="noConversion"/>
  <pageMargins left="0.2" right="0.22" top="0.65" bottom="0.38" header="0.45" footer="0.2"/>
  <pageSetup scale="10" orientation="landscape" r:id="rId1"/>
  <headerFooter alignWithMargins="0">
    <oddHeader xml:space="preserve">&amp;C&amp;"Arial,Bold"&amp;14&amp;A&amp;R&amp;"Times New Roman,Bold"KyPSC Case No. 2024-00354
AG-DR-02-043 Attachment
Page &amp;P of &amp;N&amp;"Arial,Regular"
</oddHeader>
    <oddFooter>&amp;L&amp;D
&amp;R&amp;"Arial,Bold"&amp;14&amp;KFF0000A1</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omments xmlns="9d26d66c-7442-4f2f-84b5-fd9d62aa5613" xsi:nil="true"/>
    <Witness xmlns="9d26d66c-7442-4f2f-84b5-fd9d62aa5613">
      <UserInfo>
        <DisplayName>i:0#.f|membership|danielle.weatherston@duke-energy.com,#i:0#.f|membership|danielle.weatherston@duke-energy.com,#Danielle.Weatherston@duke-energy.com,#,#Weatherston, Danielle L,#,#41607,#Mgr Accounting II</DisplayName>
        <AccountId>104</AccountId>
        <AccountType/>
      </UserInfo>
    </Witnes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BA58AB4E1B78F4EAC56940670E852C9" ma:contentTypeVersion="7" ma:contentTypeDescription="Create a new document." ma:contentTypeScope="" ma:versionID="600b251c5eb6d0272f50c7e058eb6a26">
  <xsd:schema xmlns:xsd="http://www.w3.org/2001/XMLSchema" xmlns:xs="http://www.w3.org/2001/XMLSchema" xmlns:p="http://schemas.microsoft.com/office/2006/metadata/properties" xmlns:ns2="9d26d66c-7442-4f2f-84b5-fd9d62aa5613" targetNamespace="http://schemas.microsoft.com/office/2006/metadata/properties" ma:root="true" ma:fieldsID="872a615ce27d402cbaaabd509cbed71f" ns2:_="">
    <xsd:import namespace="9d26d66c-7442-4f2f-84b5-fd9d62aa561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Witness"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26d66c-7442-4f2f-84b5-fd9d62aa56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Witness" ma:index="13" nillable="true" ma:displayName="Witness" ma:list="UserInfo" ma:SharePointGroup="0" ma:internalName="Witnes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ments" ma:index="14" nillable="true" ma:displayName="Comments" ma:format="Dropdown" ma:internalName="Comments">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12"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A88FF80A-DCF5-4C25-A416-998B82C008EE}">
  <ds:schemaRefs>
    <ds:schemaRef ds:uri="http://purl.org/dc/elements/1.1/"/>
    <ds:schemaRef ds:uri="9d26d66c-7442-4f2f-84b5-fd9d62aa5613"/>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purl.org/dc/dcmitype/"/>
    <ds:schemaRef ds:uri="http://purl.org/dc/terms/"/>
  </ds:schemaRefs>
</ds:datastoreItem>
</file>

<file path=customXml/itemProps2.xml><?xml version="1.0" encoding="utf-8"?>
<ds:datastoreItem xmlns:ds="http://schemas.openxmlformats.org/officeDocument/2006/customXml" ds:itemID="{51F1FD47-018C-4770-B5E8-6206AF096E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26d66c-7442-4f2f-84b5-fd9d62aa56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3EE80F3-D0D1-4FF8-92FC-1C778453DFBA}">
  <ds:schemaRefs>
    <ds:schemaRef ds:uri="http://schemas.microsoft.com/sharepoint/v3/contenttype/forms"/>
  </ds:schemaRefs>
</ds:datastoreItem>
</file>

<file path=customXml/itemProps4.xml><?xml version="1.0" encoding="utf-8"?>
<ds:datastoreItem xmlns:ds="http://schemas.openxmlformats.org/officeDocument/2006/customXml" ds:itemID="{D1141149-A562-41C0-A4EF-2F468C76F0E6}">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Rate Summaries</vt:lpstr>
      <vt:lpstr>Rate Calculation</vt:lpstr>
      <vt:lpstr>DEK Charge-offs</vt:lpstr>
      <vt:lpstr>DEK Late Charges</vt:lpstr>
      <vt:lpstr>DEK TURNOVER</vt:lpstr>
      <vt:lpstr>'DEK Charge-offs'!Print_Area</vt:lpstr>
      <vt:lpstr>'DEK Late Charges'!Print_Area</vt:lpstr>
      <vt:lpstr>'Rate Calculation'!Print_Area</vt:lpstr>
      <vt:lpstr>'Rate Summaries'!Print_Area</vt:lpstr>
      <vt:lpstr>'DEK Charge-offs'!Print_Titles</vt:lpstr>
      <vt:lpstr>'DEK Late Charges'!Print_Titles</vt:lpstr>
      <vt:lpstr>'DEK TURNOVER'!Print_Titles</vt:lpstr>
      <vt:lpstr>'Rate Calculation'!Print_Titles</vt:lpstr>
      <vt:lpstr>'Rate Summaries'!Print_Titles</vt:lpstr>
    </vt:vector>
  </TitlesOfParts>
  <Company>Cinergy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Jan 2023 - March 2024</dc:subject>
  <dc:creator>Brett Ritchie</dc:creator>
  <cp:lastModifiedBy>Sunderman, Minna</cp:lastModifiedBy>
  <cp:lastPrinted>2025-02-26T18:29:48Z</cp:lastPrinted>
  <dcterms:created xsi:type="dcterms:W3CDTF">2002-02-28T19:16:51Z</dcterms:created>
  <dcterms:modified xsi:type="dcterms:W3CDTF">2025-02-26T18:30:26Z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0x0101005BA58AB4E1B78F4EAC56940670E852C9</vt:lpwstr>
  </property>
</Properties>
</file>