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Testimony/Bruce L. Sailers/"/>
    </mc:Choice>
  </mc:AlternateContent>
  <xr:revisionPtr revIDLastSave="0" documentId="13_ncr:1_{7A59618C-770C-4385-A9B3-4B14B788D101}" xr6:coauthVersionLast="47" xr6:coauthVersionMax="47" xr10:uidLastSave="{00000000-0000-0000-0000-000000000000}"/>
  <bookViews>
    <workbookView xWindow="-120" yWindow="-120" windowWidth="29040" windowHeight="15720" xr2:uid="{742A0A77-F7AC-41AE-B55A-E23DB636F081}"/>
  </bookViews>
  <sheets>
    <sheet name="Conduit Formula" sheetId="1" r:id="rId1"/>
    <sheet name="DEK Deferred Tax Calc - Conduit" sheetId="4" r:id="rId2"/>
  </sheets>
  <definedNames>
    <definedName name="_xlnm.Print_Area" localSheetId="0">'Conduit Formula'!$A$1:$H$64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4" l="1"/>
  <c r="H62" i="1" l="1"/>
  <c r="H19" i="4" l="1"/>
  <c r="F54" i="1" s="1"/>
  <c r="F29" i="1"/>
  <c r="F26" i="1" l="1"/>
  <c r="D26" i="4" l="1"/>
  <c r="D25" i="4"/>
  <c r="D24" i="4"/>
  <c r="F25" i="1" l="1"/>
  <c r="F25" i="4" l="1"/>
  <c r="H25" i="4" s="1"/>
  <c r="F56" i="1" s="1"/>
  <c r="F26" i="4"/>
  <c r="H26" i="4" s="1"/>
  <c r="F57" i="1" s="1"/>
  <c r="F24" i="4" l="1"/>
  <c r="H24" i="4" s="1"/>
  <c r="H28" i="4" l="1"/>
  <c r="F55" i="1"/>
  <c r="F21" i="1" s="1"/>
  <c r="F20" i="1"/>
  <c r="F19" i="1"/>
  <c r="F18" i="1"/>
  <c r="F15" i="1"/>
  <c r="F27" i="1"/>
  <c r="F11" i="1"/>
  <c r="F10" i="1"/>
  <c r="F22" i="1" l="1"/>
  <c r="F23" i="1" s="1"/>
  <c r="F13" i="1"/>
  <c r="F14" i="1"/>
  <c r="F16" i="1" s="1"/>
  <c r="F24" i="1"/>
  <c r="F28" i="1" l="1"/>
  <c r="F30" i="1" l="1"/>
</calcChain>
</file>

<file path=xl/sharedStrings.xml><?xml version="1.0" encoding="utf-8"?>
<sst xmlns="http://schemas.openxmlformats.org/spreadsheetml/2006/main" count="162" uniqueCount="144">
  <si>
    <t>FCC Conduit Rate Formula</t>
  </si>
  <si>
    <t>Amount</t>
  </si>
  <si>
    <t>Accumulated Deferred Taxes</t>
  </si>
  <si>
    <t>Net Conduit Investment</t>
  </si>
  <si>
    <t>Number of Duct Feet of Conduit</t>
  </si>
  <si>
    <t>Net Investment  Per Duct Feet</t>
  </si>
  <si>
    <t xml:space="preserve">  A. Maintenance of Underground Lines </t>
  </si>
  <si>
    <t xml:space="preserve">  B. Total Investment in Conduit</t>
  </si>
  <si>
    <t xml:space="preserve">  C. Depreciation Reserve</t>
  </si>
  <si>
    <t xml:space="preserve">  D. Accumulated Deferred Taxes</t>
  </si>
  <si>
    <t xml:space="preserve">  E. Total Investment in Conduit - Net</t>
  </si>
  <si>
    <t xml:space="preserve">  F. Conduit Maintenance Ratio</t>
  </si>
  <si>
    <t>Depreciation</t>
  </si>
  <si>
    <t>Administration</t>
  </si>
  <si>
    <t>Taxes (Normalized)</t>
  </si>
  <si>
    <t>Rate of Return</t>
  </si>
  <si>
    <t>Total Carrying Charge</t>
  </si>
  <si>
    <t>Allocated Space</t>
  </si>
  <si>
    <t>Input Data</t>
  </si>
  <si>
    <t xml:space="preserve">A. </t>
  </si>
  <si>
    <t>Underground Conduit (Acctg.366)</t>
  </si>
  <si>
    <t>B.</t>
  </si>
  <si>
    <t>1. Accum Depr. for FERC Acctg 366</t>
  </si>
  <si>
    <t>2. Accum Depr. for FERC Acctg 367</t>
  </si>
  <si>
    <t>3. Accum Depr. for FERC Acctg 369</t>
  </si>
  <si>
    <t>C.</t>
  </si>
  <si>
    <t>D.</t>
  </si>
  <si>
    <t>E.</t>
  </si>
  <si>
    <t>F.</t>
  </si>
  <si>
    <t>Underground Conductors &amp; Devices (Acctg. 367)</t>
  </si>
  <si>
    <t>G.</t>
  </si>
  <si>
    <t>Underground Services (Acctg. 369)</t>
  </si>
  <si>
    <t>H.</t>
  </si>
  <si>
    <t xml:space="preserve">Depreciation Rate - Distribution Property </t>
  </si>
  <si>
    <t>I.</t>
  </si>
  <si>
    <t>J.</t>
  </si>
  <si>
    <t>K.</t>
  </si>
  <si>
    <t>Accum. Depr. - Utility Plant in Service</t>
  </si>
  <si>
    <t>L.</t>
  </si>
  <si>
    <t>M.</t>
  </si>
  <si>
    <t xml:space="preserve">N. </t>
  </si>
  <si>
    <t>O.</t>
  </si>
  <si>
    <t>Deferred Tax Calculation Worksheet</t>
  </si>
  <si>
    <t>P.</t>
  </si>
  <si>
    <t>Q.</t>
  </si>
  <si>
    <t>R.</t>
  </si>
  <si>
    <t>S.</t>
  </si>
  <si>
    <t>T.</t>
  </si>
  <si>
    <t>U.</t>
  </si>
  <si>
    <t>V.</t>
  </si>
  <si>
    <t>Number of Inner Ducts per Conduit</t>
  </si>
  <si>
    <t xml:space="preserve"> </t>
  </si>
  <si>
    <t>Reference/Source</t>
  </si>
  <si>
    <t>B1 below</t>
  </si>
  <si>
    <t>Admin. &amp; Gen. Exps. (Acctgs. 920-935)</t>
  </si>
  <si>
    <t>Utility Plant in Service</t>
  </si>
  <si>
    <t>Taxes Other Than Income Taxes (Acctg. 408.1)</t>
  </si>
  <si>
    <t>Income Taxes - Federal (Acctg. 409.1)</t>
  </si>
  <si>
    <t>Income Taxes - Other (Acctg. 409.1)</t>
  </si>
  <si>
    <t>Prov. for Deferred Inc. Taxes (Acctg 410.1)</t>
  </si>
  <si>
    <t>Investment Tax Credit Adj. - Net (Acctg 411.4)</t>
  </si>
  <si>
    <t>B1 + B2 + B3</t>
  </si>
  <si>
    <t>1. Underground Conduit (Acctg.366)</t>
  </si>
  <si>
    <t>2. Underground Conductors &amp; Devices (Acctg. 367)</t>
  </si>
  <si>
    <t>3. Underground Services (Acctg. 369)</t>
  </si>
  <si>
    <t>Conduit Depreciation Reserve</t>
  </si>
  <si>
    <t>Allocation of Accumulated Deferred Tax Balances (Acct. 190)</t>
  </si>
  <si>
    <t>FERC</t>
  </si>
  <si>
    <t>Allocated ADIT</t>
  </si>
  <si>
    <t>Form No. 1</t>
  </si>
  <si>
    <t>Amounts</t>
  </si>
  <si>
    <t>Source</t>
  </si>
  <si>
    <t>($)</t>
  </si>
  <si>
    <t>Accumulated Deferred Taxes (Acct. 190)</t>
  </si>
  <si>
    <t xml:space="preserve">     </t>
  </si>
  <si>
    <t>Accumulated Deferred Taxes for Electric</t>
  </si>
  <si>
    <t>% of Total</t>
  </si>
  <si>
    <t>Electric Plant in Service</t>
  </si>
  <si>
    <t xml:space="preserve">    Total Plant</t>
  </si>
  <si>
    <t>To Plant Accounts 366, 367 and 369</t>
  </si>
  <si>
    <t xml:space="preserve">       Total Accts 366, 367 and 369</t>
  </si>
  <si>
    <t>Conduit</t>
  </si>
  <si>
    <t>Gross Conduit Investment</t>
  </si>
  <si>
    <t>Maintenance</t>
  </si>
  <si>
    <t>X.</t>
  </si>
  <si>
    <t>Y.</t>
  </si>
  <si>
    <t>Z.</t>
  </si>
  <si>
    <t>A + F + G</t>
  </si>
  <si>
    <t>FERC Form 1, Page 207, Line 66, Column g</t>
  </si>
  <si>
    <t>FERC Form 1, Page 207, Line 75, Column g</t>
  </si>
  <si>
    <t>FERC Form 1, Page 207, Line 67, Column g</t>
  </si>
  <si>
    <t>FERC Form 1, Page 322, Line 150, Column b</t>
  </si>
  <si>
    <t>FERC Form 1, Page 207, Line 69, Column g</t>
  </si>
  <si>
    <t>FERC Form 1, Page 323, Line 197, Column b.</t>
  </si>
  <si>
    <t>FERC Form 1, Page 200, Line 8, Column c.</t>
  </si>
  <si>
    <t>FERC Form 1, Page 200, Line 22, Column c.</t>
  </si>
  <si>
    <t>I / (J - K - R)</t>
  </si>
  <si>
    <t>A Below</t>
  </si>
  <si>
    <t>E Below</t>
  </si>
  <si>
    <t>7 * 13 * 14</t>
  </si>
  <si>
    <t>D Below</t>
  </si>
  <si>
    <t>Maintenance of Underground Lines (Acctg. 594)</t>
  </si>
  <si>
    <t>R1 + R2 + R3</t>
  </si>
  <si>
    <t>8A / 8E</t>
  </si>
  <si>
    <t>5 / 6</t>
  </si>
  <si>
    <t>(1 / (1 - 2 - R1)) * H</t>
  </si>
  <si>
    <t>8F  + 9 + 10 + 11 + 12</t>
  </si>
  <si>
    <t>Space Occupied (Ducts)</t>
  </si>
  <si>
    <t>Y / Z</t>
  </si>
  <si>
    <t>ADIT - Accelerated Amort. Property (Acctg. 281)</t>
  </si>
  <si>
    <t>ADIT - Other Property (Acctg. 282)</t>
  </si>
  <si>
    <t>ADIT - Other  (Acctg. 283)</t>
  </si>
  <si>
    <t>R1 Below</t>
  </si>
  <si>
    <t>Accumulated Deferred Inc. Taxes (Acct 190, 281, 282, 283)</t>
  </si>
  <si>
    <t>Formula For Use of Electric Utility Conduit (FCC 01-170 Appendix F-2)</t>
  </si>
  <si>
    <t>1 - 2 + R1</t>
  </si>
  <si>
    <t>(L + M + N + O + P + Q) / (J - K + R)</t>
  </si>
  <si>
    <t>Pg 234, line 8, column c</t>
  </si>
  <si>
    <t>FERC Form 1, Page 115, Line 14, Column g.</t>
  </si>
  <si>
    <t>FERC Form 1, Page 115, Line 15, Column g.</t>
  </si>
  <si>
    <t>FERC Form 1, Page 115, Line 16, Column g.</t>
  </si>
  <si>
    <t>FERC Form 1, Page 115, Line 17, Column g.</t>
  </si>
  <si>
    <t>FERC Form 1, Page 115, Line 18, Column g.</t>
  </si>
  <si>
    <t>FERC Form 1, Page 115, Line 19, Column g.</t>
  </si>
  <si>
    <t>Pg 207, Column G, Line 104</t>
  </si>
  <si>
    <t>Pg 275, Line 2, Column k.</t>
  </si>
  <si>
    <t>Pg 277, Line 9, Column k.</t>
  </si>
  <si>
    <t>Excess ADIT (Acct. 254)</t>
  </si>
  <si>
    <t xml:space="preserve">Gross Investment - Distribution Plant </t>
  </si>
  <si>
    <t>Proposed</t>
  </si>
  <si>
    <t>8B - 8C + 8D</t>
  </si>
  <si>
    <t>Pg 273, Line 8, Column k.</t>
  </si>
  <si>
    <t>Maximum Rate per Foot of Conduit</t>
  </si>
  <si>
    <t>(Less) Prov. for Def. Inc. Taxes - Cr. (Acctg 411.1)</t>
  </si>
  <si>
    <t>Provided by Asset Accounting</t>
  </si>
  <si>
    <t>Rates</t>
  </si>
  <si>
    <t>Conduit Formula Tab</t>
  </si>
  <si>
    <t>Duke Energy Kentucky</t>
  </si>
  <si>
    <t>Accum. Depr. - Distiburion Plant</t>
  </si>
  <si>
    <t>FERC Form 1, Page 219, Line 26, Column c</t>
  </si>
  <si>
    <t>BASED UPON 2023 FERC FORM 1 DATA</t>
  </si>
  <si>
    <t>Source:  Duke Energy Kentucky 2023 FERC Form No. 1</t>
  </si>
  <si>
    <t>Twelve Months Ended December 31, 2023</t>
  </si>
  <si>
    <t>Case No. 2024-00354 - Attachment BLS-6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</si>
</sst>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0.000%"/>
    <numFmt numFmtId="168" formatCode="0.0%"/>
  </numFmts>
  <fonts count="13" x14ac:knownFonts="1">
    <font>
      <sz val="10"/>
      <name val="Arial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0" fillId="0" borderId="0" applyNumberFormat="0" applyFont="0" applyFill="0" applyBorder="0" applyAlignment="0" applyProtection="0">
      <alignment horizontal="left"/>
    </xf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6" fillId="0" borderId="0"/>
  </cellStyleXfs>
  <cellXfs count="67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5" fontId="5" fillId="0" borderId="0" xfId="2" applyNumberFormat="1" applyFont="1" applyFill="1"/>
    <xf numFmtId="5" fontId="5" fillId="0" borderId="0" xfId="2" applyNumberFormat="1" applyFont="1"/>
    <xf numFmtId="164" fontId="5" fillId="0" borderId="0" xfId="0" applyNumberFormat="1" applyFont="1"/>
    <xf numFmtId="5" fontId="5" fillId="0" borderId="0" xfId="0" applyNumberFormat="1" applyFont="1" applyAlignment="1">
      <alignment horizontal="right"/>
    </xf>
    <xf numFmtId="165" fontId="5" fillId="0" borderId="0" xfId="1" applyNumberFormat="1" applyFont="1" applyFill="1"/>
    <xf numFmtId="165" fontId="5" fillId="0" borderId="0" xfId="1" applyNumberFormat="1" applyFont="1"/>
    <xf numFmtId="7" fontId="5" fillId="0" borderId="0" xfId="2" applyNumberFormat="1" applyFont="1" applyFill="1"/>
    <xf numFmtId="7" fontId="5" fillId="0" borderId="0" xfId="2" applyNumberFormat="1" applyFont="1"/>
    <xf numFmtId="10" fontId="5" fillId="0" borderId="0" xfId="0" applyNumberFormat="1" applyFont="1"/>
    <xf numFmtId="166" fontId="0" fillId="0" borderId="0" xfId="0" applyNumberFormat="1"/>
    <xf numFmtId="10" fontId="5" fillId="0" borderId="0" xfId="3" applyNumberFormat="1" applyFont="1" applyFill="1"/>
    <xf numFmtId="164" fontId="5" fillId="0" borderId="0" xfId="3" applyNumberFormat="1" applyFont="1" applyFill="1"/>
    <xf numFmtId="164" fontId="0" fillId="0" borderId="0" xfId="0" applyNumberFormat="1"/>
    <xf numFmtId="9" fontId="0" fillId="0" borderId="0" xfId="3" applyFont="1"/>
    <xf numFmtId="7" fontId="7" fillId="0" borderId="0" xfId="2" applyNumberFormat="1" applyFont="1" applyFill="1"/>
    <xf numFmtId="3" fontId="5" fillId="0" borderId="0" xfId="0" applyNumberFormat="1" applyFont="1"/>
    <xf numFmtId="0" fontId="7" fillId="0" borderId="0" xfId="0" applyFont="1"/>
    <xf numFmtId="0" fontId="9" fillId="0" borderId="0" xfId="0" applyFont="1"/>
    <xf numFmtId="5" fontId="5" fillId="0" borderId="0" xfId="0" applyNumberFormat="1" applyFont="1"/>
    <xf numFmtId="0" fontId="5" fillId="0" borderId="0" xfId="0" applyFont="1" applyAlignment="1">
      <alignment horizontal="left"/>
    </xf>
    <xf numFmtId="165" fontId="5" fillId="0" borderId="0" xfId="1" applyNumberFormat="1" applyFont="1" applyBorder="1"/>
    <xf numFmtId="2" fontId="5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5" fontId="5" fillId="0" borderId="0" xfId="0" applyNumberFormat="1" applyFont="1" applyAlignment="1">
      <alignment horizontal="left"/>
    </xf>
    <xf numFmtId="0" fontId="6" fillId="0" borderId="0" xfId="8"/>
    <xf numFmtId="0" fontId="6" fillId="0" borderId="0" xfId="8" applyAlignment="1">
      <alignment horizontal="center"/>
    </xf>
    <xf numFmtId="0" fontId="6" fillId="0" borderId="2" xfId="8" applyBorder="1" applyAlignment="1">
      <alignment horizontal="center"/>
    </xf>
    <xf numFmtId="0" fontId="6" fillId="0" borderId="0" xfId="8" quotePrefix="1" applyAlignment="1">
      <alignment horizontal="center"/>
    </xf>
    <xf numFmtId="165" fontId="0" fillId="0" borderId="0" xfId="1" applyNumberFormat="1" applyFont="1"/>
    <xf numFmtId="44" fontId="0" fillId="0" borderId="0" xfId="2" quotePrefix="1" applyFont="1" applyAlignment="1">
      <alignment horizontal="center"/>
    </xf>
    <xf numFmtId="10" fontId="0" fillId="0" borderId="2" xfId="3" applyNumberFormat="1" applyFont="1" applyBorder="1"/>
    <xf numFmtId="0" fontId="5" fillId="0" borderId="0" xfId="8" applyFont="1"/>
    <xf numFmtId="165" fontId="0" fillId="0" borderId="0" xfId="1" applyNumberFormat="1" applyFont="1" applyFill="1"/>
    <xf numFmtId="10" fontId="0" fillId="0" borderId="0" xfId="3" applyNumberFormat="1" applyFont="1"/>
    <xf numFmtId="165" fontId="0" fillId="0" borderId="2" xfId="1" applyNumberFormat="1" applyFont="1" applyFill="1" applyBorder="1"/>
    <xf numFmtId="0" fontId="5" fillId="0" borderId="0" xfId="0" quotePrefix="1" applyFont="1" applyAlignment="1">
      <alignment horizontal="left"/>
    </xf>
    <xf numFmtId="10" fontId="5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left"/>
    </xf>
    <xf numFmtId="5" fontId="5" fillId="0" borderId="0" xfId="0" quotePrefix="1" applyNumberFormat="1" applyFont="1" applyAlignment="1">
      <alignment horizontal="left"/>
    </xf>
    <xf numFmtId="5" fontId="0" fillId="0" borderId="0" xfId="1" applyNumberFormat="1" applyFont="1" applyFill="1"/>
    <xf numFmtId="5" fontId="6" fillId="0" borderId="3" xfId="8" applyNumberFormat="1" applyBorder="1"/>
    <xf numFmtId="5" fontId="0" fillId="0" borderId="3" xfId="1" applyNumberFormat="1" applyFont="1" applyBorder="1"/>
    <xf numFmtId="0" fontId="6" fillId="0" borderId="0" xfId="8" quotePrefix="1" applyAlignment="1">
      <alignment horizontal="left"/>
    </xf>
    <xf numFmtId="2" fontId="12" fillId="0" borderId="0" xfId="0" applyNumberFormat="1" applyFont="1"/>
    <xf numFmtId="0" fontId="6" fillId="0" borderId="0" xfId="8" applyAlignment="1">
      <alignment horizontal="left"/>
    </xf>
    <xf numFmtId="5" fontId="0" fillId="0" borderId="2" xfId="1" applyNumberFormat="1" applyFont="1" applyFill="1" applyBorder="1"/>
    <xf numFmtId="9" fontId="5" fillId="0" borderId="0" xfId="0" applyNumberFormat="1" applyFont="1"/>
    <xf numFmtId="7" fontId="2" fillId="0" borderId="0" xfId="2" applyNumberFormat="1" applyFont="1" applyFill="1"/>
    <xf numFmtId="43" fontId="5" fillId="0" borderId="0" xfId="1" applyFont="1" applyFill="1"/>
    <xf numFmtId="0" fontId="4" fillId="0" borderId="0" xfId="8" quotePrefix="1" applyFont="1" applyAlignment="1">
      <alignment horizontal="left"/>
    </xf>
    <xf numFmtId="165" fontId="0" fillId="0" borderId="0" xfId="1" applyNumberFormat="1" applyFont="1" applyFill="1" applyBorder="1"/>
    <xf numFmtId="167" fontId="5" fillId="0" borderId="0" xfId="0" applyNumberFormat="1" applyFont="1"/>
    <xf numFmtId="168" fontId="5" fillId="0" borderId="0" xfId="3" applyNumberFormat="1" applyFont="1"/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3" xfId="8" xr:uid="{00000000-0005-0000-0000-000004000000}"/>
    <cellStyle name="Percent" xfId="3" builtinId="5"/>
    <cellStyle name="PSChar" xfId="5" xr:uid="{00000000-0005-0000-0000-000006000000}"/>
    <cellStyle name="PSDec" xfId="6" xr:uid="{00000000-0005-0000-0000-000007000000}"/>
    <cellStyle name="PSHeading" xfId="7" xr:uid="{00000000-0005-0000-0000-000008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6"/>
  <sheetViews>
    <sheetView tabSelected="1" view="pageLayout" zoomScaleNormal="150" workbookViewId="0">
      <selection sqref="A1:H1"/>
    </sheetView>
  </sheetViews>
  <sheetFormatPr defaultRowHeight="12.75" x14ac:dyDescent="0.2"/>
  <cols>
    <col min="1" max="1" width="4.28515625" customWidth="1"/>
    <col min="2" max="2" width="13" customWidth="1"/>
    <col min="5" max="5" width="10.42578125" customWidth="1"/>
    <col min="6" max="6" width="14.140625" customWidth="1"/>
    <col min="7" max="7" width="7.140625" customWidth="1"/>
    <col min="8" max="8" width="31.28515625" customWidth="1"/>
    <col min="9" max="9" width="5.5703125" customWidth="1"/>
    <col min="10" max="10" width="12.140625" customWidth="1"/>
    <col min="12" max="12" width="12.7109375" customWidth="1"/>
    <col min="13" max="13" width="14.140625" customWidth="1"/>
    <col min="14" max="14" width="13.85546875" bestFit="1" customWidth="1"/>
  </cols>
  <sheetData>
    <row r="1" spans="1:13" x14ac:dyDescent="0.2">
      <c r="A1" s="65" t="s">
        <v>137</v>
      </c>
      <c r="B1" s="66"/>
      <c r="C1" s="66"/>
      <c r="D1" s="66"/>
      <c r="E1" s="66"/>
      <c r="F1" s="66"/>
      <c r="G1" s="66"/>
      <c r="H1" s="66"/>
      <c r="I1" s="31"/>
      <c r="J1" s="31"/>
      <c r="K1" s="31"/>
      <c r="L1" s="31"/>
      <c r="M1" s="31"/>
    </row>
    <row r="2" spans="1:13" x14ac:dyDescent="0.2">
      <c r="A2" s="1" t="s">
        <v>143</v>
      </c>
      <c r="B2" s="1"/>
      <c r="C2" s="1"/>
      <c r="D2" s="1"/>
      <c r="E2" s="1"/>
      <c r="F2" s="1"/>
      <c r="G2" s="1"/>
      <c r="H2" s="1"/>
    </row>
    <row r="3" spans="1:13" x14ac:dyDescent="0.2">
      <c r="A3" s="62" t="s">
        <v>114</v>
      </c>
      <c r="B3" s="62"/>
      <c r="C3" s="62"/>
      <c r="D3" s="62"/>
      <c r="E3" s="62"/>
      <c r="F3" s="62"/>
      <c r="G3" s="62"/>
      <c r="H3" s="62"/>
      <c r="I3" s="30"/>
      <c r="J3" s="1"/>
      <c r="K3" s="1"/>
      <c r="L3" s="1"/>
      <c r="M3" s="1"/>
    </row>
    <row r="4" spans="1:13" x14ac:dyDescent="0.2">
      <c r="A4" s="63" t="s">
        <v>140</v>
      </c>
      <c r="B4" s="64"/>
      <c r="C4" s="64"/>
      <c r="D4" s="64"/>
      <c r="E4" s="64"/>
      <c r="F4" s="64"/>
      <c r="G4" s="64"/>
      <c r="H4" s="64"/>
      <c r="I4" s="30"/>
      <c r="J4" s="1"/>
      <c r="K4" s="1"/>
      <c r="L4" s="1"/>
      <c r="M4" s="1"/>
    </row>
    <row r="5" spans="1:13" x14ac:dyDescent="0.2">
      <c r="I5" s="30"/>
      <c r="J5" s="1"/>
      <c r="K5" s="1"/>
      <c r="L5" s="1"/>
      <c r="M5" s="1"/>
    </row>
    <row r="7" spans="1:13" x14ac:dyDescent="0.2">
      <c r="F7" s="2"/>
      <c r="G7" s="3"/>
      <c r="H7" s="2"/>
    </row>
    <row r="8" spans="1:13" x14ac:dyDescent="0.2">
      <c r="B8" s="4" t="s">
        <v>0</v>
      </c>
      <c r="F8" s="4" t="s">
        <v>1</v>
      </c>
      <c r="H8" s="4" t="s">
        <v>52</v>
      </c>
      <c r="J8" s="4"/>
      <c r="M8" s="4"/>
    </row>
    <row r="10" spans="1:13" x14ac:dyDescent="0.2">
      <c r="A10" s="5">
        <v>1</v>
      </c>
      <c r="B10" s="6" t="s">
        <v>82</v>
      </c>
      <c r="C10" s="6"/>
      <c r="D10" s="6"/>
      <c r="E10" s="6"/>
      <c r="F10" s="7">
        <f>F34</f>
        <v>48115495</v>
      </c>
      <c r="G10" s="6"/>
      <c r="H10" s="6" t="s">
        <v>97</v>
      </c>
      <c r="I10" s="6"/>
      <c r="J10" s="6"/>
      <c r="K10" s="6"/>
      <c r="M10" s="8"/>
    </row>
    <row r="11" spans="1:13" x14ac:dyDescent="0.2">
      <c r="A11" s="5">
        <v>2</v>
      </c>
      <c r="B11" s="6" t="s">
        <v>65</v>
      </c>
      <c r="C11" s="6"/>
      <c r="D11" s="6"/>
      <c r="E11" s="6"/>
      <c r="F11" s="25">
        <f>F36</f>
        <v>8913084.9100000001</v>
      </c>
      <c r="G11" s="6"/>
      <c r="H11" s="6" t="s">
        <v>53</v>
      </c>
      <c r="I11" s="6"/>
      <c r="J11" s="6"/>
      <c r="K11" s="6"/>
      <c r="M11" s="9"/>
    </row>
    <row r="12" spans="1:13" x14ac:dyDescent="0.2">
      <c r="A12" s="5">
        <v>3</v>
      </c>
      <c r="B12" s="6"/>
      <c r="C12" s="6"/>
      <c r="D12" s="6"/>
      <c r="E12" s="6"/>
      <c r="F12" s="9"/>
      <c r="G12" s="6"/>
      <c r="H12" s="9"/>
      <c r="I12" s="6"/>
      <c r="J12" s="6"/>
      <c r="K12" s="6"/>
      <c r="M12" s="9"/>
    </row>
    <row r="13" spans="1:13" x14ac:dyDescent="0.2">
      <c r="A13" s="5">
        <v>4</v>
      </c>
      <c r="B13" s="6" t="s">
        <v>2</v>
      </c>
      <c r="C13" s="6"/>
      <c r="D13" s="6"/>
      <c r="E13" s="6"/>
      <c r="F13" s="10">
        <f>F55</f>
        <v>-5467412</v>
      </c>
      <c r="G13" s="6"/>
      <c r="H13" s="32" t="s">
        <v>112</v>
      </c>
      <c r="I13" s="6"/>
      <c r="J13" s="6"/>
      <c r="K13" s="6"/>
      <c r="M13" s="10"/>
    </row>
    <row r="14" spans="1:13" x14ac:dyDescent="0.2">
      <c r="A14" s="5">
        <v>5</v>
      </c>
      <c r="B14" s="6" t="s">
        <v>3</v>
      </c>
      <c r="C14" s="6"/>
      <c r="D14" s="6"/>
      <c r="E14" s="6"/>
      <c r="F14" s="9">
        <f>F10-F11+F55</f>
        <v>33734998.090000004</v>
      </c>
      <c r="G14" s="6"/>
      <c r="H14" s="46" t="s">
        <v>115</v>
      </c>
      <c r="I14" s="6"/>
      <c r="J14" s="6"/>
      <c r="K14" s="6"/>
      <c r="M14" s="9"/>
    </row>
    <row r="15" spans="1:13" x14ac:dyDescent="0.2">
      <c r="A15" s="5">
        <v>6</v>
      </c>
      <c r="B15" s="6" t="s">
        <v>4</v>
      </c>
      <c r="C15" s="6"/>
      <c r="D15" s="6"/>
      <c r="E15" s="6"/>
      <c r="F15" s="11">
        <f>F40</f>
        <v>3447008</v>
      </c>
      <c r="G15" s="6"/>
      <c r="H15" s="32" t="s">
        <v>100</v>
      </c>
      <c r="I15" s="6"/>
      <c r="J15" s="6"/>
      <c r="K15" s="6"/>
      <c r="M15" s="12"/>
    </row>
    <row r="16" spans="1:13" x14ac:dyDescent="0.2">
      <c r="A16" s="5">
        <v>7</v>
      </c>
      <c r="B16" s="6" t="s">
        <v>5</v>
      </c>
      <c r="C16" s="6"/>
      <c r="D16" s="6"/>
      <c r="E16" s="6"/>
      <c r="F16" s="13">
        <f>F14/F15</f>
        <v>9.78674783754491</v>
      </c>
      <c r="G16" s="6"/>
      <c r="H16" s="47" t="s">
        <v>104</v>
      </c>
      <c r="I16" s="6"/>
      <c r="J16" s="6"/>
      <c r="K16" s="6"/>
      <c r="M16" s="14"/>
    </row>
    <row r="17" spans="1:15" x14ac:dyDescent="0.2">
      <c r="A17" s="5">
        <v>8</v>
      </c>
      <c r="B17" s="6" t="s">
        <v>83</v>
      </c>
      <c r="C17" s="6"/>
      <c r="D17" s="6"/>
      <c r="E17" s="6"/>
      <c r="F17" s="6"/>
      <c r="G17" s="6"/>
      <c r="H17" s="6"/>
      <c r="I17" s="6"/>
      <c r="J17" s="6"/>
      <c r="K17" s="6"/>
      <c r="M17" s="6"/>
    </row>
    <row r="18" spans="1:15" x14ac:dyDescent="0.2">
      <c r="A18" s="5"/>
      <c r="B18" s="6" t="s">
        <v>6</v>
      </c>
      <c r="C18" s="6"/>
      <c r="D18" s="6"/>
      <c r="E18" s="6"/>
      <c r="F18" s="9">
        <f>F41</f>
        <v>280733</v>
      </c>
      <c r="G18" s="6"/>
      <c r="H18" s="9" t="s">
        <v>98</v>
      </c>
      <c r="I18" s="6"/>
      <c r="J18" s="6"/>
      <c r="K18" s="6"/>
      <c r="M18" s="9"/>
    </row>
    <row r="19" spans="1:15" x14ac:dyDescent="0.2">
      <c r="A19" s="5"/>
      <c r="B19" s="6" t="s">
        <v>7</v>
      </c>
      <c r="C19" s="6"/>
      <c r="D19" s="6"/>
      <c r="E19" s="6"/>
      <c r="F19" s="9">
        <f>F34+F42+F43</f>
        <v>165871541</v>
      </c>
      <c r="G19" s="6"/>
      <c r="H19" s="46" t="s">
        <v>87</v>
      </c>
      <c r="I19" s="6"/>
      <c r="J19" s="6"/>
      <c r="K19" s="6"/>
      <c r="M19" s="9"/>
    </row>
    <row r="20" spans="1:15" x14ac:dyDescent="0.2">
      <c r="A20" s="5"/>
      <c r="B20" s="6" t="s">
        <v>8</v>
      </c>
      <c r="C20" s="6"/>
      <c r="D20" s="6"/>
      <c r="E20" s="6"/>
      <c r="F20" s="9">
        <f>F36+F37+F38</f>
        <v>40198453.980000004</v>
      </c>
      <c r="G20" s="6"/>
      <c r="H20" s="9" t="s">
        <v>61</v>
      </c>
      <c r="I20" s="6"/>
      <c r="J20" s="6"/>
      <c r="K20" s="6"/>
      <c r="M20" s="9"/>
    </row>
    <row r="21" spans="1:15" x14ac:dyDescent="0.2">
      <c r="A21" s="5"/>
      <c r="B21" s="6" t="s">
        <v>9</v>
      </c>
      <c r="C21" s="6"/>
      <c r="D21" s="6"/>
      <c r="E21" s="6"/>
      <c r="F21" s="9">
        <f>+F55+F56+F57</f>
        <v>-18873084</v>
      </c>
      <c r="G21" s="6"/>
      <c r="H21" s="9" t="s">
        <v>102</v>
      </c>
      <c r="I21" s="6"/>
      <c r="J21" s="6"/>
      <c r="K21" s="6"/>
      <c r="M21" s="9"/>
    </row>
    <row r="22" spans="1:15" x14ac:dyDescent="0.2">
      <c r="A22" s="5"/>
      <c r="B22" s="6" t="s">
        <v>10</v>
      </c>
      <c r="C22" s="6"/>
      <c r="D22" s="6"/>
      <c r="E22" s="6"/>
      <c r="F22" s="9">
        <f>F19-F20+F21</f>
        <v>106800003.02</v>
      </c>
      <c r="G22" s="6"/>
      <c r="H22" s="46" t="s">
        <v>130</v>
      </c>
      <c r="I22" s="6"/>
      <c r="J22" s="6"/>
      <c r="K22" s="6"/>
      <c r="M22" s="9"/>
    </row>
    <row r="23" spans="1:15" x14ac:dyDescent="0.2">
      <c r="A23" s="5"/>
      <c r="B23" s="6" t="s">
        <v>11</v>
      </c>
      <c r="C23" s="6"/>
      <c r="D23" s="6"/>
      <c r="E23" s="6"/>
      <c r="F23" s="15">
        <f>F18/F22</f>
        <v>2.6285860679931654E-3</v>
      </c>
      <c r="G23" s="6"/>
      <c r="H23" s="45" t="s">
        <v>103</v>
      </c>
      <c r="I23" s="6"/>
      <c r="J23" s="6"/>
      <c r="K23" s="6"/>
      <c r="M23" s="15"/>
    </row>
    <row r="24" spans="1:15" x14ac:dyDescent="0.2">
      <c r="A24" s="5">
        <v>9</v>
      </c>
      <c r="B24" s="6" t="s">
        <v>12</v>
      </c>
      <c r="C24" s="6"/>
      <c r="D24" s="6"/>
      <c r="E24" s="6"/>
      <c r="F24" s="15">
        <f>(F10/(F10-F11-F55))*F44</f>
        <v>2.4450998132462005E-2</v>
      </c>
      <c r="G24" s="6"/>
      <c r="H24" s="45" t="s">
        <v>105</v>
      </c>
      <c r="I24" s="6"/>
      <c r="J24" s="6"/>
      <c r="K24" s="44"/>
      <c r="M24" s="15"/>
    </row>
    <row r="25" spans="1:15" x14ac:dyDescent="0.2">
      <c r="A25" s="5">
        <v>10</v>
      </c>
      <c r="B25" s="6" t="s">
        <v>13</v>
      </c>
      <c r="C25" s="6"/>
      <c r="D25" s="6"/>
      <c r="E25" s="6"/>
      <c r="F25" s="15">
        <f>ROUND(F45/(F46-F47-F54),4)</f>
        <v>1.41E-2</v>
      </c>
      <c r="G25" s="6"/>
      <c r="H25" s="44" t="s">
        <v>96</v>
      </c>
      <c r="I25" s="6"/>
      <c r="J25" s="6"/>
      <c r="K25" s="6"/>
      <c r="M25" s="15"/>
      <c r="N25" s="16"/>
    </row>
    <row r="26" spans="1:15" x14ac:dyDescent="0.2">
      <c r="A26" s="5">
        <v>11</v>
      </c>
      <c r="B26" s="6" t="s">
        <v>14</v>
      </c>
      <c r="C26" s="6"/>
      <c r="D26" s="6"/>
      <c r="E26" s="6"/>
      <c r="F26" s="17">
        <f>SUM(F48:F53)/(F46-F47+F54)</f>
        <v>1.6891194177529389E-2</v>
      </c>
      <c r="G26" s="6"/>
      <c r="H26" s="44" t="s">
        <v>116</v>
      </c>
      <c r="I26" s="6"/>
      <c r="J26" s="6"/>
      <c r="K26" s="6"/>
      <c r="M26" s="18"/>
      <c r="N26" s="19"/>
      <c r="O26" s="20"/>
    </row>
    <row r="27" spans="1:15" x14ac:dyDescent="0.2">
      <c r="A27" s="5">
        <v>12</v>
      </c>
      <c r="B27" s="6" t="s">
        <v>15</v>
      </c>
      <c r="C27" s="6"/>
      <c r="D27" s="6"/>
      <c r="E27" s="6"/>
      <c r="F27" s="15">
        <f>F62</f>
        <v>7.9680000000000001E-2</v>
      </c>
      <c r="G27" s="6"/>
      <c r="H27" s="6" t="s">
        <v>129</v>
      </c>
      <c r="I27" s="6"/>
      <c r="J27" s="6"/>
      <c r="K27" s="6"/>
      <c r="M27" s="15"/>
    </row>
    <row r="28" spans="1:15" x14ac:dyDescent="0.2">
      <c r="A28" s="5">
        <v>13</v>
      </c>
      <c r="B28" s="6" t="s">
        <v>16</v>
      </c>
      <c r="C28" s="6"/>
      <c r="D28" s="6"/>
      <c r="E28" s="6"/>
      <c r="F28" s="15">
        <f>SUM(F23:F27)</f>
        <v>0.13775077837798455</v>
      </c>
      <c r="G28" s="6"/>
      <c r="H28" s="45" t="s">
        <v>106</v>
      </c>
      <c r="I28" s="6"/>
      <c r="J28" s="6"/>
      <c r="K28" s="6"/>
      <c r="M28" s="15"/>
    </row>
    <row r="29" spans="1:15" x14ac:dyDescent="0.2">
      <c r="A29" s="5">
        <v>14</v>
      </c>
      <c r="B29" s="6" t="s">
        <v>17</v>
      </c>
      <c r="C29" s="6"/>
      <c r="D29" s="6"/>
      <c r="E29" s="6"/>
      <c r="F29" s="55">
        <f>F63/F64</f>
        <v>0.5</v>
      </c>
      <c r="G29" s="6"/>
      <c r="H29" s="15" t="s">
        <v>108</v>
      </c>
      <c r="I29" s="6"/>
      <c r="J29" s="6"/>
      <c r="K29" s="6"/>
      <c r="M29" s="15"/>
    </row>
    <row r="30" spans="1:15" x14ac:dyDescent="0.2">
      <c r="A30" s="5">
        <v>15</v>
      </c>
      <c r="B30" s="6" t="s">
        <v>132</v>
      </c>
      <c r="C30" s="6"/>
      <c r="D30" s="6"/>
      <c r="E30" s="6"/>
      <c r="F30" s="56">
        <f>(F16*F28)*F29</f>
        <v>0.67406606620543419</v>
      </c>
      <c r="G30" s="6"/>
      <c r="H30" s="44" t="s">
        <v>99</v>
      </c>
      <c r="I30" s="6"/>
      <c r="J30" s="61"/>
      <c r="K30" s="6"/>
      <c r="M30" s="21"/>
    </row>
    <row r="31" spans="1:15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M31" s="6"/>
    </row>
    <row r="32" spans="1:15" x14ac:dyDescent="0.2">
      <c r="A32" s="5"/>
      <c r="B32" s="4" t="s">
        <v>18</v>
      </c>
      <c r="C32" s="6"/>
      <c r="D32" s="6"/>
      <c r="E32" s="6"/>
      <c r="F32" s="6"/>
      <c r="G32" s="6"/>
      <c r="H32" s="6"/>
      <c r="I32" s="6"/>
      <c r="J32" s="6"/>
      <c r="K32" s="6"/>
      <c r="M32" s="6"/>
    </row>
    <row r="33" spans="1:14" x14ac:dyDescent="0.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M33" s="6"/>
    </row>
    <row r="34" spans="1:14" x14ac:dyDescent="0.2">
      <c r="A34" s="5" t="s">
        <v>19</v>
      </c>
      <c r="B34" s="6" t="s">
        <v>20</v>
      </c>
      <c r="C34" s="6"/>
      <c r="D34" s="6"/>
      <c r="E34" s="6"/>
      <c r="F34" s="10">
        <v>48115495</v>
      </c>
      <c r="G34" s="6"/>
      <c r="H34" s="46" t="s">
        <v>88</v>
      </c>
      <c r="I34" s="6"/>
      <c r="J34" s="6"/>
      <c r="K34" s="6"/>
      <c r="M34" s="9"/>
      <c r="N34" s="19"/>
    </row>
    <row r="35" spans="1:14" x14ac:dyDescent="0.2">
      <c r="A35" s="5" t="s">
        <v>21</v>
      </c>
      <c r="B35" s="6" t="s">
        <v>138</v>
      </c>
      <c r="C35" s="6"/>
      <c r="D35" s="6"/>
      <c r="E35" s="6"/>
      <c r="F35" s="10">
        <v>160353451</v>
      </c>
      <c r="G35" s="6"/>
      <c r="H35" s="46" t="s">
        <v>139</v>
      </c>
      <c r="I35" s="6"/>
      <c r="J35" s="6"/>
      <c r="K35" s="6"/>
      <c r="M35" s="9"/>
      <c r="N35" s="19"/>
    </row>
    <row r="36" spans="1:14" x14ac:dyDescent="0.2">
      <c r="B36" s="6" t="s">
        <v>22</v>
      </c>
      <c r="C36" s="6"/>
      <c r="D36" s="6"/>
      <c r="E36" s="25"/>
      <c r="F36" s="10">
        <v>8913084.9100000001</v>
      </c>
      <c r="G36" s="6"/>
      <c r="H36" s="6" t="s">
        <v>134</v>
      </c>
      <c r="I36" s="6"/>
      <c r="J36" s="9"/>
      <c r="K36" s="6"/>
      <c r="L36" s="9"/>
      <c r="M36" s="9"/>
      <c r="N36" s="19"/>
    </row>
    <row r="37" spans="1:14" x14ac:dyDescent="0.2">
      <c r="A37" s="5"/>
      <c r="B37" s="6" t="s">
        <v>23</v>
      </c>
      <c r="C37" s="6"/>
      <c r="D37" s="6"/>
      <c r="E37" s="25"/>
      <c r="F37" s="10">
        <v>20714256.82</v>
      </c>
      <c r="G37" s="6"/>
      <c r="H37" s="6" t="s">
        <v>134</v>
      </c>
      <c r="I37" s="6"/>
      <c r="J37" s="9"/>
      <c r="K37" s="6"/>
      <c r="L37" s="9"/>
      <c r="M37" s="9"/>
      <c r="N37" s="19"/>
    </row>
    <row r="38" spans="1:14" x14ac:dyDescent="0.2">
      <c r="A38" s="5"/>
      <c r="B38" s="6" t="s">
        <v>24</v>
      </c>
      <c r="C38" s="6"/>
      <c r="D38" s="6"/>
      <c r="E38" s="25"/>
      <c r="F38" s="10">
        <v>10571112.25</v>
      </c>
      <c r="G38" s="6"/>
      <c r="H38" s="6" t="s">
        <v>134</v>
      </c>
      <c r="I38" s="6"/>
      <c r="J38" s="9"/>
      <c r="K38" s="6"/>
      <c r="L38" s="9"/>
      <c r="M38" s="9"/>
      <c r="N38" s="19"/>
    </row>
    <row r="39" spans="1:14" x14ac:dyDescent="0.2">
      <c r="A39" s="5" t="s">
        <v>25</v>
      </c>
      <c r="B39" s="6" t="s">
        <v>128</v>
      </c>
      <c r="C39" s="6"/>
      <c r="D39" s="6"/>
      <c r="E39" s="6"/>
      <c r="F39" s="10">
        <v>690968816</v>
      </c>
      <c r="G39" s="6"/>
      <c r="H39" s="46" t="s">
        <v>89</v>
      </c>
      <c r="I39" s="6"/>
      <c r="J39" s="6"/>
      <c r="K39" s="6"/>
      <c r="M39" s="9"/>
      <c r="N39" s="19"/>
    </row>
    <row r="40" spans="1:14" x14ac:dyDescent="0.2">
      <c r="A40" s="5" t="s">
        <v>26</v>
      </c>
      <c r="B40" s="6" t="s">
        <v>4</v>
      </c>
      <c r="C40" s="6"/>
      <c r="D40" s="6"/>
      <c r="E40" s="6"/>
      <c r="F40" s="11">
        <v>3447008</v>
      </c>
      <c r="G40" s="6"/>
      <c r="H40" s="6" t="s">
        <v>134</v>
      </c>
      <c r="I40" s="6"/>
      <c r="J40" s="6"/>
      <c r="K40" s="6"/>
      <c r="M40" s="11"/>
      <c r="N40" s="19"/>
    </row>
    <row r="41" spans="1:14" x14ac:dyDescent="0.2">
      <c r="A41" s="5" t="s">
        <v>27</v>
      </c>
      <c r="B41" s="6" t="s">
        <v>101</v>
      </c>
      <c r="C41" s="6"/>
      <c r="D41" s="6"/>
      <c r="E41" s="6"/>
      <c r="F41" s="10">
        <v>280733</v>
      </c>
      <c r="G41" s="6"/>
      <c r="H41" s="44" t="s">
        <v>91</v>
      </c>
      <c r="I41" s="6"/>
      <c r="K41" s="6"/>
      <c r="M41" s="9"/>
      <c r="N41" s="19"/>
    </row>
    <row r="42" spans="1:14" x14ac:dyDescent="0.2">
      <c r="A42" s="5" t="s">
        <v>28</v>
      </c>
      <c r="B42" s="6" t="s">
        <v>29</v>
      </c>
      <c r="C42" s="6"/>
      <c r="D42" s="6"/>
      <c r="E42" s="6"/>
      <c r="F42" s="10">
        <v>95355408</v>
      </c>
      <c r="G42" s="6"/>
      <c r="H42" s="46" t="s">
        <v>90</v>
      </c>
      <c r="I42" s="6"/>
      <c r="J42" s="6"/>
      <c r="K42" s="6"/>
      <c r="M42" s="22"/>
      <c r="N42" s="19"/>
    </row>
    <row r="43" spans="1:14" x14ac:dyDescent="0.2">
      <c r="A43" s="5" t="s">
        <v>30</v>
      </c>
      <c r="B43" s="6" t="s">
        <v>31</v>
      </c>
      <c r="C43" s="6"/>
      <c r="D43" s="6"/>
      <c r="E43" s="6"/>
      <c r="F43" s="10">
        <v>22400638</v>
      </c>
      <c r="G43" s="6"/>
      <c r="H43" s="46" t="s">
        <v>92</v>
      </c>
      <c r="I43" s="6"/>
      <c r="J43" s="6"/>
      <c r="K43" s="6"/>
      <c r="M43" s="22"/>
      <c r="N43" s="19"/>
    </row>
    <row r="44" spans="1:14" x14ac:dyDescent="0.2">
      <c r="A44" s="5" t="s">
        <v>32</v>
      </c>
      <c r="B44" s="6" t="s">
        <v>33</v>
      </c>
      <c r="C44" s="6"/>
      <c r="D44" s="6"/>
      <c r="E44" s="6"/>
      <c r="F44" s="15">
        <v>2.2700000000000001E-2</v>
      </c>
      <c r="G44" s="6"/>
      <c r="H44" s="6" t="s">
        <v>134</v>
      </c>
      <c r="I44" s="6"/>
      <c r="J44" s="6"/>
      <c r="K44" s="6"/>
      <c r="L44" s="6"/>
      <c r="M44" s="15"/>
      <c r="N44" s="19"/>
    </row>
    <row r="45" spans="1:14" x14ac:dyDescent="0.2">
      <c r="A45" s="5" t="s">
        <v>34</v>
      </c>
      <c r="B45" s="6" t="s">
        <v>54</v>
      </c>
      <c r="C45" s="6"/>
      <c r="D45" s="6"/>
      <c r="E45" s="6"/>
      <c r="F45" s="10">
        <v>24047481</v>
      </c>
      <c r="G45" s="6"/>
      <c r="H45" s="44" t="s">
        <v>93</v>
      </c>
      <c r="I45" s="6"/>
      <c r="J45" s="6"/>
      <c r="K45" s="6"/>
      <c r="M45" s="9"/>
      <c r="N45" s="19"/>
    </row>
    <row r="46" spans="1:14" x14ac:dyDescent="0.2">
      <c r="A46" s="5" t="s">
        <v>35</v>
      </c>
      <c r="B46" s="6" t="s">
        <v>55</v>
      </c>
      <c r="C46" s="6"/>
      <c r="D46" s="6"/>
      <c r="E46" s="6"/>
      <c r="F46" s="10">
        <v>2318455311</v>
      </c>
      <c r="G46" s="6"/>
      <c r="H46" s="44" t="s">
        <v>94</v>
      </c>
      <c r="I46" s="6"/>
      <c r="J46" s="6"/>
      <c r="K46" s="23"/>
      <c r="L46" s="24"/>
      <c r="M46" s="9"/>
      <c r="N46" s="19"/>
    </row>
    <row r="47" spans="1:14" x14ac:dyDescent="0.2">
      <c r="A47" s="5" t="s">
        <v>36</v>
      </c>
      <c r="B47" s="6" t="s">
        <v>37</v>
      </c>
      <c r="C47" s="6"/>
      <c r="D47" s="6"/>
      <c r="E47" s="6"/>
      <c r="F47" s="10">
        <v>880996299</v>
      </c>
      <c r="G47" s="6"/>
      <c r="H47" s="44" t="s">
        <v>95</v>
      </c>
      <c r="I47" s="6"/>
      <c r="J47" s="6"/>
      <c r="K47" s="6"/>
      <c r="M47" s="25"/>
      <c r="N47" s="19"/>
    </row>
    <row r="48" spans="1:14" x14ac:dyDescent="0.2">
      <c r="A48" s="5" t="s">
        <v>38</v>
      </c>
      <c r="B48" s="6" t="s">
        <v>56</v>
      </c>
      <c r="C48" s="6"/>
      <c r="D48" s="6"/>
      <c r="E48" s="6"/>
      <c r="F48" s="10">
        <v>11785321</v>
      </c>
      <c r="G48" s="6"/>
      <c r="H48" s="44" t="s">
        <v>118</v>
      </c>
      <c r="I48" s="6"/>
      <c r="J48" s="6"/>
      <c r="K48" s="6"/>
      <c r="M48" s="9"/>
      <c r="N48" s="19"/>
    </row>
    <row r="49" spans="1:14" x14ac:dyDescent="0.2">
      <c r="A49" s="5" t="s">
        <v>39</v>
      </c>
      <c r="B49" s="6" t="s">
        <v>57</v>
      </c>
      <c r="C49" s="6"/>
      <c r="D49" s="6"/>
      <c r="E49" s="6"/>
      <c r="F49" s="10">
        <v>9069527</v>
      </c>
      <c r="G49" s="6"/>
      <c r="H49" s="44" t="s">
        <v>119</v>
      </c>
      <c r="I49" s="6"/>
      <c r="J49" s="6"/>
      <c r="K49" s="6"/>
      <c r="M49" s="9"/>
      <c r="N49" s="19"/>
    </row>
    <row r="50" spans="1:14" x14ac:dyDescent="0.2">
      <c r="A50" s="5" t="s">
        <v>40</v>
      </c>
      <c r="B50" s="6" t="s">
        <v>58</v>
      </c>
      <c r="C50" s="6"/>
      <c r="D50" s="6"/>
      <c r="E50" s="6"/>
      <c r="F50" s="10">
        <v>535181</v>
      </c>
      <c r="G50" s="6"/>
      <c r="H50" s="44" t="s">
        <v>120</v>
      </c>
      <c r="I50" s="6"/>
      <c r="J50" s="6"/>
      <c r="K50" s="6"/>
      <c r="M50" s="9"/>
      <c r="N50" s="19"/>
    </row>
    <row r="51" spans="1:14" x14ac:dyDescent="0.2">
      <c r="A51" s="5" t="s">
        <v>41</v>
      </c>
      <c r="B51" s="6" t="s">
        <v>59</v>
      </c>
      <c r="C51" s="6"/>
      <c r="D51" s="6"/>
      <c r="E51" s="6"/>
      <c r="F51" s="10">
        <v>44373898</v>
      </c>
      <c r="G51" s="6"/>
      <c r="H51" s="44" t="s">
        <v>121</v>
      </c>
      <c r="I51" s="6"/>
      <c r="J51" s="6"/>
      <c r="K51" s="6"/>
      <c r="M51" s="9"/>
      <c r="N51" s="19"/>
    </row>
    <row r="52" spans="1:14" x14ac:dyDescent="0.2">
      <c r="A52" s="5" t="s">
        <v>43</v>
      </c>
      <c r="B52" s="6" t="s">
        <v>133</v>
      </c>
      <c r="C52" s="6"/>
      <c r="D52" s="6"/>
      <c r="E52" s="6"/>
      <c r="F52" s="10">
        <v>-45923485</v>
      </c>
      <c r="G52" s="6"/>
      <c r="H52" s="44" t="s">
        <v>122</v>
      </c>
      <c r="I52" s="6"/>
      <c r="J52" s="6"/>
      <c r="K52" s="6"/>
      <c r="M52" s="9"/>
      <c r="N52" s="19"/>
    </row>
    <row r="53" spans="1:14" x14ac:dyDescent="0.2">
      <c r="A53" s="5" t="s">
        <v>44</v>
      </c>
      <c r="B53" s="6" t="s">
        <v>60</v>
      </c>
      <c r="C53" s="6"/>
      <c r="D53" s="6"/>
      <c r="E53" s="6"/>
      <c r="F53" s="10">
        <v>0</v>
      </c>
      <c r="G53" s="6"/>
      <c r="H53" s="44" t="s">
        <v>123</v>
      </c>
      <c r="I53" s="6"/>
      <c r="J53" s="6"/>
      <c r="K53" s="6"/>
      <c r="M53" s="9"/>
      <c r="N53" s="19"/>
    </row>
    <row r="54" spans="1:14" x14ac:dyDescent="0.2">
      <c r="A54" s="5" t="s">
        <v>45</v>
      </c>
      <c r="B54" s="6" t="s">
        <v>113</v>
      </c>
      <c r="C54" s="6"/>
      <c r="D54" s="6"/>
      <c r="E54" s="6"/>
      <c r="F54" s="10">
        <f>'DEK Deferred Tax Calc - Conduit'!H19</f>
        <v>-262856329</v>
      </c>
      <c r="G54" s="6"/>
      <c r="H54" s="6" t="s">
        <v>42</v>
      </c>
      <c r="I54" s="6"/>
      <c r="J54" s="26"/>
      <c r="K54" s="6"/>
      <c r="M54" s="25"/>
      <c r="N54" s="19"/>
    </row>
    <row r="55" spans="1:14" x14ac:dyDescent="0.2">
      <c r="B55" s="6" t="s">
        <v>62</v>
      </c>
      <c r="C55" s="6"/>
      <c r="D55" s="6"/>
      <c r="E55" s="6"/>
      <c r="F55" s="10">
        <f>'DEK Deferred Tax Calc - Conduit'!H24</f>
        <v>-5467412</v>
      </c>
      <c r="G55" s="6"/>
      <c r="H55" s="6" t="s">
        <v>42</v>
      </c>
      <c r="I55" s="6"/>
      <c r="J55" s="6"/>
      <c r="K55" s="6"/>
      <c r="M55" s="9"/>
      <c r="N55" s="19"/>
    </row>
    <row r="56" spans="1:14" x14ac:dyDescent="0.2">
      <c r="B56" s="6" t="s">
        <v>63</v>
      </c>
      <c r="C56" s="6"/>
      <c r="D56" s="6"/>
      <c r="E56" s="6"/>
      <c r="F56" s="10">
        <f>'DEK Deferred Tax Calc - Conduit'!H25</f>
        <v>-10855966</v>
      </c>
      <c r="G56" s="6"/>
      <c r="H56" s="6" t="s">
        <v>42</v>
      </c>
      <c r="I56" s="6"/>
      <c r="J56" s="6"/>
      <c r="K56" s="6"/>
      <c r="M56" s="9"/>
      <c r="N56" s="19"/>
    </row>
    <row r="57" spans="1:14" x14ac:dyDescent="0.2">
      <c r="B57" s="6" t="s">
        <v>64</v>
      </c>
      <c r="C57" s="6"/>
      <c r="D57" s="6"/>
      <c r="E57" s="6"/>
      <c r="F57" s="10">
        <f>'DEK Deferred Tax Calc - Conduit'!H26</f>
        <v>-2549706</v>
      </c>
      <c r="G57" s="6"/>
      <c r="H57" s="6" t="s">
        <v>42</v>
      </c>
      <c r="I57" s="6"/>
      <c r="J57" s="6"/>
      <c r="K57" s="6"/>
      <c r="M57" s="9"/>
      <c r="N57" s="19"/>
    </row>
    <row r="58" spans="1:14" x14ac:dyDescent="0.2">
      <c r="A58" s="5" t="s">
        <v>46</v>
      </c>
      <c r="B58" s="6"/>
      <c r="C58" s="6"/>
      <c r="D58" s="6"/>
      <c r="E58" s="6"/>
      <c r="F58" s="10"/>
      <c r="G58" s="6"/>
      <c r="H58" s="44"/>
      <c r="I58" s="6"/>
      <c r="J58" s="26"/>
      <c r="K58" s="6"/>
      <c r="M58" s="27"/>
      <c r="N58" s="19"/>
    </row>
    <row r="59" spans="1:14" x14ac:dyDescent="0.2">
      <c r="A59" s="5" t="s">
        <v>47</v>
      </c>
      <c r="B59" s="6"/>
      <c r="C59" s="6"/>
      <c r="D59" s="6"/>
      <c r="E59" s="6"/>
      <c r="F59" s="10"/>
      <c r="G59" s="6"/>
      <c r="H59" s="44"/>
      <c r="I59" s="6"/>
      <c r="J59" s="26"/>
      <c r="K59" s="6"/>
      <c r="M59" s="12"/>
      <c r="N59" s="19"/>
    </row>
    <row r="60" spans="1:14" x14ac:dyDescent="0.2">
      <c r="A60" s="5" t="s">
        <v>48</v>
      </c>
      <c r="B60" s="6"/>
      <c r="C60" s="6"/>
      <c r="D60" s="6"/>
      <c r="E60" s="6"/>
      <c r="F60" s="10"/>
      <c r="G60" s="6"/>
      <c r="H60" s="44"/>
      <c r="I60" s="6"/>
      <c r="J60" s="26"/>
      <c r="K60" s="6"/>
      <c r="M60" s="12"/>
      <c r="N60" s="19"/>
    </row>
    <row r="61" spans="1:14" x14ac:dyDescent="0.2">
      <c r="A61" s="5" t="s">
        <v>49</v>
      </c>
      <c r="B61" s="6"/>
      <c r="C61" s="6"/>
      <c r="D61" s="6"/>
      <c r="E61" s="6"/>
      <c r="F61" s="10"/>
      <c r="G61" s="6"/>
      <c r="H61" s="44"/>
      <c r="I61" s="6"/>
      <c r="J61" s="26"/>
      <c r="K61" s="6"/>
      <c r="M61" s="27"/>
      <c r="N61" s="19"/>
    </row>
    <row r="62" spans="1:14" x14ac:dyDescent="0.2">
      <c r="A62" s="5" t="s">
        <v>84</v>
      </c>
      <c r="B62" s="6" t="s">
        <v>15</v>
      </c>
      <c r="C62" s="6"/>
      <c r="D62" s="6"/>
      <c r="E62" s="6"/>
      <c r="F62" s="60">
        <v>7.9680000000000001E-2</v>
      </c>
      <c r="G62" s="6"/>
      <c r="H62" s="44" t="str">
        <f>+"Proposed in KYPSC "&amp;A2</f>
        <v>Proposed in KYPSC Case No. 2024-00354 - Attachment BLS-6</v>
      </c>
      <c r="I62" s="6"/>
      <c r="J62" s="6"/>
      <c r="K62" s="6"/>
      <c r="M62" s="15"/>
    </row>
    <row r="63" spans="1:14" x14ac:dyDescent="0.2">
      <c r="A63" s="5" t="s">
        <v>85</v>
      </c>
      <c r="B63" s="6" t="s">
        <v>107</v>
      </c>
      <c r="F63" s="57">
        <v>1</v>
      </c>
      <c r="H63" s="52"/>
      <c r="J63" s="6"/>
      <c r="M63" s="28"/>
    </row>
    <row r="64" spans="1:14" x14ac:dyDescent="0.2">
      <c r="A64" s="5" t="s">
        <v>86</v>
      </c>
      <c r="B64" s="6" t="s">
        <v>50</v>
      </c>
      <c r="F64" s="11">
        <v>2</v>
      </c>
      <c r="H64" s="6"/>
      <c r="J64" s="6"/>
      <c r="M64" s="6"/>
    </row>
    <row r="65" spans="1:13" x14ac:dyDescent="0.2">
      <c r="A65" s="5"/>
      <c r="B65" s="6"/>
      <c r="F65" s="6"/>
      <c r="H65" s="6"/>
      <c r="J65" s="6"/>
      <c r="M65" s="6"/>
    </row>
    <row r="66" spans="1:13" x14ac:dyDescent="0.2">
      <c r="A66" s="5"/>
      <c r="G66" t="s">
        <v>51</v>
      </c>
    </row>
    <row r="67" spans="1:13" ht="15" x14ac:dyDescent="0.2">
      <c r="A67" s="5"/>
      <c r="B67" s="29"/>
      <c r="C67" s="29"/>
      <c r="D67" s="29"/>
      <c r="E67" s="29"/>
      <c r="F67" s="29"/>
      <c r="G67" s="29"/>
      <c r="H67" s="29"/>
      <c r="I67" s="29"/>
      <c r="J67" s="29"/>
      <c r="M67" s="29"/>
    </row>
    <row r="68" spans="1:13" x14ac:dyDescent="0.2">
      <c r="A68" s="5"/>
      <c r="B68" s="6"/>
      <c r="C68" s="6"/>
      <c r="D68" s="6"/>
      <c r="E68" s="6"/>
      <c r="F68" s="9"/>
      <c r="G68" s="6"/>
      <c r="H68" s="6"/>
      <c r="I68" s="6"/>
    </row>
    <row r="69" spans="1:13" x14ac:dyDescent="0.2">
      <c r="B69" s="6"/>
      <c r="C69" s="6"/>
      <c r="D69" s="6"/>
      <c r="E69" s="6"/>
      <c r="F69" s="9"/>
      <c r="G69" s="6"/>
      <c r="H69" s="6"/>
      <c r="I69" s="6"/>
    </row>
    <row r="70" spans="1:13" x14ac:dyDescent="0.2">
      <c r="B70" s="6"/>
      <c r="C70" s="6"/>
      <c r="D70" s="6"/>
      <c r="E70" s="6"/>
      <c r="F70" s="9"/>
      <c r="G70" s="6"/>
      <c r="H70" s="6"/>
      <c r="I70" s="6"/>
    </row>
    <row r="71" spans="1:13" x14ac:dyDescent="0.2">
      <c r="B71" s="6"/>
      <c r="C71" s="6"/>
      <c r="D71" s="6"/>
      <c r="E71" s="6"/>
      <c r="F71" s="9"/>
      <c r="G71" s="6"/>
      <c r="H71" s="6"/>
      <c r="I71" s="6"/>
    </row>
    <row r="72" spans="1:13" ht="15" x14ac:dyDescent="0.2">
      <c r="A72" s="29"/>
      <c r="B72" s="23"/>
      <c r="C72" s="6"/>
      <c r="D72" s="6"/>
      <c r="E72" s="6"/>
      <c r="F72" s="9"/>
      <c r="G72" s="6"/>
      <c r="H72" s="6"/>
      <c r="I72" s="6"/>
    </row>
    <row r="73" spans="1:13" ht="15" x14ac:dyDescent="0.2">
      <c r="A73" s="29"/>
      <c r="B73" s="6"/>
      <c r="C73" s="6"/>
      <c r="D73" s="6"/>
      <c r="E73" s="6"/>
      <c r="F73" s="9"/>
      <c r="G73" s="6"/>
      <c r="H73" s="6"/>
      <c r="I73" s="6"/>
    </row>
    <row r="74" spans="1:13" ht="15" x14ac:dyDescent="0.2">
      <c r="A74" s="29"/>
      <c r="B74" s="6"/>
      <c r="C74" s="6"/>
      <c r="D74" s="6"/>
      <c r="E74" s="6"/>
      <c r="F74" s="9"/>
      <c r="G74" s="6"/>
      <c r="H74" s="6"/>
      <c r="I74" s="6"/>
    </row>
    <row r="75" spans="1:13" ht="15" x14ac:dyDescent="0.2">
      <c r="A75" s="29"/>
    </row>
    <row r="76" spans="1:13" ht="15" x14ac:dyDescent="0.2">
      <c r="A76" s="29"/>
    </row>
  </sheetData>
  <mergeCells count="3">
    <mergeCell ref="A3:H3"/>
    <mergeCell ref="A4:H4"/>
    <mergeCell ref="A1:H1"/>
  </mergeCells>
  <pageMargins left="0.75" right="0.75" top="1" bottom="1" header="0.5" footer="0.5"/>
  <pageSetup scale="59" orientation="portrait" r:id="rId1"/>
  <headerFooter alignWithMargins="0">
    <oddHeader>&amp;R&amp;"Times New Roman,Bold"KyPSC Case No. 2024-00354
Attachment BLS-6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2"/>
    <pageSetUpPr fitToPage="1"/>
  </sheetPr>
  <dimension ref="A2:J32"/>
  <sheetViews>
    <sheetView view="pageLayout" zoomScaleNormal="100" workbookViewId="0">
      <selection sqref="A1:H1"/>
    </sheetView>
  </sheetViews>
  <sheetFormatPr defaultColWidth="9.140625" defaultRowHeight="12.75" x14ac:dyDescent="0.2"/>
  <cols>
    <col min="1" max="1" width="3.7109375" style="33" customWidth="1"/>
    <col min="2" max="2" width="36.85546875" style="33" customWidth="1"/>
    <col min="3" max="3" width="1.7109375" style="33" customWidth="1"/>
    <col min="4" max="4" width="16.7109375" style="33" bestFit="1" customWidth="1"/>
    <col min="5" max="5" width="1.28515625" style="33" customWidth="1"/>
    <col min="6" max="6" width="11" style="33" customWidth="1"/>
    <col min="7" max="7" width="1" style="33" customWidth="1"/>
    <col min="8" max="8" width="15.140625" style="33" bestFit="1" customWidth="1"/>
    <col min="9" max="9" width="1.85546875" style="33" customWidth="1"/>
    <col min="10" max="10" width="10.140625" style="33" customWidth="1"/>
    <col min="11" max="16384" width="9.140625" style="33"/>
  </cols>
  <sheetData>
    <row r="2" spans="1:10" x14ac:dyDescent="0.2">
      <c r="A2" s="33" t="s">
        <v>143</v>
      </c>
    </row>
    <row r="4" spans="1:10" x14ac:dyDescent="0.2">
      <c r="B4" s="58" t="s">
        <v>137</v>
      </c>
    </row>
    <row r="5" spans="1:10" x14ac:dyDescent="0.2">
      <c r="B5" s="33" t="s">
        <v>66</v>
      </c>
    </row>
    <row r="6" spans="1:10" x14ac:dyDescent="0.2">
      <c r="B6" s="33" t="s">
        <v>79</v>
      </c>
    </row>
    <row r="7" spans="1:10" x14ac:dyDescent="0.2">
      <c r="B7" s="51" t="s">
        <v>142</v>
      </c>
    </row>
    <row r="9" spans="1:10" x14ac:dyDescent="0.2">
      <c r="B9" s="33" t="s">
        <v>81</v>
      </c>
      <c r="J9" s="34" t="s">
        <v>67</v>
      </c>
    </row>
    <row r="10" spans="1:10" x14ac:dyDescent="0.2">
      <c r="H10" s="34" t="s">
        <v>68</v>
      </c>
      <c r="J10" s="34" t="s">
        <v>69</v>
      </c>
    </row>
    <row r="11" spans="1:10" x14ac:dyDescent="0.2">
      <c r="H11" s="35" t="s">
        <v>70</v>
      </c>
      <c r="J11" s="34" t="s">
        <v>71</v>
      </c>
    </row>
    <row r="12" spans="1:10" x14ac:dyDescent="0.2">
      <c r="H12" s="36" t="s">
        <v>72</v>
      </c>
    </row>
    <row r="13" spans="1:10" x14ac:dyDescent="0.2">
      <c r="B13" s="33" t="s">
        <v>73</v>
      </c>
      <c r="D13" s="33" t="s">
        <v>74</v>
      </c>
      <c r="H13" s="48">
        <v>55425410</v>
      </c>
      <c r="J13" s="51" t="s">
        <v>117</v>
      </c>
    </row>
    <row r="14" spans="1:10" x14ac:dyDescent="0.2">
      <c r="B14" s="33" t="s">
        <v>127</v>
      </c>
      <c r="H14" s="59">
        <f>-44325265-6897720</f>
        <v>-51222985</v>
      </c>
      <c r="J14" s="51" t="s">
        <v>135</v>
      </c>
    </row>
    <row r="15" spans="1:10" x14ac:dyDescent="0.2">
      <c r="B15" s="33" t="s">
        <v>109</v>
      </c>
      <c r="H15" s="48">
        <v>0</v>
      </c>
      <c r="J15" s="51" t="s">
        <v>131</v>
      </c>
    </row>
    <row r="16" spans="1:10" x14ac:dyDescent="0.2">
      <c r="B16" s="33" t="s">
        <v>110</v>
      </c>
      <c r="H16" s="48">
        <v>-241961189</v>
      </c>
      <c r="J16" s="51" t="s">
        <v>125</v>
      </c>
    </row>
    <row r="17" spans="2:10" x14ac:dyDescent="0.2">
      <c r="B17" s="33" t="s">
        <v>111</v>
      </c>
      <c r="H17" s="59">
        <v>-25097565</v>
      </c>
      <c r="J17" s="51" t="s">
        <v>126</v>
      </c>
    </row>
    <row r="18" spans="2:10" x14ac:dyDescent="0.2">
      <c r="H18" s="37"/>
      <c r="J18" s="34"/>
    </row>
    <row r="19" spans="2:10" ht="13.5" thickBot="1" x14ac:dyDescent="0.25">
      <c r="B19" s="33" t="s">
        <v>75</v>
      </c>
      <c r="H19" s="50">
        <f>+H13+H15+H16+H17+H14</f>
        <v>-262856329</v>
      </c>
      <c r="J19" s="34"/>
    </row>
    <row r="20" spans="2:10" ht="13.5" thickTop="1" x14ac:dyDescent="0.2">
      <c r="J20" s="34"/>
    </row>
    <row r="21" spans="2:10" x14ac:dyDescent="0.2">
      <c r="F21" s="34" t="s">
        <v>76</v>
      </c>
      <c r="J21" s="34"/>
    </row>
    <row r="22" spans="2:10" x14ac:dyDescent="0.2">
      <c r="B22" s="33" t="s">
        <v>77</v>
      </c>
      <c r="D22" s="38" t="s">
        <v>72</v>
      </c>
      <c r="H22" s="36" t="s">
        <v>72</v>
      </c>
      <c r="J22" s="34"/>
    </row>
    <row r="23" spans="2:10" x14ac:dyDescent="0.2">
      <c r="B23" s="33" t="s">
        <v>78</v>
      </c>
      <c r="D23" s="54">
        <v>2311025198</v>
      </c>
      <c r="F23" s="39">
        <v>1</v>
      </c>
      <c r="J23" s="53" t="s">
        <v>124</v>
      </c>
    </row>
    <row r="24" spans="2:10" x14ac:dyDescent="0.2">
      <c r="B24" s="40" t="s">
        <v>20</v>
      </c>
      <c r="D24" s="41">
        <f>'Conduit Formula'!F34</f>
        <v>48115495</v>
      </c>
      <c r="F24" s="42">
        <f>ROUND(D24/D$23,4)</f>
        <v>2.0799999999999999E-2</v>
      </c>
      <c r="H24" s="48">
        <f>ROUND(F24*H$19,0)</f>
        <v>-5467412</v>
      </c>
      <c r="J24" s="53" t="s">
        <v>136</v>
      </c>
    </row>
    <row r="25" spans="2:10" x14ac:dyDescent="0.2">
      <c r="B25" s="40" t="s">
        <v>29</v>
      </c>
      <c r="D25" s="41">
        <f>'Conduit Formula'!F42</f>
        <v>95355408</v>
      </c>
      <c r="F25" s="42">
        <f>ROUND(D25/D$23,4)</f>
        <v>4.1300000000000003E-2</v>
      </c>
      <c r="H25" s="41">
        <f>ROUND(F25*H$19,0)</f>
        <v>-10855966</v>
      </c>
      <c r="J25" s="53" t="s">
        <v>136</v>
      </c>
    </row>
    <row r="26" spans="2:10" x14ac:dyDescent="0.2">
      <c r="B26" s="40" t="s">
        <v>31</v>
      </c>
      <c r="D26" s="48">
        <f>'Conduit Formula'!F43</f>
        <v>22400638</v>
      </c>
      <c r="F26" s="42">
        <f>ROUND(D26/D$23,4)</f>
        <v>9.7000000000000003E-3</v>
      </c>
      <c r="H26" s="43">
        <f>ROUND(F26*H$19,0)</f>
        <v>-2549706</v>
      </c>
      <c r="J26" s="53" t="s">
        <v>136</v>
      </c>
    </row>
    <row r="27" spans="2:10" x14ac:dyDescent="0.2">
      <c r="J27" s="34"/>
    </row>
    <row r="28" spans="2:10" ht="13.5" thickBot="1" x14ac:dyDescent="0.25">
      <c r="B28" s="33" t="s">
        <v>80</v>
      </c>
      <c r="H28" s="49">
        <f>SUM(H24:H27)</f>
        <v>-18873084</v>
      </c>
    </row>
    <row r="29" spans="2:10" ht="13.5" thickTop="1" x14ac:dyDescent="0.2"/>
    <row r="32" spans="2:10" x14ac:dyDescent="0.2">
      <c r="B32" s="51" t="s">
        <v>141</v>
      </c>
    </row>
  </sheetData>
  <pageMargins left="0.75" right="0.75" top="1" bottom="1" header="0.5" footer="0.5"/>
  <pageSetup scale="77" orientation="portrait" r:id="rId1"/>
  <headerFooter alignWithMargins="0">
    <oddHeader>&amp;R&amp;"Times New Roman,Bold"KyPSC Case No. 2024-00354
Attachment BLS-6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i:0#.f|membership|bruce.sailers@duke-energy.com,#i:0#.f|membership|bruce.sailers@duke-energy.com,#Bruce.Sailers@duke-energy.com,#,#Sailers, Bruce L,#,#22569,#Dir Rate Administration</DisplayName>
        <AccountId>90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53BFD9A4-1213-4D98-B664-E07587A41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AC2E3-883A-4521-9653-5FB4BEA4B5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40F14-E5BF-4CDE-8636-8D754580902D}">
  <ds:schemaRefs>
    <ds:schemaRef ds:uri="http://schemas.openxmlformats.org/package/2006/metadata/core-properties"/>
    <ds:schemaRef ds:uri="9d26d66c-7442-4f2f-84b5-fd9d62aa5613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Conduit Formula</vt:lpstr>
      <vt:lpstr>DEK Deferred Tax Calc - Conduit</vt:lpstr>
      <vt:lpstr>'Conduit Formula'!Print_Area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Conduit Charge Calculation</dc:subject>
  <dc:creator>Patten, Dana</dc:creator>
  <cp:lastModifiedBy>Sunderman, Minna</cp:lastModifiedBy>
  <cp:lastPrinted>2024-11-27T21:46:33Z</cp:lastPrinted>
  <dcterms:created xsi:type="dcterms:W3CDTF">2015-04-21T14:03:14Z</dcterms:created>
  <dcterms:modified xsi:type="dcterms:W3CDTF">2024-11-27T21:46:39Z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