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Testimony/Bruce L. Sailers/"/>
    </mc:Choice>
  </mc:AlternateContent>
  <xr:revisionPtr revIDLastSave="0" documentId="13_ncr:1_{701842D9-DBFE-42C3-9D34-07FFDD4B23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le Attachment ADMIN 251" sheetId="7" r:id="rId1"/>
    <sheet name="Input" sheetId="8" r:id="rId2"/>
    <sheet name="DEK Deferred Tax Calc - Pole " sheetId="5" r:id="rId3"/>
    <sheet name="Usable Space" sheetId="9" r:id="rId4"/>
  </sheets>
  <definedNames>
    <definedName name="_xlnm.Print_Area" localSheetId="2">'DEK Deferred Tax Calc - Pole '!$A$1:$O$33</definedName>
    <definedName name="_xlnm.Print_Area" localSheetId="1">Input!$A$1:$M$51</definedName>
    <definedName name="_xlnm.Print_Area" localSheetId="0">'Pole Attachment ADMIN 251'!$A$1:$U$51</definedName>
    <definedName name="_xlnm.Print_Area" localSheetId="3">'Usable Space'!$A$1:$E$21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7" l="1"/>
  <c r="H49" i="7"/>
  <c r="G49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H34" i="7"/>
  <c r="H35" i="7"/>
  <c r="H36" i="7"/>
  <c r="H37" i="7"/>
  <c r="H41" i="7"/>
  <c r="H42" i="7"/>
  <c r="H43" i="7"/>
  <c r="G43" i="7"/>
  <c r="G42" i="7"/>
  <c r="G41" i="7"/>
  <c r="G37" i="7"/>
  <c r="G36" i="7"/>
  <c r="G35" i="7"/>
  <c r="G34" i="7"/>
  <c r="T21" i="7"/>
  <c r="T22" i="7"/>
  <c r="T23" i="7"/>
  <c r="T24" i="7"/>
  <c r="T25" i="7"/>
  <c r="H38" i="7" l="1"/>
  <c r="H39" i="7" s="1"/>
  <c r="G38" i="7"/>
  <c r="G39" i="7"/>
  <c r="J13" i="7" l="1"/>
  <c r="J14" i="7"/>
  <c r="J15" i="7"/>
  <c r="J16" i="7"/>
  <c r="J17" i="7"/>
  <c r="J18" i="7"/>
  <c r="J19" i="7"/>
  <c r="J20" i="7"/>
  <c r="J21" i="7"/>
  <c r="J22" i="7"/>
  <c r="J23" i="7"/>
  <c r="J24" i="7"/>
  <c r="J25" i="7"/>
  <c r="J12" i="7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7" i="9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8" i="9"/>
  <c r="H17" i="5"/>
  <c r="Q21" i="7" l="1"/>
  <c r="Q22" i="7"/>
  <c r="Q23" i="7"/>
  <c r="Q24" i="7"/>
  <c r="Q25" i="7"/>
  <c r="P20" i="7" l="1"/>
  <c r="P19" i="7"/>
  <c r="P18" i="7"/>
  <c r="P17" i="7"/>
  <c r="P16" i="7"/>
  <c r="P15" i="7"/>
  <c r="P14" i="7"/>
  <c r="P13" i="7"/>
  <c r="P12" i="7"/>
  <c r="O12" i="7"/>
  <c r="N12" i="7"/>
  <c r="T12" i="7" s="1"/>
  <c r="M12" i="7"/>
  <c r="L12" i="7"/>
  <c r="K12" i="7"/>
  <c r="S12" i="7" s="1"/>
  <c r="G46" i="7" s="1"/>
  <c r="G47" i="7" s="1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35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35" i="8"/>
  <c r="Q13" i="7" l="1"/>
  <c r="T13" i="7"/>
  <c r="Q15" i="7"/>
  <c r="T15" i="7"/>
  <c r="Q16" i="7"/>
  <c r="T16" i="7"/>
  <c r="Q17" i="7"/>
  <c r="T17" i="7"/>
  <c r="Q19" i="7"/>
  <c r="T19" i="7"/>
  <c r="Q14" i="7"/>
  <c r="T14" i="7"/>
  <c r="Q18" i="7"/>
  <c r="T18" i="7"/>
  <c r="Q20" i="7"/>
  <c r="T20" i="7"/>
  <c r="Q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12" i="7"/>
  <c r="D49" i="8"/>
  <c r="C9" i="8" s="1"/>
  <c r="C49" i="8"/>
  <c r="H26" i="7" l="1"/>
  <c r="H46" i="7"/>
  <c r="H47" i="7" s="1"/>
  <c r="C50" i="8"/>
  <c r="E30" i="8"/>
  <c r="E37" i="8" l="1"/>
  <c r="E45" i="8"/>
  <c r="E46" i="8"/>
  <c r="E39" i="8"/>
  <c r="E41" i="8"/>
  <c r="E43" i="8"/>
  <c r="E44" i="8"/>
  <c r="E47" i="8"/>
  <c r="E40" i="8"/>
  <c r="E48" i="8"/>
  <c r="E35" i="8"/>
  <c r="E42" i="8"/>
  <c r="E49" i="8"/>
  <c r="E36" i="8"/>
  <c r="E38" i="8"/>
  <c r="C15" i="7" l="1"/>
  <c r="D15" i="7"/>
  <c r="D17" i="7"/>
  <c r="C17" i="7"/>
  <c r="C13" i="7"/>
  <c r="D13" i="7"/>
  <c r="C24" i="7"/>
  <c r="D24" i="7"/>
  <c r="C21" i="7"/>
  <c r="D21" i="7"/>
  <c r="C20" i="7"/>
  <c r="D20" i="7"/>
  <c r="D18" i="7"/>
  <c r="C18" i="7"/>
  <c r="D14" i="7"/>
  <c r="C14" i="7"/>
  <c r="C19" i="7"/>
  <c r="D19" i="7"/>
  <c r="C16" i="7"/>
  <c r="D16" i="7"/>
  <c r="D12" i="7"/>
  <c r="C12" i="7"/>
  <c r="C23" i="7"/>
  <c r="D23" i="7"/>
  <c r="D25" i="7"/>
  <c r="C25" i="7"/>
  <c r="C22" i="7"/>
  <c r="D22" i="7"/>
  <c r="C26" i="7" l="1"/>
  <c r="D26" i="7"/>
  <c r="H19" i="5" l="1"/>
  <c r="C26" i="8" s="1"/>
  <c r="F26" i="5" l="1"/>
  <c r="F25" i="5"/>
  <c r="F24" i="5"/>
  <c r="H24" i="5" l="1"/>
  <c r="C27" i="8" s="1"/>
  <c r="H25" i="5"/>
  <c r="C28" i="8" s="1"/>
  <c r="H26" i="5"/>
  <c r="C29" i="8" s="1"/>
  <c r="F19" i="7" l="1"/>
  <c r="F18" i="7"/>
  <c r="F17" i="7"/>
  <c r="F25" i="7"/>
  <c r="F12" i="7"/>
  <c r="F20" i="7"/>
  <c r="F16" i="7"/>
  <c r="F13" i="7"/>
  <c r="F24" i="7"/>
  <c r="F21" i="7"/>
  <c r="F14" i="7"/>
  <c r="F15" i="7"/>
  <c r="F22" i="7"/>
  <c r="F23" i="7"/>
  <c r="H28" i="5"/>
  <c r="F26" i="7" l="1"/>
  <c r="E23" i="7"/>
  <c r="G23" i="7"/>
  <c r="G20" i="7"/>
  <c r="E20" i="7"/>
  <c r="G19" i="7"/>
  <c r="E19" i="7"/>
  <c r="G25" i="7"/>
  <c r="E25" i="7"/>
  <c r="G24" i="7"/>
  <c r="E24" i="7"/>
  <c r="G12" i="7"/>
  <c r="E12" i="7"/>
  <c r="E17" i="7"/>
  <c r="G17" i="7"/>
  <c r="G22" i="7"/>
  <c r="E22" i="7"/>
  <c r="E15" i="7"/>
  <c r="G15" i="7"/>
  <c r="E14" i="7"/>
  <c r="G14" i="7"/>
  <c r="G21" i="7"/>
  <c r="E21" i="7"/>
  <c r="E18" i="7"/>
  <c r="G18" i="7"/>
  <c r="G13" i="7"/>
  <c r="E13" i="7"/>
  <c r="E16" i="7"/>
  <c r="G16" i="7"/>
  <c r="H40" i="7" l="1"/>
  <c r="H44" i="7" s="1"/>
  <c r="G40" i="7"/>
  <c r="G44" i="7" s="1"/>
  <c r="G26" i="7"/>
  <c r="I16" i="7"/>
  <c r="E26" i="7"/>
  <c r="I26" i="7" s="1"/>
  <c r="I15" i="7"/>
  <c r="I23" i="7"/>
  <c r="I20" i="7"/>
  <c r="I25" i="7"/>
  <c r="I19" i="7"/>
  <c r="I13" i="7"/>
  <c r="I22" i="7"/>
  <c r="I21" i="7"/>
  <c r="I17" i="7"/>
  <c r="I14" i="7"/>
  <c r="I12" i="7"/>
  <c r="I18" i="7"/>
  <c r="I24" i="7"/>
  <c r="H32" i="7" l="1"/>
  <c r="H48" i="7" s="1"/>
  <c r="H50" i="7" s="1"/>
  <c r="G32" i="7"/>
  <c r="G48" i="7" s="1"/>
  <c r="G50" i="7" s="1"/>
  <c r="I50" i="7" s="1"/>
  <c r="I51" i="7" s="1"/>
</calcChain>
</file>

<file path=xl/sharedStrings.xml><?xml version="1.0" encoding="utf-8"?>
<sst xmlns="http://schemas.openxmlformats.org/spreadsheetml/2006/main" count="230" uniqueCount="188">
  <si>
    <t>Depreciation</t>
  </si>
  <si>
    <t>Rate of Return</t>
  </si>
  <si>
    <t>Input Data</t>
  </si>
  <si>
    <t xml:space="preserve">A. </t>
  </si>
  <si>
    <t>B.</t>
  </si>
  <si>
    <t>3. Accum Depr. for FERC Acctg 369</t>
  </si>
  <si>
    <t>C.</t>
  </si>
  <si>
    <t>D.</t>
  </si>
  <si>
    <t>E.</t>
  </si>
  <si>
    <t>F.</t>
  </si>
  <si>
    <t>G.</t>
  </si>
  <si>
    <t>H.</t>
  </si>
  <si>
    <t xml:space="preserve">Depreciation Rate - Distribution Property </t>
  </si>
  <si>
    <t>I.</t>
  </si>
  <si>
    <t>J.</t>
  </si>
  <si>
    <t>K.</t>
  </si>
  <si>
    <t>Accum. Depr. - Utility Plant in Service</t>
  </si>
  <si>
    <t>L.</t>
  </si>
  <si>
    <t>M.</t>
  </si>
  <si>
    <t xml:space="preserve">N. </t>
  </si>
  <si>
    <t>O.</t>
  </si>
  <si>
    <t>1. ADIT for Poles (Acct 364)</t>
  </si>
  <si>
    <t>Deferred Tax Calculation Worksheet</t>
  </si>
  <si>
    <t>2. ADIT for Overhead Conductor (Acct 365)</t>
  </si>
  <si>
    <t>3. ADIT for Services (Acct 369)</t>
  </si>
  <si>
    <t>P.</t>
  </si>
  <si>
    <t>Q.</t>
  </si>
  <si>
    <t>R.</t>
  </si>
  <si>
    <t>S.</t>
  </si>
  <si>
    <t>Poles, Towers, &amp; Fixtures (Acctg.364)</t>
  </si>
  <si>
    <t>Accum. Depr. - Distribution Plant</t>
  </si>
  <si>
    <t>1. Accum Depr. for FERC Acctg 364</t>
  </si>
  <si>
    <t>2. Accum Depr. for FERC Acctg 365</t>
  </si>
  <si>
    <t>Gross Investment - Distribution Plant</t>
  </si>
  <si>
    <t>Number of Distribution Poles</t>
  </si>
  <si>
    <t>Mtce of Overhead Lines (Acctg. 593)</t>
  </si>
  <si>
    <t>Overhead Conductors &amp; Devices (Acctg. 365)</t>
  </si>
  <si>
    <t>Services (Acctg. 369)</t>
  </si>
  <si>
    <t xml:space="preserve">Provided by Plant Accounting </t>
  </si>
  <si>
    <t>Admin. &amp; Gen. Exps. (Acctgs. 920-935)</t>
  </si>
  <si>
    <t>Utility Plant in Service</t>
  </si>
  <si>
    <t>Taxes Other Than Income Taxes (Acctg. 408.1)</t>
  </si>
  <si>
    <t>Income Taxes - Federal (Acctg. 409.1)</t>
  </si>
  <si>
    <t>Income Taxes - Other (Acctg. 409.1)</t>
  </si>
  <si>
    <t>Prov. for Deferred Inc. Taxes (Acctg 410.1)</t>
  </si>
  <si>
    <t>Investment Tax Credit Adj. - Net (Acctg 411.4)</t>
  </si>
  <si>
    <t>Allocation of Accumulated Deferred Tax Balances (Acct. 190)</t>
  </si>
  <si>
    <t>To Plant Accounts 364, 365 and 369</t>
  </si>
  <si>
    <t>FERC</t>
  </si>
  <si>
    <t>Allocated ADIT</t>
  </si>
  <si>
    <t>Form No. 1</t>
  </si>
  <si>
    <t>Amounts</t>
  </si>
  <si>
    <t>Source</t>
  </si>
  <si>
    <t>($)</t>
  </si>
  <si>
    <t>Accumulated Deferred Taxes (Acct. 190)</t>
  </si>
  <si>
    <t xml:space="preserve">     </t>
  </si>
  <si>
    <t>Accumulated Deferred Taxes for Electric</t>
  </si>
  <si>
    <t>% of Total</t>
  </si>
  <si>
    <t>Electric Plant in Service</t>
  </si>
  <si>
    <t xml:space="preserve">    Total Plant</t>
  </si>
  <si>
    <t xml:space="preserve">       Total Accts 364, 365 and 369</t>
  </si>
  <si>
    <t xml:space="preserve">       Poles (Acct. 364)</t>
  </si>
  <si>
    <t xml:space="preserve">       Overhead Conductor (Acct. 365)</t>
  </si>
  <si>
    <t xml:space="preserve">       Services (Acct. 369)</t>
  </si>
  <si>
    <t>Poles</t>
  </si>
  <si>
    <t>FERC Form 1, Page 207, Line 75, Column g</t>
  </si>
  <si>
    <t>FERC Form 1, Page 323, Line 197, Column b.</t>
  </si>
  <si>
    <t>FERC Form 1, Page 200, Line 8, Column c.</t>
  </si>
  <si>
    <t>FERC Form 1, Page 200, Line 22, Column c.</t>
  </si>
  <si>
    <t>FERC Form 1, Page 219, Line 26, Column c.</t>
  </si>
  <si>
    <t>FERC Form 1, Page 207, Line 64, Column g</t>
  </si>
  <si>
    <t>FERC Form 1, Page 322, Line 149, Column b.</t>
  </si>
  <si>
    <t>FERC Form 1, Page 207, Line 65, Column g.</t>
  </si>
  <si>
    <t>FERC Form 1, Page 207, Line 69, Column g.</t>
  </si>
  <si>
    <t>ADIT - Accelerated Amort. Property (Acctg. 281)</t>
  </si>
  <si>
    <t>ADIT - Other Property (Acctg. 282)</t>
  </si>
  <si>
    <t>ADIT - Other  (Acctg. 283)</t>
  </si>
  <si>
    <t>1. ADIT - Accelerated Amort. Property (Acctg. 281)</t>
  </si>
  <si>
    <t>2. ADIT - Other Property (Acctg. 282)</t>
  </si>
  <si>
    <t>3. ADIT - Other  (Acctg. 283)</t>
  </si>
  <si>
    <t>Accumulated Deferred Inc. Taxes (Acct 190, 281, 282, 283)</t>
  </si>
  <si>
    <t>Pg 272, Line 8, Column k.</t>
  </si>
  <si>
    <t>Pg 274, Line 2, Column k.</t>
  </si>
  <si>
    <t>Pg 276, Line 9, Column k.</t>
  </si>
  <si>
    <t>Pg 234, line 8, column c</t>
  </si>
  <si>
    <t>Duke Energy Kentucky</t>
  </si>
  <si>
    <t>Pg 207, line 104, column g</t>
  </si>
  <si>
    <t>FERC Form 1, Page 273, Line 8, Column k.</t>
  </si>
  <si>
    <t>FERC Form 1, Page 275, Line 2, Column k.</t>
  </si>
  <si>
    <t>FERC Form 1, Page 277, Line 9, Column k.</t>
  </si>
  <si>
    <t>35'</t>
  </si>
  <si>
    <t>40'</t>
  </si>
  <si>
    <t>45'</t>
  </si>
  <si>
    <t>For Use of Electric Utility Poles</t>
  </si>
  <si>
    <t>FERC Form 1, Page 115, Line 14, Column g.</t>
  </si>
  <si>
    <t>FERC Form 1, Page 115, Line 15, Column g.</t>
  </si>
  <si>
    <t>FERC Form 1, Page 115, Line 16, Column g.</t>
  </si>
  <si>
    <t>FERC Form 1, Page 115, Line 17, Column g.</t>
  </si>
  <si>
    <t>FERC Form 1, Page 115, Line 18, Column g.</t>
  </si>
  <si>
    <t>FERC Form 1, Page 115, Line 19, Column g.</t>
  </si>
  <si>
    <t># of Poles</t>
  </si>
  <si>
    <t>Sum</t>
  </si>
  <si>
    <t>Poles, Towers &amp; Fixtures</t>
  </si>
  <si>
    <t>Cost</t>
  </si>
  <si>
    <t>Revised CATV Pole Attachment Formula - Adminstrative Case No. 251</t>
  </si>
  <si>
    <t>ADIT - Tax Reform Act (Acctg. 254)</t>
  </si>
  <si>
    <t>Attachment H-22A of Rate Case (Protected + Unprotected)</t>
  </si>
  <si>
    <t>30' or Less</t>
  </si>
  <si>
    <t>50'</t>
  </si>
  <si>
    <t>55'</t>
  </si>
  <si>
    <t>60'</t>
  </si>
  <si>
    <t>65'</t>
  </si>
  <si>
    <t>70'</t>
  </si>
  <si>
    <t>75'</t>
  </si>
  <si>
    <t>80'</t>
  </si>
  <si>
    <t>85'</t>
  </si>
  <si>
    <t>90'</t>
  </si>
  <si>
    <t>95'</t>
  </si>
  <si>
    <t>30' Or Less</t>
  </si>
  <si>
    <t>Gross</t>
  </si>
  <si>
    <t>Pole</t>
  </si>
  <si>
    <t>Investment</t>
  </si>
  <si>
    <t>Reserve</t>
  </si>
  <si>
    <t>Appurtenance</t>
  </si>
  <si>
    <t>Factor</t>
  </si>
  <si>
    <t>Accumulated</t>
  </si>
  <si>
    <t>Deferred</t>
  </si>
  <si>
    <t>Taxes (Poles)</t>
  </si>
  <si>
    <t>Net</t>
  </si>
  <si>
    <t>Number</t>
  </si>
  <si>
    <t>Of</t>
  </si>
  <si>
    <t>Per Bare</t>
  </si>
  <si>
    <t>Net Investmnt</t>
  </si>
  <si>
    <t>(A)</t>
  </si>
  <si>
    <t>(B)</t>
  </si>
  <si>
    <t>(C)=(A-B+D)*15%</t>
  </si>
  <si>
    <t>(D)</t>
  </si>
  <si>
    <t>(E)=A-B+D</t>
  </si>
  <si>
    <t>(F)</t>
  </si>
  <si>
    <t>(G)=(E-C)/F</t>
  </si>
  <si>
    <t>BASED UPON 2023 FERC FORM 1 DATA</t>
  </si>
  <si>
    <t>Unitizations</t>
  </si>
  <si>
    <t>Total</t>
  </si>
  <si>
    <t>Number of Attachments</t>
  </si>
  <si>
    <t>&gt;=5</t>
  </si>
  <si>
    <t>More User</t>
  </si>
  <si>
    <t>Administration</t>
  </si>
  <si>
    <t>Taxes (Normalized)</t>
  </si>
  <si>
    <t>Total Carrying Charge</t>
  </si>
  <si>
    <t>Allocated Space</t>
  </si>
  <si>
    <t>Maximum Rate Per Attachment</t>
  </si>
  <si>
    <t>Space Occupied</t>
  </si>
  <si>
    <t>Usable Space</t>
  </si>
  <si>
    <t xml:space="preserve">Maintenance of Overhead Lines </t>
  </si>
  <si>
    <t>Total Investment in Poles, Conductors, Services</t>
  </si>
  <si>
    <t>Depreciation Reserve</t>
  </si>
  <si>
    <t>Accumulated Deferred Taxes</t>
  </si>
  <si>
    <t>Total Investment in Poles - Net</t>
  </si>
  <si>
    <t>Pole Maintenance Ratio</t>
  </si>
  <si>
    <t>Usable</t>
  </si>
  <si>
    <t>Space</t>
  </si>
  <si>
    <t>FCC Pole Attachment</t>
  </si>
  <si>
    <t>Rate Formula</t>
  </si>
  <si>
    <t>(H)</t>
  </si>
  <si>
    <t>Length</t>
  </si>
  <si>
    <t>Buried</t>
  </si>
  <si>
    <t>Portion</t>
  </si>
  <si>
    <t>Ground</t>
  </si>
  <si>
    <t>Clearance</t>
  </si>
  <si>
    <t>in ft</t>
  </si>
  <si>
    <t>&lt;=2</t>
  </si>
  <si>
    <t>&gt;=3</t>
  </si>
  <si>
    <t>Two or</t>
  </si>
  <si>
    <t>Less User</t>
  </si>
  <si>
    <t>Three or</t>
  </si>
  <si>
    <t>Number of</t>
  </si>
  <si>
    <t>Attachments</t>
  </si>
  <si>
    <t>Net Investment per Bare Pole (Weighted Average)</t>
  </si>
  <si>
    <t>Single</t>
  </si>
  <si>
    <t>Rate</t>
  </si>
  <si>
    <t>Revenue</t>
  </si>
  <si>
    <t>Weighted Average Rate</t>
  </si>
  <si>
    <t>Case No. 2024-00354</t>
  </si>
  <si>
    <t>(Less) Prov. for Def. Inc. Taxes - Cr. (Acctg 411.1)</t>
  </si>
  <si>
    <t>Source:  Duke Energy Kentucky 2023 FERC Form No. 1</t>
  </si>
  <si>
    <t>Twelve Months Ended December 31, 2023</t>
  </si>
  <si>
    <t>Cost with Unitizations</t>
  </si>
  <si>
    <t>Quantity with Unitizations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</si>
</sst>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"/>
    <numFmt numFmtId="167" formatCode="_(* #,##0.0_);_(* \(#,##0.0\);_(* &quot;-&quot;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rgb="FF000000"/>
      <name val="Times New Roman"/>
      <family val="1"/>
    </font>
    <font>
      <u/>
      <sz val="8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0" borderId="0" applyNumberFormat="0" applyFont="0" applyFill="0" applyBorder="0" applyAlignment="0" applyProtection="0">
      <alignment horizontal="left"/>
    </xf>
    <xf numFmtId="4" fontId="9" fillId="0" borderId="0" applyFont="0" applyFill="0" applyBorder="0" applyAlignment="0" applyProtection="0"/>
    <xf numFmtId="0" fontId="10" fillId="0" borderId="1">
      <alignment horizontal="center"/>
    </xf>
    <xf numFmtId="0" fontId="7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</cellStyleXfs>
  <cellXfs count="79">
    <xf numFmtId="0" fontId="0" fillId="0" borderId="0" xfId="0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5" fontId="6" fillId="0" borderId="0" xfId="2" applyNumberFormat="1" applyFont="1" applyFill="1"/>
    <xf numFmtId="5" fontId="6" fillId="0" borderId="0" xfId="0" applyNumberFormat="1" applyFont="1" applyAlignment="1">
      <alignment horizontal="right"/>
    </xf>
    <xf numFmtId="7" fontId="6" fillId="0" borderId="0" xfId="2" applyNumberFormat="1" applyFont="1" applyFill="1"/>
    <xf numFmtId="10" fontId="6" fillId="0" borderId="0" xfId="0" applyNumberFormat="1" applyFont="1"/>
    <xf numFmtId="10" fontId="6" fillId="0" borderId="0" xfId="3" applyNumberFormat="1" applyFont="1" applyFill="1"/>
    <xf numFmtId="0" fontId="6" fillId="0" borderId="0" xfId="0" applyFont="1"/>
    <xf numFmtId="0" fontId="7" fillId="0" borderId="0" xfId="8"/>
    <xf numFmtId="0" fontId="7" fillId="0" borderId="0" xfId="8" applyAlignment="1">
      <alignment horizontal="center"/>
    </xf>
    <xf numFmtId="0" fontId="7" fillId="0" borderId="2" xfId="8" applyBorder="1" applyAlignment="1">
      <alignment horizontal="center"/>
    </xf>
    <xf numFmtId="0" fontId="7" fillId="0" borderId="0" xfId="8" quotePrefix="1" applyAlignment="1">
      <alignment horizontal="center"/>
    </xf>
    <xf numFmtId="164" fontId="0" fillId="0" borderId="0" xfId="1" applyNumberFormat="1" applyFont="1"/>
    <xf numFmtId="44" fontId="0" fillId="0" borderId="0" xfId="2" quotePrefix="1" applyFont="1" applyAlignment="1">
      <alignment horizontal="center"/>
    </xf>
    <xf numFmtId="10" fontId="0" fillId="0" borderId="2" xfId="3" applyNumberFormat="1" applyFont="1" applyBorder="1"/>
    <xf numFmtId="164" fontId="0" fillId="0" borderId="0" xfId="1" applyNumberFormat="1" applyFont="1" applyFill="1"/>
    <xf numFmtId="10" fontId="0" fillId="0" borderId="0" xfId="3" applyNumberFormat="1" applyFont="1"/>
    <xf numFmtId="164" fontId="0" fillId="0" borderId="2" xfId="1" applyNumberFormat="1" applyFont="1" applyFill="1" applyBorder="1"/>
    <xf numFmtId="5" fontId="0" fillId="0" borderId="0" xfId="1" applyNumberFormat="1" applyFont="1" applyFill="1"/>
    <xf numFmtId="5" fontId="7" fillId="0" borderId="3" xfId="8" applyNumberFormat="1" applyBorder="1"/>
    <xf numFmtId="5" fontId="0" fillId="0" borderId="3" xfId="1" applyNumberFormat="1" applyFont="1" applyBorder="1"/>
    <xf numFmtId="0" fontId="7" fillId="0" borderId="0" xfId="8" quotePrefix="1" applyAlignment="1">
      <alignment horizontal="left"/>
    </xf>
    <xf numFmtId="5" fontId="7" fillId="0" borderId="0" xfId="8" applyNumberFormat="1"/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8" applyFont="1"/>
    <xf numFmtId="0" fontId="7" fillId="0" borderId="0" xfId="8" applyAlignment="1">
      <alignment horizontal="left"/>
    </xf>
    <xf numFmtId="0" fontId="6" fillId="0" borderId="0" xfId="0" quotePrefix="1" applyFont="1" applyAlignment="1">
      <alignment horizontal="left"/>
    </xf>
    <xf numFmtId="0" fontId="3" fillId="0" borderId="0" xfId="0" quotePrefix="1" applyFont="1" applyAlignment="1">
      <alignment horizontal="centerContinuous"/>
    </xf>
    <xf numFmtId="7" fontId="3" fillId="0" borderId="0" xfId="2" applyNumberFormat="1" applyFont="1" applyFill="1"/>
    <xf numFmtId="2" fontId="6" fillId="0" borderId="0" xfId="0" applyNumberFormat="1" applyFont="1"/>
    <xf numFmtId="164" fontId="0" fillId="0" borderId="0" xfId="1" applyNumberFormat="1" applyFont="1" applyFill="1" applyBorder="1"/>
    <xf numFmtId="5" fontId="0" fillId="0" borderId="2" xfId="1" applyNumberFormat="1" applyFont="1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quotePrefix="1" applyFont="1" applyAlignment="1">
      <alignment horizontal="center"/>
    </xf>
    <xf numFmtId="37" fontId="6" fillId="0" borderId="0" xfId="2" applyNumberFormat="1" applyFont="1" applyFill="1"/>
    <xf numFmtId="5" fontId="6" fillId="0" borderId="0" xfId="0" applyNumberFormat="1" applyFont="1"/>
    <xf numFmtId="0" fontId="7" fillId="0" borderId="2" xfId="0" applyFont="1" applyBorder="1" applyAlignment="1">
      <alignment horizontal="centerContinuous"/>
    </xf>
    <xf numFmtId="0" fontId="0" fillId="0" borderId="0" xfId="0" quotePrefix="1" applyAlignment="1">
      <alignment horizontal="center"/>
    </xf>
    <xf numFmtId="0" fontId="0" fillId="0" borderId="2" xfId="0" applyBorder="1" applyAlignment="1">
      <alignment horizontal="centerContinuous"/>
    </xf>
    <xf numFmtId="0" fontId="0" fillId="0" borderId="0" xfId="0" applyAlignment="1">
      <alignment horizontal="center"/>
    </xf>
    <xf numFmtId="164" fontId="0" fillId="0" borderId="0" xfId="0" applyNumberFormat="1"/>
    <xf numFmtId="0" fontId="12" fillId="0" borderId="0" xfId="0" quotePrefix="1" applyFont="1" applyAlignment="1">
      <alignment horizontal="center"/>
    </xf>
    <xf numFmtId="37" fontId="6" fillId="0" borderId="0" xfId="0" applyNumberFormat="1" applyFont="1"/>
    <xf numFmtId="5" fontId="6" fillId="0" borderId="4" xfId="0" applyNumberFormat="1" applyFont="1" applyBorder="1"/>
    <xf numFmtId="37" fontId="6" fillId="0" borderId="4" xfId="0" applyNumberFormat="1" applyFont="1" applyBorder="1"/>
    <xf numFmtId="7" fontId="3" fillId="0" borderId="4" xfId="2" applyNumberFormat="1" applyFont="1" applyFill="1" applyBorder="1"/>
    <xf numFmtId="7" fontId="3" fillId="0" borderId="0" xfId="2" applyNumberFormat="1" applyFont="1" applyFill="1" applyBorder="1"/>
    <xf numFmtId="0" fontId="13" fillId="0" borderId="0" xfId="0" applyFont="1"/>
    <xf numFmtId="0" fontId="13" fillId="0" borderId="0" xfId="0" quotePrefix="1" applyFont="1" applyAlignment="1">
      <alignment horizontal="center"/>
    </xf>
    <xf numFmtId="0" fontId="4" fillId="0" borderId="0" xfId="0" quotePrefix="1" applyFont="1" applyAlignment="1">
      <alignment horizontal="left"/>
    </xf>
    <xf numFmtId="166" fontId="0" fillId="0" borderId="0" xfId="0" applyNumberFormat="1"/>
    <xf numFmtId="167" fontId="6" fillId="0" borderId="0" xfId="1" applyNumberFormat="1" applyFont="1" applyFill="1"/>
    <xf numFmtId="7" fontId="3" fillId="0" borderId="0" xfId="2" quotePrefix="1" applyNumberFormat="1" applyFont="1" applyFill="1" applyAlignment="1">
      <alignment horizontal="center"/>
    </xf>
    <xf numFmtId="7" fontId="4" fillId="0" borderId="0" xfId="2" quotePrefix="1" applyNumberFormat="1" applyFont="1" applyFill="1" applyAlignment="1">
      <alignment horizontal="center"/>
    </xf>
    <xf numFmtId="164" fontId="6" fillId="0" borderId="0" xfId="0" applyNumberFormat="1" applyFont="1"/>
    <xf numFmtId="164" fontId="6" fillId="0" borderId="0" xfId="2" applyNumberFormat="1" applyFont="1" applyFill="1"/>
    <xf numFmtId="165" fontId="6" fillId="0" borderId="0" xfId="0" applyNumberFormat="1" applyFont="1"/>
    <xf numFmtId="0" fontId="14" fillId="0" borderId="0" xfId="0" applyFont="1" applyAlignment="1">
      <alignment horizontal="center"/>
    </xf>
    <xf numFmtId="0" fontId="15" fillId="0" borderId="0" xfId="0" applyFont="1"/>
    <xf numFmtId="0" fontId="14" fillId="0" borderId="0" xfId="0" applyFont="1"/>
    <xf numFmtId="5" fontId="14" fillId="0" borderId="0" xfId="0" applyNumberFormat="1" applyFont="1" applyAlignment="1">
      <alignment horizontal="right"/>
    </xf>
    <xf numFmtId="0" fontId="14" fillId="0" borderId="0" xfId="0" quotePrefix="1" applyFont="1" applyAlignment="1">
      <alignment horizontal="left"/>
    </xf>
    <xf numFmtId="164" fontId="14" fillId="0" borderId="0" xfId="1" applyNumberFormat="1" applyFont="1" applyFill="1" applyAlignment="1">
      <alignment horizontal="right"/>
    </xf>
    <xf numFmtId="164" fontId="14" fillId="0" borderId="0" xfId="1" applyNumberFormat="1" applyFont="1" applyFill="1" applyBorder="1"/>
    <xf numFmtId="10" fontId="14" fillId="0" borderId="0" xfId="0" applyNumberFormat="1" applyFont="1"/>
    <xf numFmtId="165" fontId="14" fillId="0" borderId="0" xfId="0" applyNumberFormat="1" applyFont="1"/>
    <xf numFmtId="0" fontId="14" fillId="0" borderId="2" xfId="0" applyFont="1" applyBorder="1" applyAlignment="1">
      <alignment horizontal="centerContinuous"/>
    </xf>
    <xf numFmtId="0" fontId="14" fillId="0" borderId="0" xfId="0" applyFont="1" applyAlignment="1">
      <alignment horizontal="right"/>
    </xf>
    <xf numFmtId="14" fontId="14" fillId="0" borderId="0" xfId="0" applyNumberFormat="1" applyFont="1" applyAlignment="1">
      <alignment horizontal="center"/>
    </xf>
    <xf numFmtId="43" fontId="14" fillId="0" borderId="0" xfId="0" applyNumberFormat="1" applyFont="1" applyAlignment="1">
      <alignment horizontal="right"/>
    </xf>
    <xf numFmtId="165" fontId="14" fillId="0" borderId="0" xfId="3" applyNumberFormat="1" applyFont="1"/>
    <xf numFmtId="43" fontId="14" fillId="0" borderId="0" xfId="1" applyFont="1"/>
    <xf numFmtId="43" fontId="14" fillId="0" borderId="0" xfId="0" applyNumberFormat="1" applyFont="1"/>
    <xf numFmtId="164" fontId="14" fillId="0" borderId="0" xfId="1" applyNumberFormat="1" applyFont="1"/>
    <xf numFmtId="164" fontId="14" fillId="0" borderId="0" xfId="0" applyNumberFormat="1" applyFont="1"/>
  </cellXfs>
  <cellStyles count="15">
    <cellStyle name="Comma" xfId="1" builtinId="3"/>
    <cellStyle name="Comma 2" xfId="10" xr:uid="{00000000-0005-0000-0000-000001000000}"/>
    <cellStyle name="Comma 3" xfId="13" xr:uid="{00000000-0005-0000-0000-000002000000}"/>
    <cellStyle name="Currency" xfId="2" builtinId="4"/>
    <cellStyle name="Currency 2" xfId="11" xr:uid="{00000000-0005-0000-0000-000004000000}"/>
    <cellStyle name="Normal" xfId="0" builtinId="0"/>
    <cellStyle name="Normal 2" xfId="4" xr:uid="{00000000-0005-0000-0000-000006000000}"/>
    <cellStyle name="Normal 3" xfId="8" xr:uid="{00000000-0005-0000-0000-000007000000}"/>
    <cellStyle name="Normal 4" xfId="9" xr:uid="{00000000-0005-0000-0000-000008000000}"/>
    <cellStyle name="Normal 48" xfId="14" xr:uid="{00000000-0005-0000-0000-000009000000}"/>
    <cellStyle name="Percent" xfId="3" builtinId="5"/>
    <cellStyle name="Percent 2" xfId="12" xr:uid="{00000000-0005-0000-0000-00000B000000}"/>
    <cellStyle name="PSChar" xfId="5" xr:uid="{00000000-0005-0000-0000-00000C000000}"/>
    <cellStyle name="PSDec" xfId="6" xr:uid="{00000000-0005-0000-0000-00000D000000}"/>
    <cellStyle name="PSHeading" xfId="7" xr:uid="{00000000-0005-0000-0000-00000E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3"/>
  <sheetViews>
    <sheetView tabSelected="1" view="pageLayout" topLeftCell="G1" zoomScale="130" zoomScaleNormal="100" zoomScalePageLayoutView="130" workbookViewId="0">
      <selection activeCell="M4" sqref="M4"/>
    </sheetView>
  </sheetViews>
  <sheetFormatPr defaultRowHeight="12.75" x14ac:dyDescent="0.2"/>
  <cols>
    <col min="1" max="1" width="4.28515625" customWidth="1"/>
    <col min="2" max="2" width="20.140625" customWidth="1"/>
    <col min="3" max="4" width="11.7109375" customWidth="1"/>
    <col min="5" max="5" width="16.28515625" customWidth="1"/>
    <col min="6" max="9" width="11.7109375" customWidth="1"/>
    <col min="10" max="17" width="7.85546875" customWidth="1"/>
    <col min="18" max="18" width="9.140625" customWidth="1"/>
  </cols>
  <sheetData>
    <row r="1" spans="1:21" x14ac:dyDescent="0.2">
      <c r="A1" s="25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x14ac:dyDescent="0.2">
      <c r="A2" s="30" t="s">
        <v>182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1" x14ac:dyDescent="0.2">
      <c r="A3" s="2" t="s">
        <v>104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x14ac:dyDescent="0.2">
      <c r="A4" s="2" t="s">
        <v>93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x14ac:dyDescent="0.2">
      <c r="A5" s="26" t="s">
        <v>140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7" spans="1:21" x14ac:dyDescent="0.2">
      <c r="B7" s="53" t="s">
        <v>161</v>
      </c>
      <c r="C7" s="37" t="s">
        <v>119</v>
      </c>
      <c r="D7" s="37" t="s">
        <v>120</v>
      </c>
      <c r="F7" s="37" t="s">
        <v>125</v>
      </c>
      <c r="G7" s="37" t="s">
        <v>128</v>
      </c>
      <c r="H7" s="37" t="s">
        <v>129</v>
      </c>
      <c r="I7" s="37" t="s">
        <v>132</v>
      </c>
      <c r="J7" s="37" t="s">
        <v>159</v>
      </c>
      <c r="S7" s="1" t="s">
        <v>175</v>
      </c>
      <c r="T7" s="1"/>
      <c r="U7" s="1"/>
    </row>
    <row r="8" spans="1:21" x14ac:dyDescent="0.2">
      <c r="B8" s="53" t="s">
        <v>162</v>
      </c>
      <c r="C8" s="37" t="s">
        <v>120</v>
      </c>
      <c r="D8" s="37" t="s">
        <v>0</v>
      </c>
      <c r="E8" s="37" t="s">
        <v>123</v>
      </c>
      <c r="F8" s="37" t="s">
        <v>126</v>
      </c>
      <c r="G8" s="37" t="s">
        <v>120</v>
      </c>
      <c r="H8" s="37" t="s">
        <v>130</v>
      </c>
      <c r="I8" s="37" t="s">
        <v>131</v>
      </c>
      <c r="J8" s="37" t="s">
        <v>160</v>
      </c>
      <c r="K8" s="40" t="s">
        <v>143</v>
      </c>
      <c r="L8" s="42"/>
      <c r="M8" s="42"/>
      <c r="N8" s="42"/>
      <c r="O8" s="42"/>
      <c r="P8" s="42"/>
      <c r="Q8" s="42"/>
      <c r="S8" s="42" t="s">
        <v>176</v>
      </c>
      <c r="T8" s="42"/>
      <c r="U8" s="42"/>
    </row>
    <row r="9" spans="1:21" x14ac:dyDescent="0.2">
      <c r="B9" s="36"/>
      <c r="C9" s="37" t="s">
        <v>121</v>
      </c>
      <c r="D9" s="37" t="s">
        <v>122</v>
      </c>
      <c r="E9" s="37" t="s">
        <v>124</v>
      </c>
      <c r="F9" s="37" t="s">
        <v>127</v>
      </c>
      <c r="G9" s="37" t="s">
        <v>121</v>
      </c>
      <c r="H9" s="37" t="s">
        <v>64</v>
      </c>
      <c r="I9" s="37" t="s">
        <v>64</v>
      </c>
      <c r="J9" s="35" t="s">
        <v>169</v>
      </c>
      <c r="K9" s="43">
        <v>0</v>
      </c>
      <c r="L9" s="43">
        <v>1</v>
      </c>
      <c r="M9" s="43">
        <v>2</v>
      </c>
      <c r="N9" s="43">
        <v>3</v>
      </c>
      <c r="O9" s="43">
        <v>4</v>
      </c>
      <c r="P9" s="41" t="s">
        <v>144</v>
      </c>
      <c r="Q9" s="43" t="s">
        <v>142</v>
      </c>
      <c r="S9" s="43" t="s">
        <v>170</v>
      </c>
      <c r="T9" s="43" t="s">
        <v>171</v>
      </c>
      <c r="U9" s="43" t="s">
        <v>142</v>
      </c>
    </row>
    <row r="10" spans="1:21" x14ac:dyDescent="0.2">
      <c r="C10" s="35" t="s">
        <v>133</v>
      </c>
      <c r="D10" s="35" t="s">
        <v>134</v>
      </c>
      <c r="E10" s="35" t="s">
        <v>135</v>
      </c>
      <c r="F10" s="35" t="s">
        <v>136</v>
      </c>
      <c r="G10" s="35" t="s">
        <v>137</v>
      </c>
      <c r="H10" s="35" t="s">
        <v>138</v>
      </c>
      <c r="I10" s="35" t="s">
        <v>139</v>
      </c>
      <c r="J10" s="37" t="s">
        <v>163</v>
      </c>
      <c r="K10" s="41"/>
      <c r="L10" s="41"/>
      <c r="M10" s="41"/>
      <c r="N10" s="41"/>
      <c r="O10" s="41"/>
      <c r="P10" s="41"/>
    </row>
    <row r="11" spans="1:21" x14ac:dyDescent="0.2">
      <c r="C11" s="35"/>
      <c r="D11" s="35"/>
      <c r="E11" s="35"/>
      <c r="F11" s="35"/>
      <c r="G11" s="35"/>
      <c r="H11" s="35"/>
      <c r="I11" s="35"/>
      <c r="J11" s="35"/>
    </row>
    <row r="12" spans="1:21" x14ac:dyDescent="0.2">
      <c r="A12" s="3">
        <v>1</v>
      </c>
      <c r="B12" s="29" t="s">
        <v>118</v>
      </c>
      <c r="C12" s="4">
        <f>ROUND(+Input!$C$3*Input!E35,0)</f>
        <v>1135938</v>
      </c>
      <c r="D12" s="4">
        <f>ROUND(Input!$C$5*Input!E35,0)</f>
        <v>376789</v>
      </c>
      <c r="E12" s="4">
        <f>(C12-D12+F12)*0.15</f>
        <v>94485.15</v>
      </c>
      <c r="F12" s="4">
        <f>ROUND(Input!$C$27*Input!E35,0)</f>
        <v>-129248</v>
      </c>
      <c r="G12" s="4">
        <f>+C12-D12+F12</f>
        <v>629901</v>
      </c>
      <c r="H12" s="38">
        <f>+Input!D35</f>
        <v>2010</v>
      </c>
      <c r="I12" s="6">
        <f>(G12-E12)/H12</f>
        <v>266.37604477611939</v>
      </c>
      <c r="J12" s="55">
        <f>+'Usable Space'!D7</f>
        <v>7</v>
      </c>
      <c r="K12" s="14">
        <f>1+230+1044</f>
        <v>1275</v>
      </c>
      <c r="L12" s="14">
        <f>131+427</f>
        <v>558</v>
      </c>
      <c r="M12" s="14">
        <f>145+455</f>
        <v>600</v>
      </c>
      <c r="N12" s="14">
        <f>34+95</f>
        <v>129</v>
      </c>
      <c r="O12" s="14">
        <f>18+8</f>
        <v>26</v>
      </c>
      <c r="P12" s="14">
        <f>1+5</f>
        <v>6</v>
      </c>
      <c r="Q12" s="44">
        <f>SUM(K12:P12)</f>
        <v>2594</v>
      </c>
      <c r="S12" s="44">
        <f>SUM(K12:M12)</f>
        <v>2433</v>
      </c>
      <c r="T12" s="44">
        <f>SUM(N12:P12)</f>
        <v>161</v>
      </c>
      <c r="U12" s="44">
        <f>+S12+T12</f>
        <v>2594</v>
      </c>
    </row>
    <row r="13" spans="1:21" x14ac:dyDescent="0.2">
      <c r="A13" s="3">
        <v>2</v>
      </c>
      <c r="B13" s="9" t="s">
        <v>90</v>
      </c>
      <c r="C13" s="4">
        <f>ROUND(+Input!$C$3*Input!E36,0)</f>
        <v>5298940</v>
      </c>
      <c r="D13" s="4">
        <f>ROUND(Input!$C$5*Input!E36,0)</f>
        <v>1757653</v>
      </c>
      <c r="E13" s="4">
        <f t="shared" ref="E13:E25" si="0">(C13-D13+F13)*0.15</f>
        <v>440755.64999999997</v>
      </c>
      <c r="F13" s="4">
        <f>ROUND(Input!$C$27*Input!E36,0)</f>
        <v>-602916</v>
      </c>
      <c r="G13" s="4">
        <f t="shared" ref="G13:G25" si="1">+C13-D13+F13</f>
        <v>2938371</v>
      </c>
      <c r="H13" s="38">
        <f>+Input!D36</f>
        <v>6449</v>
      </c>
      <c r="I13" s="6">
        <f t="shared" ref="I13:I26" si="2">(G13-E13)/H13</f>
        <v>387.28723057838425</v>
      </c>
      <c r="J13" s="55">
        <f>+'Usable Space'!D8</f>
        <v>11.5</v>
      </c>
      <c r="K13" s="14">
        <v>2480</v>
      </c>
      <c r="L13" s="14">
        <v>1752</v>
      </c>
      <c r="M13" s="14">
        <v>2422</v>
      </c>
      <c r="N13" s="14">
        <v>511</v>
      </c>
      <c r="O13" s="14">
        <v>99</v>
      </c>
      <c r="P13" s="14">
        <f>16+4+2+1</f>
        <v>23</v>
      </c>
      <c r="Q13" s="44">
        <f t="shared" ref="Q13:Q25" si="3">SUM(K13:P13)</f>
        <v>7287</v>
      </c>
      <c r="S13" s="44">
        <f t="shared" ref="S13:S25" si="4">SUM(K13:M13)</f>
        <v>6654</v>
      </c>
      <c r="T13" s="44">
        <f t="shared" ref="T13:T25" si="5">SUM(N13:P13)</f>
        <v>633</v>
      </c>
      <c r="U13" s="44">
        <f t="shared" ref="U13:U25" si="6">+S13+T13</f>
        <v>7287</v>
      </c>
    </row>
    <row r="14" spans="1:21" x14ac:dyDescent="0.2">
      <c r="A14" s="3">
        <v>3</v>
      </c>
      <c r="B14" s="9" t="s">
        <v>91</v>
      </c>
      <c r="C14" s="4">
        <f>ROUND(+Input!$C$3*Input!E37,0)</f>
        <v>16983441</v>
      </c>
      <c r="D14" s="4">
        <f>ROUND(Input!$C$5*Input!E37,0)</f>
        <v>5633390</v>
      </c>
      <c r="E14" s="4">
        <f t="shared" si="0"/>
        <v>1412650.05</v>
      </c>
      <c r="F14" s="4">
        <f>ROUND(Input!$C$27*Input!E37,0)</f>
        <v>-1932384</v>
      </c>
      <c r="G14" s="4">
        <f t="shared" si="1"/>
        <v>9417667</v>
      </c>
      <c r="H14" s="38">
        <f>+Input!D37</f>
        <v>16253</v>
      </c>
      <c r="I14" s="6">
        <f t="shared" si="2"/>
        <v>492.52549990770933</v>
      </c>
      <c r="J14" s="55">
        <f>+'Usable Space'!D9</f>
        <v>16</v>
      </c>
      <c r="K14" s="14">
        <v>3223</v>
      </c>
      <c r="L14" s="14">
        <v>3945</v>
      </c>
      <c r="M14" s="14">
        <v>7204</v>
      </c>
      <c r="N14" s="14">
        <v>2179</v>
      </c>
      <c r="O14" s="14">
        <v>585</v>
      </c>
      <c r="P14" s="14">
        <f>156+50+21+5+4+1</f>
        <v>237</v>
      </c>
      <c r="Q14" s="44">
        <f t="shared" si="3"/>
        <v>17373</v>
      </c>
      <c r="S14" s="44">
        <f t="shared" si="4"/>
        <v>14372</v>
      </c>
      <c r="T14" s="44">
        <f t="shared" si="5"/>
        <v>3001</v>
      </c>
      <c r="U14" s="44">
        <f t="shared" si="6"/>
        <v>17373</v>
      </c>
    </row>
    <row r="15" spans="1:21" x14ac:dyDescent="0.2">
      <c r="A15" s="3">
        <v>4</v>
      </c>
      <c r="B15" s="9" t="s">
        <v>92</v>
      </c>
      <c r="C15" s="4">
        <f>ROUND(+Input!$C$3*Input!E38,0)</f>
        <v>20737607</v>
      </c>
      <c r="D15" s="4">
        <f>ROUND(Input!$C$5*Input!E38,0)</f>
        <v>6878643</v>
      </c>
      <c r="E15" s="4">
        <f t="shared" si="0"/>
        <v>1724914.3499999999</v>
      </c>
      <c r="F15" s="4">
        <f>ROUND(Input!$C$27*Input!E38,0)</f>
        <v>-2359535</v>
      </c>
      <c r="G15" s="4">
        <f t="shared" si="1"/>
        <v>11499429</v>
      </c>
      <c r="H15" s="38">
        <f>+Input!D38</f>
        <v>10994</v>
      </c>
      <c r="I15" s="6">
        <f t="shared" si="2"/>
        <v>889.07719210478444</v>
      </c>
      <c r="J15" s="55">
        <f>+'Usable Space'!D10</f>
        <v>20.5</v>
      </c>
      <c r="K15" s="14">
        <v>3235</v>
      </c>
      <c r="L15" s="14">
        <v>2435</v>
      </c>
      <c r="M15" s="14">
        <v>4661</v>
      </c>
      <c r="N15" s="14">
        <v>1886</v>
      </c>
      <c r="O15" s="14">
        <v>799</v>
      </c>
      <c r="P15" s="14">
        <f>325+162+65+23+7</f>
        <v>582</v>
      </c>
      <c r="Q15" s="44">
        <f t="shared" si="3"/>
        <v>13598</v>
      </c>
      <c r="S15" s="44">
        <f t="shared" si="4"/>
        <v>10331</v>
      </c>
      <c r="T15" s="44">
        <f t="shared" si="5"/>
        <v>3267</v>
      </c>
      <c r="U15" s="44">
        <f t="shared" si="6"/>
        <v>13598</v>
      </c>
    </row>
    <row r="16" spans="1:21" x14ac:dyDescent="0.2">
      <c r="A16" s="3">
        <v>5</v>
      </c>
      <c r="B16" s="9" t="s">
        <v>108</v>
      </c>
      <c r="C16" s="4">
        <f>ROUND(+Input!$C$3*Input!E39,0)</f>
        <v>7421795</v>
      </c>
      <c r="D16" s="4">
        <f>ROUND(Input!$C$5*Input!E39,0)</f>
        <v>2461802</v>
      </c>
      <c r="E16" s="4">
        <f t="shared" si="0"/>
        <v>617330.54999999993</v>
      </c>
      <c r="F16" s="4">
        <f>ROUND(Input!$C$27*Input!E39,0)</f>
        <v>-844456</v>
      </c>
      <c r="G16" s="4">
        <f t="shared" si="1"/>
        <v>4115537</v>
      </c>
      <c r="H16" s="38">
        <f>+Input!D39</f>
        <v>3071</v>
      </c>
      <c r="I16" s="6">
        <f t="shared" si="2"/>
        <v>1139.1098827743406</v>
      </c>
      <c r="J16" s="55">
        <f>+'Usable Space'!D11</f>
        <v>25</v>
      </c>
      <c r="K16" s="14">
        <v>922</v>
      </c>
      <c r="L16" s="14">
        <v>545</v>
      </c>
      <c r="M16" s="14">
        <v>988</v>
      </c>
      <c r="N16" s="14">
        <v>561</v>
      </c>
      <c r="O16" s="14">
        <v>331</v>
      </c>
      <c r="P16" s="14">
        <f>156+97+39+19+4+1</f>
        <v>316</v>
      </c>
      <c r="Q16" s="44">
        <f t="shared" si="3"/>
        <v>3663</v>
      </c>
      <c r="S16" s="44">
        <f t="shared" si="4"/>
        <v>2455</v>
      </c>
      <c r="T16" s="44">
        <f t="shared" si="5"/>
        <v>1208</v>
      </c>
      <c r="U16" s="44">
        <f t="shared" si="6"/>
        <v>3663</v>
      </c>
    </row>
    <row r="17" spans="1:21" x14ac:dyDescent="0.2">
      <c r="A17" s="3">
        <v>6</v>
      </c>
      <c r="B17" s="9" t="s">
        <v>109</v>
      </c>
      <c r="C17" s="4">
        <f>ROUND(+Input!$C$3*Input!E40,0)</f>
        <v>3012263</v>
      </c>
      <c r="D17" s="4">
        <f>ROUND(Input!$C$5*Input!E40,0)</f>
        <v>999165</v>
      </c>
      <c r="E17" s="4">
        <f t="shared" si="0"/>
        <v>250554.15</v>
      </c>
      <c r="F17" s="4">
        <f>ROUND(Input!$C$27*Input!E40,0)</f>
        <v>-342737</v>
      </c>
      <c r="G17" s="4">
        <f t="shared" si="1"/>
        <v>1670361</v>
      </c>
      <c r="H17" s="38">
        <f>+Input!D40</f>
        <v>1089</v>
      </c>
      <c r="I17" s="6">
        <f t="shared" si="2"/>
        <v>1303.7712121212121</v>
      </c>
      <c r="J17" s="55">
        <f>+'Usable Space'!D12</f>
        <v>29.5</v>
      </c>
      <c r="K17" s="14">
        <v>308</v>
      </c>
      <c r="L17" s="14">
        <v>190</v>
      </c>
      <c r="M17" s="14">
        <v>325</v>
      </c>
      <c r="N17" s="14">
        <v>241</v>
      </c>
      <c r="O17" s="14">
        <v>109</v>
      </c>
      <c r="P17" s="14">
        <f>79+31+15+4</f>
        <v>129</v>
      </c>
      <c r="Q17" s="44">
        <f t="shared" si="3"/>
        <v>1302</v>
      </c>
      <c r="S17" s="44">
        <f t="shared" si="4"/>
        <v>823</v>
      </c>
      <c r="T17" s="44">
        <f t="shared" si="5"/>
        <v>479</v>
      </c>
      <c r="U17" s="44">
        <f t="shared" si="6"/>
        <v>1302</v>
      </c>
    </row>
    <row r="18" spans="1:21" x14ac:dyDescent="0.2">
      <c r="A18" s="3">
        <v>7</v>
      </c>
      <c r="B18" s="9" t="s">
        <v>110</v>
      </c>
      <c r="C18" s="4">
        <f>ROUND(+Input!$C$3*Input!E41,0)</f>
        <v>1518378</v>
      </c>
      <c r="D18" s="4">
        <f>ROUND(Input!$C$5*Input!E41,0)</f>
        <v>503645</v>
      </c>
      <c r="E18" s="4">
        <f t="shared" si="0"/>
        <v>126295.65</v>
      </c>
      <c r="F18" s="4">
        <f>ROUND(Input!$C$27*Input!E41,0)</f>
        <v>-172762</v>
      </c>
      <c r="G18" s="4">
        <f t="shared" si="1"/>
        <v>841971</v>
      </c>
      <c r="H18" s="38">
        <f>+Input!D41</f>
        <v>452</v>
      </c>
      <c r="I18" s="6">
        <f t="shared" si="2"/>
        <v>1583.3525442477876</v>
      </c>
      <c r="J18" s="55">
        <f>+'Usable Space'!D13</f>
        <v>34</v>
      </c>
      <c r="K18" s="14">
        <v>182</v>
      </c>
      <c r="L18" s="14">
        <v>64</v>
      </c>
      <c r="M18" s="14">
        <v>172</v>
      </c>
      <c r="N18" s="14">
        <v>67</v>
      </c>
      <c r="O18" s="14">
        <v>40</v>
      </c>
      <c r="P18" s="14">
        <f>21+11+8+1</f>
        <v>41</v>
      </c>
      <c r="Q18" s="44">
        <f t="shared" si="3"/>
        <v>566</v>
      </c>
      <c r="S18" s="44">
        <f t="shared" si="4"/>
        <v>418</v>
      </c>
      <c r="T18" s="44">
        <f t="shared" si="5"/>
        <v>148</v>
      </c>
      <c r="U18" s="44">
        <f t="shared" si="6"/>
        <v>566</v>
      </c>
    </row>
    <row r="19" spans="1:21" x14ac:dyDescent="0.2">
      <c r="A19" s="3">
        <v>8</v>
      </c>
      <c r="B19" s="9" t="s">
        <v>111</v>
      </c>
      <c r="C19" s="4">
        <f>ROUND(+Input!$C$3*Input!E42,0)</f>
        <v>526168</v>
      </c>
      <c r="D19" s="4">
        <f>ROUND(Input!$C$5*Input!E42,0)</f>
        <v>174529</v>
      </c>
      <c r="E19" s="4">
        <f t="shared" si="0"/>
        <v>43765.65</v>
      </c>
      <c r="F19" s="4">
        <f>ROUND(Input!$C$27*Input!E42,0)</f>
        <v>-59868</v>
      </c>
      <c r="G19" s="4">
        <f t="shared" si="1"/>
        <v>291771</v>
      </c>
      <c r="H19" s="38">
        <f>+Input!D42</f>
        <v>119</v>
      </c>
      <c r="I19" s="6">
        <f t="shared" si="2"/>
        <v>2084.0785714285716</v>
      </c>
      <c r="J19" s="55">
        <f>+'Usable Space'!D14</f>
        <v>38.5</v>
      </c>
      <c r="K19" s="14">
        <v>56</v>
      </c>
      <c r="L19" s="14">
        <v>25</v>
      </c>
      <c r="M19" s="14">
        <v>40</v>
      </c>
      <c r="N19" s="14">
        <v>21</v>
      </c>
      <c r="O19" s="14">
        <v>11</v>
      </c>
      <c r="P19" s="14">
        <f>9+5+3</f>
        <v>17</v>
      </c>
      <c r="Q19" s="44">
        <f t="shared" si="3"/>
        <v>170</v>
      </c>
      <c r="S19" s="44">
        <f t="shared" si="4"/>
        <v>121</v>
      </c>
      <c r="T19" s="44">
        <f t="shared" si="5"/>
        <v>49</v>
      </c>
      <c r="U19" s="44">
        <f t="shared" si="6"/>
        <v>170</v>
      </c>
    </row>
    <row r="20" spans="1:21" x14ac:dyDescent="0.2">
      <c r="A20" s="3">
        <v>9</v>
      </c>
      <c r="B20" s="9" t="s">
        <v>112</v>
      </c>
      <c r="C20" s="4">
        <f>ROUND(+Input!$C$3*Input!E43,0)</f>
        <v>367501</v>
      </c>
      <c r="D20" s="4">
        <f>ROUND(Input!$C$5*Input!E43,0)</f>
        <v>121900</v>
      </c>
      <c r="E20" s="4">
        <f t="shared" si="0"/>
        <v>30568.05</v>
      </c>
      <c r="F20" s="4">
        <f>ROUND(Input!$C$27*Input!E43,0)</f>
        <v>-41814</v>
      </c>
      <c r="G20" s="4">
        <f t="shared" si="1"/>
        <v>203787</v>
      </c>
      <c r="H20" s="38">
        <f>+Input!D43</f>
        <v>67</v>
      </c>
      <c r="I20" s="6">
        <f t="shared" si="2"/>
        <v>2585.3574626865675</v>
      </c>
      <c r="J20" s="55">
        <f>+'Usable Space'!D15</f>
        <v>43</v>
      </c>
      <c r="K20" s="14">
        <v>28</v>
      </c>
      <c r="L20" s="14">
        <v>18</v>
      </c>
      <c r="M20" s="14">
        <v>28</v>
      </c>
      <c r="N20" s="14">
        <v>11</v>
      </c>
      <c r="O20" s="14">
        <v>5</v>
      </c>
      <c r="P20" s="14">
        <f>2+3</f>
        <v>5</v>
      </c>
      <c r="Q20" s="44">
        <f t="shared" si="3"/>
        <v>95</v>
      </c>
      <c r="S20" s="44">
        <f t="shared" si="4"/>
        <v>74</v>
      </c>
      <c r="T20" s="44">
        <f t="shared" si="5"/>
        <v>21</v>
      </c>
      <c r="U20" s="44">
        <f t="shared" si="6"/>
        <v>95</v>
      </c>
    </row>
    <row r="21" spans="1:21" x14ac:dyDescent="0.2">
      <c r="A21" s="3">
        <v>10</v>
      </c>
      <c r="B21" s="9" t="s">
        <v>113</v>
      </c>
      <c r="C21" s="4">
        <f>ROUND(+Input!$C$3*Input!E44,0)</f>
        <v>103320</v>
      </c>
      <c r="D21" s="4">
        <f>ROUND(Input!$C$5*Input!E44,0)</f>
        <v>34271</v>
      </c>
      <c r="E21" s="4">
        <f t="shared" si="0"/>
        <v>8593.9499999999989</v>
      </c>
      <c r="F21" s="4">
        <f>ROUND(Input!$C$27*Input!E44,0)</f>
        <v>-11756</v>
      </c>
      <c r="G21" s="4">
        <f t="shared" si="1"/>
        <v>57293</v>
      </c>
      <c r="H21" s="38">
        <f>+Input!D44</f>
        <v>13</v>
      </c>
      <c r="I21" s="6">
        <f t="shared" si="2"/>
        <v>3746.0807692307694</v>
      </c>
      <c r="J21" s="55">
        <f>+'Usable Space'!D16</f>
        <v>47.5</v>
      </c>
      <c r="K21" s="14">
        <v>8</v>
      </c>
      <c r="L21" s="14">
        <v>2</v>
      </c>
      <c r="M21" s="14">
        <v>10</v>
      </c>
      <c r="N21" s="14">
        <v>1</v>
      </c>
      <c r="O21" s="14">
        <v>1</v>
      </c>
      <c r="P21" s="14">
        <v>1</v>
      </c>
      <c r="Q21" s="44">
        <f t="shared" si="3"/>
        <v>23</v>
      </c>
      <c r="S21" s="44">
        <f t="shared" si="4"/>
        <v>20</v>
      </c>
      <c r="T21" s="44">
        <f t="shared" si="5"/>
        <v>3</v>
      </c>
      <c r="U21" s="44">
        <f t="shared" si="6"/>
        <v>23</v>
      </c>
    </row>
    <row r="22" spans="1:21" x14ac:dyDescent="0.2">
      <c r="A22" s="3">
        <v>11</v>
      </c>
      <c r="B22" s="9" t="s">
        <v>114</v>
      </c>
      <c r="C22" s="4">
        <f>ROUND(+Input!$C$3*Input!E45,0)</f>
        <v>65947</v>
      </c>
      <c r="D22" s="4">
        <f>ROUND(Input!$C$5*Input!E45,0)</f>
        <v>21874</v>
      </c>
      <c r="E22" s="4">
        <f t="shared" si="0"/>
        <v>5485.5</v>
      </c>
      <c r="F22" s="4">
        <f>ROUND(Input!$C$27*Input!E45,0)</f>
        <v>-7503</v>
      </c>
      <c r="G22" s="4">
        <f t="shared" si="1"/>
        <v>36570</v>
      </c>
      <c r="H22" s="38">
        <f>+Input!D45</f>
        <v>13</v>
      </c>
      <c r="I22" s="6">
        <f t="shared" si="2"/>
        <v>2391.1153846153848</v>
      </c>
      <c r="J22" s="55">
        <f>+'Usable Space'!D17</f>
        <v>52</v>
      </c>
      <c r="K22" s="14">
        <v>10</v>
      </c>
      <c r="L22" s="14">
        <v>1</v>
      </c>
      <c r="M22" s="14">
        <v>5</v>
      </c>
      <c r="N22" s="14">
        <v>1</v>
      </c>
      <c r="O22" s="14">
        <v>1</v>
      </c>
      <c r="P22" s="14">
        <v>0</v>
      </c>
      <c r="Q22" s="44">
        <f t="shared" si="3"/>
        <v>18</v>
      </c>
      <c r="S22" s="44">
        <f t="shared" si="4"/>
        <v>16</v>
      </c>
      <c r="T22" s="44">
        <f t="shared" si="5"/>
        <v>2</v>
      </c>
      <c r="U22" s="44">
        <f t="shared" si="6"/>
        <v>18</v>
      </c>
    </row>
    <row r="23" spans="1:21" x14ac:dyDescent="0.2">
      <c r="A23" s="3">
        <v>12</v>
      </c>
      <c r="B23" s="9" t="s">
        <v>115</v>
      </c>
      <c r="C23" s="4">
        <f>ROUND(+Input!$C$3*Input!E46,0)</f>
        <v>-1099</v>
      </c>
      <c r="D23" s="4">
        <f>ROUND(Input!$C$5*Input!E46,0)</f>
        <v>-364</v>
      </c>
      <c r="E23" s="4">
        <f t="shared" si="0"/>
        <v>-91.5</v>
      </c>
      <c r="F23" s="4">
        <f>ROUND(Input!$C$27*Input!E46,0)</f>
        <v>125</v>
      </c>
      <c r="G23" s="4">
        <f t="shared" si="1"/>
        <v>-610</v>
      </c>
      <c r="H23" s="38">
        <f>+Input!D46</f>
        <v>2</v>
      </c>
      <c r="I23" s="6">
        <f t="shared" si="2"/>
        <v>-259.25</v>
      </c>
      <c r="J23" s="55">
        <f>+'Usable Space'!D18</f>
        <v>56.5</v>
      </c>
      <c r="K23" s="14">
        <v>2</v>
      </c>
      <c r="L23" s="14">
        <v>1</v>
      </c>
      <c r="M23" s="14">
        <v>1</v>
      </c>
      <c r="N23" s="14">
        <v>0</v>
      </c>
      <c r="O23" s="14">
        <v>0</v>
      </c>
      <c r="P23" s="14">
        <v>1</v>
      </c>
      <c r="Q23" s="44">
        <f t="shared" si="3"/>
        <v>5</v>
      </c>
      <c r="S23" s="44">
        <f t="shared" si="4"/>
        <v>4</v>
      </c>
      <c r="T23" s="44">
        <f t="shared" si="5"/>
        <v>1</v>
      </c>
      <c r="U23" s="44">
        <f t="shared" si="6"/>
        <v>5</v>
      </c>
    </row>
    <row r="24" spans="1:21" x14ac:dyDescent="0.2">
      <c r="A24" s="3">
        <v>13</v>
      </c>
      <c r="B24" s="9" t="s">
        <v>116</v>
      </c>
      <c r="C24" s="4">
        <f>ROUND(+Input!$C$3*Input!E47,0)</f>
        <v>18163</v>
      </c>
      <c r="D24" s="4">
        <f>ROUND(Input!$C$5*Input!E47,0)</f>
        <v>6025</v>
      </c>
      <c r="E24" s="4">
        <f t="shared" si="0"/>
        <v>1510.6499999999999</v>
      </c>
      <c r="F24" s="4">
        <f>ROUND(Input!$C$27*Input!E47,0)</f>
        <v>-2067</v>
      </c>
      <c r="G24" s="4">
        <f t="shared" si="1"/>
        <v>10071</v>
      </c>
      <c r="H24" s="38">
        <f>+Input!D47</f>
        <v>4</v>
      </c>
      <c r="I24" s="6">
        <f t="shared" si="2"/>
        <v>2140.0875000000001</v>
      </c>
      <c r="J24" s="55">
        <f>+'Usable Space'!D19</f>
        <v>61</v>
      </c>
      <c r="K24" s="14">
        <v>4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44">
        <f t="shared" si="3"/>
        <v>4</v>
      </c>
      <c r="S24" s="44">
        <f t="shared" si="4"/>
        <v>4</v>
      </c>
      <c r="T24" s="44">
        <f t="shared" si="5"/>
        <v>0</v>
      </c>
      <c r="U24" s="44">
        <f t="shared" si="6"/>
        <v>4</v>
      </c>
    </row>
    <row r="25" spans="1:21" x14ac:dyDescent="0.2">
      <c r="A25" s="3">
        <v>14</v>
      </c>
      <c r="B25" s="9" t="s">
        <v>117</v>
      </c>
      <c r="C25" s="4">
        <f>ROUND(+Input!$C$3*Input!E48,0)</f>
        <v>-7083</v>
      </c>
      <c r="D25" s="4">
        <f>ROUND(Input!$C$5*Input!E48,0)</f>
        <v>-2349</v>
      </c>
      <c r="E25" s="4">
        <f t="shared" si="0"/>
        <v>-589.19999999999993</v>
      </c>
      <c r="F25" s="4">
        <f>ROUND(Input!$C$27*Input!E48,0)</f>
        <v>806</v>
      </c>
      <c r="G25" s="4">
        <f t="shared" si="1"/>
        <v>-3928</v>
      </c>
      <c r="H25" s="38">
        <f>+Input!D48</f>
        <v>1</v>
      </c>
      <c r="I25" s="6">
        <f t="shared" si="2"/>
        <v>-3338.8</v>
      </c>
      <c r="J25" s="55">
        <f>+'Usable Space'!D20</f>
        <v>65.5</v>
      </c>
      <c r="K25" s="14">
        <v>1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44">
        <f t="shared" si="3"/>
        <v>1</v>
      </c>
      <c r="S25" s="44">
        <f t="shared" si="4"/>
        <v>1</v>
      </c>
      <c r="T25" s="44">
        <f t="shared" si="5"/>
        <v>0</v>
      </c>
      <c r="U25" s="44">
        <f t="shared" si="6"/>
        <v>1</v>
      </c>
    </row>
    <row r="26" spans="1:21" x14ac:dyDescent="0.2">
      <c r="A26" s="3">
        <v>15</v>
      </c>
      <c r="B26" s="9" t="s">
        <v>142</v>
      </c>
      <c r="C26" s="47">
        <f>SUM(C12:C25)</f>
        <v>57181279</v>
      </c>
      <c r="D26" s="47">
        <f t="shared" ref="D26:H26" si="7">SUM(D12:D25)</f>
        <v>18966973</v>
      </c>
      <c r="E26" s="47">
        <f t="shared" si="7"/>
        <v>4756228.6500000013</v>
      </c>
      <c r="F26" s="47">
        <f t="shared" si="7"/>
        <v>-6506115</v>
      </c>
      <c r="G26" s="47">
        <f t="shared" si="7"/>
        <v>31708191</v>
      </c>
      <c r="H26" s="48">
        <f t="shared" si="7"/>
        <v>40537</v>
      </c>
      <c r="I26" s="49">
        <f t="shared" si="2"/>
        <v>664.87313688728807</v>
      </c>
      <c r="J26" s="50"/>
    </row>
    <row r="27" spans="1:21" x14ac:dyDescent="0.2">
      <c r="A27" s="3"/>
      <c r="B27" s="9"/>
      <c r="C27" s="39"/>
      <c r="D27" s="39"/>
      <c r="E27" s="39"/>
      <c r="F27" s="39"/>
      <c r="G27" s="39"/>
      <c r="H27" s="46"/>
      <c r="I27" s="31"/>
      <c r="J27" s="31"/>
    </row>
    <row r="28" spans="1:21" x14ac:dyDescent="0.2">
      <c r="A28" s="3"/>
      <c r="B28" s="9"/>
      <c r="C28" s="39"/>
      <c r="D28" s="39"/>
      <c r="E28" s="39"/>
      <c r="F28" s="39"/>
      <c r="G28" s="39"/>
      <c r="H28" s="46"/>
      <c r="I28" s="31"/>
      <c r="J28" s="31"/>
    </row>
    <row r="29" spans="1:21" x14ac:dyDescent="0.2">
      <c r="G29" s="41" t="s">
        <v>172</v>
      </c>
      <c r="H29" s="41" t="s">
        <v>174</v>
      </c>
      <c r="I29" s="56" t="s">
        <v>178</v>
      </c>
      <c r="J29" s="32"/>
    </row>
    <row r="30" spans="1:21" x14ac:dyDescent="0.2">
      <c r="G30" s="45" t="s">
        <v>173</v>
      </c>
      <c r="H30" s="45" t="s">
        <v>145</v>
      </c>
      <c r="I30" s="57" t="s">
        <v>179</v>
      </c>
      <c r="J30" s="9"/>
    </row>
    <row r="31" spans="1:21" x14ac:dyDescent="0.2">
      <c r="A31" s="3"/>
      <c r="B31" s="29"/>
      <c r="C31" s="9"/>
      <c r="D31" s="9"/>
      <c r="F31" s="9"/>
      <c r="I31" s="31"/>
      <c r="J31" s="9"/>
      <c r="L31" s="9"/>
      <c r="M31" s="9"/>
      <c r="N31" s="9"/>
      <c r="O31" s="9"/>
      <c r="P31" s="9"/>
    </row>
    <row r="32" spans="1:21" x14ac:dyDescent="0.2">
      <c r="A32" s="3">
        <v>16</v>
      </c>
      <c r="B32" s="29" t="s">
        <v>177</v>
      </c>
      <c r="C32" s="9"/>
      <c r="F32" s="9"/>
      <c r="G32" s="6">
        <f>SUMPRODUCT($I12:$I25,S12:S25)/SUM(S12:S25)</f>
        <v>651.56520462597291</v>
      </c>
      <c r="H32" s="6">
        <f>SUMPRODUCT($I12:$I25,T12:T25)/SUM(T12:T25)</f>
        <v>788.78685805571342</v>
      </c>
      <c r="I32" s="31"/>
      <c r="J32" s="9"/>
    </row>
    <row r="33" spans="1:11" x14ac:dyDescent="0.2">
      <c r="A33" s="3"/>
      <c r="B33" s="9"/>
      <c r="F33" s="9"/>
      <c r="I33" s="31"/>
    </row>
    <row r="34" spans="1:11" x14ac:dyDescent="0.2">
      <c r="A34" s="3">
        <v>17</v>
      </c>
      <c r="B34" s="29" t="s">
        <v>153</v>
      </c>
      <c r="G34" s="5">
        <f>Input!$C10</f>
        <v>6561383</v>
      </c>
      <c r="H34" s="5">
        <f>Input!$C10</f>
        <v>6561383</v>
      </c>
      <c r="I34" s="31"/>
    </row>
    <row r="35" spans="1:11" x14ac:dyDescent="0.2">
      <c r="A35" s="3">
        <v>18</v>
      </c>
      <c r="B35" s="29" t="s">
        <v>154</v>
      </c>
      <c r="G35" s="5">
        <f>Input!$C3+Input!$C11+Input!$C12</f>
        <v>262868714</v>
      </c>
      <c r="H35" s="5">
        <f>Input!$C3+Input!$C11+Input!$C12</f>
        <v>262868714</v>
      </c>
      <c r="I35" s="31"/>
    </row>
    <row r="36" spans="1:11" x14ac:dyDescent="0.2">
      <c r="A36" s="3">
        <v>19</v>
      </c>
      <c r="B36" s="29" t="s">
        <v>155</v>
      </c>
      <c r="G36" s="5">
        <f>Input!$C5+Input!$C6+Input!$C7</f>
        <v>69617757.689999998</v>
      </c>
      <c r="H36" s="5">
        <f>Input!$C5+Input!$C6+Input!$C7</f>
        <v>69617757.689999998</v>
      </c>
      <c r="I36" s="31"/>
    </row>
    <row r="37" spans="1:11" x14ac:dyDescent="0.2">
      <c r="A37" s="3">
        <v>20</v>
      </c>
      <c r="B37" s="29" t="s">
        <v>156</v>
      </c>
      <c r="G37" s="5">
        <f>+Input!$C27+Input!$C28+Input!$C29</f>
        <v>-29913049</v>
      </c>
      <c r="H37" s="5">
        <f>+Input!$C27+Input!$C28+Input!$C29</f>
        <v>-29913049</v>
      </c>
      <c r="I37" s="31"/>
    </row>
    <row r="38" spans="1:11" x14ac:dyDescent="0.2">
      <c r="A38" s="3">
        <v>21</v>
      </c>
      <c r="B38" s="29" t="s">
        <v>157</v>
      </c>
      <c r="G38" s="5">
        <f t="shared" ref="G38:H38" si="8">G35-G36+G37</f>
        <v>163337907.31</v>
      </c>
      <c r="H38" s="5">
        <f t="shared" si="8"/>
        <v>163337907.31</v>
      </c>
      <c r="I38" s="31"/>
    </row>
    <row r="39" spans="1:11" x14ac:dyDescent="0.2">
      <c r="A39" s="3">
        <v>22</v>
      </c>
      <c r="B39" s="29" t="s">
        <v>158</v>
      </c>
      <c r="G39" s="7">
        <f t="shared" ref="G39:H39" si="9">G34/G38</f>
        <v>4.0170607717822118E-2</v>
      </c>
      <c r="H39" s="7">
        <f t="shared" si="9"/>
        <v>4.0170607717822118E-2</v>
      </c>
      <c r="I39" s="31"/>
    </row>
    <row r="40" spans="1:11" x14ac:dyDescent="0.2">
      <c r="A40" s="3">
        <v>23</v>
      </c>
      <c r="B40" s="9" t="s">
        <v>0</v>
      </c>
      <c r="G40" s="7">
        <f>($C26/($C26-$D26+$F26))*Input!$C13</f>
        <v>3.7690221151373784E-2</v>
      </c>
      <c r="H40" s="7">
        <f>($C26/($C26-$D26+$F26))*Input!$C13</f>
        <v>3.7690221151373784E-2</v>
      </c>
      <c r="I40" s="31"/>
    </row>
    <row r="41" spans="1:11" x14ac:dyDescent="0.2">
      <c r="A41" s="3">
        <v>24</v>
      </c>
      <c r="B41" s="9" t="s">
        <v>146</v>
      </c>
      <c r="G41" s="7">
        <f>ROUND(Input!$C14/(Input!$C15-Input!$C16+Input!$C26),4)</f>
        <v>2.0500000000000001E-2</v>
      </c>
      <c r="H41" s="7">
        <f>ROUND(Input!$C14/(Input!$C15-Input!$C16+Input!$C26),4)</f>
        <v>2.0500000000000001E-2</v>
      </c>
      <c r="I41" s="31"/>
    </row>
    <row r="42" spans="1:11" x14ac:dyDescent="0.2">
      <c r="A42" s="3">
        <v>25</v>
      </c>
      <c r="B42" s="9" t="s">
        <v>147</v>
      </c>
      <c r="G42" s="8">
        <f>SUM(Input!$C20:$C25)/(Input!$C15-Input!$C16+Input!$C26)</f>
        <v>1.6891194177529389E-2</v>
      </c>
      <c r="H42" s="8">
        <f>SUM(Input!$C20:$C25)/(Input!$C15-Input!$C16+Input!$C26)</f>
        <v>1.6891194177529389E-2</v>
      </c>
      <c r="I42" s="31"/>
    </row>
    <row r="43" spans="1:11" x14ac:dyDescent="0.2">
      <c r="A43" s="3">
        <v>26</v>
      </c>
      <c r="B43" s="9" t="s">
        <v>1</v>
      </c>
      <c r="G43" s="60">
        <f>Input!$C30</f>
        <v>7.9680000000000001E-2</v>
      </c>
      <c r="H43" s="60">
        <f>Input!$C30</f>
        <v>7.9680000000000001E-2</v>
      </c>
      <c r="I43" s="31"/>
      <c r="K43" s="43"/>
    </row>
    <row r="44" spans="1:11" x14ac:dyDescent="0.2">
      <c r="A44" s="3">
        <v>27</v>
      </c>
      <c r="B44" s="9" t="s">
        <v>148</v>
      </c>
      <c r="G44" s="7">
        <f t="shared" ref="G44:H44" si="10">SUM(G39:G43)</f>
        <v>0.1949320230467253</v>
      </c>
      <c r="H44" s="7">
        <f t="shared" si="10"/>
        <v>0.1949320230467253</v>
      </c>
      <c r="I44" s="31"/>
      <c r="J44" s="51"/>
      <c r="K44" s="52"/>
    </row>
    <row r="45" spans="1:11" x14ac:dyDescent="0.2">
      <c r="A45" s="3">
        <v>28</v>
      </c>
      <c r="B45" s="9" t="s">
        <v>151</v>
      </c>
      <c r="G45" s="32">
        <v>1</v>
      </c>
      <c r="H45" s="32">
        <v>1</v>
      </c>
      <c r="I45" s="31"/>
      <c r="J45" s="29"/>
    </row>
    <row r="46" spans="1:11" x14ac:dyDescent="0.2">
      <c r="A46" s="3">
        <v>29</v>
      </c>
      <c r="B46" s="29" t="s">
        <v>152</v>
      </c>
      <c r="G46" s="9">
        <f>ROUND(SUMPRODUCT($J$12:$J$25,S12:S25)/SUM(S12:S25),2)</f>
        <v>17.11</v>
      </c>
      <c r="H46" s="9">
        <f>ROUND(SUMPRODUCT($J$12:$J$25,T12:T25)/SUM(T12:T25),2)</f>
        <v>19.600000000000001</v>
      </c>
      <c r="I46" s="31"/>
      <c r="J46" s="9"/>
    </row>
    <row r="47" spans="1:11" x14ac:dyDescent="0.2">
      <c r="A47" s="3">
        <v>30</v>
      </c>
      <c r="B47" s="9" t="s">
        <v>149</v>
      </c>
      <c r="G47" s="7">
        <f>G45/G46</f>
        <v>5.8445353594389245E-2</v>
      </c>
      <c r="H47" s="7">
        <f>H45/H46</f>
        <v>5.10204081632653E-2</v>
      </c>
      <c r="I47" s="31"/>
      <c r="J47" s="9"/>
    </row>
    <row r="48" spans="1:11" x14ac:dyDescent="0.2">
      <c r="A48" s="3">
        <v>31</v>
      </c>
      <c r="B48" s="9" t="s">
        <v>150</v>
      </c>
      <c r="G48" s="31">
        <f t="shared" ref="G48:H48" si="11">(G32*G44)*G47</f>
        <v>7.4231983334070391</v>
      </c>
      <c r="H48" s="31">
        <f t="shared" si="11"/>
        <v>7.8448886731362419</v>
      </c>
      <c r="I48" s="31"/>
      <c r="J48" s="9"/>
    </row>
    <row r="49" spans="1:20" x14ac:dyDescent="0.2">
      <c r="A49" s="3">
        <v>32</v>
      </c>
      <c r="B49" s="9" t="s">
        <v>143</v>
      </c>
      <c r="C49" s="9"/>
      <c r="D49" s="9"/>
      <c r="E49" s="9"/>
      <c r="F49" s="9"/>
      <c r="G49" s="58">
        <f>SUM(S12:S25)</f>
        <v>37726</v>
      </c>
      <c r="H49" s="58">
        <f>SUM(T12:T25)</f>
        <v>8973</v>
      </c>
      <c r="I49" s="59">
        <f>+G49+H49</f>
        <v>46699</v>
      </c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2">
      <c r="A50" s="3">
        <v>33</v>
      </c>
      <c r="B50" s="9" t="s">
        <v>180</v>
      </c>
      <c r="C50" s="9"/>
      <c r="D50" s="9"/>
      <c r="E50" s="9"/>
      <c r="F50" s="9"/>
      <c r="G50" s="5">
        <f>+G48*G49</f>
        <v>280047.58032611397</v>
      </c>
      <c r="H50" s="5">
        <f>+H48*H49</f>
        <v>70392.186064051493</v>
      </c>
      <c r="I50" s="4">
        <f>+G50+H50</f>
        <v>350439.76639016543</v>
      </c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2">
      <c r="A51" s="3">
        <v>34</v>
      </c>
      <c r="B51" s="29" t="s">
        <v>181</v>
      </c>
      <c r="C51" s="9"/>
      <c r="D51" s="9"/>
      <c r="E51" s="9"/>
      <c r="F51" s="9"/>
      <c r="G51" s="9"/>
      <c r="H51" s="9"/>
      <c r="I51" s="31">
        <f>+I50/I49</f>
        <v>7.5042242101579353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</sheetData>
  <pageMargins left="0.75" right="0.75" top="1" bottom="1" header="0.5" footer="0.5"/>
  <pageSetup scale="58" orientation="landscape" r:id="rId1"/>
  <headerFooter alignWithMargins="0">
    <oddHeader>&amp;R&amp;"Times New Roman,Bold"KyPSC Case No. 2024-00354
Attachment BLS-5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5CCA7-5D71-420C-9C07-D79C701F248A}">
  <dimension ref="A1:M50"/>
  <sheetViews>
    <sheetView view="pageLayout" topLeftCell="A9" zoomScaleNormal="100" workbookViewId="0">
      <selection activeCell="V3" sqref="V3"/>
    </sheetView>
  </sheetViews>
  <sheetFormatPr defaultRowHeight="12.75" x14ac:dyDescent="0.2"/>
  <cols>
    <col min="1" max="1" width="9.140625" style="63"/>
    <col min="2" max="2" width="43.28515625" style="63" customWidth="1"/>
    <col min="3" max="3" width="16" style="63" customWidth="1"/>
    <col min="4" max="5" width="9.140625" style="63"/>
    <col min="6" max="6" width="17.28515625" style="63" customWidth="1"/>
    <col min="7" max="7" width="14" style="63" bestFit="1" customWidth="1"/>
    <col min="8" max="8" width="11" style="63" customWidth="1"/>
    <col min="9" max="9" width="13.85546875" style="63" customWidth="1"/>
    <col min="10" max="10" width="9.140625" style="63"/>
    <col min="11" max="11" width="14.28515625" style="63" customWidth="1"/>
    <col min="12" max="12" width="12.7109375" style="63" customWidth="1"/>
    <col min="13" max="13" width="13.7109375" style="63" customWidth="1"/>
    <col min="14" max="16384" width="9.140625" style="63"/>
  </cols>
  <sheetData>
    <row r="1" spans="1:10" x14ac:dyDescent="0.2">
      <c r="A1" s="61"/>
      <c r="B1" s="62" t="s">
        <v>2</v>
      </c>
    </row>
    <row r="2" spans="1:10" x14ac:dyDescent="0.2">
      <c r="A2" s="61"/>
    </row>
    <row r="3" spans="1:10" x14ac:dyDescent="0.2">
      <c r="A3" s="61" t="s">
        <v>3</v>
      </c>
      <c r="B3" s="63" t="s">
        <v>29</v>
      </c>
      <c r="C3" s="64">
        <v>79009021</v>
      </c>
      <c r="E3" s="65" t="s">
        <v>70</v>
      </c>
      <c r="G3" s="64"/>
      <c r="H3" s="64"/>
      <c r="I3" s="64"/>
      <c r="J3" s="64"/>
    </row>
    <row r="4" spans="1:10" x14ac:dyDescent="0.2">
      <c r="A4" s="61" t="s">
        <v>4</v>
      </c>
      <c r="B4" s="63" t="s">
        <v>30</v>
      </c>
      <c r="C4" s="64">
        <v>160353451</v>
      </c>
      <c r="E4" s="65" t="s">
        <v>69</v>
      </c>
      <c r="G4" s="64"/>
      <c r="H4" s="64"/>
      <c r="I4" s="64"/>
      <c r="J4" s="64"/>
    </row>
    <row r="5" spans="1:10" x14ac:dyDescent="0.2">
      <c r="A5" s="61"/>
      <c r="B5" s="63" t="s">
        <v>31</v>
      </c>
      <c r="C5" s="64">
        <v>26207213.039999999</v>
      </c>
      <c r="E5" s="63" t="s">
        <v>38</v>
      </c>
      <c r="G5" s="64"/>
      <c r="H5" s="64"/>
      <c r="I5" s="64"/>
      <c r="J5" s="64"/>
    </row>
    <row r="6" spans="1:10" x14ac:dyDescent="0.2">
      <c r="A6" s="61"/>
      <c r="B6" s="63" t="s">
        <v>32</v>
      </c>
      <c r="C6" s="64">
        <v>32839432.399999999</v>
      </c>
      <c r="E6" s="63" t="s">
        <v>38</v>
      </c>
      <c r="G6" s="64"/>
      <c r="H6" s="64"/>
      <c r="I6" s="64"/>
      <c r="J6" s="64"/>
    </row>
    <row r="7" spans="1:10" x14ac:dyDescent="0.2">
      <c r="A7" s="61"/>
      <c r="B7" s="63" t="s">
        <v>5</v>
      </c>
      <c r="C7" s="64">
        <v>10571112.25</v>
      </c>
      <c r="E7" s="63" t="s">
        <v>38</v>
      </c>
      <c r="G7" s="64"/>
      <c r="H7" s="64"/>
      <c r="I7" s="64"/>
      <c r="J7" s="64"/>
    </row>
    <row r="8" spans="1:10" x14ac:dyDescent="0.2">
      <c r="A8" s="61" t="s">
        <v>6</v>
      </c>
      <c r="B8" s="63" t="s">
        <v>33</v>
      </c>
      <c r="C8" s="64">
        <v>690968816</v>
      </c>
      <c r="E8" s="65" t="s">
        <v>65</v>
      </c>
      <c r="G8" s="64"/>
      <c r="H8" s="64"/>
      <c r="I8" s="64"/>
      <c r="J8" s="64"/>
    </row>
    <row r="9" spans="1:10" x14ac:dyDescent="0.2">
      <c r="A9" s="61" t="s">
        <v>7</v>
      </c>
      <c r="B9" s="63" t="s">
        <v>34</v>
      </c>
      <c r="C9" s="66">
        <f>+D49</f>
        <v>40537</v>
      </c>
      <c r="E9" s="63" t="s">
        <v>38</v>
      </c>
      <c r="G9" s="67"/>
      <c r="H9" s="67"/>
      <c r="I9" s="67"/>
      <c r="J9" s="67"/>
    </row>
    <row r="10" spans="1:10" x14ac:dyDescent="0.2">
      <c r="A10" s="61" t="s">
        <v>8</v>
      </c>
      <c r="B10" s="63" t="s">
        <v>35</v>
      </c>
      <c r="C10" s="64">
        <v>6561383</v>
      </c>
      <c r="E10" s="65" t="s">
        <v>71</v>
      </c>
      <c r="G10" s="64"/>
      <c r="H10" s="64"/>
      <c r="I10" s="64"/>
      <c r="J10" s="64"/>
    </row>
    <row r="11" spans="1:10" x14ac:dyDescent="0.2">
      <c r="A11" s="61" t="s">
        <v>9</v>
      </c>
      <c r="B11" s="63" t="s">
        <v>36</v>
      </c>
      <c r="C11" s="64">
        <v>161459055</v>
      </c>
      <c r="E11" s="65" t="s">
        <v>72</v>
      </c>
      <c r="G11" s="64"/>
      <c r="H11" s="64"/>
      <c r="I11" s="64"/>
      <c r="J11" s="64"/>
    </row>
    <row r="12" spans="1:10" x14ac:dyDescent="0.2">
      <c r="A12" s="61" t="s">
        <v>10</v>
      </c>
      <c r="B12" s="63" t="s">
        <v>37</v>
      </c>
      <c r="C12" s="64">
        <v>22400638</v>
      </c>
      <c r="E12" s="65" t="s">
        <v>73</v>
      </c>
      <c r="G12" s="64"/>
      <c r="H12" s="64"/>
      <c r="I12" s="64"/>
      <c r="J12" s="64"/>
    </row>
    <row r="13" spans="1:10" x14ac:dyDescent="0.2">
      <c r="A13" s="61" t="s">
        <v>11</v>
      </c>
      <c r="B13" s="63" t="s">
        <v>12</v>
      </c>
      <c r="C13" s="68">
        <v>2.0899999999999998E-2</v>
      </c>
      <c r="E13" s="63" t="s">
        <v>38</v>
      </c>
      <c r="G13" s="68"/>
      <c r="H13" s="68"/>
      <c r="I13" s="68"/>
      <c r="J13" s="68"/>
    </row>
    <row r="14" spans="1:10" x14ac:dyDescent="0.2">
      <c r="A14" s="61" t="s">
        <v>13</v>
      </c>
      <c r="B14" s="63" t="s">
        <v>39</v>
      </c>
      <c r="C14" s="64">
        <v>24047481</v>
      </c>
      <c r="E14" s="65" t="s">
        <v>66</v>
      </c>
      <c r="G14" s="64"/>
      <c r="H14" s="64"/>
      <c r="I14" s="64"/>
      <c r="J14" s="64"/>
    </row>
    <row r="15" spans="1:10" x14ac:dyDescent="0.2">
      <c r="A15" s="61" t="s">
        <v>14</v>
      </c>
      <c r="B15" s="63" t="s">
        <v>40</v>
      </c>
      <c r="C15" s="64">
        <v>2318455311</v>
      </c>
      <c r="E15" s="65" t="s">
        <v>67</v>
      </c>
      <c r="G15" s="64"/>
      <c r="H15" s="64"/>
      <c r="I15" s="64"/>
      <c r="J15" s="64"/>
    </row>
    <row r="16" spans="1:10" x14ac:dyDescent="0.2">
      <c r="A16" s="61" t="s">
        <v>15</v>
      </c>
      <c r="B16" s="63" t="s">
        <v>16</v>
      </c>
      <c r="C16" s="64">
        <v>880996299</v>
      </c>
      <c r="E16" s="65" t="s">
        <v>68</v>
      </c>
      <c r="G16" s="64"/>
      <c r="H16" s="64"/>
      <c r="I16" s="64"/>
      <c r="J16" s="64"/>
    </row>
    <row r="17" spans="1:10" x14ac:dyDescent="0.2">
      <c r="A17" s="61"/>
      <c r="B17" s="63" t="s">
        <v>77</v>
      </c>
      <c r="C17" s="64">
        <v>0</v>
      </c>
      <c r="E17" s="65" t="s">
        <v>87</v>
      </c>
      <c r="G17" s="64"/>
      <c r="H17" s="64"/>
      <c r="I17" s="64"/>
      <c r="J17" s="64"/>
    </row>
    <row r="18" spans="1:10" x14ac:dyDescent="0.2">
      <c r="A18" s="61"/>
      <c r="B18" s="63" t="s">
        <v>78</v>
      </c>
      <c r="C18" s="64">
        <v>241961189</v>
      </c>
      <c r="E18" s="65" t="s">
        <v>88</v>
      </c>
      <c r="G18" s="64"/>
      <c r="H18" s="64"/>
      <c r="I18" s="64"/>
      <c r="J18" s="64"/>
    </row>
    <row r="19" spans="1:10" x14ac:dyDescent="0.2">
      <c r="A19" s="61"/>
      <c r="B19" s="63" t="s">
        <v>79</v>
      </c>
      <c r="C19" s="64">
        <v>25097565</v>
      </c>
      <c r="E19" s="65" t="s">
        <v>89</v>
      </c>
      <c r="G19" s="64"/>
      <c r="H19" s="64"/>
      <c r="I19" s="64"/>
      <c r="J19" s="64"/>
    </row>
    <row r="20" spans="1:10" x14ac:dyDescent="0.2">
      <c r="A20" s="61" t="s">
        <v>17</v>
      </c>
      <c r="B20" s="63" t="s">
        <v>41</v>
      </c>
      <c r="C20" s="64">
        <v>11785321</v>
      </c>
      <c r="E20" s="65" t="s">
        <v>94</v>
      </c>
      <c r="G20" s="64"/>
      <c r="H20" s="64"/>
      <c r="I20" s="64"/>
      <c r="J20" s="64"/>
    </row>
    <row r="21" spans="1:10" x14ac:dyDescent="0.2">
      <c r="A21" s="61" t="s">
        <v>18</v>
      </c>
      <c r="B21" s="63" t="s">
        <v>42</v>
      </c>
      <c r="C21" s="64">
        <v>9069527</v>
      </c>
      <c r="E21" s="65" t="s">
        <v>95</v>
      </c>
      <c r="G21" s="64"/>
      <c r="H21" s="64"/>
      <c r="I21" s="64"/>
      <c r="J21" s="64"/>
    </row>
    <row r="22" spans="1:10" x14ac:dyDescent="0.2">
      <c r="A22" s="61" t="s">
        <v>19</v>
      </c>
      <c r="B22" s="63" t="s">
        <v>43</v>
      </c>
      <c r="C22" s="64">
        <v>535181</v>
      </c>
      <c r="E22" s="65" t="s">
        <v>96</v>
      </c>
      <c r="G22" s="64"/>
      <c r="H22" s="64"/>
      <c r="I22" s="64"/>
      <c r="J22" s="64"/>
    </row>
    <row r="23" spans="1:10" x14ac:dyDescent="0.2">
      <c r="A23" s="61" t="s">
        <v>20</v>
      </c>
      <c r="B23" s="63" t="s">
        <v>44</v>
      </c>
      <c r="C23" s="64">
        <v>44373898</v>
      </c>
      <c r="E23" s="65" t="s">
        <v>97</v>
      </c>
      <c r="G23" s="64"/>
      <c r="H23" s="64"/>
      <c r="I23" s="64"/>
      <c r="J23" s="64"/>
    </row>
    <row r="24" spans="1:10" x14ac:dyDescent="0.2">
      <c r="A24" s="61" t="s">
        <v>25</v>
      </c>
      <c r="B24" s="63" t="s">
        <v>183</v>
      </c>
      <c r="C24" s="64">
        <v>-45923485</v>
      </c>
      <c r="E24" s="65" t="s">
        <v>98</v>
      </c>
      <c r="G24" s="64"/>
      <c r="H24" s="64"/>
      <c r="I24" s="64"/>
      <c r="J24" s="64"/>
    </row>
    <row r="25" spans="1:10" x14ac:dyDescent="0.2">
      <c r="A25" s="61" t="s">
        <v>26</v>
      </c>
      <c r="B25" s="63" t="s">
        <v>45</v>
      </c>
      <c r="C25" s="64">
        <v>0</v>
      </c>
      <c r="E25" s="65" t="s">
        <v>99</v>
      </c>
      <c r="G25" s="64"/>
      <c r="H25" s="64"/>
      <c r="I25" s="64"/>
      <c r="J25" s="64"/>
    </row>
    <row r="26" spans="1:10" x14ac:dyDescent="0.2">
      <c r="A26" s="61" t="s">
        <v>27</v>
      </c>
      <c r="B26" s="63" t="s">
        <v>80</v>
      </c>
      <c r="C26" s="64">
        <f>'DEK Deferred Tax Calc - Pole '!H19</f>
        <v>-262856329</v>
      </c>
      <c r="E26" s="63" t="s">
        <v>22</v>
      </c>
      <c r="G26" s="64"/>
      <c r="H26" s="64"/>
      <c r="I26" s="64"/>
      <c r="J26" s="64"/>
    </row>
    <row r="27" spans="1:10" x14ac:dyDescent="0.2">
      <c r="A27" s="61"/>
      <c r="B27" s="63" t="s">
        <v>21</v>
      </c>
      <c r="C27" s="64">
        <f>'DEK Deferred Tax Calc - Pole '!H24</f>
        <v>-8989686</v>
      </c>
      <c r="E27" s="63" t="s">
        <v>22</v>
      </c>
      <c r="G27" s="64"/>
      <c r="H27" s="64"/>
      <c r="I27" s="64"/>
      <c r="J27" s="64"/>
    </row>
    <row r="28" spans="1:10" x14ac:dyDescent="0.2">
      <c r="A28" s="61"/>
      <c r="B28" s="63" t="s">
        <v>23</v>
      </c>
      <c r="C28" s="64">
        <f>'DEK Deferred Tax Calc - Pole '!H25</f>
        <v>-18373657</v>
      </c>
      <c r="E28" s="63" t="s">
        <v>22</v>
      </c>
      <c r="G28" s="64"/>
      <c r="H28" s="64"/>
      <c r="I28" s="64"/>
      <c r="J28" s="64"/>
    </row>
    <row r="29" spans="1:10" x14ac:dyDescent="0.2">
      <c r="A29" s="61"/>
      <c r="B29" s="63" t="s">
        <v>24</v>
      </c>
      <c r="C29" s="64">
        <f>'DEK Deferred Tax Calc - Pole '!H26</f>
        <v>-2549706</v>
      </c>
      <c r="E29" s="63" t="s">
        <v>22</v>
      </c>
      <c r="G29" s="64"/>
      <c r="H29" s="64"/>
      <c r="I29" s="64"/>
      <c r="J29" s="64"/>
    </row>
    <row r="30" spans="1:10" x14ac:dyDescent="0.2">
      <c r="A30" s="61" t="s">
        <v>28</v>
      </c>
      <c r="B30" s="63" t="s">
        <v>1</v>
      </c>
      <c r="C30" s="69">
        <v>7.9680000000000001E-2</v>
      </c>
      <c r="E30" s="65" t="str">
        <f>+"Proposed in KYPSC "&amp;'Pole Attachment ADMIN 251'!A2</f>
        <v>Proposed in KYPSC Case No. 2024-00354</v>
      </c>
      <c r="G30" s="68"/>
      <c r="H30" s="68"/>
      <c r="I30" s="68"/>
      <c r="J30" s="68"/>
    </row>
    <row r="33" spans="2:13" x14ac:dyDescent="0.2">
      <c r="G33" s="70" t="s">
        <v>186</v>
      </c>
      <c r="H33" s="70"/>
      <c r="I33" s="70"/>
      <c r="K33" s="70" t="s">
        <v>187</v>
      </c>
      <c r="L33" s="70"/>
      <c r="M33" s="70"/>
    </row>
    <row r="34" spans="2:13" x14ac:dyDescent="0.2">
      <c r="C34" s="71" t="s">
        <v>103</v>
      </c>
      <c r="D34" s="63" t="s">
        <v>100</v>
      </c>
      <c r="G34" s="72">
        <v>45291</v>
      </c>
      <c r="H34" s="61" t="s">
        <v>141</v>
      </c>
      <c r="I34" s="61" t="s">
        <v>142</v>
      </c>
      <c r="K34" s="72">
        <v>45291</v>
      </c>
      <c r="L34" s="61" t="s">
        <v>141</v>
      </c>
      <c r="M34" s="61" t="s">
        <v>142</v>
      </c>
    </row>
    <row r="35" spans="2:13" x14ac:dyDescent="0.2">
      <c r="B35" s="63" t="s">
        <v>107</v>
      </c>
      <c r="C35" s="73">
        <f>+G35</f>
        <v>1135937.780000001</v>
      </c>
      <c r="D35" s="66">
        <f>+K35</f>
        <v>2010</v>
      </c>
      <c r="E35" s="74">
        <f>C35/$C$50</f>
        <v>1.4377317496441337E-2</v>
      </c>
      <c r="G35" s="75">
        <v>1135937.780000001</v>
      </c>
      <c r="H35" s="75">
        <v>6294.49</v>
      </c>
      <c r="I35" s="76">
        <f>+G35+H35</f>
        <v>1142232.2700000009</v>
      </c>
      <c r="K35" s="77">
        <v>2010</v>
      </c>
      <c r="L35" s="77">
        <v>4</v>
      </c>
      <c r="M35" s="78">
        <f>+K35+L35</f>
        <v>2014</v>
      </c>
    </row>
    <row r="36" spans="2:13" x14ac:dyDescent="0.2">
      <c r="B36" s="63" t="s">
        <v>90</v>
      </c>
      <c r="C36" s="73">
        <f t="shared" ref="C36:C48" si="0">+G36</f>
        <v>5298939.5499999924</v>
      </c>
      <c r="D36" s="66">
        <f t="shared" ref="D36:D48" si="1">+K36</f>
        <v>6449</v>
      </c>
      <c r="E36" s="74">
        <f>C36/$C$50</f>
        <v>6.7067525744939835E-2</v>
      </c>
      <c r="G36" s="75">
        <v>5298939.5499999924</v>
      </c>
      <c r="H36" s="75">
        <v>56266.020000000004</v>
      </c>
      <c r="I36" s="76">
        <f t="shared" ref="I36:I48" si="2">+G36+H36</f>
        <v>5355205.5699999919</v>
      </c>
      <c r="K36" s="77">
        <v>6449</v>
      </c>
      <c r="L36" s="77">
        <v>18</v>
      </c>
      <c r="M36" s="78">
        <f t="shared" ref="M36:M48" si="3">+K36+L36</f>
        <v>6467</v>
      </c>
    </row>
    <row r="37" spans="2:13" x14ac:dyDescent="0.2">
      <c r="B37" s="63" t="s">
        <v>91</v>
      </c>
      <c r="C37" s="73">
        <f t="shared" si="0"/>
        <v>16983440.92999997</v>
      </c>
      <c r="D37" s="66">
        <f t="shared" si="1"/>
        <v>16253</v>
      </c>
      <c r="E37" s="74">
        <f>C37/$C$50</f>
        <v>0.214955719170346</v>
      </c>
      <c r="G37" s="75">
        <v>16983440.92999997</v>
      </c>
      <c r="H37" s="75">
        <v>117781.89000000001</v>
      </c>
      <c r="I37" s="76">
        <f t="shared" si="2"/>
        <v>17101222.81999997</v>
      </c>
      <c r="K37" s="77">
        <v>16253</v>
      </c>
      <c r="L37" s="77">
        <v>33</v>
      </c>
      <c r="M37" s="78">
        <f t="shared" si="3"/>
        <v>16286</v>
      </c>
    </row>
    <row r="38" spans="2:13" x14ac:dyDescent="0.2">
      <c r="B38" s="63" t="s">
        <v>92</v>
      </c>
      <c r="C38" s="73">
        <f t="shared" si="0"/>
        <v>20737606.590000134</v>
      </c>
      <c r="D38" s="66">
        <f t="shared" si="1"/>
        <v>10994</v>
      </c>
      <c r="E38" s="74">
        <f>C38/$C$50</f>
        <v>0.26247137766711642</v>
      </c>
      <c r="G38" s="75">
        <v>20737606.590000134</v>
      </c>
      <c r="H38" s="75">
        <v>663487.12</v>
      </c>
      <c r="I38" s="76">
        <f t="shared" si="2"/>
        <v>21401093.710000135</v>
      </c>
      <c r="K38" s="77">
        <v>10994</v>
      </c>
      <c r="L38" s="77">
        <v>195</v>
      </c>
      <c r="M38" s="78">
        <f t="shared" si="3"/>
        <v>11189</v>
      </c>
    </row>
    <row r="39" spans="2:13" x14ac:dyDescent="0.2">
      <c r="B39" s="63" t="s">
        <v>108</v>
      </c>
      <c r="C39" s="73">
        <f t="shared" si="0"/>
        <v>7421794.8100000005</v>
      </c>
      <c r="D39" s="66">
        <f t="shared" si="1"/>
        <v>3071</v>
      </c>
      <c r="E39" s="74">
        <f t="shared" ref="E39:E48" si="4">C39/$C$50</f>
        <v>9.3936043201952854E-2</v>
      </c>
      <c r="G39" s="75">
        <v>7421794.8100000005</v>
      </c>
      <c r="H39" s="75">
        <v>428462.09000000008</v>
      </c>
      <c r="I39" s="76">
        <f t="shared" si="2"/>
        <v>7850256.9000000004</v>
      </c>
      <c r="K39" s="77">
        <v>3071</v>
      </c>
      <c r="L39" s="77">
        <v>74</v>
      </c>
      <c r="M39" s="78">
        <f t="shared" si="3"/>
        <v>3145</v>
      </c>
    </row>
    <row r="40" spans="2:13" x14ac:dyDescent="0.2">
      <c r="B40" s="63" t="s">
        <v>109</v>
      </c>
      <c r="C40" s="73">
        <f t="shared" si="0"/>
        <v>3012262.8800000022</v>
      </c>
      <c r="D40" s="66">
        <f t="shared" si="1"/>
        <v>1089</v>
      </c>
      <c r="E40" s="74">
        <f t="shared" si="4"/>
        <v>3.812555632096748E-2</v>
      </c>
      <c r="G40" s="75">
        <v>3012262.8800000022</v>
      </c>
      <c r="H40" s="75">
        <v>150428.93</v>
      </c>
      <c r="I40" s="76">
        <f t="shared" si="2"/>
        <v>3162691.8100000024</v>
      </c>
      <c r="K40" s="77">
        <v>1089</v>
      </c>
      <c r="L40" s="77">
        <v>22</v>
      </c>
      <c r="M40" s="78">
        <f t="shared" si="3"/>
        <v>1111</v>
      </c>
    </row>
    <row r="41" spans="2:13" x14ac:dyDescent="0.2">
      <c r="B41" s="63" t="s">
        <v>110</v>
      </c>
      <c r="C41" s="73">
        <f t="shared" si="0"/>
        <v>1518378.1800000009</v>
      </c>
      <c r="D41" s="66">
        <f t="shared" si="1"/>
        <v>452</v>
      </c>
      <c r="E41" s="74">
        <f t="shared" si="4"/>
        <v>1.9217782485875894E-2</v>
      </c>
      <c r="G41" s="75">
        <v>1518378.1800000009</v>
      </c>
      <c r="H41" s="75">
        <v>161999.04000000001</v>
      </c>
      <c r="I41" s="76">
        <f t="shared" si="2"/>
        <v>1680377.2200000009</v>
      </c>
      <c r="K41" s="77">
        <v>452</v>
      </c>
      <c r="L41" s="77">
        <v>21</v>
      </c>
      <c r="M41" s="78">
        <f t="shared" si="3"/>
        <v>473</v>
      </c>
    </row>
    <row r="42" spans="2:13" x14ac:dyDescent="0.2">
      <c r="B42" s="63" t="s">
        <v>111</v>
      </c>
      <c r="C42" s="73">
        <f t="shared" si="0"/>
        <v>526168.06000000006</v>
      </c>
      <c r="D42" s="66">
        <f t="shared" si="1"/>
        <v>119</v>
      </c>
      <c r="E42" s="74">
        <f t="shared" si="4"/>
        <v>6.6595947315940046E-3</v>
      </c>
      <c r="G42" s="75">
        <v>526168.06000000006</v>
      </c>
      <c r="H42" s="75">
        <v>87316.33</v>
      </c>
      <c r="I42" s="76">
        <f t="shared" si="2"/>
        <v>613484.39</v>
      </c>
      <c r="K42" s="77">
        <v>119</v>
      </c>
      <c r="L42" s="77">
        <v>10</v>
      </c>
      <c r="M42" s="78">
        <f t="shared" si="3"/>
        <v>129</v>
      </c>
    </row>
    <row r="43" spans="2:13" x14ac:dyDescent="0.2">
      <c r="B43" s="63" t="s">
        <v>112</v>
      </c>
      <c r="C43" s="73">
        <f t="shared" si="0"/>
        <v>367500.52999999985</v>
      </c>
      <c r="D43" s="66">
        <f t="shared" si="1"/>
        <v>67</v>
      </c>
      <c r="E43" s="74">
        <f t="shared" si="4"/>
        <v>4.6513743031950721E-3</v>
      </c>
      <c r="G43" s="75">
        <v>367500.52999999985</v>
      </c>
      <c r="H43" s="75">
        <v>87717.26999999999</v>
      </c>
      <c r="I43" s="76">
        <f t="shared" si="2"/>
        <v>455217.79999999981</v>
      </c>
      <c r="K43" s="77">
        <v>67</v>
      </c>
      <c r="L43" s="77">
        <v>6</v>
      </c>
      <c r="M43" s="78">
        <f t="shared" si="3"/>
        <v>73</v>
      </c>
    </row>
    <row r="44" spans="2:13" x14ac:dyDescent="0.2">
      <c r="B44" s="63" t="s">
        <v>113</v>
      </c>
      <c r="C44" s="73">
        <f t="shared" si="0"/>
        <v>103319.66000000005</v>
      </c>
      <c r="D44" s="66">
        <f t="shared" si="1"/>
        <v>13</v>
      </c>
      <c r="E44" s="74">
        <f t="shared" si="4"/>
        <v>1.307694472002128E-3</v>
      </c>
      <c r="G44" s="75">
        <v>103319.66000000005</v>
      </c>
      <c r="H44" s="75">
        <v>0</v>
      </c>
      <c r="I44" s="76">
        <f t="shared" si="2"/>
        <v>103319.66000000005</v>
      </c>
      <c r="K44" s="77">
        <v>13</v>
      </c>
      <c r="L44" s="77">
        <v>0</v>
      </c>
      <c r="M44" s="78">
        <f t="shared" si="3"/>
        <v>13</v>
      </c>
    </row>
    <row r="45" spans="2:13" x14ac:dyDescent="0.2">
      <c r="B45" s="63" t="s">
        <v>114</v>
      </c>
      <c r="C45" s="73">
        <f t="shared" si="0"/>
        <v>65946.679999999993</v>
      </c>
      <c r="D45" s="66">
        <f t="shared" si="1"/>
        <v>13</v>
      </c>
      <c r="E45" s="74">
        <f t="shared" si="4"/>
        <v>8.3467279008557764E-4</v>
      </c>
      <c r="G45" s="75">
        <v>65946.679999999993</v>
      </c>
      <c r="H45" s="75">
        <v>0</v>
      </c>
      <c r="I45" s="76">
        <f t="shared" si="2"/>
        <v>65946.679999999993</v>
      </c>
      <c r="K45" s="77">
        <v>13</v>
      </c>
      <c r="L45" s="77">
        <v>0</v>
      </c>
      <c r="M45" s="78">
        <f t="shared" si="3"/>
        <v>13</v>
      </c>
    </row>
    <row r="46" spans="2:13" x14ac:dyDescent="0.2">
      <c r="B46" s="63" t="s">
        <v>115</v>
      </c>
      <c r="C46" s="73">
        <f t="shared" si="0"/>
        <v>-1098.7799999999984</v>
      </c>
      <c r="D46" s="66">
        <f t="shared" si="1"/>
        <v>2</v>
      </c>
      <c r="E46" s="74">
        <f t="shared" si="4"/>
        <v>-1.3907019554134185E-5</v>
      </c>
      <c r="G46" s="75">
        <v>-1098.7799999999984</v>
      </c>
      <c r="H46" s="75">
        <v>0</v>
      </c>
      <c r="I46" s="76">
        <f t="shared" si="2"/>
        <v>-1098.7799999999984</v>
      </c>
      <c r="K46" s="77">
        <v>2</v>
      </c>
      <c r="L46" s="77">
        <v>0</v>
      </c>
      <c r="M46" s="78">
        <f t="shared" si="3"/>
        <v>2</v>
      </c>
    </row>
    <row r="47" spans="2:13" x14ac:dyDescent="0.2">
      <c r="B47" s="63" t="s">
        <v>116</v>
      </c>
      <c r="C47" s="73">
        <f t="shared" si="0"/>
        <v>18162.719999999998</v>
      </c>
      <c r="D47" s="66">
        <f t="shared" si="1"/>
        <v>4</v>
      </c>
      <c r="E47" s="74">
        <f t="shared" si="4"/>
        <v>2.2988159795069474E-4</v>
      </c>
      <c r="G47" s="75">
        <v>18162.719999999998</v>
      </c>
      <c r="H47" s="75">
        <v>0</v>
      </c>
      <c r="I47" s="76">
        <f t="shared" si="2"/>
        <v>18162.719999999998</v>
      </c>
      <c r="K47" s="77">
        <v>4</v>
      </c>
      <c r="L47" s="77">
        <v>0</v>
      </c>
      <c r="M47" s="78">
        <f t="shared" si="3"/>
        <v>4</v>
      </c>
    </row>
    <row r="48" spans="2:13" x14ac:dyDescent="0.2">
      <c r="B48" s="63" t="s">
        <v>117</v>
      </c>
      <c r="C48" s="73">
        <f t="shared" si="0"/>
        <v>-7083.0800000000027</v>
      </c>
      <c r="D48" s="66">
        <f t="shared" si="1"/>
        <v>1</v>
      </c>
      <c r="E48" s="74">
        <f t="shared" si="4"/>
        <v>-8.9649003497967685E-5</v>
      </c>
      <c r="G48" s="75">
        <v>-7083.0800000000027</v>
      </c>
      <c r="H48" s="75">
        <v>0</v>
      </c>
      <c r="I48" s="76">
        <f t="shared" si="2"/>
        <v>-7083.0800000000027</v>
      </c>
      <c r="K48" s="77">
        <v>1</v>
      </c>
      <c r="L48" s="77">
        <v>0</v>
      </c>
      <c r="M48" s="78">
        <f t="shared" si="3"/>
        <v>1</v>
      </c>
    </row>
    <row r="49" spans="2:5" x14ac:dyDescent="0.2">
      <c r="B49" s="63" t="s">
        <v>101</v>
      </c>
      <c r="C49" s="64">
        <f>SUM(C35:C48)</f>
        <v>57181276.510000102</v>
      </c>
      <c r="D49" s="66">
        <f>SUM(D35:D48)</f>
        <v>40537</v>
      </c>
      <c r="E49" s="74">
        <f>C49/C50</f>
        <v>0.72373098395941526</v>
      </c>
    </row>
    <row r="50" spans="2:5" x14ac:dyDescent="0.2">
      <c r="B50" s="63" t="s">
        <v>102</v>
      </c>
      <c r="C50" s="64">
        <f>Input!C3</f>
        <v>79009021</v>
      </c>
    </row>
  </sheetData>
  <pageMargins left="0.75" right="0.75" top="1" bottom="1" header="0.5" footer="0.5"/>
  <pageSetup scale="59" orientation="landscape" r:id="rId1"/>
  <headerFooter alignWithMargins="0">
    <oddHeader>&amp;R&amp;"Times New Roman,Bold"KyPSC Case No. 2024-00354
Attachment BLS-5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J33"/>
  <sheetViews>
    <sheetView view="pageLayout" zoomScaleNormal="100" workbookViewId="0">
      <selection activeCell="V3" sqref="V3"/>
    </sheetView>
  </sheetViews>
  <sheetFormatPr defaultColWidth="9.140625" defaultRowHeight="12.75" x14ac:dyDescent="0.2"/>
  <cols>
    <col min="1" max="1" width="3.7109375" style="10" customWidth="1"/>
    <col min="2" max="2" width="42.85546875" style="10" customWidth="1"/>
    <col min="3" max="3" width="1.7109375" style="10" customWidth="1"/>
    <col min="4" max="4" width="16.7109375" style="10" bestFit="1" customWidth="1"/>
    <col min="5" max="5" width="1.28515625" style="10" customWidth="1"/>
    <col min="6" max="6" width="11" style="10" customWidth="1"/>
    <col min="7" max="7" width="1" style="10" customWidth="1"/>
    <col min="8" max="8" width="15.140625" style="10" bestFit="1" customWidth="1"/>
    <col min="9" max="9" width="1.85546875" style="10" customWidth="1"/>
    <col min="10" max="10" width="10.140625" style="10" customWidth="1"/>
    <col min="11" max="16384" width="9.140625" style="10"/>
  </cols>
  <sheetData>
    <row r="4" spans="2:10" x14ac:dyDescent="0.2">
      <c r="B4" s="27" t="s">
        <v>85</v>
      </c>
    </row>
    <row r="5" spans="2:10" x14ac:dyDescent="0.2">
      <c r="B5" s="10" t="s">
        <v>46</v>
      </c>
    </row>
    <row r="6" spans="2:10" x14ac:dyDescent="0.2">
      <c r="B6" s="10" t="s">
        <v>47</v>
      </c>
    </row>
    <row r="7" spans="2:10" x14ac:dyDescent="0.2">
      <c r="B7" s="10" t="s">
        <v>185</v>
      </c>
    </row>
    <row r="9" spans="2:10" x14ac:dyDescent="0.2">
      <c r="B9" s="10" t="s">
        <v>64</v>
      </c>
      <c r="J9" s="11" t="s">
        <v>48</v>
      </c>
    </row>
    <row r="10" spans="2:10" x14ac:dyDescent="0.2">
      <c r="H10" s="11" t="s">
        <v>49</v>
      </c>
      <c r="J10" s="11" t="s">
        <v>50</v>
      </c>
    </row>
    <row r="11" spans="2:10" x14ac:dyDescent="0.2">
      <c r="H11" s="12" t="s">
        <v>51</v>
      </c>
      <c r="J11" s="11" t="s">
        <v>52</v>
      </c>
    </row>
    <row r="12" spans="2:10" x14ac:dyDescent="0.2">
      <c r="H12" s="13" t="s">
        <v>53</v>
      </c>
    </row>
    <row r="13" spans="2:10" x14ac:dyDescent="0.2">
      <c r="B13" s="10" t="s">
        <v>54</v>
      </c>
      <c r="D13" s="10" t="s">
        <v>55</v>
      </c>
      <c r="H13" s="20">
        <v>55425410</v>
      </c>
      <c r="J13" s="23" t="s">
        <v>84</v>
      </c>
    </row>
    <row r="14" spans="2:10" x14ac:dyDescent="0.2">
      <c r="B14" s="10" t="s">
        <v>74</v>
      </c>
      <c r="H14" s="20">
        <v>0</v>
      </c>
      <c r="J14" s="23" t="s">
        <v>81</v>
      </c>
    </row>
    <row r="15" spans="2:10" x14ac:dyDescent="0.2">
      <c r="B15" s="10" t="s">
        <v>75</v>
      </c>
      <c r="H15" s="20">
        <v>-241961189</v>
      </c>
      <c r="J15" s="23" t="s">
        <v>82</v>
      </c>
    </row>
    <row r="16" spans="2:10" x14ac:dyDescent="0.2">
      <c r="B16" s="10" t="s">
        <v>76</v>
      </c>
      <c r="H16" s="33">
        <v>-25097565</v>
      </c>
      <c r="J16" s="23" t="s">
        <v>83</v>
      </c>
    </row>
    <row r="17" spans="2:10" x14ac:dyDescent="0.2">
      <c r="B17" s="23" t="s">
        <v>105</v>
      </c>
      <c r="H17" s="33">
        <f>-44325265-6897720</f>
        <v>-51222985</v>
      </c>
      <c r="J17" s="23" t="s">
        <v>106</v>
      </c>
    </row>
    <row r="18" spans="2:10" x14ac:dyDescent="0.2">
      <c r="H18" s="14"/>
      <c r="J18" s="11"/>
    </row>
    <row r="19" spans="2:10" ht="13.5" thickBot="1" x14ac:dyDescent="0.25">
      <c r="B19" s="10" t="s">
        <v>56</v>
      </c>
      <c r="H19" s="22">
        <f>+H13+H14+H15+H16+H17</f>
        <v>-262856329</v>
      </c>
      <c r="J19" s="11"/>
    </row>
    <row r="20" spans="2:10" ht="13.5" thickTop="1" x14ac:dyDescent="0.2">
      <c r="J20" s="11"/>
    </row>
    <row r="21" spans="2:10" x14ac:dyDescent="0.2">
      <c r="F21" s="11" t="s">
        <v>57</v>
      </c>
      <c r="J21" s="11"/>
    </row>
    <row r="22" spans="2:10" x14ac:dyDescent="0.2">
      <c r="B22" s="10" t="s">
        <v>58</v>
      </c>
      <c r="D22" s="15" t="s">
        <v>53</v>
      </c>
      <c r="H22" s="13" t="s">
        <v>53</v>
      </c>
      <c r="J22" s="11"/>
    </row>
    <row r="23" spans="2:10" x14ac:dyDescent="0.2">
      <c r="B23" s="10" t="s">
        <v>59</v>
      </c>
      <c r="D23" s="34">
        <v>2311025198</v>
      </c>
      <c r="F23" s="16">
        <v>1</v>
      </c>
      <c r="J23" s="28" t="s">
        <v>86</v>
      </c>
    </row>
    <row r="24" spans="2:10" x14ac:dyDescent="0.2">
      <c r="B24" s="10" t="s">
        <v>61</v>
      </c>
      <c r="D24" s="20">
        <v>79009021</v>
      </c>
      <c r="F24" s="18">
        <f>ROUND(D24/D$23,4)</f>
        <v>3.4200000000000001E-2</v>
      </c>
      <c r="H24" s="20">
        <f>ROUND(F24*H$19,0)</f>
        <v>-8989686</v>
      </c>
      <c r="J24" s="20" t="s">
        <v>70</v>
      </c>
    </row>
    <row r="25" spans="2:10" x14ac:dyDescent="0.2">
      <c r="B25" s="10" t="s">
        <v>62</v>
      </c>
      <c r="D25" s="20">
        <v>161459055</v>
      </c>
      <c r="F25" s="18">
        <f>ROUND(D25/D$23,4)</f>
        <v>6.9900000000000004E-2</v>
      </c>
      <c r="H25" s="17">
        <f>ROUND(F25*H$19,0)</f>
        <v>-18373657</v>
      </c>
      <c r="J25" s="20" t="s">
        <v>72</v>
      </c>
    </row>
    <row r="26" spans="2:10" x14ac:dyDescent="0.2">
      <c r="B26" s="10" t="s">
        <v>63</v>
      </c>
      <c r="D26" s="20">
        <v>22400638</v>
      </c>
      <c r="F26" s="18">
        <f>ROUND(D26/D$23,4)</f>
        <v>9.7000000000000003E-3</v>
      </c>
      <c r="H26" s="19">
        <f>ROUND(F26*H$19,0)</f>
        <v>-2549706</v>
      </c>
      <c r="J26" s="20" t="s">
        <v>73</v>
      </c>
    </row>
    <row r="27" spans="2:10" x14ac:dyDescent="0.2">
      <c r="J27" s="11"/>
    </row>
    <row r="28" spans="2:10" ht="13.5" thickBot="1" x14ac:dyDescent="0.25">
      <c r="B28" s="10" t="s">
        <v>60</v>
      </c>
      <c r="H28" s="21">
        <f>SUM(H24:H27)</f>
        <v>-29913049</v>
      </c>
    </row>
    <row r="29" spans="2:10" ht="13.5" thickTop="1" x14ac:dyDescent="0.2"/>
    <row r="32" spans="2:10" x14ac:dyDescent="0.2">
      <c r="B32" s="23" t="s">
        <v>184</v>
      </c>
    </row>
    <row r="33" spans="8:8" x14ac:dyDescent="0.2">
      <c r="H33" s="24"/>
    </row>
  </sheetData>
  <pageMargins left="0.75" right="0.75" top="1" bottom="1" header="0.5" footer="0.5"/>
  <pageSetup scale="59" orientation="landscape" r:id="rId1"/>
  <headerFooter alignWithMargins="0">
    <oddHeader>&amp;R&amp;"Times New Roman,Bold"KyPSC Case No. 2024-00354
Attachment BLS-5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4960D-BF95-45AD-8742-7EB1597D3377}">
  <dimension ref="A5:D20"/>
  <sheetViews>
    <sheetView view="pageLayout" zoomScaleNormal="100" workbookViewId="0">
      <selection activeCell="V3" sqref="V3"/>
    </sheetView>
  </sheetViews>
  <sheetFormatPr defaultRowHeight="12.75" x14ac:dyDescent="0.2"/>
  <sheetData>
    <row r="5" spans="1:4" x14ac:dyDescent="0.2">
      <c r="A5" s="43" t="s">
        <v>120</v>
      </c>
      <c r="B5" s="43" t="s">
        <v>165</v>
      </c>
      <c r="C5" s="41" t="s">
        <v>167</v>
      </c>
      <c r="D5" s="41" t="s">
        <v>159</v>
      </c>
    </row>
    <row r="6" spans="1:4" x14ac:dyDescent="0.2">
      <c r="A6" s="43" t="s">
        <v>164</v>
      </c>
      <c r="B6" s="43" t="s">
        <v>166</v>
      </c>
      <c r="C6" s="41" t="s">
        <v>168</v>
      </c>
      <c r="D6" s="41" t="s">
        <v>160</v>
      </c>
    </row>
    <row r="7" spans="1:4" x14ac:dyDescent="0.2">
      <c r="A7">
        <v>30</v>
      </c>
      <c r="B7" s="54">
        <f>A7*0.1+2</f>
        <v>5</v>
      </c>
      <c r="C7">
        <v>18</v>
      </c>
      <c r="D7" s="54">
        <f>+A7-B7-C7</f>
        <v>7</v>
      </c>
    </row>
    <row r="8" spans="1:4" x14ac:dyDescent="0.2">
      <c r="A8">
        <f>+A7+5</f>
        <v>35</v>
      </c>
      <c r="B8" s="54">
        <f t="shared" ref="B8:B20" si="0">A8*0.1+2</f>
        <v>5.5</v>
      </c>
      <c r="C8">
        <v>18</v>
      </c>
      <c r="D8" s="54">
        <f t="shared" ref="D8:D20" si="1">+A8-B8-C8</f>
        <v>11.5</v>
      </c>
    </row>
    <row r="9" spans="1:4" x14ac:dyDescent="0.2">
      <c r="A9">
        <f t="shared" ref="A9:A20" si="2">+A8+5</f>
        <v>40</v>
      </c>
      <c r="B9" s="54">
        <f t="shared" si="0"/>
        <v>6</v>
      </c>
      <c r="C9">
        <v>18</v>
      </c>
      <c r="D9" s="54">
        <f t="shared" si="1"/>
        <v>16</v>
      </c>
    </row>
    <row r="10" spans="1:4" x14ac:dyDescent="0.2">
      <c r="A10">
        <f t="shared" si="2"/>
        <v>45</v>
      </c>
      <c r="B10" s="54">
        <f t="shared" si="0"/>
        <v>6.5</v>
      </c>
      <c r="C10">
        <v>18</v>
      </c>
      <c r="D10" s="54">
        <f t="shared" si="1"/>
        <v>20.5</v>
      </c>
    </row>
    <row r="11" spans="1:4" x14ac:dyDescent="0.2">
      <c r="A11">
        <f t="shared" si="2"/>
        <v>50</v>
      </c>
      <c r="B11" s="54">
        <f t="shared" si="0"/>
        <v>7</v>
      </c>
      <c r="C11">
        <v>18</v>
      </c>
      <c r="D11" s="54">
        <f t="shared" si="1"/>
        <v>25</v>
      </c>
    </row>
    <row r="12" spans="1:4" x14ac:dyDescent="0.2">
      <c r="A12">
        <f t="shared" si="2"/>
        <v>55</v>
      </c>
      <c r="B12" s="54">
        <f t="shared" si="0"/>
        <v>7.5</v>
      </c>
      <c r="C12">
        <v>18</v>
      </c>
      <c r="D12" s="54">
        <f t="shared" si="1"/>
        <v>29.5</v>
      </c>
    </row>
    <row r="13" spans="1:4" x14ac:dyDescent="0.2">
      <c r="A13">
        <f t="shared" si="2"/>
        <v>60</v>
      </c>
      <c r="B13" s="54">
        <f t="shared" si="0"/>
        <v>8</v>
      </c>
      <c r="C13">
        <v>18</v>
      </c>
      <c r="D13" s="54">
        <f t="shared" si="1"/>
        <v>34</v>
      </c>
    </row>
    <row r="14" spans="1:4" x14ac:dyDescent="0.2">
      <c r="A14">
        <f t="shared" si="2"/>
        <v>65</v>
      </c>
      <c r="B14" s="54">
        <f t="shared" si="0"/>
        <v>8.5</v>
      </c>
      <c r="C14">
        <v>18</v>
      </c>
      <c r="D14" s="54">
        <f t="shared" si="1"/>
        <v>38.5</v>
      </c>
    </row>
    <row r="15" spans="1:4" x14ac:dyDescent="0.2">
      <c r="A15">
        <f t="shared" si="2"/>
        <v>70</v>
      </c>
      <c r="B15" s="54">
        <f t="shared" si="0"/>
        <v>9</v>
      </c>
      <c r="C15">
        <v>18</v>
      </c>
      <c r="D15" s="54">
        <f t="shared" si="1"/>
        <v>43</v>
      </c>
    </row>
    <row r="16" spans="1:4" x14ac:dyDescent="0.2">
      <c r="A16">
        <f t="shared" si="2"/>
        <v>75</v>
      </c>
      <c r="B16" s="54">
        <f t="shared" si="0"/>
        <v>9.5</v>
      </c>
      <c r="C16">
        <v>18</v>
      </c>
      <c r="D16" s="54">
        <f t="shared" si="1"/>
        <v>47.5</v>
      </c>
    </row>
    <row r="17" spans="1:4" x14ac:dyDescent="0.2">
      <c r="A17">
        <f t="shared" si="2"/>
        <v>80</v>
      </c>
      <c r="B17" s="54">
        <f t="shared" si="0"/>
        <v>10</v>
      </c>
      <c r="C17">
        <v>18</v>
      </c>
      <c r="D17" s="54">
        <f t="shared" si="1"/>
        <v>52</v>
      </c>
    </row>
    <row r="18" spans="1:4" x14ac:dyDescent="0.2">
      <c r="A18">
        <f t="shared" si="2"/>
        <v>85</v>
      </c>
      <c r="B18" s="54">
        <f t="shared" si="0"/>
        <v>10.5</v>
      </c>
      <c r="C18">
        <v>18</v>
      </c>
      <c r="D18" s="54">
        <f t="shared" si="1"/>
        <v>56.5</v>
      </c>
    </row>
    <row r="19" spans="1:4" x14ac:dyDescent="0.2">
      <c r="A19">
        <f t="shared" si="2"/>
        <v>90</v>
      </c>
      <c r="B19" s="54">
        <f t="shared" si="0"/>
        <v>11</v>
      </c>
      <c r="C19">
        <v>18</v>
      </c>
      <c r="D19" s="54">
        <f t="shared" si="1"/>
        <v>61</v>
      </c>
    </row>
    <row r="20" spans="1:4" x14ac:dyDescent="0.2">
      <c r="A20">
        <f t="shared" si="2"/>
        <v>95</v>
      </c>
      <c r="B20" s="54">
        <f t="shared" si="0"/>
        <v>11.5</v>
      </c>
      <c r="C20">
        <v>18</v>
      </c>
      <c r="D20" s="54">
        <f t="shared" si="1"/>
        <v>65.5</v>
      </c>
    </row>
  </sheetData>
  <pageMargins left="0.75" right="0.75" top="1" bottom="1" header="0.5" footer="0.5"/>
  <pageSetup scale="59" orientation="landscape" r:id="rId1"/>
  <headerFooter alignWithMargins="0">
    <oddHeader>&amp;R&amp;"Times New Roman,Bold"KyPSC Case No. 2024-00354
Attachment BLS-5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9d26d66c-7442-4f2f-84b5-fd9d62aa5613">
      <UserInfo>
        <DisplayName>i:0#.f|membership|bruce.sailers@duke-energy.com,#i:0#.f|membership|bruce.sailers@duke-energy.com,#Bruce.Sailers@duke-energy.com,#,#Sailers, Bruce L,#,#22569,#Dir Rate Administration</DisplayName>
        <AccountId>90</AccountId>
        <AccountType/>
      </UserInfo>
    </Witness>
    <Comments xmlns="9d26d66c-7442-4f2f-84b5-fd9d62aa561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18C5CD-30AA-4CD9-AE2F-B4D22BC8AAAB}">
  <ds:schemaRefs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d26d66c-7442-4f2f-84b5-fd9d62aa561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09B32D6-45A4-476D-AE92-18B7611EF9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4392CC-799F-41D3-8EE1-2587CBA8DD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Pole Attachment ADMIN 251</vt:lpstr>
      <vt:lpstr>Input</vt:lpstr>
      <vt:lpstr>DEK Deferred Tax Calc - Pole </vt:lpstr>
      <vt:lpstr>Usable Space</vt:lpstr>
      <vt:lpstr>'DEK Deferred Tax Calc - Pole '!Print_Area</vt:lpstr>
      <vt:lpstr>Input!Print_Area</vt:lpstr>
      <vt:lpstr>'Pole Attachment ADMIN 251'!Print_Area</vt:lpstr>
      <vt:lpstr>'Usable Space'!Print_Area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Pole Attachment Study and Charge Calculation</dc:subject>
  <dc:creator>Patten, Dana</dc:creator>
  <cp:lastModifiedBy>Sunderman, Minna</cp:lastModifiedBy>
  <cp:lastPrinted>2024-11-27T21:43:53Z</cp:lastPrinted>
  <dcterms:created xsi:type="dcterms:W3CDTF">2015-04-21T14:03:14Z</dcterms:created>
  <dcterms:modified xsi:type="dcterms:W3CDTF">2024-11-27T21:44:43Z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