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W:\Rate Case 2024\OAG Second Data Request\Item 6\"/>
    </mc:Choice>
  </mc:AlternateContent>
  <xr:revisionPtr revIDLastSave="0" documentId="13_ncr:1_{6102A62F-5D82-465A-9A9D-624549454A6C}" xr6:coauthVersionLast="47" xr6:coauthVersionMax="47" xr10:uidLastSave="{00000000-0000-0000-0000-000000000000}"/>
  <bookViews>
    <workbookView xWindow="28680" yWindow="-120" windowWidth="29040" windowHeight="15720" xr2:uid="{CE6318D8-FA00-46F8-81E9-7059FDE8F22C}"/>
  </bookViews>
  <sheets>
    <sheet name="Sheet2" sheetId="2" r:id="rId1"/>
    <sheet name="1.10 Wages" sheetId="1" r:id="rId2"/>
  </sheets>
  <definedNames>
    <definedName name="_xlnm.Print_Area" localSheetId="1">'1.10 Wages'!$A$1:$X$120</definedName>
    <definedName name="_xlnm.Print_Titles" localSheetId="1">'1.10 Wages'!$1:$7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2" l="1"/>
  <c r="J58" i="2"/>
  <c r="I58" i="2"/>
  <c r="G58" i="2"/>
  <c r="F58" i="2"/>
  <c r="E58" i="2"/>
  <c r="D58" i="2"/>
  <c r="C58" i="2"/>
  <c r="B58" i="2"/>
  <c r="H57" i="2"/>
  <c r="K57" i="2" s="1"/>
  <c r="H56" i="2"/>
  <c r="K56" i="2" s="1"/>
  <c r="H54" i="2"/>
  <c r="K54" i="2" s="1"/>
  <c r="H53" i="2"/>
  <c r="K53" i="2" s="1"/>
  <c r="H48" i="2"/>
  <c r="K48" i="2" s="1"/>
  <c r="H47" i="2"/>
  <c r="K47" i="2" s="1"/>
  <c r="H46" i="2"/>
  <c r="K46" i="2" s="1"/>
  <c r="H45" i="2"/>
  <c r="K45" i="2" s="1"/>
  <c r="H41" i="2"/>
  <c r="H39" i="2"/>
  <c r="K39" i="2" s="1"/>
  <c r="H36" i="2"/>
  <c r="K36" i="2" s="1"/>
  <c r="H33" i="2"/>
  <c r="K33" i="2" s="1"/>
  <c r="H32" i="2"/>
  <c r="K32" i="2" s="1"/>
  <c r="K55" i="2"/>
  <c r="K52" i="2"/>
  <c r="K51" i="2"/>
  <c r="K50" i="2"/>
  <c r="K49" i="2"/>
  <c r="K44" i="2"/>
  <c r="K43" i="2"/>
  <c r="K42" i="2"/>
  <c r="K41" i="2"/>
  <c r="K40" i="2"/>
  <c r="K38" i="2"/>
  <c r="K37" i="2"/>
  <c r="K35" i="2"/>
  <c r="K34" i="2"/>
  <c r="K31" i="2"/>
  <c r="H30" i="2"/>
  <c r="K30" i="2" s="1"/>
  <c r="J27" i="2"/>
  <c r="I27" i="2"/>
  <c r="H27" i="2"/>
  <c r="G27" i="2"/>
  <c r="G60" i="2" s="1"/>
  <c r="E27" i="2"/>
  <c r="E60" i="2" s="1"/>
  <c r="B27" i="2"/>
  <c r="C27" i="2"/>
  <c r="C60" i="2" s="1"/>
  <c r="D26" i="2"/>
  <c r="K26" i="2" s="1"/>
  <c r="D24" i="2"/>
  <c r="K24" i="2" s="1"/>
  <c r="D23" i="2"/>
  <c r="K23" i="2" s="1"/>
  <c r="D17" i="2"/>
  <c r="K17" i="2" s="1"/>
  <c r="K16" i="2"/>
  <c r="D15" i="2"/>
  <c r="K15" i="2" s="1"/>
  <c r="D14" i="2"/>
  <c r="K14" i="2" s="1"/>
  <c r="D13" i="2"/>
  <c r="K13" i="2" s="1"/>
  <c r="D12" i="2"/>
  <c r="K12" i="2" s="1"/>
  <c r="K25" i="2"/>
  <c r="K22" i="2"/>
  <c r="K21" i="2"/>
  <c r="K20" i="2"/>
  <c r="K19" i="2"/>
  <c r="K18" i="2"/>
  <c r="K11" i="2"/>
  <c r="D10" i="2"/>
  <c r="K10" i="2" s="1"/>
  <c r="F9" i="2"/>
  <c r="K9" i="2" s="1"/>
  <c r="F27" i="2" l="1"/>
  <c r="F60" i="2" s="1"/>
  <c r="I60" i="2"/>
  <c r="B60" i="2"/>
  <c r="J60" i="2"/>
  <c r="K58" i="2"/>
  <c r="H58" i="2"/>
  <c r="H60" i="2" s="1"/>
  <c r="K27" i="2"/>
  <c r="D27" i="2"/>
  <c r="D60" i="2" s="1"/>
  <c r="K60" i="2" l="1"/>
  <c r="K62" i="2" s="1"/>
  <c r="L92" i="1" l="1"/>
  <c r="K118" i="1" s="1"/>
  <c r="L78" i="1"/>
  <c r="L77" i="1"/>
  <c r="L76" i="1"/>
  <c r="L75" i="1"/>
  <c r="A75" i="1"/>
  <c r="A76" i="1" s="1"/>
  <c r="A77" i="1" s="1"/>
  <c r="A78" i="1" s="1"/>
  <c r="A81" i="1" s="1"/>
  <c r="A82" i="1" s="1"/>
  <c r="A83" i="1" s="1"/>
  <c r="A84" i="1" s="1"/>
  <c r="A85"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L74" i="1"/>
  <c r="K79" i="1" s="1"/>
  <c r="G66" i="1"/>
  <c r="N64" i="1"/>
  <c r="J64" i="1"/>
  <c r="C64" i="1"/>
  <c r="C66" i="1" s="1"/>
  <c r="S63" i="1"/>
  <c r="V63" i="1" s="1"/>
  <c r="O63" i="1"/>
  <c r="S62" i="1"/>
  <c r="V62" i="1" s="1"/>
  <c r="O62" i="1"/>
  <c r="S61" i="1"/>
  <c r="V61" i="1" s="1"/>
  <c r="X61" i="1" s="1"/>
  <c r="U60" i="1"/>
  <c r="S60" i="1"/>
  <c r="M60" i="1"/>
  <c r="L60" i="1"/>
  <c r="O60" i="1" s="1"/>
  <c r="I60" i="1"/>
  <c r="T60" i="1" s="1"/>
  <c r="V60" i="1" s="1"/>
  <c r="U59" i="1"/>
  <c r="S59" i="1"/>
  <c r="M59" i="1"/>
  <c r="L59" i="1"/>
  <c r="O59" i="1" s="1"/>
  <c r="I59" i="1"/>
  <c r="T59" i="1" s="1"/>
  <c r="U58" i="1"/>
  <c r="S58" i="1"/>
  <c r="V58" i="1" s="1"/>
  <c r="X58" i="1" s="1"/>
  <c r="O58" i="1"/>
  <c r="V57" i="1"/>
  <c r="M57" i="1"/>
  <c r="L57" i="1"/>
  <c r="O57" i="1" s="1"/>
  <c r="I57" i="1"/>
  <c r="H57" i="1"/>
  <c r="U56" i="1"/>
  <c r="T56" i="1"/>
  <c r="S56" i="1"/>
  <c r="O56" i="1"/>
  <c r="U55" i="1"/>
  <c r="S55" i="1"/>
  <c r="V55" i="1" s="1"/>
  <c r="M55" i="1"/>
  <c r="O55" i="1" s="1"/>
  <c r="L55" i="1"/>
  <c r="I55" i="1"/>
  <c r="T55" i="1" s="1"/>
  <c r="H55" i="1"/>
  <c r="U54" i="1"/>
  <c r="S54" i="1"/>
  <c r="M54" i="1"/>
  <c r="L54" i="1"/>
  <c r="O54" i="1" s="1"/>
  <c r="I54" i="1"/>
  <c r="T54" i="1" s="1"/>
  <c r="U53" i="1"/>
  <c r="S53" i="1"/>
  <c r="M53" i="1"/>
  <c r="L53" i="1"/>
  <c r="O53" i="1" s="1"/>
  <c r="I53" i="1"/>
  <c r="T53" i="1" s="1"/>
  <c r="U52" i="1"/>
  <c r="S52" i="1"/>
  <c r="M52" i="1"/>
  <c r="L52" i="1"/>
  <c r="O52" i="1" s="1"/>
  <c r="I52" i="1"/>
  <c r="T52" i="1" s="1"/>
  <c r="V52" i="1" s="1"/>
  <c r="H52" i="1"/>
  <c r="U51" i="1"/>
  <c r="S51" i="1"/>
  <c r="M51" i="1"/>
  <c r="L51" i="1"/>
  <c r="I51" i="1"/>
  <c r="T51" i="1" s="1"/>
  <c r="H51" i="1"/>
  <c r="U50" i="1"/>
  <c r="S50" i="1"/>
  <c r="V50" i="1" s="1"/>
  <c r="M50" i="1"/>
  <c r="L50" i="1"/>
  <c r="I50" i="1"/>
  <c r="H50" i="1"/>
  <c r="U49" i="1"/>
  <c r="T49" i="1"/>
  <c r="V49" i="1" s="1"/>
  <c r="O49" i="1"/>
  <c r="V48" i="1"/>
  <c r="M48" i="1"/>
  <c r="L48" i="1"/>
  <c r="O48" i="1" s="1"/>
  <c r="I48" i="1"/>
  <c r="H48" i="1"/>
  <c r="U47" i="1"/>
  <c r="T47" i="1"/>
  <c r="S47" i="1"/>
  <c r="V47" i="1" s="1"/>
  <c r="M47" i="1"/>
  <c r="L47" i="1"/>
  <c r="I47" i="1"/>
  <c r="U46" i="1"/>
  <c r="T46" i="1"/>
  <c r="S46" i="1"/>
  <c r="V46" i="1" s="1"/>
  <c r="L46" i="1"/>
  <c r="O46" i="1" s="1"/>
  <c r="U45" i="1"/>
  <c r="S45" i="1"/>
  <c r="M45" i="1"/>
  <c r="L45" i="1"/>
  <c r="O45" i="1" s="1"/>
  <c r="I45" i="1"/>
  <c r="T45" i="1" s="1"/>
  <c r="V44" i="1"/>
  <c r="U44" i="1"/>
  <c r="T44" i="1"/>
  <c r="S44" i="1"/>
  <c r="L44" i="1"/>
  <c r="O44" i="1" s="1"/>
  <c r="U43" i="1"/>
  <c r="S43" i="1"/>
  <c r="V43" i="1" s="1"/>
  <c r="M43" i="1"/>
  <c r="L43" i="1"/>
  <c r="O43" i="1" s="1"/>
  <c r="U42" i="1"/>
  <c r="S42" i="1"/>
  <c r="M42" i="1"/>
  <c r="L42" i="1"/>
  <c r="O42" i="1" s="1"/>
  <c r="I42" i="1"/>
  <c r="T42" i="1" s="1"/>
  <c r="V42" i="1" s="1"/>
  <c r="H42" i="1"/>
  <c r="H64" i="1" s="1"/>
  <c r="U41" i="1"/>
  <c r="T41" i="1"/>
  <c r="O41" i="1"/>
  <c r="V40" i="1"/>
  <c r="O40" i="1"/>
  <c r="U39" i="1"/>
  <c r="T39" i="1"/>
  <c r="S39" i="1"/>
  <c r="V39" i="1" s="1"/>
  <c r="M39" i="1"/>
  <c r="L39" i="1"/>
  <c r="O39" i="1" s="1"/>
  <c r="U38" i="1"/>
  <c r="T38" i="1"/>
  <c r="S38" i="1"/>
  <c r="V38" i="1" s="1"/>
  <c r="M38" i="1"/>
  <c r="O38" i="1" s="1"/>
  <c r="L38" i="1"/>
  <c r="I38" i="1"/>
  <c r="U37" i="1"/>
  <c r="T37" i="1"/>
  <c r="S37" i="1"/>
  <c r="V37" i="1" s="1"/>
  <c r="O37" i="1"/>
  <c r="U36" i="1"/>
  <c r="S36" i="1"/>
  <c r="M36" i="1"/>
  <c r="L36" i="1"/>
  <c r="O36" i="1" s="1"/>
  <c r="I36" i="1"/>
  <c r="N33" i="1"/>
  <c r="M33" i="1"/>
  <c r="J33" i="1"/>
  <c r="J66" i="1" s="1"/>
  <c r="I33" i="1"/>
  <c r="C33" i="1"/>
  <c r="U32" i="1"/>
  <c r="T32" i="1"/>
  <c r="S32" i="1"/>
  <c r="V32" i="1" s="1"/>
  <c r="L32" i="1"/>
  <c r="O32" i="1" s="1"/>
  <c r="U31" i="1"/>
  <c r="T31" i="1"/>
  <c r="S31" i="1"/>
  <c r="V31" i="1" s="1"/>
  <c r="L31" i="1"/>
  <c r="O31" i="1" s="1"/>
  <c r="U30" i="1"/>
  <c r="T30" i="1"/>
  <c r="S30" i="1"/>
  <c r="V30" i="1" s="1"/>
  <c r="L30" i="1"/>
  <c r="O30" i="1" s="1"/>
  <c r="U29" i="1"/>
  <c r="T29" i="1"/>
  <c r="S29" i="1"/>
  <c r="V29" i="1" s="1"/>
  <c r="L29" i="1"/>
  <c r="O29" i="1" s="1"/>
  <c r="U28" i="1"/>
  <c r="T28" i="1"/>
  <c r="S28" i="1"/>
  <c r="V28" i="1" s="1"/>
  <c r="L28" i="1"/>
  <c r="O28" i="1" s="1"/>
  <c r="U27" i="1"/>
  <c r="T27" i="1"/>
  <c r="S27" i="1"/>
  <c r="V27" i="1" s="1"/>
  <c r="X27" i="1" s="1"/>
  <c r="O27" i="1"/>
  <c r="L27" i="1"/>
  <c r="T26" i="1"/>
  <c r="V26" i="1" s="1"/>
  <c r="L26" i="1"/>
  <c r="O26" i="1" s="1"/>
  <c r="H26" i="1"/>
  <c r="T25" i="1"/>
  <c r="S25" i="1"/>
  <c r="V25" i="1" s="1"/>
  <c r="X25" i="1" s="1"/>
  <c r="O25" i="1"/>
  <c r="U24" i="1"/>
  <c r="T24" i="1"/>
  <c r="S24" i="1"/>
  <c r="V24" i="1" s="1"/>
  <c r="L24" i="1"/>
  <c r="O24" i="1" s="1"/>
  <c r="U23" i="1"/>
  <c r="T23" i="1"/>
  <c r="S23" i="1"/>
  <c r="L23" i="1"/>
  <c r="O23" i="1" s="1"/>
  <c r="H23" i="1"/>
  <c r="U22" i="1"/>
  <c r="S22" i="1"/>
  <c r="V22" i="1" s="1"/>
  <c r="L22" i="1"/>
  <c r="O22" i="1" s="1"/>
  <c r="X22" i="1" s="1"/>
  <c r="U21" i="1"/>
  <c r="T21" i="1"/>
  <c r="S21" i="1"/>
  <c r="V21" i="1" s="1"/>
  <c r="L21" i="1"/>
  <c r="O21" i="1" s="1"/>
  <c r="U20" i="1"/>
  <c r="S20" i="1"/>
  <c r="V20" i="1" s="1"/>
  <c r="O20" i="1"/>
  <c r="L20" i="1"/>
  <c r="H20" i="1"/>
  <c r="U19" i="1"/>
  <c r="T19" i="1"/>
  <c r="S19" i="1"/>
  <c r="V19" i="1" s="1"/>
  <c r="L19" i="1"/>
  <c r="O19" i="1" s="1"/>
  <c r="U18" i="1"/>
  <c r="T18" i="1"/>
  <c r="S18" i="1"/>
  <c r="L18" i="1"/>
  <c r="O18" i="1" s="1"/>
  <c r="U17" i="1"/>
  <c r="T17" i="1"/>
  <c r="S17" i="1"/>
  <c r="V17" i="1" s="1"/>
  <c r="O17" i="1"/>
  <c r="U16" i="1"/>
  <c r="T16" i="1"/>
  <c r="S16" i="1"/>
  <c r="L16" i="1"/>
  <c r="O16" i="1" s="1"/>
  <c r="H16" i="1"/>
  <c r="H33" i="1" s="1"/>
  <c r="U15" i="1"/>
  <c r="T15" i="1"/>
  <c r="S15" i="1"/>
  <c r="V15" i="1" s="1"/>
  <c r="L15" i="1"/>
  <c r="O15" i="1" s="1"/>
  <c r="O14" i="1"/>
  <c r="D10" i="1"/>
  <c r="F10" i="1" s="1"/>
  <c r="H10" i="1" s="1"/>
  <c r="I10" i="1" s="1"/>
  <c r="J10" i="1" s="1"/>
  <c r="L10" i="1" s="1"/>
  <c r="M10" i="1" s="1"/>
  <c r="N10" i="1" s="1"/>
  <c r="O10" i="1" s="1"/>
  <c r="Q10" i="1" s="1"/>
  <c r="S10" i="1" s="1"/>
  <c r="T10" i="1" s="1"/>
  <c r="U10" i="1" s="1"/>
  <c r="V10" i="1" s="1"/>
  <c r="X10" i="1" s="1"/>
  <c r="X32" i="1" l="1"/>
  <c r="X57" i="1"/>
  <c r="X28" i="1"/>
  <c r="X46" i="1"/>
  <c r="X39" i="1"/>
  <c r="X20" i="1"/>
  <c r="X17" i="1"/>
  <c r="X55" i="1"/>
  <c r="X63" i="1"/>
  <c r="O51" i="1"/>
  <c r="M64" i="1"/>
  <c r="M66" i="1" s="1"/>
  <c r="V51" i="1"/>
  <c r="X51" i="1" s="1"/>
  <c r="N66" i="1"/>
  <c r="V36" i="1"/>
  <c r="X36" i="1" s="1"/>
  <c r="T33" i="1"/>
  <c r="U33" i="1"/>
  <c r="X49" i="1"/>
  <c r="X37" i="1"/>
  <c r="X29" i="1"/>
  <c r="X40" i="1"/>
  <c r="V54" i="1"/>
  <c r="X54" i="1" s="1"/>
  <c r="V16" i="1"/>
  <c r="X16" i="1" s="1"/>
  <c r="V41" i="1"/>
  <c r="X41" i="1" s="1"/>
  <c r="O47" i="1"/>
  <c r="X47" i="1" s="1"/>
  <c r="O50" i="1"/>
  <c r="H66" i="1"/>
  <c r="X44" i="1"/>
  <c r="X50" i="1"/>
  <c r="X62" i="1"/>
  <c r="X24" i="1"/>
  <c r="I64" i="1"/>
  <c r="I66" i="1" s="1"/>
  <c r="V45" i="1"/>
  <c r="V59" i="1"/>
  <c r="V56" i="1"/>
  <c r="X56" i="1" s="1"/>
  <c r="T36" i="1"/>
  <c r="X48" i="1"/>
  <c r="V18" i="1"/>
  <c r="X18" i="1" s="1"/>
  <c r="U64" i="1"/>
  <c r="U66" i="1" s="1"/>
  <c r="V23" i="1"/>
  <c r="X23" i="1" s="1"/>
  <c r="X21" i="1"/>
  <c r="O33" i="1"/>
  <c r="L120" i="1"/>
  <c r="M96" i="1"/>
  <c r="M111" i="1"/>
  <c r="M103" i="1"/>
  <c r="M110" i="1"/>
  <c r="M102" i="1"/>
  <c r="M95" i="1"/>
  <c r="M117" i="1"/>
  <c r="M109" i="1"/>
  <c r="M101" i="1"/>
  <c r="M94" i="1"/>
  <c r="M116" i="1"/>
  <c r="M108" i="1"/>
  <c r="M100" i="1"/>
  <c r="M93" i="1"/>
  <c r="M115" i="1"/>
  <c r="M107" i="1"/>
  <c r="M99" i="1"/>
  <c r="M114" i="1"/>
  <c r="M106" i="1"/>
  <c r="M98" i="1"/>
  <c r="M113" i="1"/>
  <c r="M105" i="1"/>
  <c r="M97" i="1"/>
  <c r="M112" i="1"/>
  <c r="M104" i="1"/>
  <c r="X38" i="1"/>
  <c r="V53" i="1"/>
  <c r="X53" i="1" s="1"/>
  <c r="X30" i="1"/>
  <c r="T64" i="1"/>
  <c r="V33" i="1"/>
  <c r="X15" i="1"/>
  <c r="X43" i="1"/>
  <c r="X31" i="1"/>
  <c r="X26" i="1"/>
  <c r="X60" i="1"/>
  <c r="X45" i="1"/>
  <c r="X42" i="1"/>
  <c r="X59" i="1"/>
  <c r="X19" i="1"/>
  <c r="X52" i="1"/>
  <c r="S64" i="1"/>
  <c r="L33" i="1"/>
  <c r="M92" i="1"/>
  <c r="S33" i="1"/>
  <c r="L81" i="1"/>
  <c r="K83" i="1" s="1"/>
  <c r="K85" i="1" s="1"/>
  <c r="L64" i="1"/>
  <c r="L66" i="1" s="1"/>
  <c r="T66" i="1" l="1"/>
  <c r="M74" i="1"/>
  <c r="S66" i="1"/>
  <c r="M75" i="1"/>
  <c r="O64" i="1"/>
  <c r="O66" i="1" s="1"/>
  <c r="O92" i="1" s="1"/>
  <c r="O95" i="1" s="1"/>
  <c r="O97" i="1" s="1"/>
  <c r="M76" i="1"/>
  <c r="M77" i="1"/>
  <c r="M79" i="1" s="1"/>
  <c r="M85" i="1" s="1"/>
  <c r="X64" i="1"/>
  <c r="M78" i="1"/>
  <c r="M118" i="1"/>
  <c r="M81" i="1"/>
  <c r="M83" i="1" s="1"/>
  <c r="V64" i="1"/>
  <c r="V66" i="1" s="1"/>
  <c r="X66" i="1" s="1"/>
  <c r="X33" i="1"/>
  <c r="O78" i="1" l="1"/>
  <c r="O75" i="1"/>
  <c r="O81" i="1"/>
  <c r="O83" i="1" s="1"/>
  <c r="O77" i="1"/>
  <c r="O74" i="1"/>
  <c r="O76" i="1"/>
  <c r="S76" i="1" l="1"/>
  <c r="U76" i="1" s="1"/>
  <c r="S75" i="1"/>
  <c r="U75" i="1" s="1"/>
  <c r="S74" i="1"/>
  <c r="O79" i="1"/>
  <c r="O85" i="1" s="1"/>
  <c r="S77" i="1"/>
  <c r="U77" i="1" s="1"/>
  <c r="S78" i="1"/>
  <c r="U78" i="1" s="1"/>
  <c r="S79" i="1" l="1"/>
  <c r="U74" i="1"/>
  <c r="U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Frasure</author>
  </authors>
  <commentList>
    <comment ref="E24" authorId="0" shapeId="0" xr:uid="{E06B5168-20E4-480A-A9CC-D96317ECE626}">
      <text>
        <r>
          <rPr>
            <b/>
            <sz val="9"/>
            <color indexed="81"/>
            <rFont val="Tahoma"/>
            <family val="2"/>
          </rPr>
          <t>Brian Frasure:</t>
        </r>
        <r>
          <rPr>
            <sz val="9"/>
            <color indexed="81"/>
            <rFont val="Tahoma"/>
            <family val="2"/>
          </rPr>
          <t xml:space="preserve">
NO LONGER EMPLOYED</t>
        </r>
      </text>
    </comment>
    <comment ref="E28" authorId="0" shapeId="0" xr:uid="{DE571813-4710-4C85-B43E-F4C20ADEB264}">
      <text>
        <r>
          <rPr>
            <b/>
            <sz val="9"/>
            <color indexed="81"/>
            <rFont val="Tahoma"/>
            <family val="2"/>
          </rPr>
          <t>Brian Frasure:</t>
        </r>
        <r>
          <rPr>
            <sz val="9"/>
            <color indexed="81"/>
            <rFont val="Tahoma"/>
            <family val="2"/>
          </rPr>
          <t xml:space="preserve">
REHIRED 2017</t>
        </r>
      </text>
    </comment>
  </commentList>
</comments>
</file>

<file path=xl/sharedStrings.xml><?xml version="1.0" encoding="utf-8"?>
<sst xmlns="http://schemas.openxmlformats.org/spreadsheetml/2006/main" count="249" uniqueCount="206">
  <si>
    <t>Reference Schedule:  1.10</t>
  </si>
  <si>
    <t>SHELBY ENERGY COOPERATIVE</t>
  </si>
  <si>
    <t>For the 12 Months Ended December 2023</t>
  </si>
  <si>
    <t>Wages &amp; Salaries</t>
  </si>
  <si>
    <t>Employee</t>
  </si>
  <si>
    <t>Hours Worked</t>
  </si>
  <si>
    <t>Actual Test Year Wages</t>
  </si>
  <si>
    <t>Pro Forma Wages at 2,080 Hours</t>
  </si>
  <si>
    <t>Line</t>
  </si>
  <si>
    <t>Count</t>
  </si>
  <si>
    <t>ID</t>
  </si>
  <si>
    <t>Actual ID</t>
  </si>
  <si>
    <t>Note</t>
  </si>
  <si>
    <t>Regular Pay Rate Hours</t>
  </si>
  <si>
    <t>Overtime, Standby &amp; Double Time Hours</t>
  </si>
  <si>
    <t>Other Hrs Worked &amp; Vaca Py-Out Hrs</t>
  </si>
  <si>
    <t>Regular Pay Totals (-) Vaca payout)</t>
  </si>
  <si>
    <t>Overtime, Standby &amp; Double Time Pay Totals</t>
  </si>
  <si>
    <t>Other Pays/ Allowances / Vaca Py-Out</t>
  </si>
  <si>
    <t>Total Pays</t>
  </si>
  <si>
    <t>2024 Wage Rate</t>
  </si>
  <si>
    <t>Regular</t>
  </si>
  <si>
    <t>Overtime</t>
  </si>
  <si>
    <t>Total</t>
  </si>
  <si>
    <t>Pro Forma Adjustment</t>
  </si>
  <si>
    <t>#</t>
  </si>
  <si>
    <t>&lt; Hide &gt;</t>
  </si>
  <si>
    <t>Salary Employees</t>
  </si>
  <si>
    <t>S1</t>
  </si>
  <si>
    <t>C V</t>
  </si>
  <si>
    <t>S2</t>
  </si>
  <si>
    <t>2S</t>
  </si>
  <si>
    <t>C</t>
  </si>
  <si>
    <t>S3</t>
  </si>
  <si>
    <t>3S</t>
  </si>
  <si>
    <t>C M</t>
  </si>
  <si>
    <t>S4</t>
  </si>
  <si>
    <t>4S</t>
  </si>
  <si>
    <t>C O</t>
  </si>
  <si>
    <t>S5</t>
  </si>
  <si>
    <t>A C O</t>
  </si>
  <si>
    <t>S6</t>
  </si>
  <si>
    <t>S7</t>
  </si>
  <si>
    <t>S8</t>
  </si>
  <si>
    <t>M</t>
  </si>
  <si>
    <t>S9</t>
  </si>
  <si>
    <t>S10</t>
  </si>
  <si>
    <t>S11</t>
  </si>
  <si>
    <t xml:space="preserve">R </t>
  </si>
  <si>
    <t>S12</t>
  </si>
  <si>
    <t>C O R</t>
  </si>
  <si>
    <t>S13</t>
  </si>
  <si>
    <t>S14</t>
  </si>
  <si>
    <t>A C</t>
  </si>
  <si>
    <t>S15</t>
  </si>
  <si>
    <t>S16</t>
  </si>
  <si>
    <t>S17</t>
  </si>
  <si>
    <t>S18</t>
  </si>
  <si>
    <t>Subtotal</t>
  </si>
  <si>
    <t>Hourly Employees</t>
  </si>
  <si>
    <t>H1</t>
  </si>
  <si>
    <t>1H</t>
  </si>
  <si>
    <t>A B C</t>
  </si>
  <si>
    <t>H2</t>
  </si>
  <si>
    <t>2H</t>
  </si>
  <si>
    <t>H3</t>
  </si>
  <si>
    <t>3H</t>
  </si>
  <si>
    <t>H4</t>
  </si>
  <si>
    <t>4H</t>
  </si>
  <si>
    <t>H5</t>
  </si>
  <si>
    <t>5H</t>
  </si>
  <si>
    <t>M R</t>
  </si>
  <si>
    <t>H6</t>
  </si>
  <si>
    <t>6H</t>
  </si>
  <si>
    <t>H7</t>
  </si>
  <si>
    <t>7H</t>
  </si>
  <si>
    <t>H8</t>
  </si>
  <si>
    <t>A C M O</t>
  </si>
  <si>
    <t>H9</t>
  </si>
  <si>
    <t>H10</t>
  </si>
  <si>
    <t>H11</t>
  </si>
  <si>
    <t>H12</t>
  </si>
  <si>
    <t>H13</t>
  </si>
  <si>
    <t>A B C R</t>
  </si>
  <si>
    <t>H14</t>
  </si>
  <si>
    <t>R</t>
  </si>
  <si>
    <t>H15</t>
  </si>
  <si>
    <t>H16</t>
  </si>
  <si>
    <t>H17</t>
  </si>
  <si>
    <t>H18</t>
  </si>
  <si>
    <t>H19</t>
  </si>
  <si>
    <t>H20</t>
  </si>
  <si>
    <t>A B C M</t>
  </si>
  <si>
    <t>H21</t>
  </si>
  <si>
    <t>H22</t>
  </si>
  <si>
    <t>R A C</t>
  </si>
  <si>
    <t>H23</t>
  </si>
  <si>
    <t>A</t>
  </si>
  <si>
    <t>H24</t>
  </si>
  <si>
    <t>H25</t>
  </si>
  <si>
    <t>H26</t>
  </si>
  <si>
    <t>H27</t>
  </si>
  <si>
    <t>H28</t>
  </si>
  <si>
    <t>TOTAL</t>
  </si>
  <si>
    <t>Notes:</t>
  </si>
  <si>
    <t>A is clothing/boot allowance ($650 or $450 depending on position), B is Bargaining Unit Employees, C is cell phone reimbursement ($1,302.84 annually for non-bargaining unit employees and $1,020 annually for bargaining unit employees), M is medical opt-out for those not participating in medical insurance benefit ($3,339 annually), O is on-call duty pay ($5k annually), R is no longer employed at beginning of 2024, V is Vehicle Allowance of $6,600.</t>
  </si>
  <si>
    <t>This adjustment normalizes wages and salaries to account for changes due to wage increases, departures, or new hires for standard year of 2,080 hours, plus employer portion of related payroll taxes.</t>
  </si>
  <si>
    <t>Labor Expense Summary</t>
  </si>
  <si>
    <t>Labor $</t>
  </si>
  <si>
    <t>Alloc</t>
  </si>
  <si>
    <t>Adjustment</t>
  </si>
  <si>
    <t>+</t>
  </si>
  <si>
    <t>Payroll Tax</t>
  </si>
  <si>
    <t>=</t>
  </si>
  <si>
    <t>580-589</t>
  </si>
  <si>
    <t>Operations</t>
  </si>
  <si>
    <t>590-598</t>
  </si>
  <si>
    <t>Maintenance</t>
  </si>
  <si>
    <t>901-903</t>
  </si>
  <si>
    <t>901-905</t>
  </si>
  <si>
    <t>Consumer Accounts</t>
  </si>
  <si>
    <t>908-910</t>
  </si>
  <si>
    <t>907-910</t>
  </si>
  <si>
    <t>Customer Service</t>
  </si>
  <si>
    <t>920-935</t>
  </si>
  <si>
    <t>Administrative &amp; General</t>
  </si>
  <si>
    <t>Total Expense Adj</t>
  </si>
  <si>
    <t>Non-Expense Accounts (Balance Sheet)</t>
  </si>
  <si>
    <t>Labor Expense Detail by Account</t>
  </si>
  <si>
    <t>No.</t>
  </si>
  <si>
    <t>Acct</t>
  </si>
  <si>
    <t>Labor Amt</t>
  </si>
  <si>
    <t>Share</t>
  </si>
  <si>
    <t>Non-Expense Accounts</t>
  </si>
  <si>
    <t>Gross pay from above (ties to Labor Distribution Totals)</t>
  </si>
  <si>
    <t>580.0</t>
  </si>
  <si>
    <t>OPERATION SUPERVISION &amp; ENGINEERING</t>
  </si>
  <si>
    <t>December 2022 Accrued Gross Pay</t>
  </si>
  <si>
    <t>583.0</t>
  </si>
  <si>
    <t>OVERHEAD LINE EXPENSE</t>
  </si>
  <si>
    <t>December 2023 Accrued Gross Pay</t>
  </si>
  <si>
    <t>584.0</t>
  </si>
  <si>
    <t>UNDERGROUND LINE EXPENSES</t>
  </si>
  <si>
    <t>586.0</t>
  </si>
  <si>
    <t>METER EXPENSES</t>
  </si>
  <si>
    <t>Gross Wages per 2023 W-2 Reconciliation</t>
  </si>
  <si>
    <t>586.1</t>
  </si>
  <si>
    <t>METER TESTING</t>
  </si>
  <si>
    <t>Variance</t>
  </si>
  <si>
    <t>586.3</t>
  </si>
  <si>
    <t>METER RECORD KEEPING</t>
  </si>
  <si>
    <t>588.0</t>
  </si>
  <si>
    <t>MISSCELLANEOUS DISTRIBUTION</t>
  </si>
  <si>
    <t>590.0</t>
  </si>
  <si>
    <t>MAINTENANCE SUPERVISION &amp; ENGINEER</t>
  </si>
  <si>
    <t>593.0</t>
  </si>
  <si>
    <t>MAINTENANCE OF OVERHEAD LINES</t>
  </si>
  <si>
    <t>593.01</t>
  </si>
  <si>
    <t>MAINTENANCE - STANDBY TIME</t>
  </si>
  <si>
    <t>593.1</t>
  </si>
  <si>
    <t>PATROLLING - PLANNED</t>
  </si>
  <si>
    <t>593.3</t>
  </si>
  <si>
    <t>RIGHT OF WAY - PLANNED</t>
  </si>
  <si>
    <t>593.35</t>
  </si>
  <si>
    <t>RIGHT OF WAY - SPRAYING</t>
  </si>
  <si>
    <t>597.0</t>
  </si>
  <si>
    <t>MAINTENANCE OF METERS</t>
  </si>
  <si>
    <t>598.0</t>
  </si>
  <si>
    <t>MAINT. OF MSC. DISTRIBUTION PLANT</t>
  </si>
  <si>
    <t>901.0</t>
  </si>
  <si>
    <t>SUPERVISION</t>
  </si>
  <si>
    <t>902.0</t>
  </si>
  <si>
    <t>METER READING EXPENSES</t>
  </si>
  <si>
    <t>903.0</t>
  </si>
  <si>
    <t>CONSUMER RECORDS / COLLECT.</t>
  </si>
  <si>
    <t>908.0</t>
  </si>
  <si>
    <t>CUSTOMER ASSISTANCE EXPENSE</t>
  </si>
  <si>
    <t>909.0</t>
  </si>
  <si>
    <t>INFORMATIONAL / INSTRUCTION</t>
  </si>
  <si>
    <t>910.0</t>
  </si>
  <si>
    <t>MISCELLANEOUS CUSTOMER SER</t>
  </si>
  <si>
    <t>920.0</t>
  </si>
  <si>
    <t>ADMINISTRATIVE / GENERAL SAL</t>
  </si>
  <si>
    <t>926.1</t>
  </si>
  <si>
    <t>EMPLOYEE PENSIONS/BENEFIT CLR</t>
  </si>
  <si>
    <t>930.2</t>
  </si>
  <si>
    <t>MISCELLANEOUS GENERAL EXPENSE</t>
  </si>
  <si>
    <t>935.4</t>
  </si>
  <si>
    <t>MAIN. OF GENERAL PROPERTY</t>
  </si>
  <si>
    <t>Lbr Dis. History Rpt Total:</t>
  </si>
  <si>
    <t>Excess Vacation Payout</t>
  </si>
  <si>
    <t>Dipatch / Duty Pay</t>
  </si>
  <si>
    <t>Special Comp. @ Straight Time</t>
  </si>
  <si>
    <t>Bonus Pay</t>
  </si>
  <si>
    <t>Car Allowance</t>
  </si>
  <si>
    <t>Medical Opt-Out</t>
  </si>
  <si>
    <t>Phone Reimbursement</t>
  </si>
  <si>
    <t>Union Boot Allowance</t>
  </si>
  <si>
    <t>Non-Union Clothing Allowance</t>
  </si>
  <si>
    <t>Other Items</t>
  </si>
  <si>
    <t>Total - All Employees</t>
  </si>
  <si>
    <t>Correction of union boot allowance</t>
  </si>
  <si>
    <t>Ref. Sch. 1.10 as originally filed</t>
  </si>
  <si>
    <t>Shelby Energy Cooperative, Inc.</t>
  </si>
  <si>
    <t>2024-00351</t>
  </si>
  <si>
    <t>Breakdown of Other Pays included in Pro Forma Adjustment Ref Sch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</si>
</sst>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
    <numFmt numFmtId="166" formatCode="0.0%"/>
    <numFmt numFmtId="167" formatCode="m/d/yy;@"/>
    <numFmt numFmtId="168" formatCode="0;\-0;0"/>
    <numFmt numFmtId="169" formatCode="_(* #,##0.000_);_(* \(#,##0.000\);_(* &quot;-&quot;??_);_(@_)"/>
    <numFmt numFmtId="170" formatCode="_(* #,##0_);_(* \(#,##0\);_(* &quot;-&quot;??_);_(@_)"/>
    <numFmt numFmtId="171" formatCode="_(* #,##0.0_);_(* \(#,##0.0\);_(* &quot;-&quot;??_);_(@_)"/>
  </numFmts>
  <fonts count="19" x14ac:knownFonts="1">
    <font>
      <sz val="11"/>
      <color theme="1"/>
      <name val="Aptos Narrow"/>
      <family val="2"/>
      <scheme val="minor"/>
    </font>
    <font>
      <sz val="11"/>
      <color theme="1"/>
      <name val="Aptos Narrow"/>
      <family val="2"/>
      <scheme val="minor"/>
    </font>
    <font>
      <sz val="9"/>
      <name val="Arial"/>
      <family val="2"/>
    </font>
    <font>
      <sz val="9"/>
      <color rgb="FFFF0000"/>
      <name val="Arial"/>
      <family val="2"/>
    </font>
    <font>
      <sz val="12"/>
      <color theme="1"/>
      <name val="Arial"/>
      <family val="2"/>
    </font>
    <font>
      <b/>
      <sz val="9"/>
      <color theme="1"/>
      <name val="Arial"/>
      <family val="2"/>
    </font>
    <font>
      <b/>
      <sz val="10"/>
      <color theme="1"/>
      <name val="Arial"/>
      <family val="2"/>
    </font>
    <font>
      <sz val="10"/>
      <name val="Arial"/>
      <family val="2"/>
    </font>
    <font>
      <b/>
      <sz val="9"/>
      <name val="Arial"/>
      <family val="2"/>
    </font>
    <font>
      <b/>
      <u/>
      <sz val="9"/>
      <name val="Arial"/>
      <family val="2"/>
    </font>
    <font>
      <u/>
      <sz val="9"/>
      <name val="Arial"/>
      <family val="2"/>
    </font>
    <font>
      <sz val="9"/>
      <color theme="1"/>
      <name val="Arial"/>
      <family val="2"/>
    </font>
    <font>
      <b/>
      <sz val="9"/>
      <color indexed="81"/>
      <name val="Tahoma"/>
      <family val="2"/>
    </font>
    <font>
      <sz val="9"/>
      <color indexed="81"/>
      <name val="Tahoma"/>
      <family val="2"/>
    </font>
    <font>
      <sz val="11"/>
      <color theme="1"/>
      <name val="Calibri"/>
      <family val="2"/>
    </font>
    <font>
      <b/>
      <u/>
      <sz val="11"/>
      <name val="Calibri"/>
      <family val="2"/>
    </font>
    <font>
      <sz val="11"/>
      <name val="Calibri"/>
      <family val="2"/>
    </font>
    <font>
      <b/>
      <sz val="11"/>
      <name val="Calibri"/>
      <family val="2"/>
    </font>
    <font>
      <b/>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185">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3" fillId="0" borderId="0" xfId="0" applyFont="1"/>
    <xf numFmtId="0" fontId="5" fillId="0" borderId="0" xfId="4" applyFont="1" applyAlignment="1">
      <alignment horizontal="right"/>
    </xf>
    <xf numFmtId="0" fontId="6" fillId="0" borderId="0" xfId="4" applyFont="1" applyAlignment="1">
      <alignment horizontal="right"/>
    </xf>
    <xf numFmtId="9" fontId="2" fillId="0" borderId="0" xfId="3" applyFont="1"/>
    <xf numFmtId="0" fontId="7" fillId="0" borderId="0" xfId="0" applyFont="1"/>
    <xf numFmtId="0" fontId="8" fillId="0" borderId="0" xfId="4" applyFont="1" applyAlignment="1">
      <alignment horizontal="right"/>
    </xf>
    <xf numFmtId="0" fontId="9" fillId="0" borderId="0" xfId="0" applyFont="1" applyAlignment="1">
      <alignment horizontal="center"/>
    </xf>
    <xf numFmtId="0" fontId="2" fillId="0" borderId="0" xfId="4" applyFont="1"/>
    <xf numFmtId="0" fontId="7" fillId="0" borderId="0" xfId="4" applyFont="1"/>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wrapText="1"/>
    </xf>
    <xf numFmtId="0" fontId="2" fillId="0" borderId="0" xfId="0" applyFont="1" applyAlignment="1">
      <alignment wrapText="1"/>
    </xf>
    <xf numFmtId="0" fontId="2" fillId="2" borderId="0" xfId="0" applyFont="1" applyFill="1" applyAlignment="1">
      <alignment horizontal="center"/>
    </xf>
    <xf numFmtId="0" fontId="2" fillId="0" borderId="0" xfId="0" applyFont="1" applyAlignment="1">
      <alignment horizontal="center" wrapText="1"/>
    </xf>
    <xf numFmtId="0" fontId="2" fillId="3" borderId="0" xfId="0" applyFont="1" applyFill="1" applyAlignment="1">
      <alignment horizontal="center"/>
    </xf>
    <xf numFmtId="0" fontId="2" fillId="3" borderId="0" xfId="4" applyFont="1" applyFill="1" applyAlignment="1">
      <alignment horizontal="center"/>
    </xf>
    <xf numFmtId="165" fontId="2" fillId="0" borderId="1" xfId="0" quotePrefix="1" applyNumberFormat="1" applyFont="1" applyBorder="1" applyAlignment="1">
      <alignment horizontal="center"/>
    </xf>
    <xf numFmtId="165" fontId="2" fillId="2" borderId="1" xfId="0" quotePrefix="1" applyNumberFormat="1" applyFont="1" applyFill="1" applyBorder="1" applyAlignment="1">
      <alignment horizontal="center"/>
    </xf>
    <xf numFmtId="0" fontId="2" fillId="3" borderId="1" xfId="0" applyFont="1" applyFill="1" applyBorder="1" applyAlignment="1">
      <alignment horizontal="center"/>
    </xf>
    <xf numFmtId="0" fontId="2" fillId="3" borderId="1" xfId="4" applyFont="1" applyFill="1" applyBorder="1" applyAlignment="1">
      <alignment horizontal="center"/>
    </xf>
    <xf numFmtId="0" fontId="2" fillId="0" borderId="0" xfId="0" applyFont="1" applyAlignment="1">
      <alignment horizontal="centerContinuous"/>
    </xf>
    <xf numFmtId="0" fontId="2" fillId="3" borderId="0" xfId="0" applyFont="1" applyFill="1" applyAlignment="1">
      <alignment horizontal="centerContinuous"/>
    </xf>
    <xf numFmtId="14" fontId="2" fillId="0" borderId="0" xfId="0" applyNumberFormat="1" applyFont="1" applyAlignment="1">
      <alignment horizontal="center"/>
    </xf>
    <xf numFmtId="14" fontId="2" fillId="0" borderId="0" xfId="0" applyNumberFormat="1" applyFont="1"/>
    <xf numFmtId="166" fontId="7" fillId="0" borderId="0" xfId="3" applyNumberFormat="1" applyFont="1" applyBorder="1"/>
    <xf numFmtId="0" fontId="2" fillId="3" borderId="0" xfId="0" applyFont="1" applyFill="1" applyAlignment="1">
      <alignment horizontal="center" wrapText="1"/>
    </xf>
    <xf numFmtId="167" fontId="2" fillId="0" borderId="0" xfId="0" applyNumberFormat="1" applyFont="1" applyAlignment="1">
      <alignment horizontal="center"/>
    </xf>
    <xf numFmtId="0" fontId="7" fillId="0" borderId="0" xfId="0" applyFont="1" applyAlignment="1">
      <alignment horizontal="center"/>
    </xf>
    <xf numFmtId="0" fontId="9" fillId="0" borderId="0" xfId="0" applyFont="1" applyAlignment="1">
      <alignment horizontal="left"/>
    </xf>
    <xf numFmtId="0" fontId="8" fillId="0" borderId="0" xfId="0" applyFont="1" applyAlignment="1">
      <alignment horizontal="center"/>
    </xf>
    <xf numFmtId="43" fontId="2" fillId="0" borderId="0" xfId="1" applyFont="1"/>
    <xf numFmtId="43" fontId="2" fillId="3" borderId="0" xfId="1" applyFont="1" applyFill="1" applyBorder="1"/>
    <xf numFmtId="43" fontId="2" fillId="3" borderId="0" xfId="1" applyFont="1" applyFill="1" applyBorder="1" applyAlignment="1">
      <alignment horizontal="center"/>
    </xf>
    <xf numFmtId="49" fontId="7" fillId="0" borderId="0" xfId="0" applyNumberFormat="1" applyFont="1" applyAlignment="1">
      <alignment horizontal="center"/>
    </xf>
    <xf numFmtId="168" fontId="2" fillId="0" borderId="0" xfId="0" applyNumberFormat="1" applyFont="1" applyAlignment="1">
      <alignment horizontal="center" vertical="top"/>
    </xf>
    <xf numFmtId="0" fontId="2" fillId="0" borderId="0" xfId="0" applyFont="1" applyAlignment="1">
      <alignment horizontal="left"/>
    </xf>
    <xf numFmtId="43" fontId="2" fillId="0" borderId="0" xfId="1" applyFont="1" applyAlignment="1">
      <alignment vertical="top"/>
    </xf>
    <xf numFmtId="43" fontId="2" fillId="0" borderId="0" xfId="1" applyFont="1" applyAlignment="1">
      <alignment horizontal="right" vertical="top"/>
    </xf>
    <xf numFmtId="43" fontId="2" fillId="0" borderId="0" xfId="1" applyFont="1" applyFill="1"/>
    <xf numFmtId="169" fontId="2" fillId="0" borderId="0" xfId="1" applyNumberFormat="1" applyFont="1"/>
    <xf numFmtId="168" fontId="2" fillId="0" borderId="0" xfId="0" applyNumberFormat="1" applyFont="1" applyAlignment="1">
      <alignment vertical="top"/>
    </xf>
    <xf numFmtId="168" fontId="2" fillId="0" borderId="1" xfId="0" applyNumberFormat="1" applyFont="1" applyBorder="1" applyAlignment="1">
      <alignment horizontal="center" vertical="top"/>
    </xf>
    <xf numFmtId="0" fontId="2" fillId="0" borderId="1" xfId="0" applyFont="1" applyBorder="1" applyAlignment="1">
      <alignment horizontal="left"/>
    </xf>
    <xf numFmtId="43" fontId="2" fillId="0" borderId="1" xfId="1" applyFont="1" applyBorder="1" applyAlignment="1">
      <alignment vertical="top"/>
    </xf>
    <xf numFmtId="43" fontId="2" fillId="0" borderId="1" xfId="1" applyFont="1" applyBorder="1" applyAlignment="1">
      <alignment horizontal="right" vertical="top"/>
    </xf>
    <xf numFmtId="43" fontId="2" fillId="0" borderId="1" xfId="1" applyFont="1" applyBorder="1"/>
    <xf numFmtId="43" fontId="2" fillId="0" borderId="1" xfId="1" applyFont="1" applyFill="1" applyBorder="1"/>
    <xf numFmtId="169" fontId="2" fillId="0" borderId="1" xfId="1" applyNumberFormat="1" applyFont="1" applyBorder="1"/>
    <xf numFmtId="0" fontId="8" fillId="0" borderId="0" xfId="0" applyFont="1" applyAlignment="1">
      <alignment horizontal="left"/>
    </xf>
    <xf numFmtId="0" fontId="8" fillId="0" borderId="0" xfId="0" applyFont="1"/>
    <xf numFmtId="43" fontId="2" fillId="0" borderId="0" xfId="1" applyFont="1" applyFill="1" applyBorder="1"/>
    <xf numFmtId="43" fontId="2" fillId="0" borderId="0" xfId="1" applyFont="1" applyFill="1" applyBorder="1" applyAlignment="1">
      <alignment horizontal="center" wrapText="1"/>
    </xf>
    <xf numFmtId="169" fontId="2" fillId="0" borderId="0" xfId="1" applyNumberFormat="1" applyFont="1" applyFill="1" applyBorder="1"/>
    <xf numFmtId="43" fontId="2" fillId="0" borderId="0" xfId="1" applyFont="1" applyFill="1" applyBorder="1" applyAlignment="1">
      <alignment horizontal="center"/>
    </xf>
    <xf numFmtId="43" fontId="2" fillId="0" borderId="0" xfId="0" applyNumberFormat="1" applyFont="1"/>
    <xf numFmtId="169" fontId="2" fillId="0" borderId="0" xfId="1" applyNumberFormat="1" applyFont="1" applyFill="1"/>
    <xf numFmtId="43" fontId="8" fillId="0" borderId="0" xfId="1" applyFont="1" applyFill="1" applyBorder="1"/>
    <xf numFmtId="43" fontId="8" fillId="0" borderId="0" xfId="1" applyFont="1" applyFill="1"/>
    <xf numFmtId="169" fontId="8" fillId="0" borderId="0" xfId="1" applyNumberFormat="1" applyFont="1" applyFill="1"/>
    <xf numFmtId="43" fontId="2" fillId="3" borderId="0" xfId="1" applyFont="1" applyFill="1" applyBorder="1" applyAlignment="1">
      <alignment horizontal="center" wrapText="1"/>
    </xf>
    <xf numFmtId="37" fontId="2" fillId="0" borderId="0" xfId="0" applyNumberFormat="1" applyFont="1"/>
    <xf numFmtId="43" fontId="2" fillId="0" borderId="0" xfId="1" applyFont="1" applyBorder="1"/>
    <xf numFmtId="43" fontId="2" fillId="0" borderId="0" xfId="1" applyFont="1" applyFill="1" applyAlignment="1">
      <alignment vertical="top"/>
    </xf>
    <xf numFmtId="43" fontId="2" fillId="0" borderId="0" xfId="1" applyFont="1" applyBorder="1" applyAlignment="1">
      <alignment vertical="top"/>
    </xf>
    <xf numFmtId="43" fontId="2" fillId="0" borderId="0" xfId="1" applyFont="1" applyBorder="1" applyAlignment="1">
      <alignment horizontal="right" vertical="top"/>
    </xf>
    <xf numFmtId="169" fontId="2" fillId="0" borderId="0" xfId="1" applyNumberFormat="1" applyFont="1" applyBorder="1"/>
    <xf numFmtId="164" fontId="2" fillId="0" borderId="0" xfId="2" applyNumberFormat="1" applyFont="1" applyBorder="1"/>
    <xf numFmtId="37" fontId="2" fillId="0" borderId="1" xfId="0" applyNumberFormat="1" applyFont="1" applyBorder="1"/>
    <xf numFmtId="43" fontId="2" fillId="0" borderId="0" xfId="1" applyFont="1" applyFill="1" applyBorder="1" applyAlignment="1">
      <alignment vertical="top"/>
    </xf>
    <xf numFmtId="169" fontId="2" fillId="0" borderId="0" xfId="1" applyNumberFormat="1" applyFont="1" applyFill="1" applyAlignment="1">
      <alignment vertical="top"/>
    </xf>
    <xf numFmtId="43" fontId="2" fillId="0" borderId="0" xfId="1" applyFont="1" applyFill="1" applyAlignment="1">
      <alignment horizontal="center" wrapText="1"/>
    </xf>
    <xf numFmtId="43" fontId="2" fillId="0" borderId="0" xfId="1" applyFont="1" applyFill="1" applyAlignment="1">
      <alignment horizontal="center"/>
    </xf>
    <xf numFmtId="43" fontId="2" fillId="0" borderId="0" xfId="1" applyFont="1" applyFill="1" applyAlignment="1">
      <alignment wrapText="1"/>
    </xf>
    <xf numFmtId="164" fontId="2" fillId="0" borderId="0" xfId="2" applyNumberFormat="1" applyFont="1" applyFill="1" applyBorder="1"/>
    <xf numFmtId="0" fontId="8" fillId="0" borderId="2" xfId="0" applyFont="1" applyBorder="1" applyAlignment="1">
      <alignment horizontal="center" vertical="center"/>
    </xf>
    <xf numFmtId="0" fontId="2" fillId="0" borderId="2" xfId="0" applyFont="1" applyBorder="1" applyAlignment="1">
      <alignment horizontal="center" vertical="center"/>
    </xf>
    <xf numFmtId="43" fontId="2" fillId="0" borderId="2" xfId="1" applyFont="1" applyFill="1" applyBorder="1" applyAlignment="1">
      <alignment vertical="center"/>
    </xf>
    <xf numFmtId="43" fontId="2" fillId="0" borderId="2" xfId="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3" fontId="2" fillId="0" borderId="0" xfId="1" applyFont="1" applyFill="1" applyAlignment="1">
      <alignment vertical="center"/>
    </xf>
    <xf numFmtId="43" fontId="2" fillId="0" borderId="0" xfId="1" applyFont="1" applyFill="1" applyBorder="1" applyAlignment="1">
      <alignment vertical="center"/>
    </xf>
    <xf numFmtId="43" fontId="2" fillId="0" borderId="0" xfId="1" applyFont="1" applyFill="1" applyAlignment="1">
      <alignment horizontal="center" vertical="center" wrapText="1"/>
    </xf>
    <xf numFmtId="43" fontId="2" fillId="0" borderId="0" xfId="1" applyFont="1" applyFill="1" applyAlignment="1">
      <alignment horizontal="center" vertical="center"/>
    </xf>
    <xf numFmtId="43" fontId="2" fillId="0" borderId="0" xfId="1" quotePrefix="1" applyFont="1" applyFill="1" applyBorder="1" applyAlignment="1">
      <alignment horizontal="center"/>
    </xf>
    <xf numFmtId="9" fontId="2" fillId="0" borderId="0" xfId="3" applyFont="1" applyFill="1" applyBorder="1" applyAlignment="1"/>
    <xf numFmtId="0" fontId="2" fillId="0" borderId="0" xfId="4" applyFont="1" applyAlignment="1">
      <alignment horizontal="center"/>
    </xf>
    <xf numFmtId="9" fontId="2" fillId="0" borderId="0" xfId="3" applyFont="1" applyBorder="1"/>
    <xf numFmtId="170" fontId="2" fillId="0" borderId="0" xfId="1" applyNumberFormat="1" applyFont="1" applyFill="1" applyBorder="1"/>
    <xf numFmtId="170" fontId="2" fillId="0" borderId="0" xfId="1" applyNumberFormat="1" applyFont="1" applyFill="1" applyBorder="1" applyAlignment="1">
      <alignment horizontal="center" wrapText="1"/>
    </xf>
    <xf numFmtId="170" fontId="2" fillId="0" borderId="0" xfId="1" applyNumberFormat="1" applyFont="1" applyFill="1" applyBorder="1" applyAlignment="1">
      <alignment horizontal="center"/>
    </xf>
    <xf numFmtId="0" fontId="7" fillId="0" borderId="0" xfId="0" applyFont="1" applyAlignment="1">
      <alignment vertical="center"/>
    </xf>
    <xf numFmtId="0" fontId="2" fillId="0" borderId="0" xfId="0" applyFont="1" applyAlignment="1">
      <alignment vertical="top"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right" wrapText="1"/>
    </xf>
    <xf numFmtId="0" fontId="7" fillId="0" borderId="0" xfId="0" applyFont="1" applyAlignment="1">
      <alignment horizontal="left" vertical="top"/>
    </xf>
    <xf numFmtId="0" fontId="2" fillId="0" borderId="0" xfId="0" applyFont="1" applyAlignment="1">
      <alignment horizontal="right"/>
    </xf>
    <xf numFmtId="164" fontId="2" fillId="0" borderId="0" xfId="2" applyNumberFormat="1" applyFont="1" applyBorder="1" applyProtection="1"/>
    <xf numFmtId="166" fontId="2" fillId="0" borderId="0" xfId="3" applyNumberFormat="1" applyFont="1" applyBorder="1" applyProtection="1"/>
    <xf numFmtId="164" fontId="2" fillId="0" borderId="0" xfId="0" applyNumberFormat="1" applyFont="1"/>
    <xf numFmtId="44" fontId="2" fillId="0" borderId="0" xfId="0" applyNumberFormat="1" applyFont="1"/>
    <xf numFmtId="0" fontId="2" fillId="0" borderId="3" xfId="0" applyFont="1" applyBorder="1" applyAlignment="1">
      <alignment horizontal="center"/>
    </xf>
    <xf numFmtId="0" fontId="2" fillId="0" borderId="3" xfId="0" applyFont="1" applyBorder="1"/>
    <xf numFmtId="0" fontId="8" fillId="0" borderId="3" xfId="0" applyFont="1" applyBorder="1"/>
    <xf numFmtId="164" fontId="2" fillId="0" borderId="3" xfId="2" applyNumberFormat="1" applyFont="1" applyBorder="1" applyAlignment="1" applyProtection="1">
      <alignment horizontal="center"/>
    </xf>
    <xf numFmtId="166" fontId="2" fillId="0" borderId="3" xfId="3" applyNumberFormat="1" applyFont="1" applyBorder="1" applyProtection="1"/>
    <xf numFmtId="164" fontId="2" fillId="0" borderId="4" xfId="0" applyNumberFormat="1" applyFont="1" applyBorder="1"/>
    <xf numFmtId="164" fontId="8" fillId="0" borderId="4" xfId="0" applyNumberFormat="1" applyFont="1" applyBorder="1"/>
    <xf numFmtId="164" fontId="2" fillId="0" borderId="0" xfId="2" applyNumberFormat="1" applyFont="1" applyBorder="1" applyAlignment="1" applyProtection="1">
      <alignment horizontal="center"/>
    </xf>
    <xf numFmtId="164" fontId="2" fillId="0" borderId="3" xfId="0" applyNumberFormat="1" applyFont="1" applyBorder="1"/>
    <xf numFmtId="0" fontId="2" fillId="0" borderId="2" xfId="0" applyFont="1" applyBorder="1" applyAlignment="1">
      <alignment horizontal="center"/>
    </xf>
    <xf numFmtId="0" fontId="2" fillId="0" borderId="2" xfId="0" applyFont="1" applyBorder="1"/>
    <xf numFmtId="166" fontId="2" fillId="0" borderId="2" xfId="3" applyNumberFormat="1" applyFont="1" applyBorder="1" applyProtection="1"/>
    <xf numFmtId="164" fontId="2" fillId="0" borderId="2" xfId="2" applyNumberFormat="1" applyFont="1" applyBorder="1" applyAlignment="1" applyProtection="1"/>
    <xf numFmtId="0" fontId="10" fillId="0" borderId="0" xfId="0" applyFont="1" applyAlignment="1">
      <alignment horizontal="right"/>
    </xf>
    <xf numFmtId="2" fontId="2" fillId="0" borderId="0" xfId="0" applyNumberFormat="1" applyFont="1" applyAlignment="1">
      <alignment horizontal="center"/>
    </xf>
    <xf numFmtId="164" fontId="2" fillId="0" borderId="0" xfId="2" applyNumberFormat="1" applyFont="1" applyProtection="1"/>
    <xf numFmtId="166" fontId="2" fillId="0" borderId="0" xfId="3" applyNumberFormat="1" applyFont="1"/>
    <xf numFmtId="170" fontId="2" fillId="0" borderId="0" xfId="0" applyNumberFormat="1" applyFont="1"/>
    <xf numFmtId="43" fontId="11" fillId="0" borderId="0" xfId="1" applyFont="1" applyAlignment="1" applyProtection="1">
      <alignment horizontal="right"/>
      <protection locked="0"/>
    </xf>
    <xf numFmtId="43" fontId="11" fillId="0" borderId="0" xfId="1" applyFont="1" applyProtection="1">
      <protection locked="0"/>
    </xf>
    <xf numFmtId="170" fontId="2" fillId="0" borderId="1" xfId="0" applyNumberFormat="1" applyFont="1" applyBorder="1"/>
    <xf numFmtId="171" fontId="11" fillId="0" borderId="0" xfId="1" quotePrefix="1" applyNumberFormat="1" applyFont="1" applyAlignment="1" applyProtection="1">
      <alignment horizontal="right" vertical="top"/>
      <protection locked="0"/>
    </xf>
    <xf numFmtId="44" fontId="2" fillId="0" borderId="0" xfId="2" applyFont="1"/>
    <xf numFmtId="43" fontId="11" fillId="0" borderId="0" xfId="1" quotePrefix="1" applyFont="1" applyAlignment="1" applyProtection="1">
      <alignment horizontal="right"/>
      <protection locked="0"/>
    </xf>
    <xf numFmtId="164" fontId="2" fillId="0" borderId="0" xfId="1" applyNumberFormat="1" applyFont="1" applyBorder="1"/>
    <xf numFmtId="2" fontId="2" fillId="0" borderId="0" xfId="0" quotePrefix="1" applyNumberFormat="1" applyFont="1" applyAlignment="1">
      <alignment horizontal="center"/>
    </xf>
    <xf numFmtId="43" fontId="11" fillId="0" borderId="0" xfId="1" quotePrefix="1" applyFont="1" applyBorder="1" applyAlignment="1" applyProtection="1">
      <alignment horizontal="right"/>
      <protection locked="0"/>
    </xf>
    <xf numFmtId="43" fontId="11" fillId="0" borderId="0" xfId="1" applyFont="1" applyBorder="1" applyProtection="1">
      <protection locked="0"/>
    </xf>
    <xf numFmtId="166" fontId="2" fillId="0" borderId="3" xfId="3" applyNumberFormat="1" applyFont="1" applyBorder="1"/>
    <xf numFmtId="0" fontId="2" fillId="0" borderId="1" xfId="0" applyFont="1" applyBorder="1" applyAlignment="1">
      <alignment horizontal="right"/>
    </xf>
    <xf numFmtId="2" fontId="7" fillId="0" borderId="0" xfId="0" applyNumberFormat="1" applyFont="1"/>
    <xf numFmtId="0" fontId="14" fillId="0" borderId="0" xfId="0" applyFont="1"/>
    <xf numFmtId="0" fontId="15" fillId="0" borderId="0" xfId="0" applyFont="1" applyAlignment="1">
      <alignment horizontal="left"/>
    </xf>
    <xf numFmtId="43" fontId="16" fillId="0" borderId="0" xfId="1" applyFont="1" applyFill="1"/>
    <xf numFmtId="43" fontId="16" fillId="0" borderId="0" xfId="1" applyFont="1" applyFill="1" applyBorder="1"/>
    <xf numFmtId="0" fontId="16" fillId="0" borderId="0" xfId="0" applyFont="1" applyAlignment="1">
      <alignment horizontal="center"/>
    </xf>
    <xf numFmtId="0" fontId="16" fillId="0" borderId="1" xfId="0" applyFont="1" applyBorder="1" applyAlignment="1">
      <alignment horizontal="center"/>
    </xf>
    <xf numFmtId="0" fontId="16" fillId="0" borderId="0" xfId="0" applyFont="1"/>
    <xf numFmtId="168" fontId="16" fillId="0" borderId="0" xfId="0" applyNumberFormat="1" applyFont="1" applyAlignment="1">
      <alignment horizontal="center" vertical="top"/>
    </xf>
    <xf numFmtId="168" fontId="16" fillId="0" borderId="1" xfId="0" applyNumberFormat="1" applyFont="1" applyBorder="1" applyAlignment="1">
      <alignment horizontal="center" vertical="top"/>
    </xf>
    <xf numFmtId="43" fontId="16" fillId="0" borderId="0" xfId="1" applyFont="1" applyFill="1" applyAlignment="1">
      <alignment horizontal="center"/>
    </xf>
    <xf numFmtId="43" fontId="17" fillId="0" borderId="0" xfId="1" applyFont="1" applyFill="1" applyAlignment="1">
      <alignment horizontal="center"/>
    </xf>
    <xf numFmtId="0" fontId="18" fillId="0" borderId="0" xfId="0" applyFont="1"/>
    <xf numFmtId="0" fontId="18" fillId="0" borderId="1" xfId="0" applyFont="1" applyBorder="1" applyAlignment="1">
      <alignment horizontal="center" wrapText="1"/>
    </xf>
    <xf numFmtId="170" fontId="16" fillId="0" borderId="0" xfId="1" applyNumberFormat="1" applyFont="1" applyFill="1"/>
    <xf numFmtId="170" fontId="16" fillId="0" borderId="0" xfId="1" applyNumberFormat="1" applyFont="1" applyFill="1" applyAlignment="1">
      <alignment horizontal="center"/>
    </xf>
    <xf numFmtId="170" fontId="16" fillId="0" borderId="0" xfId="1" applyNumberFormat="1" applyFont="1" applyFill="1" applyAlignment="1">
      <alignment horizontal="center" vertical="top"/>
    </xf>
    <xf numFmtId="170" fontId="16" fillId="0" borderId="0" xfId="1" applyNumberFormat="1" applyFont="1" applyFill="1" applyAlignment="1">
      <alignment horizontal="left"/>
    </xf>
    <xf numFmtId="170" fontId="16" fillId="0" borderId="0" xfId="1" applyNumberFormat="1" applyFont="1" applyFill="1" applyAlignment="1">
      <alignment vertical="top"/>
    </xf>
    <xf numFmtId="170" fontId="16" fillId="0" borderId="0" xfId="1" applyNumberFormat="1" applyFont="1" applyFill="1" applyAlignment="1">
      <alignment horizontal="right" vertical="top"/>
    </xf>
    <xf numFmtId="170" fontId="16" fillId="0" borderId="0" xfId="1" applyNumberFormat="1" applyFont="1" applyFill="1" applyBorder="1"/>
    <xf numFmtId="170" fontId="16" fillId="0" borderId="1" xfId="1" applyNumberFormat="1" applyFont="1" applyFill="1" applyBorder="1"/>
    <xf numFmtId="170" fontId="16" fillId="0" borderId="1" xfId="1" applyNumberFormat="1" applyFont="1" applyFill="1" applyBorder="1" applyAlignment="1">
      <alignment horizontal="center"/>
    </xf>
    <xf numFmtId="170" fontId="16" fillId="0" borderId="1" xfId="1" applyNumberFormat="1" applyFont="1" applyFill="1" applyBorder="1" applyAlignment="1">
      <alignment horizontal="center" vertical="top"/>
    </xf>
    <xf numFmtId="170" fontId="16" fillId="0" borderId="1" xfId="1" applyNumberFormat="1" applyFont="1" applyFill="1" applyBorder="1" applyAlignment="1">
      <alignment horizontal="left"/>
    </xf>
    <xf numFmtId="170" fontId="16" fillId="0" borderId="1" xfId="1" applyNumberFormat="1" applyFont="1" applyFill="1" applyBorder="1" applyAlignment="1">
      <alignment vertical="top"/>
    </xf>
    <xf numFmtId="170" fontId="16" fillId="0" borderId="1" xfId="1" applyNumberFormat="1" applyFont="1" applyFill="1" applyBorder="1" applyAlignment="1">
      <alignment horizontal="right" vertical="top"/>
    </xf>
    <xf numFmtId="170" fontId="17" fillId="0" borderId="0" xfId="1" applyNumberFormat="1" applyFont="1" applyFill="1" applyAlignment="1">
      <alignment horizontal="center"/>
    </xf>
    <xf numFmtId="170" fontId="17" fillId="0" borderId="0" xfId="1" applyNumberFormat="1" applyFont="1" applyFill="1"/>
    <xf numFmtId="170" fontId="17" fillId="0" borderId="0" xfId="1" applyNumberFormat="1" applyFont="1" applyFill="1" applyBorder="1"/>
    <xf numFmtId="170" fontId="14" fillId="0" borderId="0" xfId="1" applyNumberFormat="1" applyFont="1"/>
    <xf numFmtId="170" fontId="14" fillId="0" borderId="2" xfId="0" applyNumberFormat="1" applyFont="1" applyBorder="1"/>
    <xf numFmtId="0" fontId="17" fillId="0" borderId="0" xfId="0" applyFont="1" applyAlignment="1">
      <alignment horizontal="center"/>
    </xf>
    <xf numFmtId="0" fontId="18" fillId="0" borderId="0" xfId="0" applyFont="1" applyAlignment="1">
      <alignment horizontal="center"/>
    </xf>
    <xf numFmtId="170" fontId="16" fillId="0" borderId="4" xfId="1" applyNumberFormat="1" applyFont="1" applyFill="1" applyBorder="1" applyAlignment="1">
      <alignment horizontal="center"/>
    </xf>
    <xf numFmtId="170" fontId="17" fillId="0" borderId="4" xfId="1" applyNumberFormat="1" applyFont="1" applyFill="1" applyBorder="1"/>
    <xf numFmtId="170" fontId="18" fillId="0" borderId="5" xfId="1" applyNumberFormat="1" applyFont="1" applyBorder="1"/>
    <xf numFmtId="0" fontId="14" fillId="0" borderId="0" xfId="0" applyFont="1" applyAlignment="1">
      <alignment horizontal="center"/>
    </xf>
    <xf numFmtId="164" fontId="2" fillId="0" borderId="2" xfId="2" applyNumberFormat="1" applyFont="1" applyBorder="1" applyAlignment="1" applyProtection="1">
      <alignment horizontal="center"/>
    </xf>
    <xf numFmtId="164" fontId="2" fillId="0" borderId="3" xfId="2" applyNumberFormat="1" applyFont="1" applyBorder="1" applyAlignment="1" applyProtection="1">
      <alignment horizontal="center"/>
    </xf>
    <xf numFmtId="164" fontId="2" fillId="0" borderId="1" xfId="2" applyNumberFormat="1" applyFont="1" applyBorder="1" applyAlignment="1" applyProtection="1">
      <alignment horizontal="center"/>
    </xf>
    <xf numFmtId="0" fontId="2" fillId="0" borderId="0" xfId="0" applyFont="1" applyAlignment="1">
      <alignment horizontal="center" wrapText="1"/>
    </xf>
    <xf numFmtId="0" fontId="2" fillId="0" borderId="0" xfId="0" applyFont="1" applyAlignment="1">
      <alignment horizontal="center"/>
    </xf>
    <xf numFmtId="0" fontId="2" fillId="0" borderId="0" xfId="0" quotePrefix="1" applyFont="1" applyAlignment="1">
      <alignment horizontal="left" wrapText="1"/>
    </xf>
    <xf numFmtId="0" fontId="2" fillId="0" borderId="0" xfId="0" applyFont="1" applyAlignment="1">
      <alignment horizontal="left" vertical="top" wrapText="1"/>
    </xf>
    <xf numFmtId="0" fontId="8" fillId="0" borderId="0" xfId="4" applyFont="1" applyAlignment="1">
      <alignment horizontal="center"/>
    </xf>
    <xf numFmtId="0" fontId="9" fillId="0" borderId="0" xfId="0" applyFont="1" applyAlignment="1">
      <alignment horizontal="center"/>
    </xf>
    <xf numFmtId="0" fontId="2" fillId="0" borderId="1" xfId="0" applyFont="1" applyBorder="1" applyAlignment="1">
      <alignment horizontal="center"/>
    </xf>
  </cellXfs>
  <cellStyles count="5">
    <cellStyle name="Comma" xfId="1" builtinId="3"/>
    <cellStyle name="Currency" xfId="2" builtinId="4"/>
    <cellStyle name="Normal" xfId="0" builtinId="0"/>
    <cellStyle name="Normal 2" xfId="4" xr:uid="{45FD0E28-D2B2-476C-8A8D-931A44BE484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50D7-BDDA-44C0-BB3A-B436182322BE}">
  <dimension ref="A1:L63"/>
  <sheetViews>
    <sheetView tabSelected="1" zoomScaleNormal="100" workbookViewId="0">
      <selection activeCell="C37" sqref="C37"/>
    </sheetView>
  </sheetViews>
  <sheetFormatPr defaultRowHeight="15" x14ac:dyDescent="0.25"/>
  <cols>
    <col min="1" max="1" width="19.85546875" style="138" bestFit="1" customWidth="1"/>
    <col min="2" max="11" width="15.7109375" style="138" customWidth="1"/>
    <col min="12" max="16384" width="9.140625" style="138"/>
  </cols>
  <sheetData>
    <row r="1" spans="1:11" x14ac:dyDescent="0.25">
      <c r="A1" s="149" t="s">
        <v>203</v>
      </c>
    </row>
    <row r="2" spans="1:11" x14ac:dyDescent="0.25">
      <c r="A2" s="149" t="s">
        <v>204</v>
      </c>
    </row>
    <row r="3" spans="1:11" x14ac:dyDescent="0.25">
      <c r="A3" s="149" t="s">
        <v>205</v>
      </c>
    </row>
    <row r="5" spans="1:11" x14ac:dyDescent="0.25">
      <c r="G5" s="174" t="s">
        <v>199</v>
      </c>
      <c r="H5" s="174"/>
      <c r="I5" s="174"/>
      <c r="J5" s="174"/>
    </row>
    <row r="6" spans="1:11" ht="45" x14ac:dyDescent="0.25">
      <c r="B6" s="150" t="s">
        <v>190</v>
      </c>
      <c r="C6" s="150" t="s">
        <v>191</v>
      </c>
      <c r="D6" s="150" t="s">
        <v>192</v>
      </c>
      <c r="E6" s="150" t="s">
        <v>193</v>
      </c>
      <c r="F6" s="150" t="s">
        <v>194</v>
      </c>
      <c r="G6" s="150" t="s">
        <v>195</v>
      </c>
      <c r="H6" s="150" t="s">
        <v>196</v>
      </c>
      <c r="I6" s="150" t="s">
        <v>197</v>
      </c>
      <c r="J6" s="150" t="s">
        <v>198</v>
      </c>
      <c r="K6" s="150" t="s">
        <v>23</v>
      </c>
    </row>
    <row r="8" spans="1:11" x14ac:dyDescent="0.25">
      <c r="A8" s="139" t="s">
        <v>27</v>
      </c>
      <c r="B8" s="140"/>
      <c r="C8" s="147"/>
      <c r="D8" s="147"/>
      <c r="E8" s="140"/>
      <c r="F8" s="148"/>
      <c r="G8" s="148"/>
      <c r="H8" s="140"/>
      <c r="I8" s="140"/>
      <c r="J8" s="140"/>
      <c r="K8" s="141"/>
    </row>
    <row r="9" spans="1:11" x14ac:dyDescent="0.25">
      <c r="A9" s="142">
        <v>1</v>
      </c>
      <c r="B9" s="151">
        <v>0</v>
      </c>
      <c r="C9" s="152">
        <v>0</v>
      </c>
      <c r="D9" s="153">
        <v>0</v>
      </c>
      <c r="E9" s="154">
        <v>0</v>
      </c>
      <c r="F9" s="152">
        <f>550*12</f>
        <v>6600</v>
      </c>
      <c r="G9" s="152">
        <v>0</v>
      </c>
      <c r="H9" s="155">
        <v>1302.8399999999999</v>
      </c>
      <c r="I9" s="156">
        <v>0</v>
      </c>
      <c r="J9" s="155">
        <v>0</v>
      </c>
      <c r="K9" s="157">
        <f>SUM(B9:J9)</f>
        <v>7902.84</v>
      </c>
    </row>
    <row r="10" spans="1:11" x14ac:dyDescent="0.25">
      <c r="A10" s="142">
        <v>2</v>
      </c>
      <c r="B10" s="151">
        <v>0</v>
      </c>
      <c r="C10" s="152">
        <v>0</v>
      </c>
      <c r="D10" s="153">
        <f>32.446*40</f>
        <v>1297.8399999999999</v>
      </c>
      <c r="E10" s="155">
        <v>0</v>
      </c>
      <c r="F10" s="152">
        <v>0</v>
      </c>
      <c r="G10" s="152">
        <v>0</v>
      </c>
      <c r="H10" s="151">
        <v>1302.8399999999999</v>
      </c>
      <c r="I10" s="156">
        <v>0</v>
      </c>
      <c r="J10" s="155">
        <v>0</v>
      </c>
      <c r="K10" s="157">
        <f t="shared" ref="K10:K26" si="0">SUM(B10:J10)</f>
        <v>2600.6799999999998</v>
      </c>
    </row>
    <row r="11" spans="1:11" x14ac:dyDescent="0.25">
      <c r="A11" s="142">
        <v>3</v>
      </c>
      <c r="B11" s="151">
        <v>0</v>
      </c>
      <c r="C11" s="152">
        <v>0</v>
      </c>
      <c r="D11" s="153">
        <v>0</v>
      </c>
      <c r="E11" s="155">
        <v>0</v>
      </c>
      <c r="F11" s="152">
        <v>0</v>
      </c>
      <c r="G11" s="152">
        <v>3339</v>
      </c>
      <c r="H11" s="155">
        <v>1302.8399999999999</v>
      </c>
      <c r="I11" s="156">
        <v>0</v>
      </c>
      <c r="J11" s="155">
        <v>0</v>
      </c>
      <c r="K11" s="157">
        <f t="shared" si="0"/>
        <v>4641.84</v>
      </c>
    </row>
    <row r="12" spans="1:11" x14ac:dyDescent="0.25">
      <c r="A12" s="142">
        <v>4</v>
      </c>
      <c r="B12" s="151">
        <v>0</v>
      </c>
      <c r="C12" s="152">
        <v>5000</v>
      </c>
      <c r="D12" s="153">
        <f>58.5*30.809</f>
        <v>1802.3265000000001</v>
      </c>
      <c r="E12" s="155">
        <v>0</v>
      </c>
      <c r="F12" s="152">
        <v>0</v>
      </c>
      <c r="G12" s="152">
        <v>0</v>
      </c>
      <c r="H12" s="155">
        <v>1302.8399999999999</v>
      </c>
      <c r="I12" s="156">
        <v>0</v>
      </c>
      <c r="J12" s="155">
        <v>0</v>
      </c>
      <c r="K12" s="157">
        <f t="shared" si="0"/>
        <v>8105.1665000000003</v>
      </c>
    </row>
    <row r="13" spans="1:11" x14ac:dyDescent="0.25">
      <c r="A13" s="142">
        <v>5</v>
      </c>
      <c r="B13" s="151">
        <v>0</v>
      </c>
      <c r="C13" s="152">
        <v>5000</v>
      </c>
      <c r="D13" s="153">
        <f>89*63.973</f>
        <v>5693.5969999999998</v>
      </c>
      <c r="E13" s="154">
        <v>0</v>
      </c>
      <c r="F13" s="152">
        <v>0</v>
      </c>
      <c r="G13" s="152">
        <v>0</v>
      </c>
      <c r="H13" s="151">
        <v>1302.8399999999999</v>
      </c>
      <c r="I13" s="156">
        <v>0</v>
      </c>
      <c r="J13" s="155">
        <v>650</v>
      </c>
      <c r="K13" s="157">
        <f t="shared" si="0"/>
        <v>12646.437</v>
      </c>
    </row>
    <row r="14" spans="1:11" x14ac:dyDescent="0.25">
      <c r="A14" s="142">
        <v>6</v>
      </c>
      <c r="B14" s="151">
        <v>0</v>
      </c>
      <c r="C14" s="152">
        <v>5000</v>
      </c>
      <c r="D14" s="153">
        <f>57.5*31.675</f>
        <v>1821.3125</v>
      </c>
      <c r="E14" s="154">
        <v>0</v>
      </c>
      <c r="F14" s="152">
        <v>0</v>
      </c>
      <c r="G14" s="152">
        <v>0</v>
      </c>
      <c r="H14" s="155">
        <v>1302.8399999999999</v>
      </c>
      <c r="I14" s="156">
        <v>0</v>
      </c>
      <c r="J14" s="155">
        <v>0</v>
      </c>
      <c r="K14" s="157">
        <f t="shared" si="0"/>
        <v>8124.1525000000001</v>
      </c>
    </row>
    <row r="15" spans="1:11" x14ac:dyDescent="0.25">
      <c r="A15" s="142">
        <v>7</v>
      </c>
      <c r="B15" s="151">
        <v>0</v>
      </c>
      <c r="C15" s="152">
        <v>5000</v>
      </c>
      <c r="D15" s="153">
        <f>31.5*51.178</f>
        <v>1612.107</v>
      </c>
      <c r="E15" s="154">
        <v>0</v>
      </c>
      <c r="F15" s="152">
        <v>0</v>
      </c>
      <c r="G15" s="152">
        <v>0</v>
      </c>
      <c r="H15" s="155">
        <v>1302.8399999999999</v>
      </c>
      <c r="I15" s="156">
        <v>0</v>
      </c>
      <c r="J15" s="155">
        <v>650</v>
      </c>
      <c r="K15" s="157">
        <f t="shared" si="0"/>
        <v>8564.9470000000001</v>
      </c>
    </row>
    <row r="16" spans="1:11" x14ac:dyDescent="0.25">
      <c r="A16" s="142">
        <v>8</v>
      </c>
      <c r="B16" s="151">
        <v>0</v>
      </c>
      <c r="C16" s="152">
        <v>0</v>
      </c>
      <c r="D16" s="153">
        <v>0</v>
      </c>
      <c r="E16" s="154">
        <v>0</v>
      </c>
      <c r="F16" s="152">
        <v>0</v>
      </c>
      <c r="G16" s="152">
        <v>3339</v>
      </c>
      <c r="H16" s="155">
        <v>0</v>
      </c>
      <c r="I16" s="156">
        <v>0</v>
      </c>
      <c r="J16" s="155">
        <v>0</v>
      </c>
      <c r="K16" s="157">
        <f t="shared" si="0"/>
        <v>3339</v>
      </c>
    </row>
    <row r="17" spans="1:11" x14ac:dyDescent="0.25">
      <c r="A17" s="142">
        <v>9</v>
      </c>
      <c r="B17" s="151">
        <v>0</v>
      </c>
      <c r="C17" s="152">
        <v>5000</v>
      </c>
      <c r="D17" s="153">
        <f>64.5*51.518</f>
        <v>3322.9110000000001</v>
      </c>
      <c r="E17" s="154">
        <v>0</v>
      </c>
      <c r="F17" s="152">
        <v>0</v>
      </c>
      <c r="G17" s="152">
        <v>0</v>
      </c>
      <c r="H17" s="155">
        <v>1302.8399999999999</v>
      </c>
      <c r="I17" s="156">
        <v>0</v>
      </c>
      <c r="J17" s="155">
        <v>650</v>
      </c>
      <c r="K17" s="157">
        <f t="shared" si="0"/>
        <v>10275.751</v>
      </c>
    </row>
    <row r="18" spans="1:11" x14ac:dyDescent="0.25">
      <c r="A18" s="142">
        <v>10</v>
      </c>
      <c r="B18" s="151">
        <v>0</v>
      </c>
      <c r="C18" s="152">
        <v>0</v>
      </c>
      <c r="D18" s="153">
        <v>0</v>
      </c>
      <c r="E18" s="154">
        <v>0</v>
      </c>
      <c r="F18" s="152">
        <v>0</v>
      </c>
      <c r="G18" s="152">
        <v>0</v>
      </c>
      <c r="H18" s="155">
        <v>1302.8399999999999</v>
      </c>
      <c r="I18" s="156">
        <v>0</v>
      </c>
      <c r="J18" s="155">
        <v>0</v>
      </c>
      <c r="K18" s="157">
        <f t="shared" si="0"/>
        <v>1302.8399999999999</v>
      </c>
    </row>
    <row r="19" spans="1:11" x14ac:dyDescent="0.25">
      <c r="A19" s="142">
        <v>11</v>
      </c>
      <c r="B19" s="151">
        <v>0</v>
      </c>
      <c r="C19" s="152">
        <v>0</v>
      </c>
      <c r="D19" s="153">
        <v>0</v>
      </c>
      <c r="E19" s="154">
        <v>0</v>
      </c>
      <c r="F19" s="152">
        <v>0</v>
      </c>
      <c r="G19" s="152">
        <v>0</v>
      </c>
      <c r="H19" s="155">
        <v>0</v>
      </c>
      <c r="I19" s="156">
        <v>0</v>
      </c>
      <c r="J19" s="155">
        <v>0</v>
      </c>
      <c r="K19" s="157">
        <f t="shared" si="0"/>
        <v>0</v>
      </c>
    </row>
    <row r="20" spans="1:11" x14ac:dyDescent="0.25">
      <c r="A20" s="142">
        <v>12</v>
      </c>
      <c r="B20" s="151">
        <v>0</v>
      </c>
      <c r="C20" s="152">
        <v>0</v>
      </c>
      <c r="D20" s="153">
        <v>0</v>
      </c>
      <c r="E20" s="154">
        <v>0</v>
      </c>
      <c r="F20" s="152">
        <v>0</v>
      </c>
      <c r="G20" s="152">
        <v>0</v>
      </c>
      <c r="H20" s="155">
        <v>0</v>
      </c>
      <c r="I20" s="156">
        <v>0</v>
      </c>
      <c r="J20" s="155">
        <v>0</v>
      </c>
      <c r="K20" s="157">
        <f t="shared" si="0"/>
        <v>0</v>
      </c>
    </row>
    <row r="21" spans="1:11" x14ac:dyDescent="0.25">
      <c r="A21" s="142">
        <v>13</v>
      </c>
      <c r="B21" s="151">
        <v>0</v>
      </c>
      <c r="C21" s="152">
        <v>5000</v>
      </c>
      <c r="D21" s="153">
        <v>0</v>
      </c>
      <c r="E21" s="154">
        <v>0</v>
      </c>
      <c r="F21" s="152">
        <v>0</v>
      </c>
      <c r="G21" s="152">
        <v>0</v>
      </c>
      <c r="H21" s="155">
        <v>1302.8399999999999</v>
      </c>
      <c r="I21" s="156">
        <v>0</v>
      </c>
      <c r="J21" s="155">
        <v>0</v>
      </c>
      <c r="K21" s="157">
        <f t="shared" si="0"/>
        <v>6302.84</v>
      </c>
    </row>
    <row r="22" spans="1:11" x14ac:dyDescent="0.25">
      <c r="A22" s="142">
        <v>14</v>
      </c>
      <c r="B22" s="151">
        <v>0</v>
      </c>
      <c r="C22" s="152">
        <v>0</v>
      </c>
      <c r="D22" s="153">
        <v>0</v>
      </c>
      <c r="E22" s="154">
        <v>0</v>
      </c>
      <c r="F22" s="152">
        <v>0</v>
      </c>
      <c r="G22" s="152">
        <v>0</v>
      </c>
      <c r="H22" s="155">
        <v>1302.8399999999999</v>
      </c>
      <c r="I22" s="156">
        <v>0</v>
      </c>
      <c r="J22" s="155">
        <v>650</v>
      </c>
      <c r="K22" s="157">
        <f t="shared" si="0"/>
        <v>1952.84</v>
      </c>
    </row>
    <row r="23" spans="1:11" x14ac:dyDescent="0.25">
      <c r="A23" s="142">
        <v>15</v>
      </c>
      <c r="B23" s="151">
        <v>0</v>
      </c>
      <c r="C23" s="152">
        <v>5000</v>
      </c>
      <c r="D23" s="153">
        <f>14*41.584</f>
        <v>582.17600000000004</v>
      </c>
      <c r="E23" s="154">
        <v>0</v>
      </c>
      <c r="F23" s="152">
        <v>0</v>
      </c>
      <c r="G23" s="152">
        <v>0</v>
      </c>
      <c r="H23" s="155">
        <v>1302.8399999999999</v>
      </c>
      <c r="I23" s="156">
        <v>0</v>
      </c>
      <c r="J23" s="155">
        <v>650</v>
      </c>
      <c r="K23" s="157">
        <f t="shared" si="0"/>
        <v>7535.0160000000005</v>
      </c>
    </row>
    <row r="24" spans="1:11" x14ac:dyDescent="0.25">
      <c r="A24" s="142">
        <v>16</v>
      </c>
      <c r="B24" s="151">
        <v>0</v>
      </c>
      <c r="C24" s="152">
        <v>5000</v>
      </c>
      <c r="D24" s="153">
        <f>49*57.75</f>
        <v>2829.75</v>
      </c>
      <c r="E24" s="154">
        <v>0</v>
      </c>
      <c r="F24" s="152">
        <v>0</v>
      </c>
      <c r="G24" s="152">
        <v>0</v>
      </c>
      <c r="H24" s="155">
        <v>1302.8399999999999</v>
      </c>
      <c r="I24" s="156">
        <v>0</v>
      </c>
      <c r="J24" s="155">
        <v>650</v>
      </c>
      <c r="K24" s="157">
        <f t="shared" si="0"/>
        <v>9782.59</v>
      </c>
    </row>
    <row r="25" spans="1:11" x14ac:dyDescent="0.25">
      <c r="A25" s="142">
        <v>17</v>
      </c>
      <c r="B25" s="151">
        <v>0</v>
      </c>
      <c r="C25" s="152">
        <v>0</v>
      </c>
      <c r="D25" s="153">
        <v>0</v>
      </c>
      <c r="E25" s="154">
        <v>0</v>
      </c>
      <c r="F25" s="152">
        <v>0</v>
      </c>
      <c r="G25" s="152">
        <v>0</v>
      </c>
      <c r="H25" s="155">
        <v>1302.8399999999999</v>
      </c>
      <c r="I25" s="156">
        <v>0</v>
      </c>
      <c r="J25" s="155">
        <v>0</v>
      </c>
      <c r="K25" s="157">
        <f t="shared" si="0"/>
        <v>1302.8399999999999</v>
      </c>
    </row>
    <row r="26" spans="1:11" x14ac:dyDescent="0.25">
      <c r="A26" s="143">
        <v>18</v>
      </c>
      <c r="B26" s="158">
        <v>0</v>
      </c>
      <c r="C26" s="159">
        <v>5000</v>
      </c>
      <c r="D26" s="160">
        <f>33.5*40.557</f>
        <v>1358.6595</v>
      </c>
      <c r="E26" s="161">
        <v>0</v>
      </c>
      <c r="F26" s="159">
        <v>0</v>
      </c>
      <c r="G26" s="159">
        <v>0</v>
      </c>
      <c r="H26" s="162">
        <v>1302.8399999999999</v>
      </c>
      <c r="I26" s="163">
        <v>0</v>
      </c>
      <c r="J26" s="162">
        <v>650</v>
      </c>
      <c r="K26" s="158">
        <f t="shared" si="0"/>
        <v>8311.4994999999999</v>
      </c>
    </row>
    <row r="27" spans="1:11" x14ac:dyDescent="0.25">
      <c r="A27" s="169" t="s">
        <v>58</v>
      </c>
      <c r="B27" s="171">
        <f>SUM(B9:B26)</f>
        <v>0</v>
      </c>
      <c r="C27" s="171">
        <f>SUM(C9:C26)</f>
        <v>45000</v>
      </c>
      <c r="D27" s="171">
        <f t="shared" ref="D27:K27" si="1">SUM(D9:D26)</f>
        <v>20320.679500000002</v>
      </c>
      <c r="E27" s="171">
        <f t="shared" si="1"/>
        <v>0</v>
      </c>
      <c r="F27" s="171">
        <f t="shared" si="1"/>
        <v>6600</v>
      </c>
      <c r="G27" s="171">
        <f t="shared" si="1"/>
        <v>6678</v>
      </c>
      <c r="H27" s="171">
        <f t="shared" si="1"/>
        <v>19542.599999999999</v>
      </c>
      <c r="I27" s="171">
        <f t="shared" si="1"/>
        <v>0</v>
      </c>
      <c r="J27" s="171">
        <f t="shared" si="1"/>
        <v>4550</v>
      </c>
      <c r="K27" s="171">
        <f t="shared" si="1"/>
        <v>102691.27949999999</v>
      </c>
    </row>
    <row r="28" spans="1:11" x14ac:dyDescent="0.25">
      <c r="A28" s="144"/>
      <c r="B28" s="151"/>
      <c r="C28" s="152"/>
      <c r="D28" s="152"/>
      <c r="E28" s="151"/>
      <c r="F28" s="152"/>
      <c r="G28" s="152"/>
      <c r="H28" s="151"/>
      <c r="I28" s="151"/>
      <c r="J28" s="151"/>
      <c r="K28" s="157"/>
    </row>
    <row r="29" spans="1:11" x14ac:dyDescent="0.25">
      <c r="A29" s="139" t="s">
        <v>59</v>
      </c>
      <c r="B29" s="151"/>
      <c r="C29" s="151"/>
      <c r="D29" s="152"/>
      <c r="E29" s="151"/>
      <c r="F29" s="164"/>
      <c r="G29" s="164"/>
      <c r="H29" s="165"/>
      <c r="I29" s="165"/>
      <c r="J29" s="165"/>
      <c r="K29" s="166"/>
    </row>
    <row r="30" spans="1:11" x14ac:dyDescent="0.25">
      <c r="A30" s="145">
        <v>19</v>
      </c>
      <c r="B30" s="151">
        <v>0</v>
      </c>
      <c r="C30" s="152">
        <v>0</v>
      </c>
      <c r="D30" s="152">
        <v>0</v>
      </c>
      <c r="E30" s="152">
        <v>0</v>
      </c>
      <c r="F30" s="152">
        <v>0</v>
      </c>
      <c r="G30" s="152">
        <v>0</v>
      </c>
      <c r="H30" s="155">
        <f>85*12</f>
        <v>1020</v>
      </c>
      <c r="I30" s="156">
        <v>400</v>
      </c>
      <c r="J30" s="155">
        <v>0</v>
      </c>
      <c r="K30" s="157">
        <f t="shared" ref="K30:K57" si="2">SUM(B30:J30)</f>
        <v>1420</v>
      </c>
    </row>
    <row r="31" spans="1:11" x14ac:dyDescent="0.25">
      <c r="A31" s="145">
        <v>20</v>
      </c>
      <c r="B31" s="151">
        <v>0</v>
      </c>
      <c r="C31" s="151">
        <v>0</v>
      </c>
      <c r="D31" s="151">
        <v>0</v>
      </c>
      <c r="E31" s="151">
        <v>0</v>
      </c>
      <c r="F31" s="151">
        <v>0</v>
      </c>
      <c r="G31" s="151">
        <v>0</v>
      </c>
      <c r="H31" s="155">
        <v>0</v>
      </c>
      <c r="I31" s="156">
        <v>0</v>
      </c>
      <c r="J31" s="151">
        <v>0</v>
      </c>
      <c r="K31" s="157">
        <f t="shared" si="2"/>
        <v>0</v>
      </c>
    </row>
    <row r="32" spans="1:11" x14ac:dyDescent="0.25">
      <c r="A32" s="145">
        <v>21</v>
      </c>
      <c r="B32" s="151">
        <v>0</v>
      </c>
      <c r="C32" s="152">
        <v>0</v>
      </c>
      <c r="D32" s="152">
        <v>0</v>
      </c>
      <c r="E32" s="152">
        <v>0</v>
      </c>
      <c r="F32" s="152">
        <v>0</v>
      </c>
      <c r="G32" s="152">
        <v>0</v>
      </c>
      <c r="H32" s="155">
        <f>85*12</f>
        <v>1020</v>
      </c>
      <c r="I32" s="156">
        <v>400</v>
      </c>
      <c r="J32" s="155">
        <v>0</v>
      </c>
      <c r="K32" s="157">
        <f t="shared" si="2"/>
        <v>1420</v>
      </c>
    </row>
    <row r="33" spans="1:11" x14ac:dyDescent="0.25">
      <c r="A33" s="145">
        <v>22</v>
      </c>
      <c r="B33" s="151">
        <v>0</v>
      </c>
      <c r="C33" s="152">
        <v>0</v>
      </c>
      <c r="D33" s="152">
        <v>0</v>
      </c>
      <c r="E33" s="152">
        <v>0</v>
      </c>
      <c r="F33" s="152">
        <v>0</v>
      </c>
      <c r="G33" s="152">
        <v>0</v>
      </c>
      <c r="H33" s="155">
        <f>85*12</f>
        <v>1020</v>
      </c>
      <c r="I33" s="156">
        <v>400</v>
      </c>
      <c r="J33" s="155">
        <v>0</v>
      </c>
      <c r="K33" s="157">
        <f t="shared" si="2"/>
        <v>1420</v>
      </c>
    </row>
    <row r="34" spans="1:11" x14ac:dyDescent="0.25">
      <c r="A34" s="145">
        <v>23</v>
      </c>
      <c r="B34" s="151">
        <v>0</v>
      </c>
      <c r="C34" s="151">
        <v>0</v>
      </c>
      <c r="D34" s="151">
        <v>0</v>
      </c>
      <c r="E34" s="151">
        <v>0</v>
      </c>
      <c r="F34" s="151">
        <v>0</v>
      </c>
      <c r="G34" s="151">
        <v>0</v>
      </c>
      <c r="H34" s="155">
        <v>0</v>
      </c>
      <c r="I34" s="156">
        <v>0</v>
      </c>
      <c r="J34" s="151">
        <v>0</v>
      </c>
      <c r="K34" s="157">
        <f t="shared" si="2"/>
        <v>0</v>
      </c>
    </row>
    <row r="35" spans="1:11" x14ac:dyDescent="0.25">
      <c r="A35" s="145">
        <v>24</v>
      </c>
      <c r="B35" s="151">
        <v>0</v>
      </c>
      <c r="C35" s="151">
        <v>0</v>
      </c>
      <c r="D35" s="151">
        <v>0</v>
      </c>
      <c r="E35" s="151">
        <v>0</v>
      </c>
      <c r="F35" s="151">
        <v>0</v>
      </c>
      <c r="G35" s="151">
        <v>0</v>
      </c>
      <c r="H35" s="155">
        <v>0</v>
      </c>
      <c r="I35" s="156">
        <v>0</v>
      </c>
      <c r="J35" s="151">
        <v>0</v>
      </c>
      <c r="K35" s="157">
        <f t="shared" si="2"/>
        <v>0</v>
      </c>
    </row>
    <row r="36" spans="1:11" x14ac:dyDescent="0.25">
      <c r="A36" s="145">
        <v>25</v>
      </c>
      <c r="B36" s="151">
        <v>0</v>
      </c>
      <c r="C36" s="152">
        <v>0</v>
      </c>
      <c r="D36" s="152">
        <v>0</v>
      </c>
      <c r="E36" s="152">
        <v>0</v>
      </c>
      <c r="F36" s="152">
        <v>0</v>
      </c>
      <c r="G36" s="152">
        <v>0</v>
      </c>
      <c r="H36" s="155">
        <f>85*12</f>
        <v>1020</v>
      </c>
      <c r="I36" s="156">
        <v>400</v>
      </c>
      <c r="J36" s="155">
        <v>0</v>
      </c>
      <c r="K36" s="157">
        <f t="shared" si="2"/>
        <v>1420</v>
      </c>
    </row>
    <row r="37" spans="1:11" x14ac:dyDescent="0.25">
      <c r="A37" s="145">
        <v>26</v>
      </c>
      <c r="B37" s="151">
        <v>0</v>
      </c>
      <c r="C37" s="152">
        <v>5000</v>
      </c>
      <c r="D37" s="152">
        <v>0</v>
      </c>
      <c r="E37" s="154">
        <v>0</v>
      </c>
      <c r="F37" s="152">
        <v>0</v>
      </c>
      <c r="G37" s="152">
        <v>3339</v>
      </c>
      <c r="H37" s="155">
        <v>1302.8399999999999</v>
      </c>
      <c r="I37" s="156">
        <v>0</v>
      </c>
      <c r="J37" s="155">
        <v>650</v>
      </c>
      <c r="K37" s="157">
        <f t="shared" si="2"/>
        <v>10291.84</v>
      </c>
    </row>
    <row r="38" spans="1:11" x14ac:dyDescent="0.25">
      <c r="A38" s="145">
        <v>27</v>
      </c>
      <c r="B38" s="151">
        <v>0</v>
      </c>
      <c r="C38" s="152">
        <v>0</v>
      </c>
      <c r="D38" s="152">
        <v>0</v>
      </c>
      <c r="E38" s="154">
        <v>0</v>
      </c>
      <c r="F38" s="152">
        <v>0</v>
      </c>
      <c r="G38" s="152">
        <v>0</v>
      </c>
      <c r="H38" s="155">
        <v>1302.8399999999999</v>
      </c>
      <c r="I38" s="156">
        <v>0</v>
      </c>
      <c r="J38" s="155">
        <v>0</v>
      </c>
      <c r="K38" s="157">
        <f t="shared" si="2"/>
        <v>1302.8399999999999</v>
      </c>
    </row>
    <row r="39" spans="1:11" x14ac:dyDescent="0.25">
      <c r="A39" s="145">
        <v>28</v>
      </c>
      <c r="B39" s="151">
        <v>0</v>
      </c>
      <c r="C39" s="152">
        <v>0</v>
      </c>
      <c r="D39" s="152">
        <v>0</v>
      </c>
      <c r="E39" s="152">
        <v>0</v>
      </c>
      <c r="F39" s="152">
        <v>0</v>
      </c>
      <c r="G39" s="152">
        <v>0</v>
      </c>
      <c r="H39" s="155">
        <f>85*12</f>
        <v>1020</v>
      </c>
      <c r="I39" s="156">
        <v>400</v>
      </c>
      <c r="J39" s="155">
        <v>0</v>
      </c>
      <c r="K39" s="157">
        <f t="shared" si="2"/>
        <v>1420</v>
      </c>
    </row>
    <row r="40" spans="1:11" x14ac:dyDescent="0.25">
      <c r="A40" s="145">
        <v>29</v>
      </c>
      <c r="B40" s="151">
        <v>0</v>
      </c>
      <c r="C40" s="152">
        <v>0</v>
      </c>
      <c r="D40" s="152">
        <v>0</v>
      </c>
      <c r="E40" s="154">
        <v>0</v>
      </c>
      <c r="F40" s="152">
        <v>0</v>
      </c>
      <c r="G40" s="152">
        <v>0</v>
      </c>
      <c r="H40" s="155">
        <v>1302.8399999999999</v>
      </c>
      <c r="I40" s="156">
        <v>0</v>
      </c>
      <c r="J40" s="155">
        <v>0</v>
      </c>
      <c r="K40" s="157">
        <f t="shared" si="2"/>
        <v>1302.8399999999999</v>
      </c>
    </row>
    <row r="41" spans="1:11" x14ac:dyDescent="0.25">
      <c r="A41" s="145">
        <v>30</v>
      </c>
      <c r="B41" s="151">
        <v>0</v>
      </c>
      <c r="C41" s="152">
        <v>0</v>
      </c>
      <c r="D41" s="152">
        <v>0</v>
      </c>
      <c r="E41" s="152">
        <v>0</v>
      </c>
      <c r="F41" s="152">
        <v>0</v>
      </c>
      <c r="G41" s="152">
        <v>0</v>
      </c>
      <c r="H41" s="155">
        <f>85*12</f>
        <v>1020</v>
      </c>
      <c r="I41" s="156">
        <v>400</v>
      </c>
      <c r="J41" s="155">
        <v>0</v>
      </c>
      <c r="K41" s="157">
        <f t="shared" si="2"/>
        <v>1420</v>
      </c>
    </row>
    <row r="42" spans="1:11" x14ac:dyDescent="0.25">
      <c r="A42" s="145">
        <v>31</v>
      </c>
      <c r="B42" s="151">
        <v>0</v>
      </c>
      <c r="C42" s="151">
        <v>0</v>
      </c>
      <c r="D42" s="151">
        <v>0</v>
      </c>
      <c r="E42" s="151">
        <v>0</v>
      </c>
      <c r="F42" s="151">
        <v>0</v>
      </c>
      <c r="G42" s="151">
        <v>0</v>
      </c>
      <c r="H42" s="155">
        <v>0</v>
      </c>
      <c r="I42" s="156">
        <v>0</v>
      </c>
      <c r="J42" s="151">
        <v>0</v>
      </c>
      <c r="K42" s="157">
        <f t="shared" si="2"/>
        <v>0</v>
      </c>
    </row>
    <row r="43" spans="1:11" x14ac:dyDescent="0.25">
      <c r="A43" s="145">
        <v>32</v>
      </c>
      <c r="B43" s="151">
        <v>0</v>
      </c>
      <c r="C43" s="151">
        <v>0</v>
      </c>
      <c r="D43" s="151">
        <v>0</v>
      </c>
      <c r="E43" s="151">
        <v>0</v>
      </c>
      <c r="F43" s="151">
        <v>0</v>
      </c>
      <c r="G43" s="151">
        <v>0</v>
      </c>
      <c r="H43" s="155">
        <v>0</v>
      </c>
      <c r="I43" s="156">
        <v>0</v>
      </c>
      <c r="J43" s="151">
        <v>0</v>
      </c>
      <c r="K43" s="157">
        <f t="shared" si="2"/>
        <v>0</v>
      </c>
    </row>
    <row r="44" spans="1:11" x14ac:dyDescent="0.25">
      <c r="A44" s="145">
        <v>33</v>
      </c>
      <c r="B44" s="151">
        <v>0</v>
      </c>
      <c r="C44" s="152">
        <v>5000</v>
      </c>
      <c r="D44" s="152">
        <v>0</v>
      </c>
      <c r="E44" s="154">
        <v>0</v>
      </c>
      <c r="F44" s="152">
        <v>0</v>
      </c>
      <c r="G44" s="152">
        <v>0</v>
      </c>
      <c r="H44" s="155">
        <v>1302.8399999999999</v>
      </c>
      <c r="I44" s="156">
        <v>0</v>
      </c>
      <c r="J44" s="155">
        <v>650</v>
      </c>
      <c r="K44" s="157">
        <f t="shared" si="2"/>
        <v>6952.84</v>
      </c>
    </row>
    <row r="45" spans="1:11" x14ac:dyDescent="0.25">
      <c r="A45" s="145">
        <v>34</v>
      </c>
      <c r="B45" s="151">
        <v>0</v>
      </c>
      <c r="C45" s="152">
        <v>0</v>
      </c>
      <c r="D45" s="152">
        <v>0</v>
      </c>
      <c r="E45" s="152">
        <v>0</v>
      </c>
      <c r="F45" s="152">
        <v>0</v>
      </c>
      <c r="G45" s="152">
        <v>0</v>
      </c>
      <c r="H45" s="155">
        <f>85*12</f>
        <v>1020</v>
      </c>
      <c r="I45" s="156">
        <v>400</v>
      </c>
      <c r="J45" s="155">
        <v>0</v>
      </c>
      <c r="K45" s="157">
        <f t="shared" si="2"/>
        <v>1420</v>
      </c>
    </row>
    <row r="46" spans="1:11" x14ac:dyDescent="0.25">
      <c r="A46" s="145">
        <v>35</v>
      </c>
      <c r="B46" s="151">
        <v>0</v>
      </c>
      <c r="C46" s="152">
        <v>0</v>
      </c>
      <c r="D46" s="152">
        <v>0</v>
      </c>
      <c r="E46" s="152">
        <v>0</v>
      </c>
      <c r="F46" s="152">
        <v>0</v>
      </c>
      <c r="G46" s="152">
        <v>0</v>
      </c>
      <c r="H46" s="155">
        <f>85*12</f>
        <v>1020</v>
      </c>
      <c r="I46" s="156">
        <v>400</v>
      </c>
      <c r="J46" s="155">
        <v>0</v>
      </c>
      <c r="K46" s="157">
        <f t="shared" si="2"/>
        <v>1420</v>
      </c>
    </row>
    <row r="47" spans="1:11" x14ac:dyDescent="0.25">
      <c r="A47" s="145">
        <v>36</v>
      </c>
      <c r="B47" s="151">
        <v>0</v>
      </c>
      <c r="C47" s="152">
        <v>0</v>
      </c>
      <c r="D47" s="152">
        <v>0</v>
      </c>
      <c r="E47" s="152">
        <v>0</v>
      </c>
      <c r="F47" s="152">
        <v>0</v>
      </c>
      <c r="G47" s="152">
        <v>0</v>
      </c>
      <c r="H47" s="155">
        <f>85*12</f>
        <v>1020</v>
      </c>
      <c r="I47" s="156">
        <v>400</v>
      </c>
      <c r="J47" s="155">
        <v>0</v>
      </c>
      <c r="K47" s="157">
        <f t="shared" si="2"/>
        <v>1420</v>
      </c>
    </row>
    <row r="48" spans="1:11" x14ac:dyDescent="0.25">
      <c r="A48" s="145">
        <v>37</v>
      </c>
      <c r="B48" s="151">
        <v>0</v>
      </c>
      <c r="C48" s="152">
        <v>0</v>
      </c>
      <c r="D48" s="152">
        <v>0</v>
      </c>
      <c r="E48" s="152">
        <v>0</v>
      </c>
      <c r="F48" s="152">
        <v>0</v>
      </c>
      <c r="G48" s="152">
        <v>0</v>
      </c>
      <c r="H48" s="155">
        <f>85*12</f>
        <v>1020</v>
      </c>
      <c r="I48" s="156">
        <v>400</v>
      </c>
      <c r="J48" s="155">
        <v>0</v>
      </c>
      <c r="K48" s="157">
        <f t="shared" si="2"/>
        <v>1420</v>
      </c>
    </row>
    <row r="49" spans="1:12" x14ac:dyDescent="0.25">
      <c r="A49" s="145">
        <v>38</v>
      </c>
      <c r="B49" s="151">
        <v>0</v>
      </c>
      <c r="C49" s="152">
        <v>0</v>
      </c>
      <c r="D49" s="152">
        <v>0</v>
      </c>
      <c r="E49" s="154">
        <v>0</v>
      </c>
      <c r="F49" s="152">
        <v>0</v>
      </c>
      <c r="G49" s="152">
        <v>3339</v>
      </c>
      <c r="H49" s="155">
        <v>1020</v>
      </c>
      <c r="I49" s="156">
        <v>250</v>
      </c>
      <c r="J49" s="155">
        <v>0</v>
      </c>
      <c r="K49" s="157">
        <f t="shared" si="2"/>
        <v>4609</v>
      </c>
    </row>
    <row r="50" spans="1:12" x14ac:dyDescent="0.25">
      <c r="A50" s="145">
        <v>39</v>
      </c>
      <c r="B50" s="151">
        <v>0</v>
      </c>
      <c r="C50" s="151">
        <v>0</v>
      </c>
      <c r="D50" s="151">
        <v>0</v>
      </c>
      <c r="E50" s="151">
        <v>0</v>
      </c>
      <c r="F50" s="151">
        <v>0</v>
      </c>
      <c r="G50" s="151">
        <v>0</v>
      </c>
      <c r="H50" s="155">
        <v>0</v>
      </c>
      <c r="I50" s="156">
        <v>0</v>
      </c>
      <c r="J50" s="151">
        <v>0</v>
      </c>
      <c r="K50" s="157">
        <f t="shared" si="2"/>
        <v>0</v>
      </c>
    </row>
    <row r="51" spans="1:12" x14ac:dyDescent="0.25">
      <c r="A51" s="145">
        <v>40</v>
      </c>
      <c r="B51" s="151">
        <v>0</v>
      </c>
      <c r="C51" s="151">
        <v>0</v>
      </c>
      <c r="D51" s="151">
        <v>0</v>
      </c>
      <c r="E51" s="151">
        <v>0</v>
      </c>
      <c r="F51" s="151">
        <v>0</v>
      </c>
      <c r="G51" s="151">
        <v>0</v>
      </c>
      <c r="H51" s="155">
        <v>0</v>
      </c>
      <c r="I51" s="156">
        <v>0</v>
      </c>
      <c r="J51" s="151">
        <v>0</v>
      </c>
      <c r="K51" s="157">
        <f t="shared" si="2"/>
        <v>0</v>
      </c>
    </row>
    <row r="52" spans="1:12" x14ac:dyDescent="0.25">
      <c r="A52" s="145">
        <v>41</v>
      </c>
      <c r="B52" s="151">
        <v>0</v>
      </c>
      <c r="C52" s="152">
        <v>0</v>
      </c>
      <c r="D52" s="152">
        <v>0</v>
      </c>
      <c r="E52" s="154">
        <v>0</v>
      </c>
      <c r="F52" s="152">
        <v>0</v>
      </c>
      <c r="G52" s="152">
        <v>0</v>
      </c>
      <c r="H52" s="155">
        <v>0</v>
      </c>
      <c r="I52" s="156">
        <v>0</v>
      </c>
      <c r="J52" s="155">
        <v>650</v>
      </c>
      <c r="K52" s="157">
        <f t="shared" si="2"/>
        <v>650</v>
      </c>
    </row>
    <row r="53" spans="1:12" x14ac:dyDescent="0.25">
      <c r="A53" s="145">
        <v>42</v>
      </c>
      <c r="B53" s="151">
        <v>0</v>
      </c>
      <c r="C53" s="152">
        <v>0</v>
      </c>
      <c r="D53" s="152">
        <v>0</v>
      </c>
      <c r="E53" s="152">
        <v>0</v>
      </c>
      <c r="F53" s="152">
        <v>0</v>
      </c>
      <c r="G53" s="152">
        <v>0</v>
      </c>
      <c r="H53" s="155">
        <f>85*12</f>
        <v>1020</v>
      </c>
      <c r="I53" s="156">
        <v>400</v>
      </c>
      <c r="J53" s="155">
        <v>0</v>
      </c>
      <c r="K53" s="157">
        <f t="shared" si="2"/>
        <v>1420</v>
      </c>
    </row>
    <row r="54" spans="1:12" x14ac:dyDescent="0.25">
      <c r="A54" s="145">
        <v>43</v>
      </c>
      <c r="B54" s="151">
        <v>0</v>
      </c>
      <c r="C54" s="152">
        <v>0</v>
      </c>
      <c r="D54" s="152">
        <v>0</v>
      </c>
      <c r="E54" s="152">
        <v>0</v>
      </c>
      <c r="F54" s="152">
        <v>0</v>
      </c>
      <c r="G54" s="152">
        <v>0</v>
      </c>
      <c r="H54" s="155">
        <f>85*12</f>
        <v>1020</v>
      </c>
      <c r="I54" s="156">
        <v>400</v>
      </c>
      <c r="J54" s="155">
        <v>0</v>
      </c>
      <c r="K54" s="157">
        <f t="shared" si="2"/>
        <v>1420</v>
      </c>
    </row>
    <row r="55" spans="1:12" x14ac:dyDescent="0.25">
      <c r="A55" s="145">
        <v>44</v>
      </c>
      <c r="B55" s="151">
        <v>0</v>
      </c>
      <c r="C55" s="151">
        <v>0</v>
      </c>
      <c r="D55" s="151">
        <v>0</v>
      </c>
      <c r="E55" s="151">
        <v>0</v>
      </c>
      <c r="F55" s="151">
        <v>0</v>
      </c>
      <c r="G55" s="151">
        <v>0</v>
      </c>
      <c r="H55" s="155">
        <v>0</v>
      </c>
      <c r="I55" s="156">
        <v>0</v>
      </c>
      <c r="J55" s="151">
        <v>0</v>
      </c>
      <c r="K55" s="157">
        <f t="shared" si="2"/>
        <v>0</v>
      </c>
    </row>
    <row r="56" spans="1:12" x14ac:dyDescent="0.25">
      <c r="A56" s="145">
        <v>45</v>
      </c>
      <c r="B56" s="151">
        <v>0</v>
      </c>
      <c r="C56" s="152">
        <v>0</v>
      </c>
      <c r="D56" s="152">
        <v>0</v>
      </c>
      <c r="E56" s="152">
        <v>0</v>
      </c>
      <c r="F56" s="152">
        <v>0</v>
      </c>
      <c r="G56" s="152">
        <v>0</v>
      </c>
      <c r="H56" s="155">
        <f>85*12</f>
        <v>1020</v>
      </c>
      <c r="I56" s="156">
        <v>400</v>
      </c>
      <c r="J56" s="155">
        <v>0</v>
      </c>
      <c r="K56" s="157">
        <f t="shared" si="2"/>
        <v>1420</v>
      </c>
    </row>
    <row r="57" spans="1:12" x14ac:dyDescent="0.25">
      <c r="A57" s="146">
        <v>46</v>
      </c>
      <c r="B57" s="158">
        <v>0</v>
      </c>
      <c r="C57" s="159">
        <v>0</v>
      </c>
      <c r="D57" s="159">
        <v>0</v>
      </c>
      <c r="E57" s="159">
        <v>0</v>
      </c>
      <c r="F57" s="159">
        <v>0</v>
      </c>
      <c r="G57" s="159">
        <v>0</v>
      </c>
      <c r="H57" s="162">
        <f>85*12</f>
        <v>1020</v>
      </c>
      <c r="I57" s="163">
        <v>400</v>
      </c>
      <c r="J57" s="162">
        <v>0</v>
      </c>
      <c r="K57" s="158">
        <f t="shared" si="2"/>
        <v>1420</v>
      </c>
    </row>
    <row r="58" spans="1:12" x14ac:dyDescent="0.25">
      <c r="A58" s="169" t="s">
        <v>58</v>
      </c>
      <c r="B58" s="172">
        <f t="shared" ref="B58:K58" si="3">SUM(B30:B57)</f>
        <v>0</v>
      </c>
      <c r="C58" s="172">
        <f t="shared" si="3"/>
        <v>10000</v>
      </c>
      <c r="D58" s="172">
        <f t="shared" si="3"/>
        <v>0</v>
      </c>
      <c r="E58" s="172">
        <f t="shared" si="3"/>
        <v>0</v>
      </c>
      <c r="F58" s="172">
        <f t="shared" si="3"/>
        <v>0</v>
      </c>
      <c r="G58" s="172">
        <f t="shared" si="3"/>
        <v>6678</v>
      </c>
      <c r="H58" s="172">
        <f t="shared" si="3"/>
        <v>20511.36</v>
      </c>
      <c r="I58" s="172">
        <f t="shared" si="3"/>
        <v>5850</v>
      </c>
      <c r="J58" s="172">
        <f t="shared" si="3"/>
        <v>1950</v>
      </c>
      <c r="K58" s="172">
        <f t="shared" si="3"/>
        <v>44989.36</v>
      </c>
    </row>
    <row r="59" spans="1:12" x14ac:dyDescent="0.25">
      <c r="B59" s="167"/>
      <c r="C59" s="167"/>
      <c r="D59" s="167"/>
      <c r="E59" s="167"/>
      <c r="F59" s="167"/>
      <c r="G59" s="167"/>
      <c r="H59" s="167"/>
      <c r="I59" s="167"/>
      <c r="J59" s="167"/>
      <c r="K59" s="167"/>
    </row>
    <row r="60" spans="1:12" ht="15.75" thickBot="1" x14ac:dyDescent="0.3">
      <c r="A60" s="170" t="s">
        <v>200</v>
      </c>
      <c r="B60" s="173">
        <f>B27+B58</f>
        <v>0</v>
      </c>
      <c r="C60" s="173">
        <f t="shared" ref="C60:K60" si="4">C27+C58</f>
        <v>55000</v>
      </c>
      <c r="D60" s="173">
        <f t="shared" si="4"/>
        <v>20320.679500000002</v>
      </c>
      <c r="E60" s="173">
        <f t="shared" si="4"/>
        <v>0</v>
      </c>
      <c r="F60" s="173">
        <f t="shared" si="4"/>
        <v>6600</v>
      </c>
      <c r="G60" s="173">
        <f t="shared" si="4"/>
        <v>13356</v>
      </c>
      <c r="H60" s="173">
        <f t="shared" si="4"/>
        <v>40053.96</v>
      </c>
      <c r="I60" s="173">
        <f t="shared" si="4"/>
        <v>5850</v>
      </c>
      <c r="J60" s="173">
        <f t="shared" si="4"/>
        <v>6500</v>
      </c>
      <c r="K60" s="173">
        <f t="shared" si="4"/>
        <v>147680.63949999999</v>
      </c>
    </row>
    <row r="61" spans="1:12" x14ac:dyDescent="0.25">
      <c r="B61" s="167"/>
      <c r="C61" s="167"/>
      <c r="D61" s="167"/>
      <c r="E61" s="167"/>
      <c r="F61" s="167"/>
      <c r="G61" s="167"/>
      <c r="H61" s="167"/>
      <c r="I61" s="167"/>
      <c r="J61" s="167"/>
      <c r="K61" s="167">
        <f>14*50</f>
        <v>700</v>
      </c>
      <c r="L61" s="138" t="s">
        <v>201</v>
      </c>
    </row>
    <row r="62" spans="1:12" ht="15.75" thickBot="1" x14ac:dyDescent="0.3">
      <c r="K62" s="168">
        <f>K60+K61</f>
        <v>148380.63949999999</v>
      </c>
      <c r="L62" s="138" t="s">
        <v>202</v>
      </c>
    </row>
    <row r="63" spans="1:12" ht="15.75" thickTop="1" x14ac:dyDescent="0.25"/>
  </sheetData>
  <mergeCells count="1">
    <mergeCell ref="G5:J5"/>
  </mergeCells>
  <pageMargins left="0.7" right="0.7" top="0.75" bottom="0.75" header="0.3" footer="0.3"/>
  <ignoredErrors>
    <ignoredError sqref="K11:K26 K31:K55"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0954-310E-4E64-8C6D-FD944C01CC1B}">
  <dimension ref="A1:AA141"/>
  <sheetViews>
    <sheetView topLeftCell="A4" zoomScaleNormal="100" zoomScaleSheetLayoutView="85" workbookViewId="0">
      <selection activeCell="N26" sqref="N26"/>
    </sheetView>
  </sheetViews>
  <sheetFormatPr defaultColWidth="9.140625" defaultRowHeight="12.75" x14ac:dyDescent="0.2"/>
  <cols>
    <col min="1" max="1" width="5.85546875" style="32" customWidth="1"/>
    <col min="2" max="2" width="1.28515625" style="8" customWidth="1"/>
    <col min="3" max="3" width="6.42578125" style="32" customWidth="1"/>
    <col min="4" max="4" width="8.85546875" style="32" customWidth="1"/>
    <col min="5" max="5" width="11.140625" style="8" hidden="1" customWidth="1"/>
    <col min="6" max="6" width="9.85546875" style="32" customWidth="1"/>
    <col min="7" max="7" width="1.42578125" style="32" customWidth="1"/>
    <col min="8" max="8" width="11.140625" style="8" customWidth="1"/>
    <col min="9" max="10" width="10.85546875" style="8" customWidth="1"/>
    <col min="11" max="11" width="1.28515625" style="8" customWidth="1"/>
    <col min="12" max="12" width="12.42578125" style="8" bestFit="1" customWidth="1"/>
    <col min="13" max="13" width="11" style="8" bestFit="1" customWidth="1"/>
    <col min="14" max="14" width="10.85546875" style="8" customWidth="1"/>
    <col min="15" max="15" width="13.42578125" style="8" bestFit="1" customWidth="1"/>
    <col min="16" max="16" width="1.140625" style="8" customWidth="1"/>
    <col min="17" max="17" width="8.7109375" style="8" customWidth="1"/>
    <col min="18" max="18" width="0.85546875" style="8" customWidth="1"/>
    <col min="19" max="19" width="12.42578125" style="8" bestFit="1" customWidth="1"/>
    <col min="20" max="20" width="11" style="8" bestFit="1" customWidth="1"/>
    <col min="21" max="21" width="11.7109375" style="8" bestFit="1" customWidth="1"/>
    <col min="22" max="22" width="12.42578125" style="8" bestFit="1" customWidth="1"/>
    <col min="23" max="23" width="1" style="8" customWidth="1"/>
    <col min="24" max="24" width="11.5703125" style="8" customWidth="1"/>
    <col min="25" max="25" width="40.5703125" style="8" customWidth="1"/>
    <col min="26" max="16384" width="9.140625" style="8"/>
  </cols>
  <sheetData>
    <row r="1" spans="1:27" x14ac:dyDescent="0.2">
      <c r="A1" s="1"/>
      <c r="B1" s="2"/>
      <c r="C1" s="3"/>
      <c r="D1" s="1"/>
      <c r="E1" s="2"/>
      <c r="F1" s="1"/>
      <c r="G1" s="1"/>
      <c r="H1" s="2"/>
      <c r="I1" s="2"/>
      <c r="J1" s="2"/>
      <c r="K1" s="2"/>
      <c r="L1" s="2"/>
      <c r="M1" s="2"/>
      <c r="N1" s="4"/>
      <c r="O1" s="2"/>
      <c r="P1" s="2"/>
      <c r="Q1" s="2"/>
      <c r="R1" s="2"/>
      <c r="S1" s="2"/>
      <c r="T1" s="2"/>
      <c r="U1" s="2"/>
      <c r="V1" s="5"/>
      <c r="W1" s="2"/>
      <c r="X1" s="6" t="s">
        <v>0</v>
      </c>
      <c r="Y1" s="2"/>
    </row>
    <row r="2" spans="1:27" ht="9.75" customHeight="1" x14ac:dyDescent="0.2">
      <c r="A2" s="1"/>
      <c r="B2" s="2"/>
      <c r="C2" s="1"/>
      <c r="D2" s="1"/>
      <c r="E2" s="2"/>
      <c r="F2" s="1"/>
      <c r="G2" s="1"/>
      <c r="H2" s="2"/>
      <c r="I2" s="2"/>
      <c r="J2" s="2"/>
      <c r="K2" s="2"/>
      <c r="L2" s="9"/>
      <c r="M2" s="2"/>
      <c r="N2" s="2"/>
      <c r="O2" s="2"/>
      <c r="P2" s="2"/>
      <c r="Q2" s="2"/>
      <c r="R2" s="2"/>
      <c r="S2" s="2"/>
      <c r="T2" s="2"/>
      <c r="U2" s="2"/>
      <c r="V2" s="2"/>
      <c r="W2" s="2"/>
      <c r="X2" s="2"/>
      <c r="Y2" s="2"/>
    </row>
    <row r="3" spans="1:27" x14ac:dyDescent="0.2">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2"/>
    </row>
    <row r="4" spans="1:27" x14ac:dyDescent="0.2">
      <c r="A4" s="182" t="s">
        <v>2</v>
      </c>
      <c r="B4" s="182"/>
      <c r="C4" s="182"/>
      <c r="D4" s="182"/>
      <c r="E4" s="182"/>
      <c r="F4" s="182"/>
      <c r="G4" s="182"/>
      <c r="H4" s="182"/>
      <c r="I4" s="182"/>
      <c r="J4" s="182"/>
      <c r="K4" s="182"/>
      <c r="L4" s="182"/>
      <c r="M4" s="182"/>
      <c r="N4" s="182"/>
      <c r="O4" s="182"/>
      <c r="P4" s="182"/>
      <c r="Q4" s="182"/>
      <c r="R4" s="182"/>
      <c r="S4" s="182"/>
      <c r="T4" s="182"/>
      <c r="U4" s="182"/>
      <c r="V4" s="182"/>
      <c r="W4" s="182"/>
      <c r="X4" s="182"/>
      <c r="Y4" s="2"/>
    </row>
    <row r="5" spans="1:27" x14ac:dyDescent="0.2">
      <c r="A5" s="1"/>
      <c r="B5" s="2"/>
      <c r="C5" s="1"/>
      <c r="D5" s="1"/>
      <c r="E5" s="2"/>
      <c r="F5" s="1"/>
      <c r="G5" s="1"/>
      <c r="H5" s="2"/>
      <c r="I5" s="2"/>
      <c r="J5" s="2"/>
      <c r="K5" s="2"/>
      <c r="L5" s="2"/>
      <c r="M5" s="2"/>
      <c r="N5" s="2"/>
      <c r="O5" s="2"/>
      <c r="P5" s="2"/>
      <c r="Q5" s="2"/>
      <c r="R5" s="2"/>
      <c r="S5" s="2"/>
      <c r="T5" s="2"/>
      <c r="U5" s="2"/>
      <c r="V5" s="2"/>
      <c r="W5" s="2"/>
      <c r="X5" s="2"/>
      <c r="Y5" s="2"/>
    </row>
    <row r="6" spans="1:27" s="12" customFormat="1" ht="15" customHeight="1" x14ac:dyDescent="0.2">
      <c r="A6" s="183" t="s">
        <v>3</v>
      </c>
      <c r="B6" s="183"/>
      <c r="C6" s="183"/>
      <c r="D6" s="183"/>
      <c r="E6" s="183"/>
      <c r="F6" s="183"/>
      <c r="G6" s="183"/>
      <c r="H6" s="183"/>
      <c r="I6" s="183"/>
      <c r="J6" s="183"/>
      <c r="K6" s="183"/>
      <c r="L6" s="183"/>
      <c r="M6" s="183"/>
      <c r="N6" s="183"/>
      <c r="O6" s="183"/>
      <c r="P6" s="183"/>
      <c r="Q6" s="183"/>
      <c r="R6" s="183"/>
      <c r="S6" s="183"/>
      <c r="T6" s="183"/>
      <c r="U6" s="183"/>
      <c r="V6" s="183"/>
      <c r="W6" s="183"/>
      <c r="X6" s="183"/>
      <c r="Y6" s="11"/>
    </row>
    <row r="7" spans="1:27" x14ac:dyDescent="0.2">
      <c r="A7" s="1"/>
      <c r="B7" s="2"/>
      <c r="C7" s="1"/>
      <c r="D7" s="1"/>
      <c r="E7" s="2"/>
      <c r="F7" s="1"/>
      <c r="G7" s="1"/>
      <c r="H7" s="2"/>
      <c r="I7" s="2"/>
      <c r="J7" s="2"/>
      <c r="K7" s="2"/>
      <c r="L7" s="2"/>
      <c r="M7" s="2"/>
      <c r="N7" s="4"/>
      <c r="O7" s="2"/>
      <c r="P7" s="2"/>
      <c r="Q7" s="2"/>
      <c r="R7" s="2"/>
      <c r="S7" s="2"/>
      <c r="T7" s="2"/>
      <c r="U7" s="2"/>
      <c r="V7" s="2"/>
      <c r="W7" s="11"/>
      <c r="X7" s="2"/>
      <c r="Y7" s="2"/>
    </row>
    <row r="8" spans="1:27" ht="20.25" customHeight="1" x14ac:dyDescent="0.2">
      <c r="A8" s="13"/>
      <c r="B8" s="14"/>
      <c r="C8" s="184" t="s">
        <v>4</v>
      </c>
      <c r="D8" s="184"/>
      <c r="E8" s="184"/>
      <c r="F8" s="184"/>
      <c r="G8" s="1"/>
      <c r="H8" s="184" t="s">
        <v>5</v>
      </c>
      <c r="I8" s="184"/>
      <c r="J8" s="184"/>
      <c r="K8" s="2"/>
      <c r="L8" s="184" t="s">
        <v>6</v>
      </c>
      <c r="M8" s="184"/>
      <c r="N8" s="184"/>
      <c r="O8" s="184"/>
      <c r="P8" s="1"/>
      <c r="Q8" s="15"/>
      <c r="R8" s="2"/>
      <c r="S8" s="184" t="s">
        <v>7</v>
      </c>
      <c r="T8" s="184"/>
      <c r="U8" s="184"/>
      <c r="V8" s="184"/>
      <c r="W8" s="11"/>
      <c r="X8" s="16"/>
      <c r="Y8" s="2"/>
    </row>
    <row r="9" spans="1:27" ht="60" x14ac:dyDescent="0.2">
      <c r="A9" s="1" t="s">
        <v>8</v>
      </c>
      <c r="B9" s="2"/>
      <c r="C9" s="1" t="s">
        <v>9</v>
      </c>
      <c r="D9" s="1" t="s">
        <v>10</v>
      </c>
      <c r="E9" s="17" t="s">
        <v>11</v>
      </c>
      <c r="F9" s="1" t="s">
        <v>12</v>
      </c>
      <c r="G9" s="1"/>
      <c r="H9" s="18" t="s">
        <v>13</v>
      </c>
      <c r="I9" s="18" t="s">
        <v>14</v>
      </c>
      <c r="J9" s="18" t="s">
        <v>15</v>
      </c>
      <c r="K9" s="19"/>
      <c r="L9" s="18" t="s">
        <v>16</v>
      </c>
      <c r="M9" s="18" t="s">
        <v>17</v>
      </c>
      <c r="N9" s="18" t="s">
        <v>18</v>
      </c>
      <c r="O9" s="18" t="s">
        <v>19</v>
      </c>
      <c r="P9" s="19"/>
      <c r="Q9" s="18" t="s">
        <v>20</v>
      </c>
      <c r="R9" s="19"/>
      <c r="S9" s="18" t="s">
        <v>21</v>
      </c>
      <c r="T9" s="18" t="s">
        <v>22</v>
      </c>
      <c r="U9" s="18" t="s">
        <v>18</v>
      </c>
      <c r="V9" s="18" t="s">
        <v>23</v>
      </c>
      <c r="W9" s="20"/>
      <c r="X9" s="18" t="s">
        <v>24</v>
      </c>
      <c r="Y9" s="2"/>
    </row>
    <row r="10" spans="1:27" x14ac:dyDescent="0.2">
      <c r="A10" s="13" t="s">
        <v>25</v>
      </c>
      <c r="B10" s="14"/>
      <c r="C10" s="21">
        <v>1</v>
      </c>
      <c r="D10" s="21">
        <f>C10+1</f>
        <v>2</v>
      </c>
      <c r="E10" s="22" t="s">
        <v>26</v>
      </c>
      <c r="F10" s="21">
        <f>D10+1</f>
        <v>3</v>
      </c>
      <c r="G10" s="13"/>
      <c r="H10" s="21">
        <f>F10+1</f>
        <v>4</v>
      </c>
      <c r="I10" s="21">
        <f>H10+1</f>
        <v>5</v>
      </c>
      <c r="J10" s="21">
        <f>I10+1</f>
        <v>6</v>
      </c>
      <c r="K10" s="23"/>
      <c r="L10" s="21">
        <f>J10+1</f>
        <v>7</v>
      </c>
      <c r="M10" s="21">
        <f>L10+1</f>
        <v>8</v>
      </c>
      <c r="N10" s="21">
        <f>M10+1</f>
        <v>9</v>
      </c>
      <c r="O10" s="21">
        <f>N10+1</f>
        <v>10</v>
      </c>
      <c r="P10" s="23"/>
      <c r="Q10" s="21">
        <f>O10+1</f>
        <v>11</v>
      </c>
      <c r="R10" s="23"/>
      <c r="S10" s="21">
        <f>Q10+1</f>
        <v>12</v>
      </c>
      <c r="T10" s="21">
        <f>S10+1</f>
        <v>13</v>
      </c>
      <c r="U10" s="21">
        <f>T10+1</f>
        <v>14</v>
      </c>
      <c r="V10" s="21">
        <f>U10+1</f>
        <v>15</v>
      </c>
      <c r="W10" s="24"/>
      <c r="X10" s="21">
        <f>V10+1</f>
        <v>16</v>
      </c>
      <c r="Y10" s="2"/>
    </row>
    <row r="11" spans="1:27" x14ac:dyDescent="0.2">
      <c r="A11" s="1"/>
      <c r="B11" s="2"/>
      <c r="C11" s="1"/>
      <c r="D11" s="1"/>
      <c r="E11" s="2"/>
      <c r="F11" s="1"/>
      <c r="G11" s="1"/>
      <c r="H11" s="2"/>
      <c r="I11" s="25"/>
      <c r="J11" s="25"/>
      <c r="K11" s="26"/>
      <c r="L11" s="25"/>
      <c r="M11" s="25"/>
      <c r="N11" s="25"/>
      <c r="O11" s="25"/>
      <c r="P11" s="26"/>
      <c r="Q11" s="18"/>
      <c r="R11" s="26"/>
      <c r="S11" s="178"/>
      <c r="T11" s="178"/>
      <c r="U11" s="178"/>
      <c r="V11" s="178"/>
      <c r="W11" s="20"/>
      <c r="X11" s="2"/>
      <c r="Y11" s="18"/>
    </row>
    <row r="12" spans="1:27" ht="20.100000000000001" hidden="1" customHeight="1" x14ac:dyDescent="0.2">
      <c r="A12" s="1"/>
      <c r="B12" s="2"/>
      <c r="C12" s="1"/>
      <c r="D12" s="27"/>
      <c r="E12" s="28"/>
      <c r="F12" s="27"/>
      <c r="G12" s="27"/>
      <c r="H12" s="179"/>
      <c r="I12" s="179"/>
      <c r="J12" s="179"/>
      <c r="K12" s="19"/>
      <c r="L12" s="2"/>
      <c r="M12" s="2"/>
      <c r="N12" s="2"/>
      <c r="O12" s="2"/>
      <c r="P12" s="19"/>
      <c r="Q12" s="18"/>
      <c r="R12" s="19"/>
      <c r="S12" s="180"/>
      <c r="T12" s="180"/>
      <c r="U12" s="18"/>
      <c r="V12" s="18"/>
      <c r="W12" s="20"/>
      <c r="X12" s="2"/>
      <c r="Y12" s="18"/>
      <c r="AA12" s="29"/>
    </row>
    <row r="13" spans="1:27" ht="20.100000000000001" hidden="1" customHeight="1" x14ac:dyDescent="0.2">
      <c r="A13" s="1"/>
      <c r="B13" s="1"/>
      <c r="C13" s="1"/>
      <c r="D13" s="1"/>
      <c r="E13" s="2"/>
      <c r="F13" s="1"/>
      <c r="G13" s="1"/>
      <c r="H13" s="1"/>
      <c r="I13" s="1"/>
      <c r="J13" s="18"/>
      <c r="K13" s="30"/>
      <c r="L13" s="1"/>
      <c r="M13" s="1"/>
      <c r="N13" s="18"/>
      <c r="O13" s="1"/>
      <c r="P13" s="30"/>
      <c r="Q13" s="31"/>
      <c r="R13" s="30"/>
      <c r="S13" s="1"/>
      <c r="T13" s="1"/>
      <c r="U13" s="18"/>
      <c r="V13" s="1"/>
      <c r="W13" s="20"/>
      <c r="X13" s="1"/>
      <c r="Y13" s="31"/>
      <c r="AA13" s="29"/>
    </row>
    <row r="14" spans="1:27" s="32" customFormat="1" ht="15" customHeight="1" x14ac:dyDescent="0.2">
      <c r="A14" s="33" t="s">
        <v>27</v>
      </c>
      <c r="B14" s="2"/>
      <c r="C14" s="1"/>
      <c r="D14" s="1"/>
      <c r="E14" s="2"/>
      <c r="F14" s="34"/>
      <c r="G14" s="34"/>
      <c r="H14" s="35"/>
      <c r="I14" s="35"/>
      <c r="J14" s="35"/>
      <c r="K14" s="36"/>
      <c r="L14" s="35"/>
      <c r="M14" s="35"/>
      <c r="N14" s="35"/>
      <c r="O14" s="35">
        <f t="shared" ref="O14:O32" si="0">SUM(L14:N14)</f>
        <v>0</v>
      </c>
      <c r="P14" s="36"/>
      <c r="Q14" s="35"/>
      <c r="R14" s="36"/>
      <c r="S14" s="35"/>
      <c r="T14" s="35"/>
      <c r="U14" s="35"/>
      <c r="V14" s="35"/>
      <c r="W14" s="37"/>
      <c r="X14" s="35"/>
      <c r="Y14" s="2"/>
      <c r="Z14" s="38"/>
    </row>
    <row r="15" spans="1:27" x14ac:dyDescent="0.2">
      <c r="A15" s="1">
        <v>1</v>
      </c>
      <c r="B15" s="2"/>
      <c r="C15" s="1">
        <v>1</v>
      </c>
      <c r="D15" s="39" t="s">
        <v>28</v>
      </c>
      <c r="E15" s="40"/>
      <c r="F15" s="1" t="s">
        <v>29</v>
      </c>
      <c r="G15" s="1"/>
      <c r="H15" s="41">
        <v>2080</v>
      </c>
      <c r="I15" s="42">
        <v>0</v>
      </c>
      <c r="J15" s="41">
        <v>0</v>
      </c>
      <c r="K15" s="36"/>
      <c r="L15" s="42">
        <f>179556.37+13307.62+771.46+6943.12</f>
        <v>200578.56999999998</v>
      </c>
      <c r="M15" s="42">
        <v>0</v>
      </c>
      <c r="N15" s="35">
        <v>8452.84</v>
      </c>
      <c r="O15" s="43">
        <f t="shared" si="0"/>
        <v>209031.40999999997</v>
      </c>
      <c r="P15" s="36"/>
      <c r="Q15" s="44">
        <v>106.075</v>
      </c>
      <c r="R15" s="36"/>
      <c r="S15" s="35">
        <f>2080*Q15</f>
        <v>220636</v>
      </c>
      <c r="T15" s="35">
        <f>M15</f>
        <v>0</v>
      </c>
      <c r="U15" s="43">
        <f>IF(N15=0," ",+J15*Q15)+1302.84+6600</f>
        <v>7902.84</v>
      </c>
      <c r="V15" s="35">
        <f t="shared" ref="V15:V32" si="1">SUM(S15:U15)</f>
        <v>228538.84</v>
      </c>
      <c r="W15" s="37"/>
      <c r="X15" s="43">
        <f>V15-O15</f>
        <v>19507.430000000022</v>
      </c>
      <c r="Y15" s="2"/>
    </row>
    <row r="16" spans="1:27" x14ac:dyDescent="0.2">
      <c r="A16" s="1">
        <v>2</v>
      </c>
      <c r="B16" s="2"/>
      <c r="C16" s="1">
        <v>1</v>
      </c>
      <c r="D16" s="39" t="s">
        <v>30</v>
      </c>
      <c r="E16" s="45" t="s">
        <v>31</v>
      </c>
      <c r="F16" s="1" t="s">
        <v>32</v>
      </c>
      <c r="G16" s="1"/>
      <c r="H16" s="35">
        <f>2120-40</f>
        <v>2080</v>
      </c>
      <c r="I16" s="42">
        <v>0</v>
      </c>
      <c r="J16" s="41">
        <v>40</v>
      </c>
      <c r="K16" s="36"/>
      <c r="L16" s="42">
        <f>64445.55-1297.84</f>
        <v>63147.710000000006</v>
      </c>
      <c r="M16" s="35">
        <v>0</v>
      </c>
      <c r="N16" s="35">
        <v>1580.24</v>
      </c>
      <c r="O16" s="43">
        <f t="shared" si="0"/>
        <v>64727.950000000004</v>
      </c>
      <c r="P16" s="36"/>
      <c r="Q16" s="44">
        <v>32.445999999999998</v>
      </c>
      <c r="R16" s="36"/>
      <c r="S16" s="35">
        <f t="shared" ref="S16:S32" si="2">2080*Q16</f>
        <v>67487.679999999993</v>
      </c>
      <c r="T16" s="35">
        <f t="shared" ref="T16:T32" si="3">M16</f>
        <v>0</v>
      </c>
      <c r="U16" s="43">
        <f>IF(N16=0," ",+J16*Q16)+1302.84</f>
        <v>2600.6799999999998</v>
      </c>
      <c r="V16" s="35">
        <f t="shared" si="1"/>
        <v>70088.359999999986</v>
      </c>
      <c r="W16" s="37"/>
      <c r="X16" s="43">
        <f t="shared" ref="X16:X32" si="4">V16-O16</f>
        <v>5360.4099999999817</v>
      </c>
      <c r="Y16" s="2"/>
    </row>
    <row r="17" spans="1:25" x14ac:dyDescent="0.2">
      <c r="A17" s="1">
        <v>3</v>
      </c>
      <c r="B17" s="2"/>
      <c r="C17" s="1">
        <v>1</v>
      </c>
      <c r="D17" s="39" t="s">
        <v>33</v>
      </c>
      <c r="E17" s="45" t="s">
        <v>34</v>
      </c>
      <c r="F17" s="1" t="s">
        <v>35</v>
      </c>
      <c r="G17" s="1"/>
      <c r="H17" s="41">
        <v>2080</v>
      </c>
      <c r="I17" s="42">
        <v>0</v>
      </c>
      <c r="J17" s="41">
        <v>0</v>
      </c>
      <c r="K17" s="36"/>
      <c r="L17" s="42">
        <v>95787.27</v>
      </c>
      <c r="M17" s="42">
        <v>0</v>
      </c>
      <c r="N17" s="35">
        <v>5505.09</v>
      </c>
      <c r="O17" s="43">
        <f t="shared" si="0"/>
        <v>101292.36</v>
      </c>
      <c r="P17" s="36"/>
      <c r="Q17" s="44">
        <v>47.957000000000001</v>
      </c>
      <c r="R17" s="36"/>
      <c r="S17" s="35">
        <f t="shared" si="2"/>
        <v>99750.56</v>
      </c>
      <c r="T17" s="35">
        <f t="shared" si="3"/>
        <v>0</v>
      </c>
      <c r="U17" s="43">
        <f>IF(N17=0," ",+J17*Q17)+1302.84+3339</f>
        <v>4641.84</v>
      </c>
      <c r="V17" s="35">
        <f t="shared" si="1"/>
        <v>104392.4</v>
      </c>
      <c r="W17" s="37"/>
      <c r="X17" s="43">
        <f t="shared" si="4"/>
        <v>3100.0399999999936</v>
      </c>
      <c r="Y17" s="2"/>
    </row>
    <row r="18" spans="1:25" x14ac:dyDescent="0.2">
      <c r="A18" s="1">
        <v>4</v>
      </c>
      <c r="B18" s="2"/>
      <c r="C18" s="1">
        <v>1</v>
      </c>
      <c r="D18" s="39" t="s">
        <v>36</v>
      </c>
      <c r="E18" s="45" t="s">
        <v>37</v>
      </c>
      <c r="F18" s="1" t="s">
        <v>38</v>
      </c>
      <c r="G18" s="1"/>
      <c r="H18" s="41">
        <v>2080</v>
      </c>
      <c r="I18" s="42">
        <v>0</v>
      </c>
      <c r="J18" s="41">
        <v>58.5</v>
      </c>
      <c r="K18" s="36"/>
      <c r="L18" s="42">
        <f>50800.99+4014.82+3168.23+2126.73</f>
        <v>60110.770000000004</v>
      </c>
      <c r="M18" s="42">
        <v>0</v>
      </c>
      <c r="N18" s="35">
        <v>8163.68</v>
      </c>
      <c r="O18" s="43">
        <f t="shared" si="0"/>
        <v>68274.450000000012</v>
      </c>
      <c r="P18" s="36"/>
      <c r="Q18" s="44">
        <v>30.809000000000001</v>
      </c>
      <c r="R18" s="36"/>
      <c r="S18" s="35">
        <f t="shared" si="2"/>
        <v>64082.720000000001</v>
      </c>
      <c r="T18" s="35">
        <f t="shared" si="3"/>
        <v>0</v>
      </c>
      <c r="U18" s="43">
        <f>IF(N18=0," ",+J18*Q18)+1302.84+5000</f>
        <v>8105.1665000000003</v>
      </c>
      <c r="V18" s="35">
        <f t="shared" si="1"/>
        <v>72187.886500000008</v>
      </c>
      <c r="W18" s="37"/>
      <c r="X18" s="43">
        <f t="shared" si="4"/>
        <v>3913.4364999999962</v>
      </c>
      <c r="Y18" s="2"/>
    </row>
    <row r="19" spans="1:25" x14ac:dyDescent="0.2">
      <c r="A19" s="1">
        <v>5</v>
      </c>
      <c r="B19" s="2"/>
      <c r="C19" s="1">
        <v>1</v>
      </c>
      <c r="D19" s="39" t="s">
        <v>39</v>
      </c>
      <c r="E19" s="40"/>
      <c r="F19" s="1" t="s">
        <v>40</v>
      </c>
      <c r="G19" s="1"/>
      <c r="H19" s="35">
        <v>2080</v>
      </c>
      <c r="I19" s="42">
        <v>0</v>
      </c>
      <c r="J19" s="41">
        <v>89</v>
      </c>
      <c r="K19" s="36"/>
      <c r="L19" s="42">
        <f>113056+9748.34+487.42+4484.24</f>
        <v>127776</v>
      </c>
      <c r="M19" s="35">
        <v>0</v>
      </c>
      <c r="N19" s="35">
        <v>13217.720000000001</v>
      </c>
      <c r="O19" s="43">
        <f t="shared" si="0"/>
        <v>140993.72</v>
      </c>
      <c r="P19" s="36"/>
      <c r="Q19" s="44">
        <v>63.972999999999999</v>
      </c>
      <c r="R19" s="36"/>
      <c r="S19" s="35">
        <f t="shared" si="2"/>
        <v>133063.84</v>
      </c>
      <c r="T19" s="35">
        <f t="shared" si="3"/>
        <v>0</v>
      </c>
      <c r="U19" s="43">
        <f>IF(N19=0," ",+J19*Q19)+1302.84+5000+650</f>
        <v>12646.437</v>
      </c>
      <c r="V19" s="35">
        <f t="shared" si="1"/>
        <v>145710.277</v>
      </c>
      <c r="W19" s="37"/>
      <c r="X19" s="43">
        <f t="shared" si="4"/>
        <v>4716.5570000000007</v>
      </c>
      <c r="Y19" s="2"/>
    </row>
    <row r="20" spans="1:25" x14ac:dyDescent="0.2">
      <c r="A20" s="1">
        <v>6</v>
      </c>
      <c r="B20" s="2"/>
      <c r="C20" s="1">
        <v>1</v>
      </c>
      <c r="D20" s="39" t="s">
        <v>41</v>
      </c>
      <c r="E20" s="40">
        <v>14</v>
      </c>
      <c r="F20" s="1" t="s">
        <v>38</v>
      </c>
      <c r="G20" s="1"/>
      <c r="H20" s="41">
        <f>2120-40</f>
        <v>2080</v>
      </c>
      <c r="I20" s="42">
        <v>0</v>
      </c>
      <c r="J20" s="41">
        <v>57.5</v>
      </c>
      <c r="K20" s="36"/>
      <c r="L20" s="42">
        <f>51120.23+5837.34+4866.82+2208.75-1267</f>
        <v>62766.140000000007</v>
      </c>
      <c r="M20" s="42">
        <v>0</v>
      </c>
      <c r="N20" s="35">
        <v>8285.09</v>
      </c>
      <c r="O20" s="43">
        <f t="shared" si="0"/>
        <v>71051.23000000001</v>
      </c>
      <c r="P20" s="36"/>
      <c r="Q20" s="44">
        <v>31.675000000000001</v>
      </c>
      <c r="R20" s="36"/>
      <c r="S20" s="35">
        <f t="shared" si="2"/>
        <v>65884</v>
      </c>
      <c r="T20" s="35"/>
      <c r="U20" s="43">
        <f>IF(N20=0," ",+J20*Q20)+1302.84+5000</f>
        <v>8124.1525000000001</v>
      </c>
      <c r="V20" s="35">
        <f t="shared" si="1"/>
        <v>74008.152499999997</v>
      </c>
      <c r="W20" s="37"/>
      <c r="X20" s="43">
        <f t="shared" si="4"/>
        <v>2956.922499999986</v>
      </c>
      <c r="Y20" s="7"/>
    </row>
    <row r="21" spans="1:25" x14ac:dyDescent="0.2">
      <c r="A21" s="1">
        <v>7</v>
      </c>
      <c r="B21" s="2"/>
      <c r="C21" s="1">
        <v>1</v>
      </c>
      <c r="D21" s="39" t="s">
        <v>42</v>
      </c>
      <c r="E21" s="40">
        <v>149</v>
      </c>
      <c r="F21" s="1" t="s">
        <v>40</v>
      </c>
      <c r="G21" s="1"/>
      <c r="H21" s="41">
        <v>2080</v>
      </c>
      <c r="I21" s="42">
        <v>0</v>
      </c>
      <c r="J21" s="41">
        <v>31.5</v>
      </c>
      <c r="K21" s="36"/>
      <c r="L21" s="42">
        <f>87402.34+4757.12+6472.82+3587.35</f>
        <v>102219.63</v>
      </c>
      <c r="M21" s="42">
        <v>0</v>
      </c>
      <c r="N21" s="35">
        <v>9330.56</v>
      </c>
      <c r="O21" s="43">
        <f t="shared" si="0"/>
        <v>111550.19</v>
      </c>
      <c r="P21" s="36"/>
      <c r="Q21" s="44">
        <v>51.177999999999997</v>
      </c>
      <c r="R21" s="36"/>
      <c r="S21" s="35">
        <f t="shared" si="2"/>
        <v>106450.23999999999</v>
      </c>
      <c r="T21" s="35">
        <f t="shared" si="3"/>
        <v>0</v>
      </c>
      <c r="U21" s="43">
        <f>IF(N21=0," ",+J21*Q21)+1302.84+5000+650</f>
        <v>8564.9470000000001</v>
      </c>
      <c r="V21" s="35">
        <f t="shared" si="1"/>
        <v>115015.18699999999</v>
      </c>
      <c r="W21" s="37"/>
      <c r="X21" s="43">
        <f t="shared" si="4"/>
        <v>3464.9969999999885</v>
      </c>
      <c r="Y21" s="2"/>
    </row>
    <row r="22" spans="1:25" x14ac:dyDescent="0.2">
      <c r="A22" s="1">
        <v>8</v>
      </c>
      <c r="B22" s="2"/>
      <c r="C22" s="1">
        <v>1</v>
      </c>
      <c r="D22" s="39" t="s">
        <v>43</v>
      </c>
      <c r="E22" s="40"/>
      <c r="F22" s="1" t="s">
        <v>44</v>
      </c>
      <c r="G22" s="1"/>
      <c r="H22" s="41">
        <v>2080</v>
      </c>
      <c r="I22" s="42">
        <v>5.25</v>
      </c>
      <c r="J22" s="41">
        <v>0</v>
      </c>
      <c r="K22" s="36"/>
      <c r="L22" s="42">
        <f>47590.87+2806.88+2083.21+661.44+1897.44</f>
        <v>55039.840000000004</v>
      </c>
      <c r="M22" s="42">
        <v>186.8</v>
      </c>
      <c r="N22" s="35">
        <v>3816.13</v>
      </c>
      <c r="O22" s="43">
        <f t="shared" si="0"/>
        <v>59042.770000000004</v>
      </c>
      <c r="P22" s="36"/>
      <c r="Q22" s="44">
        <v>27.56</v>
      </c>
      <c r="R22" s="36"/>
      <c r="S22" s="35">
        <f t="shared" si="2"/>
        <v>57324.799999999996</v>
      </c>
      <c r="T22" s="35">
        <v>0</v>
      </c>
      <c r="U22" s="43">
        <f>IF(N22=0," ",+J22*Q22)+3339</f>
        <v>3339</v>
      </c>
      <c r="V22" s="35">
        <f t="shared" si="1"/>
        <v>60663.799999999996</v>
      </c>
      <c r="W22" s="37"/>
      <c r="X22" s="43">
        <f t="shared" si="4"/>
        <v>1621.0299999999916</v>
      </c>
      <c r="Y22" s="2"/>
    </row>
    <row r="23" spans="1:25" x14ac:dyDescent="0.2">
      <c r="A23" s="1">
        <v>9</v>
      </c>
      <c r="B23" s="2"/>
      <c r="C23" s="1">
        <v>1</v>
      </c>
      <c r="D23" s="39" t="s">
        <v>45</v>
      </c>
      <c r="E23" s="40">
        <v>136</v>
      </c>
      <c r="F23" s="1" t="s">
        <v>40</v>
      </c>
      <c r="G23" s="1"/>
      <c r="H23" s="41">
        <f>1576+162.45+109.55+8+56</f>
        <v>1912</v>
      </c>
      <c r="I23" s="42">
        <v>0</v>
      </c>
      <c r="J23" s="41">
        <v>64.5</v>
      </c>
      <c r="K23" s="36"/>
      <c r="L23" s="42">
        <f>77522.68+8055.12+5486.8+392.52+2786.89</f>
        <v>94244.01</v>
      </c>
      <c r="M23" s="42">
        <v>0</v>
      </c>
      <c r="N23" s="35">
        <v>9706.3000000000011</v>
      </c>
      <c r="O23" s="43">
        <f t="shared" si="0"/>
        <v>103950.31</v>
      </c>
      <c r="P23" s="36"/>
      <c r="Q23" s="44">
        <v>51.518000000000001</v>
      </c>
      <c r="R23" s="36"/>
      <c r="S23" s="35">
        <f t="shared" si="2"/>
        <v>107157.44</v>
      </c>
      <c r="T23" s="35">
        <f t="shared" si="3"/>
        <v>0</v>
      </c>
      <c r="U23" s="43">
        <f>IF(N23=0," ",+J23*Q23)+1302.84+5000+650</f>
        <v>10275.751</v>
      </c>
      <c r="V23" s="35">
        <f t="shared" si="1"/>
        <v>117433.19100000001</v>
      </c>
      <c r="W23" s="37"/>
      <c r="X23" s="43">
        <f t="shared" si="4"/>
        <v>13482.881000000008</v>
      </c>
      <c r="Y23" s="2"/>
    </row>
    <row r="24" spans="1:25" x14ac:dyDescent="0.2">
      <c r="A24" s="1">
        <v>10</v>
      </c>
      <c r="B24" s="2"/>
      <c r="C24" s="1">
        <v>1</v>
      </c>
      <c r="D24" s="39" t="s">
        <v>46</v>
      </c>
      <c r="E24" s="40">
        <v>130</v>
      </c>
      <c r="F24" s="1" t="s">
        <v>32</v>
      </c>
      <c r="G24" s="1"/>
      <c r="H24" s="41">
        <v>2080</v>
      </c>
      <c r="I24" s="42">
        <v>0</v>
      </c>
      <c r="J24" s="41">
        <v>0</v>
      </c>
      <c r="K24" s="36"/>
      <c r="L24" s="42">
        <f>102453.4+8265.77+1242.8+4399.4</f>
        <v>116361.37</v>
      </c>
      <c r="M24" s="42">
        <v>0</v>
      </c>
      <c r="N24" s="35">
        <v>1302.8399999999999</v>
      </c>
      <c r="O24" s="43">
        <f t="shared" si="0"/>
        <v>117664.20999999999</v>
      </c>
      <c r="P24" s="36"/>
      <c r="Q24" s="44">
        <v>71.375</v>
      </c>
      <c r="R24" s="36"/>
      <c r="S24" s="35">
        <f t="shared" si="2"/>
        <v>148460</v>
      </c>
      <c r="T24" s="35">
        <f t="shared" si="3"/>
        <v>0</v>
      </c>
      <c r="U24" s="43">
        <f>IF(N24=0," ",+J24*Q24)+1302.84</f>
        <v>1302.8399999999999</v>
      </c>
      <c r="V24" s="35">
        <f t="shared" si="1"/>
        <v>149762.84</v>
      </c>
      <c r="W24" s="37"/>
      <c r="X24" s="43">
        <f t="shared" si="4"/>
        <v>32098.630000000005</v>
      </c>
      <c r="Y24" s="2"/>
    </row>
    <row r="25" spans="1:25" x14ac:dyDescent="0.2">
      <c r="A25" s="1">
        <v>11</v>
      </c>
      <c r="B25" s="2"/>
      <c r="C25" s="1">
        <v>1</v>
      </c>
      <c r="D25" s="39" t="s">
        <v>47</v>
      </c>
      <c r="E25" s="40">
        <v>163</v>
      </c>
      <c r="F25" s="1" t="s">
        <v>48</v>
      </c>
      <c r="G25" s="1"/>
      <c r="H25" s="41">
        <v>68.28</v>
      </c>
      <c r="I25" s="42">
        <v>0</v>
      </c>
      <c r="J25" s="41">
        <v>0</v>
      </c>
      <c r="K25" s="36"/>
      <c r="L25" s="42">
        <v>0</v>
      </c>
      <c r="M25" s="42">
        <v>0</v>
      </c>
      <c r="N25" s="35">
        <v>2250.85</v>
      </c>
      <c r="O25" s="43">
        <f t="shared" si="0"/>
        <v>2250.85</v>
      </c>
      <c r="P25" s="36"/>
      <c r="Q25" s="44">
        <v>0</v>
      </c>
      <c r="R25" s="36"/>
      <c r="S25" s="35">
        <f t="shared" si="2"/>
        <v>0</v>
      </c>
      <c r="T25" s="35">
        <f t="shared" si="3"/>
        <v>0</v>
      </c>
      <c r="U25" s="43">
        <v>0</v>
      </c>
      <c r="V25" s="35">
        <f t="shared" si="1"/>
        <v>0</v>
      </c>
      <c r="W25" s="37"/>
      <c r="X25" s="43">
        <f t="shared" si="4"/>
        <v>-2250.85</v>
      </c>
      <c r="Y25" s="2"/>
    </row>
    <row r="26" spans="1:25" x14ac:dyDescent="0.2">
      <c r="A26" s="1">
        <v>12</v>
      </c>
      <c r="B26" s="2"/>
      <c r="C26" s="1">
        <v>1</v>
      </c>
      <c r="D26" s="39" t="s">
        <v>49</v>
      </c>
      <c r="E26" s="40">
        <v>171</v>
      </c>
      <c r="F26" s="1" t="s">
        <v>50</v>
      </c>
      <c r="G26" s="1"/>
      <c r="H26" s="41">
        <f>2120-40</f>
        <v>2080</v>
      </c>
      <c r="I26" s="42">
        <v>0</v>
      </c>
      <c r="J26" s="41">
        <v>40</v>
      </c>
      <c r="K26" s="36"/>
      <c r="L26" s="42">
        <f>81346.82+6305.96+2442.56+3210.24-1831.92</f>
        <v>91473.660000000018</v>
      </c>
      <c r="M26" s="42">
        <v>0</v>
      </c>
      <c r="N26" s="35">
        <v>10076.029999999999</v>
      </c>
      <c r="O26" s="43">
        <f t="shared" si="0"/>
        <v>101549.69000000002</v>
      </c>
      <c r="P26" s="36"/>
      <c r="Q26" s="44">
        <v>0</v>
      </c>
      <c r="R26" s="36"/>
      <c r="S26" s="35">
        <v>0</v>
      </c>
      <c r="T26" s="35">
        <f t="shared" si="3"/>
        <v>0</v>
      </c>
      <c r="U26" s="43">
        <v>0</v>
      </c>
      <c r="V26" s="35">
        <f t="shared" si="1"/>
        <v>0</v>
      </c>
      <c r="W26" s="37"/>
      <c r="X26" s="43">
        <f t="shared" si="4"/>
        <v>-101549.69000000002</v>
      </c>
      <c r="Y26" s="2"/>
    </row>
    <row r="27" spans="1:25" x14ac:dyDescent="0.2">
      <c r="A27" s="1">
        <v>13</v>
      </c>
      <c r="B27" s="2"/>
      <c r="C27" s="1">
        <v>1</v>
      </c>
      <c r="D27" s="39" t="s">
        <v>51</v>
      </c>
      <c r="E27" s="40"/>
      <c r="F27" s="1" t="s">
        <v>38</v>
      </c>
      <c r="G27" s="1"/>
      <c r="H27" s="41">
        <v>280</v>
      </c>
      <c r="I27" s="42">
        <v>0</v>
      </c>
      <c r="J27" s="41">
        <v>0</v>
      </c>
      <c r="K27" s="36"/>
      <c r="L27" s="42">
        <f>8942.38+1153.86</f>
        <v>10096.24</v>
      </c>
      <c r="M27" s="42">
        <v>0</v>
      </c>
      <c r="N27" s="35">
        <v>846.82</v>
      </c>
      <c r="O27" s="43">
        <f t="shared" si="0"/>
        <v>10943.06</v>
      </c>
      <c r="P27" s="36"/>
      <c r="Q27" s="44">
        <v>36.058</v>
      </c>
      <c r="R27" s="36"/>
      <c r="S27" s="35">
        <f t="shared" si="2"/>
        <v>75000.639999999999</v>
      </c>
      <c r="T27" s="35">
        <f t="shared" si="3"/>
        <v>0</v>
      </c>
      <c r="U27" s="43">
        <f>IF(N27=0," ",+J27*Q27)+1302.84+5000</f>
        <v>6302.84</v>
      </c>
      <c r="V27" s="35">
        <f t="shared" si="1"/>
        <v>81303.48</v>
      </c>
      <c r="W27" s="37"/>
      <c r="X27" s="43">
        <f t="shared" si="4"/>
        <v>70360.42</v>
      </c>
      <c r="Y27" s="2"/>
    </row>
    <row r="28" spans="1:25" x14ac:dyDescent="0.2">
      <c r="A28" s="1">
        <v>14</v>
      </c>
      <c r="B28" s="2"/>
      <c r="C28" s="1">
        <v>1</v>
      </c>
      <c r="D28" s="39" t="s">
        <v>52</v>
      </c>
      <c r="E28" s="40">
        <v>157</v>
      </c>
      <c r="F28" s="1" t="s">
        <v>53</v>
      </c>
      <c r="G28" s="1"/>
      <c r="H28" s="41">
        <v>2080</v>
      </c>
      <c r="I28" s="42">
        <v>0</v>
      </c>
      <c r="J28" s="41">
        <v>0</v>
      </c>
      <c r="K28" s="36"/>
      <c r="L28" s="42">
        <f>73354.28+4757.29+4011.82+325.01+3014.45</f>
        <v>85462.849999999991</v>
      </c>
      <c r="M28" s="42">
        <v>0</v>
      </c>
      <c r="N28" s="35">
        <v>5663.59</v>
      </c>
      <c r="O28" s="43">
        <f t="shared" si="0"/>
        <v>91126.439999999988</v>
      </c>
      <c r="P28" s="36"/>
      <c r="Q28" s="44">
        <v>43.418999999999997</v>
      </c>
      <c r="R28" s="36"/>
      <c r="S28" s="35">
        <f t="shared" si="2"/>
        <v>90311.51999999999</v>
      </c>
      <c r="T28" s="35">
        <f t="shared" si="3"/>
        <v>0</v>
      </c>
      <c r="U28" s="43">
        <f>IF(N28=0," ",+J28*Q28)+1302.84+650</f>
        <v>1952.84</v>
      </c>
      <c r="V28" s="35">
        <f t="shared" si="1"/>
        <v>92264.359999999986</v>
      </c>
      <c r="W28" s="37"/>
      <c r="X28" s="43">
        <f t="shared" si="4"/>
        <v>1137.9199999999983</v>
      </c>
      <c r="Y28" s="2"/>
    </row>
    <row r="29" spans="1:25" x14ac:dyDescent="0.2">
      <c r="A29" s="1">
        <v>15</v>
      </c>
      <c r="B29" s="2"/>
      <c r="C29" s="1">
        <v>1</v>
      </c>
      <c r="D29" s="39" t="s">
        <v>54</v>
      </c>
      <c r="E29" s="40"/>
      <c r="F29" s="1" t="s">
        <v>40</v>
      </c>
      <c r="G29" s="1"/>
      <c r="H29" s="41">
        <v>2080</v>
      </c>
      <c r="I29" s="42">
        <v>0</v>
      </c>
      <c r="J29" s="41">
        <v>14</v>
      </c>
      <c r="K29" s="36"/>
      <c r="L29" s="42">
        <f>65652.27+4791.5+4836.16+2738.01</f>
        <v>78017.94</v>
      </c>
      <c r="M29" s="42">
        <v>0</v>
      </c>
      <c r="N29" s="35">
        <v>8316.02</v>
      </c>
      <c r="O29" s="43">
        <f t="shared" si="0"/>
        <v>86333.96</v>
      </c>
      <c r="P29" s="36"/>
      <c r="Q29" s="44">
        <v>41.584000000000003</v>
      </c>
      <c r="R29" s="36"/>
      <c r="S29" s="35">
        <f t="shared" si="2"/>
        <v>86494.720000000001</v>
      </c>
      <c r="T29" s="35">
        <f t="shared" si="3"/>
        <v>0</v>
      </c>
      <c r="U29" s="43">
        <f>IF(N29=0," ",+J29*Q29)+1302.84+5000+650</f>
        <v>7535.0159999999996</v>
      </c>
      <c r="V29" s="35">
        <f t="shared" si="1"/>
        <v>94029.736000000004</v>
      </c>
      <c r="W29" s="37"/>
      <c r="X29" s="43">
        <f t="shared" si="4"/>
        <v>7695.775999999998</v>
      </c>
      <c r="Y29" s="2"/>
    </row>
    <row r="30" spans="1:25" x14ac:dyDescent="0.2">
      <c r="A30" s="1">
        <v>16</v>
      </c>
      <c r="B30" s="2"/>
      <c r="C30" s="1">
        <v>1</v>
      </c>
      <c r="D30" s="39" t="s">
        <v>55</v>
      </c>
      <c r="E30" s="40"/>
      <c r="F30" s="1" t="s">
        <v>40</v>
      </c>
      <c r="G30" s="1"/>
      <c r="H30" s="41">
        <v>2080</v>
      </c>
      <c r="I30" s="42">
        <v>0</v>
      </c>
      <c r="J30" s="41">
        <v>49</v>
      </c>
      <c r="K30" s="36"/>
      <c r="L30" s="42">
        <f>101354+8404+1540+4048</f>
        <v>115346</v>
      </c>
      <c r="M30" s="42">
        <v>0</v>
      </c>
      <c r="N30" s="35">
        <v>10490.21</v>
      </c>
      <c r="O30" s="43">
        <f t="shared" si="0"/>
        <v>125836.20999999999</v>
      </c>
      <c r="P30" s="36"/>
      <c r="Q30" s="44">
        <v>57.75</v>
      </c>
      <c r="R30" s="36"/>
      <c r="S30" s="35">
        <f t="shared" si="2"/>
        <v>120120</v>
      </c>
      <c r="T30" s="35">
        <f t="shared" si="3"/>
        <v>0</v>
      </c>
      <c r="U30" s="43">
        <f>IF(N30=0," ",+J30*Q30)+1302.84+5000+650</f>
        <v>9782.59</v>
      </c>
      <c r="V30" s="35">
        <f t="shared" si="1"/>
        <v>129902.59</v>
      </c>
      <c r="W30" s="37"/>
      <c r="X30" s="43">
        <f t="shared" si="4"/>
        <v>4066.3800000000047</v>
      </c>
      <c r="Y30" s="2"/>
    </row>
    <row r="31" spans="1:25" x14ac:dyDescent="0.2">
      <c r="A31" s="1">
        <v>17</v>
      </c>
      <c r="B31" s="2"/>
      <c r="C31" s="1">
        <v>1</v>
      </c>
      <c r="D31" s="39" t="s">
        <v>56</v>
      </c>
      <c r="E31" s="40">
        <v>16</v>
      </c>
      <c r="F31" s="1" t="s">
        <v>32</v>
      </c>
      <c r="G31" s="1"/>
      <c r="H31" s="41">
        <v>2080</v>
      </c>
      <c r="I31" s="42">
        <v>0</v>
      </c>
      <c r="J31" s="41">
        <v>0</v>
      </c>
      <c r="K31" s="36"/>
      <c r="L31" s="42">
        <f>124351.18+8386.71+4626.09+4996.05</f>
        <v>142360.02999999997</v>
      </c>
      <c r="M31" s="42">
        <v>0</v>
      </c>
      <c r="N31" s="35">
        <v>1302.8399999999999</v>
      </c>
      <c r="O31" s="43">
        <f t="shared" si="0"/>
        <v>143662.86999999997</v>
      </c>
      <c r="P31" s="36"/>
      <c r="Q31" s="44">
        <v>71.275000000000006</v>
      </c>
      <c r="R31" s="36"/>
      <c r="S31" s="35">
        <f t="shared" si="2"/>
        <v>148252</v>
      </c>
      <c r="T31" s="35">
        <f t="shared" si="3"/>
        <v>0</v>
      </c>
      <c r="U31" s="43">
        <f>IF(N31=0," ",+J31*Q31)+1302.84</f>
        <v>1302.8399999999999</v>
      </c>
      <c r="V31" s="35">
        <f t="shared" si="1"/>
        <v>149554.84</v>
      </c>
      <c r="W31" s="37"/>
      <c r="X31" s="43">
        <f t="shared" si="4"/>
        <v>5891.9700000000303</v>
      </c>
      <c r="Y31" s="2"/>
    </row>
    <row r="32" spans="1:25" x14ac:dyDescent="0.2">
      <c r="A32" s="13">
        <v>18</v>
      </c>
      <c r="B32" s="14"/>
      <c r="C32" s="13">
        <v>1</v>
      </c>
      <c r="D32" s="46" t="s">
        <v>57</v>
      </c>
      <c r="E32" s="47"/>
      <c r="F32" s="13" t="s">
        <v>40</v>
      </c>
      <c r="G32" s="1"/>
      <c r="H32" s="48">
        <v>2080</v>
      </c>
      <c r="I32" s="49">
        <v>0</v>
      </c>
      <c r="J32" s="48">
        <v>33.5</v>
      </c>
      <c r="K32" s="36"/>
      <c r="L32" s="49">
        <f>65447.8+7138.08+5577.62+2842.87</f>
        <v>81006.37</v>
      </c>
      <c r="M32" s="49">
        <v>0</v>
      </c>
      <c r="N32" s="50">
        <v>9864.18</v>
      </c>
      <c r="O32" s="51">
        <f t="shared" si="0"/>
        <v>90870.549999999988</v>
      </c>
      <c r="P32" s="36"/>
      <c r="Q32" s="52">
        <v>40.557000000000002</v>
      </c>
      <c r="R32" s="36"/>
      <c r="S32" s="50">
        <f t="shared" si="2"/>
        <v>84358.56</v>
      </c>
      <c r="T32" s="50">
        <f t="shared" si="3"/>
        <v>0</v>
      </c>
      <c r="U32" s="51">
        <f>IF(N32=0," ",+J32*Q32)+1302.84+5000+650</f>
        <v>8311.4994999999999</v>
      </c>
      <c r="V32" s="50">
        <f t="shared" si="1"/>
        <v>92670.059500000003</v>
      </c>
      <c r="W32" s="37"/>
      <c r="X32" s="51">
        <f t="shared" si="4"/>
        <v>1799.5095000000147</v>
      </c>
      <c r="Y32" s="2"/>
    </row>
    <row r="33" spans="1:25" x14ac:dyDescent="0.2">
      <c r="A33" s="53" t="s">
        <v>58</v>
      </c>
      <c r="B33" s="2"/>
      <c r="C33" s="1">
        <f>SUM(C15:C32)</f>
        <v>18</v>
      </c>
      <c r="D33" s="1"/>
      <c r="E33" s="54" t="s">
        <v>58</v>
      </c>
      <c r="F33" s="34"/>
      <c r="G33" s="1"/>
      <c r="H33" s="55">
        <f>SUM(H15:H32)</f>
        <v>33460.28</v>
      </c>
      <c r="I33" s="55">
        <f>SUM(I15:I32)</f>
        <v>5.25</v>
      </c>
      <c r="J33" s="55">
        <f>SUM(J15:J32)</f>
        <v>477.5</v>
      </c>
      <c r="K33" s="55"/>
      <c r="L33" s="55">
        <f>SUM(L15:L32)</f>
        <v>1581794.4</v>
      </c>
      <c r="M33" s="55">
        <f>SUM(M15:M32)</f>
        <v>186.8</v>
      </c>
      <c r="N33" s="55">
        <f>SUM(N15:N32)</f>
        <v>118171.03</v>
      </c>
      <c r="O33" s="55">
        <f>SUM(O15:O32)</f>
        <v>1700152.23</v>
      </c>
      <c r="P33" s="56"/>
      <c r="Q33" s="57"/>
      <c r="R33" s="56"/>
      <c r="S33" s="55">
        <f>SUM(S15:S32)</f>
        <v>1674834.72</v>
      </c>
      <c r="T33" s="55">
        <f t="shared" ref="T33:V33" si="5">SUM(T15:T32)</f>
        <v>0</v>
      </c>
      <c r="U33" s="55">
        <f t="shared" si="5"/>
        <v>102691.27949999999</v>
      </c>
      <c r="V33" s="55">
        <f t="shared" si="5"/>
        <v>1777525.9995000004</v>
      </c>
      <c r="W33" s="58"/>
      <c r="X33" s="55">
        <f>SUM(X15:X32)</f>
        <v>77373.769499999995</v>
      </c>
      <c r="Y33" s="59"/>
    </row>
    <row r="34" spans="1:25" x14ac:dyDescent="0.2">
      <c r="A34" s="2"/>
      <c r="B34" s="2"/>
      <c r="C34" s="1"/>
      <c r="D34" s="1"/>
      <c r="E34" s="2"/>
      <c r="F34" s="1"/>
      <c r="G34" s="1"/>
      <c r="H34" s="43"/>
      <c r="I34" s="43"/>
      <c r="J34" s="43"/>
      <c r="K34" s="55"/>
      <c r="L34" s="43"/>
      <c r="M34" s="43"/>
      <c r="N34" s="43"/>
      <c r="O34" s="43"/>
      <c r="P34" s="56"/>
      <c r="Q34" s="60"/>
      <c r="R34" s="56"/>
      <c r="S34" s="43"/>
      <c r="T34" s="43"/>
      <c r="U34" s="61"/>
      <c r="V34" s="61"/>
      <c r="W34" s="58"/>
      <c r="X34" s="55"/>
      <c r="Y34" s="2"/>
    </row>
    <row r="35" spans="1:25" x14ac:dyDescent="0.2">
      <c r="A35" s="33" t="s">
        <v>59</v>
      </c>
      <c r="B35" s="2"/>
      <c r="C35" s="2"/>
      <c r="D35" s="1"/>
      <c r="E35" s="2"/>
      <c r="F35" s="34"/>
      <c r="G35" s="34"/>
      <c r="H35" s="62"/>
      <c r="I35" s="62"/>
      <c r="J35" s="62"/>
      <c r="K35" s="61"/>
      <c r="L35" s="62"/>
      <c r="M35" s="62"/>
      <c r="N35" s="62"/>
      <c r="O35" s="62"/>
      <c r="P35" s="56"/>
      <c r="Q35" s="63"/>
      <c r="R35" s="56"/>
      <c r="S35" s="62"/>
      <c r="T35" s="62"/>
      <c r="U35" s="61"/>
      <c r="V35" s="61"/>
      <c r="W35" s="58"/>
      <c r="X35" s="55"/>
      <c r="Y35" s="2"/>
    </row>
    <row r="36" spans="1:25" x14ac:dyDescent="0.2">
      <c r="A36" s="39">
        <v>19</v>
      </c>
      <c r="B36" s="2"/>
      <c r="C36" s="1">
        <v>1</v>
      </c>
      <c r="D36" s="1" t="s">
        <v>60</v>
      </c>
      <c r="E36" s="1" t="s">
        <v>61</v>
      </c>
      <c r="F36" s="1" t="s">
        <v>62</v>
      </c>
      <c r="G36" s="1"/>
      <c r="H36" s="41">
        <v>2078</v>
      </c>
      <c r="I36" s="42">
        <f>221.25+66.75+51</f>
        <v>339</v>
      </c>
      <c r="J36" s="41">
        <v>0</v>
      </c>
      <c r="K36" s="36"/>
      <c r="L36" s="42">
        <f>73988.12+7007.77+6705.47+1053.36+3201.04</f>
        <v>91955.76</v>
      </c>
      <c r="M36" s="42">
        <f>14684.41+5911.17+3379.87</f>
        <v>23975.45</v>
      </c>
      <c r="N36" s="35">
        <v>1633.5</v>
      </c>
      <c r="O36" s="35">
        <f t="shared" ref="O36:O63" si="6">SUM(L36:N36)</f>
        <v>117564.70999999999</v>
      </c>
      <c r="P36" s="64"/>
      <c r="Q36" s="44">
        <v>46.5</v>
      </c>
      <c r="R36" s="64"/>
      <c r="S36" s="35">
        <f t="shared" ref="S36:S63" si="7">2080*Q36</f>
        <v>96720</v>
      </c>
      <c r="T36" s="35">
        <f t="shared" ref="T36:U60" si="8">(+I36*Q36)*1.5</f>
        <v>23645.25</v>
      </c>
      <c r="U36" s="65">
        <f>IF(N36=0," ",+J36*Q36*2)+1020+450</f>
        <v>1470</v>
      </c>
      <c r="V36" s="66">
        <f>SUM(S36:U36)</f>
        <v>121835.25</v>
      </c>
      <c r="W36" s="37"/>
      <c r="X36" s="66">
        <f t="shared" ref="X36:X63" si="9">V36-O36</f>
        <v>4270.5400000000081</v>
      </c>
      <c r="Y36" s="2"/>
    </row>
    <row r="37" spans="1:25" x14ac:dyDescent="0.2">
      <c r="A37" s="39">
        <v>20</v>
      </c>
      <c r="B37" s="2"/>
      <c r="C37" s="1">
        <v>1</v>
      </c>
      <c r="D37" s="1" t="s">
        <v>63</v>
      </c>
      <c r="E37" s="1" t="s">
        <v>64</v>
      </c>
      <c r="F37" s="1"/>
      <c r="G37" s="1"/>
      <c r="H37" s="41">
        <v>2080</v>
      </c>
      <c r="I37" s="42">
        <v>0</v>
      </c>
      <c r="J37" s="41">
        <v>0</v>
      </c>
      <c r="K37" s="36"/>
      <c r="L37" s="42">
        <v>47796.480000000003</v>
      </c>
      <c r="M37" s="42">
        <v>0</v>
      </c>
      <c r="N37" s="35">
        <v>0</v>
      </c>
      <c r="O37" s="35">
        <f t="shared" si="6"/>
        <v>47796.480000000003</v>
      </c>
      <c r="P37" s="64"/>
      <c r="Q37" s="44">
        <v>23.92</v>
      </c>
      <c r="R37" s="64"/>
      <c r="S37" s="35">
        <f t="shared" si="7"/>
        <v>49753.600000000006</v>
      </c>
      <c r="T37" s="35">
        <f t="shared" si="8"/>
        <v>0</v>
      </c>
      <c r="U37" s="35">
        <f t="shared" si="8"/>
        <v>0</v>
      </c>
      <c r="V37" s="66">
        <f t="shared" ref="V37:V63" si="10">SUM(S37:U37)</f>
        <v>49753.600000000006</v>
      </c>
      <c r="W37" s="37"/>
      <c r="X37" s="66">
        <f t="shared" si="9"/>
        <v>1957.1200000000026</v>
      </c>
      <c r="Y37" s="2"/>
    </row>
    <row r="38" spans="1:25" x14ac:dyDescent="0.2">
      <c r="A38" s="39">
        <v>21</v>
      </c>
      <c r="B38" s="2"/>
      <c r="C38" s="1">
        <v>1</v>
      </c>
      <c r="D38" s="1" t="s">
        <v>65</v>
      </c>
      <c r="E38" s="1" t="s">
        <v>66</v>
      </c>
      <c r="F38" s="1" t="s">
        <v>62</v>
      </c>
      <c r="G38" s="1"/>
      <c r="H38" s="41">
        <v>2080</v>
      </c>
      <c r="I38" s="42">
        <f>247.25+68.5+41</f>
        <v>356.75</v>
      </c>
      <c r="J38" s="41">
        <v>0</v>
      </c>
      <c r="K38" s="36"/>
      <c r="L38" s="42">
        <f>75173.61+3592.2+6783.24+1029.36+3129.04</f>
        <v>89707.45</v>
      </c>
      <c r="M38" s="42">
        <f>15945.91+5887.46+2645.46</f>
        <v>24478.829999999998</v>
      </c>
      <c r="N38" s="35">
        <v>1677.94</v>
      </c>
      <c r="O38" s="35">
        <f t="shared" si="6"/>
        <v>115864.22</v>
      </c>
      <c r="P38" s="64"/>
      <c r="Q38" s="44">
        <v>45.5</v>
      </c>
      <c r="R38" s="64"/>
      <c r="S38" s="35">
        <f t="shared" si="7"/>
        <v>94640</v>
      </c>
      <c r="T38" s="35">
        <f t="shared" si="8"/>
        <v>24348.1875</v>
      </c>
      <c r="U38" s="65">
        <f>IF(N38=0," ",+J38*Q38*2)+1020+450</f>
        <v>1470</v>
      </c>
      <c r="V38" s="66">
        <f t="shared" si="10"/>
        <v>120458.1875</v>
      </c>
      <c r="W38" s="37"/>
      <c r="X38" s="66">
        <f t="shared" si="9"/>
        <v>4593.9674999999988</v>
      </c>
      <c r="Y38" s="2"/>
    </row>
    <row r="39" spans="1:25" x14ac:dyDescent="0.2">
      <c r="A39" s="39">
        <v>22</v>
      </c>
      <c r="B39" s="2"/>
      <c r="C39" s="1">
        <v>1</v>
      </c>
      <c r="D39" s="1" t="s">
        <v>67</v>
      </c>
      <c r="E39" s="1" t="s">
        <v>68</v>
      </c>
      <c r="F39" s="1" t="s">
        <v>62</v>
      </c>
      <c r="G39" s="1"/>
      <c r="H39" s="41">
        <v>2080</v>
      </c>
      <c r="I39" s="42">
        <v>386.5</v>
      </c>
      <c r="J39" s="41">
        <v>0</v>
      </c>
      <c r="K39" s="36"/>
      <c r="L39" s="42">
        <f>66920.51+5431.46+6251.98+2831.44</f>
        <v>81435.39</v>
      </c>
      <c r="M39" s="42">
        <f>16357.72+4540.53+2869.82</f>
        <v>23768.07</v>
      </c>
      <c r="N39" s="35">
        <v>1520</v>
      </c>
      <c r="O39" s="35">
        <f t="shared" si="6"/>
        <v>106723.45999999999</v>
      </c>
      <c r="P39" s="64"/>
      <c r="Q39" s="44">
        <v>45.5</v>
      </c>
      <c r="R39" s="64"/>
      <c r="S39" s="35">
        <f t="shared" si="7"/>
        <v>94640</v>
      </c>
      <c r="T39" s="35">
        <f t="shared" si="8"/>
        <v>26378.625</v>
      </c>
      <c r="U39" s="65">
        <f>IF(N39=0," ",+J39*Q39*2)+1020+450</f>
        <v>1470</v>
      </c>
      <c r="V39" s="66">
        <f t="shared" si="10"/>
        <v>122488.625</v>
      </c>
      <c r="W39" s="37"/>
      <c r="X39" s="66">
        <f t="shared" si="9"/>
        <v>15765.165000000008</v>
      </c>
      <c r="Y39" s="2"/>
    </row>
    <row r="40" spans="1:25" x14ac:dyDescent="0.2">
      <c r="A40" s="39">
        <v>23</v>
      </c>
      <c r="B40" s="2"/>
      <c r="C40" s="1">
        <v>1</v>
      </c>
      <c r="D40" s="1" t="s">
        <v>69</v>
      </c>
      <c r="E40" s="1" t="s">
        <v>70</v>
      </c>
      <c r="F40" s="1" t="s">
        <v>71</v>
      </c>
      <c r="G40" s="1"/>
      <c r="H40" s="41">
        <v>1202.1600000000001</v>
      </c>
      <c r="I40" s="42">
        <v>1.5</v>
      </c>
      <c r="J40" s="41">
        <v>0</v>
      </c>
      <c r="K40" s="36"/>
      <c r="L40" s="42">
        <v>27649.68</v>
      </c>
      <c r="M40" s="42">
        <v>51.76</v>
      </c>
      <c r="N40" s="35">
        <v>1669.5</v>
      </c>
      <c r="O40" s="35">
        <f t="shared" si="6"/>
        <v>29370.94</v>
      </c>
      <c r="P40" s="64"/>
      <c r="Q40" s="44">
        <v>23</v>
      </c>
      <c r="R40" s="64"/>
      <c r="S40" s="35">
        <v>0</v>
      </c>
      <c r="T40" s="35">
        <v>0</v>
      </c>
      <c r="U40" s="35">
        <v>0</v>
      </c>
      <c r="V40" s="66">
        <f t="shared" si="10"/>
        <v>0</v>
      </c>
      <c r="W40" s="37"/>
      <c r="X40" s="66">
        <f t="shared" si="9"/>
        <v>-29370.94</v>
      </c>
      <c r="Y40" s="2"/>
    </row>
    <row r="41" spans="1:25" x14ac:dyDescent="0.2">
      <c r="A41" s="39">
        <v>24</v>
      </c>
      <c r="B41" s="2"/>
      <c r="C41" s="1">
        <v>1</v>
      </c>
      <c r="D41" s="1" t="s">
        <v>72</v>
      </c>
      <c r="E41" s="1" t="s">
        <v>73</v>
      </c>
      <c r="F41" s="1" t="s">
        <v>48</v>
      </c>
      <c r="G41" s="1"/>
      <c r="H41" s="41">
        <v>824</v>
      </c>
      <c r="I41" s="42">
        <v>0</v>
      </c>
      <c r="J41" s="41">
        <v>0</v>
      </c>
      <c r="K41" s="36"/>
      <c r="L41" s="42">
        <v>16480</v>
      </c>
      <c r="M41" s="42">
        <v>0</v>
      </c>
      <c r="N41" s="35">
        <v>0</v>
      </c>
      <c r="O41" s="35">
        <f t="shared" si="6"/>
        <v>16480</v>
      </c>
      <c r="P41" s="64"/>
      <c r="Q41" s="44">
        <v>20</v>
      </c>
      <c r="R41" s="64"/>
      <c r="S41" s="35">
        <v>0</v>
      </c>
      <c r="T41" s="35">
        <f t="shared" si="8"/>
        <v>0</v>
      </c>
      <c r="U41" s="35">
        <f t="shared" si="8"/>
        <v>0</v>
      </c>
      <c r="V41" s="66">
        <f t="shared" si="10"/>
        <v>0</v>
      </c>
      <c r="W41" s="37"/>
      <c r="X41" s="66">
        <f t="shared" si="9"/>
        <v>-16480</v>
      </c>
      <c r="Y41" s="2"/>
    </row>
    <row r="42" spans="1:25" x14ac:dyDescent="0.2">
      <c r="A42" s="39">
        <v>25</v>
      </c>
      <c r="B42" s="2"/>
      <c r="C42" s="1">
        <v>1</v>
      </c>
      <c r="D42" s="1" t="s">
        <v>74</v>
      </c>
      <c r="E42" s="1" t="s">
        <v>75</v>
      </c>
      <c r="F42" s="1" t="s">
        <v>62</v>
      </c>
      <c r="G42" s="1"/>
      <c r="H42" s="41">
        <f>1858.5+104+37.5+72</f>
        <v>2072</v>
      </c>
      <c r="I42" s="42">
        <f>263.5+64.25+46</f>
        <v>373.75</v>
      </c>
      <c r="J42" s="41">
        <v>0</v>
      </c>
      <c r="K42" s="36"/>
      <c r="L42" s="42">
        <f>80670.71+4522+1609.66+3129.04</f>
        <v>89931.41</v>
      </c>
      <c r="M42" s="42">
        <f>17162.74+5511.38+2977.45</f>
        <v>25651.570000000003</v>
      </c>
      <c r="N42" s="35">
        <v>1520</v>
      </c>
      <c r="O42" s="35">
        <f t="shared" si="6"/>
        <v>117102.98000000001</v>
      </c>
      <c r="P42" s="64"/>
      <c r="Q42" s="44">
        <v>46.5</v>
      </c>
      <c r="R42" s="64"/>
      <c r="S42" s="35">
        <f t="shared" si="7"/>
        <v>96720</v>
      </c>
      <c r="T42" s="35">
        <f t="shared" si="8"/>
        <v>26069.0625</v>
      </c>
      <c r="U42" s="65">
        <f>IF(N42=0," ",+J42*Q42*2)+1020+450</f>
        <v>1470</v>
      </c>
      <c r="V42" s="66">
        <f t="shared" si="10"/>
        <v>124259.0625</v>
      </c>
      <c r="W42" s="37"/>
      <c r="X42" s="66">
        <f t="shared" si="9"/>
        <v>7156.0824999999895</v>
      </c>
      <c r="Y42" s="2"/>
    </row>
    <row r="43" spans="1:25" x14ac:dyDescent="0.2">
      <c r="A43" s="39">
        <v>26</v>
      </c>
      <c r="B43" s="2"/>
      <c r="C43" s="1">
        <v>1</v>
      </c>
      <c r="D43" s="1" t="s">
        <v>76</v>
      </c>
      <c r="E43" s="40"/>
      <c r="F43" s="1" t="s">
        <v>77</v>
      </c>
      <c r="G43" s="1"/>
      <c r="H43" s="41">
        <v>2080</v>
      </c>
      <c r="I43" s="42">
        <v>25</v>
      </c>
      <c r="J43" s="67">
        <v>0</v>
      </c>
      <c r="K43" s="36"/>
      <c r="L43" s="42">
        <f>46831.16+1397.12+3213.57+823.36+1914.04</f>
        <v>54179.250000000007</v>
      </c>
      <c r="M43" s="42">
        <f>964.88</f>
        <v>964.88</v>
      </c>
      <c r="N43" s="35">
        <v>11302.75</v>
      </c>
      <c r="O43" s="35">
        <f t="shared" si="6"/>
        <v>66446.880000000005</v>
      </c>
      <c r="P43" s="64"/>
      <c r="Q43" s="44">
        <v>27.794</v>
      </c>
      <c r="R43" s="64"/>
      <c r="S43" s="35">
        <f t="shared" si="7"/>
        <v>57811.520000000004</v>
      </c>
      <c r="T43" s="35">
        <v>0</v>
      </c>
      <c r="U43" s="65">
        <f>IF(N43=0," ",+J43*Q43)+3339+5000+1302.84+650</f>
        <v>10291.84</v>
      </c>
      <c r="V43" s="66">
        <f t="shared" si="10"/>
        <v>68103.360000000001</v>
      </c>
      <c r="W43" s="37"/>
      <c r="X43" s="66">
        <f t="shared" si="9"/>
        <v>1656.4799999999959</v>
      </c>
      <c r="Y43" s="2"/>
    </row>
    <row r="44" spans="1:25" x14ac:dyDescent="0.2">
      <c r="A44" s="39">
        <v>27</v>
      </c>
      <c r="B44" s="2"/>
      <c r="C44" s="1">
        <v>1</v>
      </c>
      <c r="D44" s="1" t="s">
        <v>78</v>
      </c>
      <c r="E44" s="40"/>
      <c r="F44" s="1" t="s">
        <v>32</v>
      </c>
      <c r="G44" s="1"/>
      <c r="H44" s="41">
        <v>2080</v>
      </c>
      <c r="I44" s="42">
        <v>0</v>
      </c>
      <c r="J44" s="41">
        <v>0</v>
      </c>
      <c r="K44" s="36"/>
      <c r="L44" s="42">
        <f>40437.93+2802.27+2469.31+1661.03</f>
        <v>47370.539999999994</v>
      </c>
      <c r="M44" s="42">
        <v>0</v>
      </c>
      <c r="N44" s="35">
        <v>217.14</v>
      </c>
      <c r="O44" s="35">
        <f t="shared" si="6"/>
        <v>47587.679999999993</v>
      </c>
      <c r="P44" s="64"/>
      <c r="Q44" s="44">
        <v>23.658999999999999</v>
      </c>
      <c r="R44" s="64"/>
      <c r="S44" s="35">
        <f t="shared" si="7"/>
        <v>49210.720000000001</v>
      </c>
      <c r="T44" s="35">
        <f t="shared" si="8"/>
        <v>0</v>
      </c>
      <c r="U44" s="65">
        <f>IF(N44=0," ",+J44*Q44)+1302.84</f>
        <v>1302.8399999999999</v>
      </c>
      <c r="V44" s="66">
        <f t="shared" si="10"/>
        <v>50513.56</v>
      </c>
      <c r="W44" s="37"/>
      <c r="X44" s="66">
        <f t="shared" si="9"/>
        <v>2925.8800000000047</v>
      </c>
      <c r="Y44" s="2"/>
    </row>
    <row r="45" spans="1:25" x14ac:dyDescent="0.2">
      <c r="A45" s="39">
        <v>28</v>
      </c>
      <c r="B45" s="2"/>
      <c r="C45" s="1">
        <v>1</v>
      </c>
      <c r="D45" s="1" t="s">
        <v>79</v>
      </c>
      <c r="E45" s="40"/>
      <c r="F45" s="1" t="s">
        <v>62</v>
      </c>
      <c r="G45" s="1"/>
      <c r="H45" s="41">
        <v>2080</v>
      </c>
      <c r="I45" s="42">
        <f>317.75+85.25+61</f>
        <v>464</v>
      </c>
      <c r="J45" s="41">
        <v>0</v>
      </c>
      <c r="K45" s="36"/>
      <c r="L45" s="42">
        <f>71348.89+5099.48+4723.71+2988.24</f>
        <v>84160.320000000007</v>
      </c>
      <c r="M45" s="42">
        <f>19134.95+6788.11+3715.24</f>
        <v>29638.300000000003</v>
      </c>
      <c r="N45" s="35">
        <v>1854.96</v>
      </c>
      <c r="O45" s="35">
        <f t="shared" si="6"/>
        <v>115653.58000000002</v>
      </c>
      <c r="P45" s="64"/>
      <c r="Q45" s="44">
        <v>45.5</v>
      </c>
      <c r="R45" s="64"/>
      <c r="S45" s="35">
        <f t="shared" si="7"/>
        <v>94640</v>
      </c>
      <c r="T45" s="35">
        <f t="shared" si="8"/>
        <v>31668</v>
      </c>
      <c r="U45" s="65">
        <f>IF(N45=0," ",+J45*Q45*2)+1020+450</f>
        <v>1470</v>
      </c>
      <c r="V45" s="66">
        <f t="shared" si="10"/>
        <v>127778</v>
      </c>
      <c r="W45" s="37"/>
      <c r="X45" s="66">
        <f t="shared" si="9"/>
        <v>12124.419999999984</v>
      </c>
      <c r="Y45" s="2"/>
    </row>
    <row r="46" spans="1:25" x14ac:dyDescent="0.2">
      <c r="A46" s="39">
        <v>29</v>
      </c>
      <c r="B46" s="2"/>
      <c r="C46" s="1">
        <v>1</v>
      </c>
      <c r="D46" s="1" t="s">
        <v>80</v>
      </c>
      <c r="E46" s="40"/>
      <c r="F46" s="1" t="s">
        <v>32</v>
      </c>
      <c r="G46" s="1"/>
      <c r="H46" s="41">
        <v>2080</v>
      </c>
      <c r="I46" s="42">
        <v>8.5</v>
      </c>
      <c r="J46" s="41">
        <v>0</v>
      </c>
      <c r="K46" s="36"/>
      <c r="L46" s="42">
        <f>55670.31+2555.48+2425.56+2228.19</f>
        <v>62879.54</v>
      </c>
      <c r="M46" s="42">
        <v>381.95</v>
      </c>
      <c r="N46" s="35">
        <v>247.26999999999998</v>
      </c>
      <c r="O46" s="35">
        <f t="shared" si="6"/>
        <v>63508.759999999995</v>
      </c>
      <c r="P46" s="64"/>
      <c r="Q46" s="44">
        <v>32.372999999999998</v>
      </c>
      <c r="R46" s="64"/>
      <c r="S46" s="35">
        <f t="shared" si="7"/>
        <v>67335.839999999997</v>
      </c>
      <c r="T46" s="35">
        <f t="shared" si="8"/>
        <v>412.75575000000003</v>
      </c>
      <c r="U46" s="43">
        <f>IF(N46=0," ",+J46*Q46)+1302.84</f>
        <v>1302.8399999999999</v>
      </c>
      <c r="V46" s="66">
        <f t="shared" si="10"/>
        <v>69051.43574999999</v>
      </c>
      <c r="W46" s="37"/>
      <c r="X46" s="66">
        <f t="shared" si="9"/>
        <v>5542.6757499999949</v>
      </c>
      <c r="Y46" s="2"/>
    </row>
    <row r="47" spans="1:25" x14ac:dyDescent="0.2">
      <c r="A47" s="39">
        <v>30</v>
      </c>
      <c r="B47" s="2"/>
      <c r="C47" s="1">
        <v>1</v>
      </c>
      <c r="D47" s="1" t="s">
        <v>81</v>
      </c>
      <c r="E47" s="40"/>
      <c r="F47" s="1" t="s">
        <v>62</v>
      </c>
      <c r="G47" s="1"/>
      <c r="H47" s="41">
        <v>2080</v>
      </c>
      <c r="I47" s="42">
        <f>359+78.5+68</f>
        <v>505.5</v>
      </c>
      <c r="J47" s="41">
        <v>0</v>
      </c>
      <c r="K47" s="36"/>
      <c r="L47" s="42">
        <f>76715.86+7063.36+4751.28+3201.04</f>
        <v>91731.54</v>
      </c>
      <c r="M47" s="42">
        <f>6895.86+4492.22+23686.64</f>
        <v>35074.720000000001</v>
      </c>
      <c r="N47" s="35">
        <v>2095.64</v>
      </c>
      <c r="O47" s="35">
        <f t="shared" si="6"/>
        <v>128901.9</v>
      </c>
      <c r="P47" s="64"/>
      <c r="Q47" s="44">
        <v>46.5</v>
      </c>
      <c r="R47" s="64"/>
      <c r="S47" s="35">
        <f t="shared" si="7"/>
        <v>96720</v>
      </c>
      <c r="T47" s="35">
        <f t="shared" si="8"/>
        <v>35258.625</v>
      </c>
      <c r="U47" s="65">
        <f>IF(N47=0," ",+J47*Q47*2)+1020+450</f>
        <v>1470</v>
      </c>
      <c r="V47" s="66">
        <f t="shared" si="10"/>
        <v>133448.625</v>
      </c>
      <c r="W47" s="37"/>
      <c r="X47" s="66">
        <f t="shared" si="9"/>
        <v>4546.7250000000058</v>
      </c>
      <c r="Y47" s="2"/>
    </row>
    <row r="48" spans="1:25" x14ac:dyDescent="0.2">
      <c r="A48" s="39">
        <v>31</v>
      </c>
      <c r="B48" s="2"/>
      <c r="C48" s="1">
        <v>1</v>
      </c>
      <c r="D48" s="1" t="s">
        <v>82</v>
      </c>
      <c r="E48" s="40"/>
      <c r="F48" s="1" t="s">
        <v>83</v>
      </c>
      <c r="G48" s="1"/>
      <c r="H48" s="41">
        <f>571.5+89.06+64.5+16</f>
        <v>741.06</v>
      </c>
      <c r="I48" s="42">
        <f>91+30+17</f>
        <v>138</v>
      </c>
      <c r="J48" s="41">
        <v>0</v>
      </c>
      <c r="K48" s="36"/>
      <c r="L48" s="42">
        <f>24648.14+3819.78+2766.41+686.24</f>
        <v>31920.57</v>
      </c>
      <c r="M48" s="42">
        <f>5862+2573.4+1096.72</f>
        <v>9532.119999999999</v>
      </c>
      <c r="N48" s="35">
        <v>412.75</v>
      </c>
      <c r="O48" s="35">
        <f t="shared" si="6"/>
        <v>41865.440000000002</v>
      </c>
      <c r="P48" s="64"/>
      <c r="Q48" s="44">
        <v>42.89</v>
      </c>
      <c r="R48" s="64"/>
      <c r="S48" s="35">
        <v>0</v>
      </c>
      <c r="T48" s="35">
        <v>0</v>
      </c>
      <c r="U48" s="35">
        <v>0</v>
      </c>
      <c r="V48" s="66">
        <f t="shared" si="10"/>
        <v>0</v>
      </c>
      <c r="W48" s="37"/>
      <c r="X48" s="66">
        <f t="shared" si="9"/>
        <v>-41865.440000000002</v>
      </c>
      <c r="Y48" s="2"/>
    </row>
    <row r="49" spans="1:25" x14ac:dyDescent="0.2">
      <c r="A49" s="39">
        <v>32</v>
      </c>
      <c r="B49" s="2"/>
      <c r="C49" s="1">
        <v>1</v>
      </c>
      <c r="D49" s="1" t="s">
        <v>84</v>
      </c>
      <c r="E49" s="40"/>
      <c r="F49" s="1" t="s">
        <v>85</v>
      </c>
      <c r="G49" s="1"/>
      <c r="H49" s="41">
        <v>102.5</v>
      </c>
      <c r="I49" s="42">
        <v>0</v>
      </c>
      <c r="J49" s="41">
        <v>0</v>
      </c>
      <c r="K49" s="36"/>
      <c r="L49" s="42">
        <v>1025</v>
      </c>
      <c r="M49" s="42">
        <v>0</v>
      </c>
      <c r="N49" s="35">
        <v>0</v>
      </c>
      <c r="O49" s="35">
        <f t="shared" si="6"/>
        <v>1025</v>
      </c>
      <c r="P49" s="64"/>
      <c r="Q49" s="44">
        <v>10</v>
      </c>
      <c r="R49" s="64"/>
      <c r="S49" s="35">
        <v>0</v>
      </c>
      <c r="T49" s="35">
        <f t="shared" si="8"/>
        <v>0</v>
      </c>
      <c r="U49" s="35">
        <f t="shared" si="8"/>
        <v>0</v>
      </c>
      <c r="V49" s="66">
        <f t="shared" si="10"/>
        <v>0</v>
      </c>
      <c r="W49" s="37"/>
      <c r="X49" s="66">
        <f t="shared" si="9"/>
        <v>-1025</v>
      </c>
      <c r="Y49" s="2"/>
    </row>
    <row r="50" spans="1:25" x14ac:dyDescent="0.2">
      <c r="A50" s="39">
        <v>33</v>
      </c>
      <c r="B50" s="2"/>
      <c r="C50" s="1">
        <v>1</v>
      </c>
      <c r="D50" s="1" t="s">
        <v>86</v>
      </c>
      <c r="E50" s="40"/>
      <c r="F50" s="1" t="s">
        <v>53</v>
      </c>
      <c r="G50" s="1"/>
      <c r="H50" s="41">
        <f>1586+212+113+72</f>
        <v>1983</v>
      </c>
      <c r="I50" s="42">
        <f>280+57+60</f>
        <v>397</v>
      </c>
      <c r="J50" s="41">
        <v>0</v>
      </c>
      <c r="K50" s="36"/>
      <c r="L50" s="42">
        <f>73109.22+9779.88+5206.05+3345.04</f>
        <v>91440.19</v>
      </c>
      <c r="M50" s="42">
        <f>19337.2+5248.1+4164.72</f>
        <v>28750.020000000004</v>
      </c>
      <c r="N50" s="35">
        <v>1520</v>
      </c>
      <c r="O50" s="35">
        <f t="shared" si="6"/>
        <v>121710.21</v>
      </c>
      <c r="P50" s="64"/>
      <c r="Q50" s="44">
        <v>49.5</v>
      </c>
      <c r="R50" s="64"/>
      <c r="S50" s="35">
        <f t="shared" si="7"/>
        <v>102960</v>
      </c>
      <c r="T50" s="35">
        <v>0</v>
      </c>
      <c r="U50" s="65">
        <f>IF(N50=0," ",+J50*Q50*2)+1302.84+5000+650</f>
        <v>6952.84</v>
      </c>
      <c r="V50" s="66">
        <f t="shared" si="10"/>
        <v>109912.84</v>
      </c>
      <c r="W50" s="37"/>
      <c r="X50" s="66">
        <f t="shared" si="9"/>
        <v>-11797.37000000001</v>
      </c>
      <c r="Y50" s="2"/>
    </row>
    <row r="51" spans="1:25" x14ac:dyDescent="0.2">
      <c r="A51" s="39">
        <v>34</v>
      </c>
      <c r="B51" s="2"/>
      <c r="C51" s="1">
        <v>1</v>
      </c>
      <c r="D51" s="1" t="s">
        <v>87</v>
      </c>
      <c r="E51" s="40"/>
      <c r="F51" s="1" t="s">
        <v>62</v>
      </c>
      <c r="G51" s="1"/>
      <c r="H51" s="41">
        <f>1804.75+88+105.2+72</f>
        <v>2069.9499999999998</v>
      </c>
      <c r="I51" s="42">
        <f>293.75+74.5+53</f>
        <v>421.25</v>
      </c>
      <c r="J51" s="41">
        <v>0</v>
      </c>
      <c r="K51" s="36"/>
      <c r="L51" s="42">
        <f>66764.51+3239.28+3883.91+2685.52</f>
        <v>76573.22</v>
      </c>
      <c r="M51" s="42">
        <f>16298.22+5485.79+2946.3</f>
        <v>24730.309999999998</v>
      </c>
      <c r="N51" s="35">
        <v>1520</v>
      </c>
      <c r="O51" s="35">
        <f t="shared" si="6"/>
        <v>102823.53</v>
      </c>
      <c r="P51" s="64"/>
      <c r="Q51" s="44">
        <v>45.5</v>
      </c>
      <c r="R51" s="64"/>
      <c r="S51" s="35">
        <f t="shared" si="7"/>
        <v>94640</v>
      </c>
      <c r="T51" s="35">
        <f t="shared" si="8"/>
        <v>28750.3125</v>
      </c>
      <c r="U51" s="65">
        <f>IF(N51=0," ",+J51*Q51*2)+1020+450</f>
        <v>1470</v>
      </c>
      <c r="V51" s="66">
        <f t="shared" si="10"/>
        <v>124860.3125</v>
      </c>
      <c r="W51" s="37"/>
      <c r="X51" s="66">
        <f t="shared" si="9"/>
        <v>22036.782500000001</v>
      </c>
      <c r="Y51" s="2"/>
    </row>
    <row r="52" spans="1:25" x14ac:dyDescent="0.2">
      <c r="A52" s="39">
        <v>35</v>
      </c>
      <c r="B52" s="2"/>
      <c r="C52" s="1">
        <v>1</v>
      </c>
      <c r="D52" s="1" t="s">
        <v>88</v>
      </c>
      <c r="E52" s="40"/>
      <c r="F52" s="1" t="s">
        <v>62</v>
      </c>
      <c r="G52" s="1"/>
      <c r="H52" s="41">
        <f>1552+80+137+72+16</f>
        <v>1857</v>
      </c>
      <c r="I52" s="42">
        <f>254+61.25+45</f>
        <v>360.25</v>
      </c>
      <c r="J52" s="41">
        <v>0</v>
      </c>
      <c r="K52" s="36"/>
      <c r="L52" s="42">
        <f>56951.19+5041.95+2953.6+588.96+2652.4</f>
        <v>68188.099999999991</v>
      </c>
      <c r="M52" s="42">
        <f>13976.96+4484.39+2487.34</f>
        <v>20948.689999999999</v>
      </c>
      <c r="N52" s="35">
        <v>1520</v>
      </c>
      <c r="O52" s="35">
        <f t="shared" si="6"/>
        <v>90656.79</v>
      </c>
      <c r="P52" s="64"/>
      <c r="Q52" s="44">
        <v>45.5</v>
      </c>
      <c r="R52" s="64"/>
      <c r="S52" s="35">
        <f t="shared" si="7"/>
        <v>94640</v>
      </c>
      <c r="T52" s="35">
        <f t="shared" si="8"/>
        <v>24587.0625</v>
      </c>
      <c r="U52" s="65">
        <f>IF(N52=0," ",+J52*Q52*2)+1020+450</f>
        <v>1470</v>
      </c>
      <c r="V52" s="66">
        <f t="shared" si="10"/>
        <v>120697.0625</v>
      </c>
      <c r="W52" s="37"/>
      <c r="X52" s="66">
        <f t="shared" si="9"/>
        <v>30040.272500000006</v>
      </c>
      <c r="Y52" s="2"/>
    </row>
    <row r="53" spans="1:25" x14ac:dyDescent="0.2">
      <c r="A53" s="39">
        <v>36</v>
      </c>
      <c r="B53" s="2"/>
      <c r="C53" s="1">
        <v>1</v>
      </c>
      <c r="D53" s="1" t="s">
        <v>89</v>
      </c>
      <c r="E53" s="40"/>
      <c r="F53" s="1" t="s">
        <v>62</v>
      </c>
      <c r="G53" s="1"/>
      <c r="H53" s="41">
        <v>2080</v>
      </c>
      <c r="I53" s="42">
        <f>224.75+54+53</f>
        <v>331.75</v>
      </c>
      <c r="J53" s="41">
        <v>0</v>
      </c>
      <c r="K53" s="36"/>
      <c r="L53" s="42">
        <f>71196.05+7205.52+8144.96+3129.04</f>
        <v>89675.57</v>
      </c>
      <c r="M53" s="42">
        <f>14515.71+4641.08+3432.83</f>
        <v>22589.620000000003</v>
      </c>
      <c r="N53" s="35">
        <v>1520</v>
      </c>
      <c r="O53" s="35">
        <f t="shared" si="6"/>
        <v>113785.19</v>
      </c>
      <c r="P53" s="64"/>
      <c r="Q53" s="44">
        <v>45.5</v>
      </c>
      <c r="R53" s="64"/>
      <c r="S53" s="35">
        <f t="shared" si="7"/>
        <v>94640</v>
      </c>
      <c r="T53" s="35">
        <f t="shared" si="8"/>
        <v>22641.9375</v>
      </c>
      <c r="U53" s="65">
        <f>IF(N53=0," ",+J53*Q53*2)+1020+450</f>
        <v>1470</v>
      </c>
      <c r="V53" s="66">
        <f t="shared" si="10"/>
        <v>118751.9375</v>
      </c>
      <c r="W53" s="37"/>
      <c r="X53" s="66">
        <f t="shared" si="9"/>
        <v>4966.7474999999977</v>
      </c>
      <c r="Y53" s="2"/>
    </row>
    <row r="54" spans="1:25" x14ac:dyDescent="0.2">
      <c r="A54" s="39">
        <v>37</v>
      </c>
      <c r="B54" s="2"/>
      <c r="C54" s="1">
        <v>1</v>
      </c>
      <c r="D54" s="1" t="s">
        <v>90</v>
      </c>
      <c r="E54" s="40"/>
      <c r="F54" s="1" t="s">
        <v>62</v>
      </c>
      <c r="G54" s="1"/>
      <c r="H54" s="41">
        <v>2080</v>
      </c>
      <c r="I54" s="42">
        <f>183.75+50.5+34</f>
        <v>268.25</v>
      </c>
      <c r="J54" s="41">
        <v>0</v>
      </c>
      <c r="K54" s="36"/>
      <c r="L54" s="42">
        <f>77840.82+8321.64+4915.54+1468.48+3345.04</f>
        <v>95891.51999999999</v>
      </c>
      <c r="M54" s="42">
        <f>12681.08+4660.49+2350.05</f>
        <v>19691.62</v>
      </c>
      <c r="N54" s="35">
        <v>1520</v>
      </c>
      <c r="O54" s="35">
        <f t="shared" si="6"/>
        <v>117103.13999999998</v>
      </c>
      <c r="P54" s="64"/>
      <c r="Q54" s="44">
        <v>48.5</v>
      </c>
      <c r="R54" s="64"/>
      <c r="S54" s="35">
        <f t="shared" si="7"/>
        <v>100880</v>
      </c>
      <c r="T54" s="35">
        <f t="shared" si="8"/>
        <v>19515.1875</v>
      </c>
      <c r="U54" s="65">
        <f>IF(N54=0," ",+J54*Q54*2)+1020+450</f>
        <v>1470</v>
      </c>
      <c r="V54" s="66">
        <f t="shared" si="10"/>
        <v>121865.1875</v>
      </c>
      <c r="W54" s="37"/>
      <c r="X54" s="66">
        <f t="shared" si="9"/>
        <v>4762.0475000000151</v>
      </c>
      <c r="Y54" s="2"/>
    </row>
    <row r="55" spans="1:25" x14ac:dyDescent="0.2">
      <c r="A55" s="39">
        <v>38</v>
      </c>
      <c r="B55" s="2"/>
      <c r="C55" s="1">
        <v>1</v>
      </c>
      <c r="D55" s="1" t="s">
        <v>91</v>
      </c>
      <c r="E55" s="40"/>
      <c r="F55" s="1" t="s">
        <v>92</v>
      </c>
      <c r="G55" s="1"/>
      <c r="H55" s="41">
        <f>1707.5+107.5+89+24+72</f>
        <v>2000</v>
      </c>
      <c r="I55" s="42">
        <f>113.5+8</f>
        <v>121.5</v>
      </c>
      <c r="J55" s="41">
        <v>0</v>
      </c>
      <c r="K55" s="36"/>
      <c r="L55" s="42">
        <f>60111.65+3125.18+3768.85+840.48+2555.04</f>
        <v>70401.2</v>
      </c>
      <c r="M55" s="42">
        <f>5970.44+560.32</f>
        <v>6530.7599999999993</v>
      </c>
      <c r="N55" s="35">
        <v>4859</v>
      </c>
      <c r="O55" s="35">
        <f t="shared" si="6"/>
        <v>81790.959999999992</v>
      </c>
      <c r="P55" s="64"/>
      <c r="Q55" s="44">
        <v>37.15</v>
      </c>
      <c r="R55" s="64"/>
      <c r="S55" s="35">
        <f t="shared" si="7"/>
        <v>77272</v>
      </c>
      <c r="T55" s="35">
        <f t="shared" si="8"/>
        <v>6770.5874999999996</v>
      </c>
      <c r="U55" s="65">
        <f>IF(N55=0," ",+J55*Q55)+1020+250+3339</f>
        <v>4609</v>
      </c>
      <c r="V55" s="66">
        <f t="shared" si="10"/>
        <v>88651.587499999994</v>
      </c>
      <c r="W55" s="37"/>
      <c r="X55" s="66">
        <f t="shared" si="9"/>
        <v>6860.6275000000023</v>
      </c>
      <c r="Y55" s="2"/>
    </row>
    <row r="56" spans="1:25" x14ac:dyDescent="0.2">
      <c r="A56" s="39">
        <v>39</v>
      </c>
      <c r="B56" s="2"/>
      <c r="C56" s="1">
        <v>1</v>
      </c>
      <c r="D56" s="1" t="s">
        <v>93</v>
      </c>
      <c r="E56" s="40"/>
      <c r="F56" s="1"/>
      <c r="G56" s="1"/>
      <c r="H56" s="41">
        <v>1479.5</v>
      </c>
      <c r="I56" s="42">
        <v>0</v>
      </c>
      <c r="J56" s="41">
        <v>0</v>
      </c>
      <c r="K56" s="36"/>
      <c r="L56" s="42">
        <v>34150.92</v>
      </c>
      <c r="M56" s="42">
        <v>0</v>
      </c>
      <c r="N56" s="35">
        <v>181.78</v>
      </c>
      <c r="O56" s="35">
        <f t="shared" si="6"/>
        <v>34332.699999999997</v>
      </c>
      <c r="P56" s="64"/>
      <c r="Q56" s="44">
        <v>23.92</v>
      </c>
      <c r="R56" s="64"/>
      <c r="S56" s="35">
        <f t="shared" si="7"/>
        <v>49753.600000000006</v>
      </c>
      <c r="T56" s="35">
        <f t="shared" si="8"/>
        <v>0</v>
      </c>
      <c r="U56" s="43">
        <f t="shared" ref="U56" si="11">IF(N56=0," ",+J56*Q56)</f>
        <v>0</v>
      </c>
      <c r="V56" s="66">
        <f t="shared" si="10"/>
        <v>49753.600000000006</v>
      </c>
      <c r="W56" s="37"/>
      <c r="X56" s="66">
        <f t="shared" si="9"/>
        <v>15420.900000000009</v>
      </c>
      <c r="Y56" s="2"/>
    </row>
    <row r="57" spans="1:25" x14ac:dyDescent="0.2">
      <c r="A57" s="39">
        <v>40</v>
      </c>
      <c r="B57" s="2"/>
      <c r="C57" s="1">
        <v>1</v>
      </c>
      <c r="D57" s="1" t="s">
        <v>94</v>
      </c>
      <c r="E57" s="40"/>
      <c r="F57" s="1" t="s">
        <v>95</v>
      </c>
      <c r="G57" s="1"/>
      <c r="H57" s="41">
        <f>1036+93.45+144+32</f>
        <v>1305.45</v>
      </c>
      <c r="I57" s="42">
        <f>217.25+50.75+46</f>
        <v>314</v>
      </c>
      <c r="J57" s="41">
        <v>0</v>
      </c>
      <c r="K57" s="36"/>
      <c r="L57" s="42">
        <f>44599.55+4008.07+6176.16+1372.48</f>
        <v>56156.26</v>
      </c>
      <c r="M57" s="42">
        <f>14052.17+4378.34+2960.95</f>
        <v>21391.460000000003</v>
      </c>
      <c r="N57" s="35">
        <v>802.29000000000008</v>
      </c>
      <c r="O57" s="35">
        <f t="shared" si="6"/>
        <v>78350.009999999995</v>
      </c>
      <c r="P57" s="64"/>
      <c r="Q57" s="44">
        <v>42.89</v>
      </c>
      <c r="R57" s="64"/>
      <c r="S57" s="35">
        <v>0</v>
      </c>
      <c r="T57" s="35">
        <v>0</v>
      </c>
      <c r="U57" s="35">
        <v>0</v>
      </c>
      <c r="V57" s="35">
        <f t="shared" si="10"/>
        <v>0</v>
      </c>
      <c r="W57" s="37"/>
      <c r="X57" s="66">
        <f t="shared" si="9"/>
        <v>-78350.009999999995</v>
      </c>
      <c r="Y57" s="2"/>
    </row>
    <row r="58" spans="1:25" x14ac:dyDescent="0.2">
      <c r="A58" s="39">
        <v>41</v>
      </c>
      <c r="B58" s="2"/>
      <c r="C58" s="1">
        <v>1</v>
      </c>
      <c r="D58" s="1" t="s">
        <v>96</v>
      </c>
      <c r="E58" s="40"/>
      <c r="F58" s="1" t="s">
        <v>97</v>
      </c>
      <c r="G58" s="1"/>
      <c r="H58" s="41">
        <v>1251</v>
      </c>
      <c r="I58" s="42">
        <v>29.5</v>
      </c>
      <c r="J58" s="41">
        <v>0</v>
      </c>
      <c r="K58" s="36"/>
      <c r="L58" s="42">
        <v>45339.839999999997</v>
      </c>
      <c r="M58" s="42">
        <v>1593</v>
      </c>
      <c r="N58" s="35">
        <v>1300</v>
      </c>
      <c r="O58" s="35">
        <f t="shared" si="6"/>
        <v>48232.84</v>
      </c>
      <c r="P58" s="64"/>
      <c r="Q58" s="44">
        <v>37.44</v>
      </c>
      <c r="R58" s="64"/>
      <c r="S58" s="35">
        <f>1251*Q58</f>
        <v>46837.439999999995</v>
      </c>
      <c r="T58" s="35">
        <v>0</v>
      </c>
      <c r="U58" s="65">
        <f>IF(N58=0,0,+J58*Q58)+650</f>
        <v>650</v>
      </c>
      <c r="V58" s="66">
        <f t="shared" si="10"/>
        <v>47487.439999999995</v>
      </c>
      <c r="W58" s="37"/>
      <c r="X58" s="66">
        <f t="shared" si="9"/>
        <v>-745.40000000000146</v>
      </c>
      <c r="Y58" s="2"/>
    </row>
    <row r="59" spans="1:25" x14ac:dyDescent="0.2">
      <c r="A59" s="39">
        <v>42</v>
      </c>
      <c r="B59" s="2"/>
      <c r="C59" s="1">
        <v>1</v>
      </c>
      <c r="D59" s="1" t="s">
        <v>98</v>
      </c>
      <c r="E59" s="40"/>
      <c r="F59" s="1" t="s">
        <v>62</v>
      </c>
      <c r="G59" s="1"/>
      <c r="H59" s="41">
        <v>2080</v>
      </c>
      <c r="I59" s="42">
        <f>314.75+60.75+66</f>
        <v>441.5</v>
      </c>
      <c r="J59" s="41">
        <v>0</v>
      </c>
      <c r="K59" s="36"/>
      <c r="L59" s="42">
        <f>77177.43+6173.86+5211.21+3201.04</f>
        <v>91763.54</v>
      </c>
      <c r="M59" s="42">
        <f>20816.08+5332.64+4364.38</f>
        <v>30513.100000000002</v>
      </c>
      <c r="N59" s="35">
        <v>1520</v>
      </c>
      <c r="O59" s="35">
        <f t="shared" si="6"/>
        <v>123796.64</v>
      </c>
      <c r="P59" s="64"/>
      <c r="Q59" s="44">
        <v>48.5</v>
      </c>
      <c r="R59" s="64"/>
      <c r="S59" s="35">
        <f t="shared" si="7"/>
        <v>100880</v>
      </c>
      <c r="T59" s="35">
        <f t="shared" si="8"/>
        <v>32119.125</v>
      </c>
      <c r="U59" s="65">
        <f>IF(N59=0," ",+J59*Q59*2)+1020+450</f>
        <v>1470</v>
      </c>
      <c r="V59" s="66">
        <f t="shared" si="10"/>
        <v>134469.125</v>
      </c>
      <c r="W59" s="37"/>
      <c r="X59" s="66">
        <f t="shared" si="9"/>
        <v>10672.485000000001</v>
      </c>
      <c r="Y59" s="2"/>
    </row>
    <row r="60" spans="1:25" x14ac:dyDescent="0.2">
      <c r="A60" s="39">
        <v>43</v>
      </c>
      <c r="B60" s="2"/>
      <c r="C60" s="1">
        <v>1</v>
      </c>
      <c r="D60" s="1" t="s">
        <v>99</v>
      </c>
      <c r="E60" s="40"/>
      <c r="F60" s="1" t="s">
        <v>62</v>
      </c>
      <c r="G60" s="1"/>
      <c r="H60" s="68">
        <v>2072</v>
      </c>
      <c r="I60" s="69">
        <f>214.25+72.5+42</f>
        <v>328.75</v>
      </c>
      <c r="J60" s="68">
        <v>0</v>
      </c>
      <c r="K60" s="36"/>
      <c r="L60" s="69">
        <f>75355.77+6007.16+3806.52+3072.72</f>
        <v>88242.170000000013</v>
      </c>
      <c r="M60" s="69">
        <f>13770.63+6204.13+2683.91</f>
        <v>22658.67</v>
      </c>
      <c r="N60" s="66">
        <v>1520</v>
      </c>
      <c r="O60" s="66">
        <f t="shared" si="6"/>
        <v>112420.84000000001</v>
      </c>
      <c r="P60" s="64"/>
      <c r="Q60" s="70">
        <v>45.5</v>
      </c>
      <c r="R60" s="64"/>
      <c r="S60" s="66">
        <f t="shared" si="7"/>
        <v>94640</v>
      </c>
      <c r="T60" s="66">
        <f t="shared" si="8"/>
        <v>22437.1875</v>
      </c>
      <c r="U60" s="65">
        <f>IF(N60=0," ",+J60*Q60*2)+1020+450</f>
        <v>1470</v>
      </c>
      <c r="V60" s="66">
        <f t="shared" si="10"/>
        <v>118547.1875</v>
      </c>
      <c r="W60" s="37"/>
      <c r="X60" s="66">
        <f t="shared" si="9"/>
        <v>6126.3474999999889</v>
      </c>
      <c r="Y60" s="2"/>
    </row>
    <row r="61" spans="1:25" x14ac:dyDescent="0.2">
      <c r="A61" s="39">
        <v>44</v>
      </c>
      <c r="B61" s="2"/>
      <c r="C61" s="1">
        <v>1</v>
      </c>
      <c r="D61" s="1" t="s">
        <v>100</v>
      </c>
      <c r="E61" s="40"/>
      <c r="F61" s="1"/>
      <c r="G61" s="1"/>
      <c r="H61" s="68">
        <v>0</v>
      </c>
      <c r="I61" s="69">
        <v>0</v>
      </c>
      <c r="J61" s="68">
        <v>0</v>
      </c>
      <c r="K61" s="36"/>
      <c r="L61" s="69">
        <v>0</v>
      </c>
      <c r="M61" s="69">
        <v>0</v>
      </c>
      <c r="N61" s="66">
        <v>0</v>
      </c>
      <c r="O61" s="66">
        <v>0</v>
      </c>
      <c r="P61" s="64"/>
      <c r="Q61" s="70">
        <v>20</v>
      </c>
      <c r="R61" s="64"/>
      <c r="S61" s="66">
        <f t="shared" si="7"/>
        <v>41600</v>
      </c>
      <c r="T61" s="66">
        <v>0</v>
      </c>
      <c r="U61" s="43">
        <v>0</v>
      </c>
      <c r="V61" s="66">
        <f t="shared" si="10"/>
        <v>41600</v>
      </c>
      <c r="W61" s="37"/>
      <c r="X61" s="66">
        <f t="shared" si="9"/>
        <v>41600</v>
      </c>
      <c r="Y61" s="2"/>
    </row>
    <row r="62" spans="1:25" x14ac:dyDescent="0.2">
      <c r="A62" s="39">
        <v>45</v>
      </c>
      <c r="B62" s="2"/>
      <c r="C62" s="1">
        <v>1</v>
      </c>
      <c r="D62" s="1" t="s">
        <v>101</v>
      </c>
      <c r="E62" s="40"/>
      <c r="F62" s="1" t="s">
        <v>62</v>
      </c>
      <c r="G62" s="1"/>
      <c r="H62" s="68">
        <v>0</v>
      </c>
      <c r="I62" s="69">
        <v>0</v>
      </c>
      <c r="J62" s="68">
        <v>0</v>
      </c>
      <c r="K62" s="36"/>
      <c r="L62" s="69">
        <v>0</v>
      </c>
      <c r="M62" s="69">
        <v>0</v>
      </c>
      <c r="N62" s="66">
        <v>0</v>
      </c>
      <c r="O62" s="66">
        <f t="shared" si="6"/>
        <v>0</v>
      </c>
      <c r="P62" s="64"/>
      <c r="Q62" s="70">
        <v>45.5</v>
      </c>
      <c r="R62" s="64"/>
      <c r="S62" s="66">
        <f t="shared" si="7"/>
        <v>94640</v>
      </c>
      <c r="T62" s="66">
        <v>0</v>
      </c>
      <c r="U62" s="65">
        <v>1470</v>
      </c>
      <c r="V62" s="66">
        <f t="shared" si="10"/>
        <v>96110</v>
      </c>
      <c r="W62" s="37"/>
      <c r="X62" s="66">
        <f t="shared" si="9"/>
        <v>96110</v>
      </c>
      <c r="Y62" s="2"/>
    </row>
    <row r="63" spans="1:25" x14ac:dyDescent="0.2">
      <c r="A63" s="46">
        <v>46</v>
      </c>
      <c r="B63" s="14"/>
      <c r="C63" s="13">
        <v>1</v>
      </c>
      <c r="D63" s="13" t="s">
        <v>102</v>
      </c>
      <c r="E63" s="47"/>
      <c r="F63" s="13" t="s">
        <v>62</v>
      </c>
      <c r="G63" s="1"/>
      <c r="H63" s="48">
        <v>0</v>
      </c>
      <c r="I63" s="49">
        <v>0</v>
      </c>
      <c r="J63" s="48">
        <v>0</v>
      </c>
      <c r="K63" s="36"/>
      <c r="L63" s="49">
        <v>0</v>
      </c>
      <c r="M63" s="49">
        <v>0</v>
      </c>
      <c r="N63" s="50">
        <v>0</v>
      </c>
      <c r="O63" s="50">
        <f t="shared" si="6"/>
        <v>0</v>
      </c>
      <c r="P63" s="64"/>
      <c r="Q63" s="52">
        <v>39.049999999999997</v>
      </c>
      <c r="R63" s="64"/>
      <c r="S63" s="50">
        <f t="shared" si="7"/>
        <v>81224</v>
      </c>
      <c r="T63" s="50">
        <v>0</v>
      </c>
      <c r="U63" s="72">
        <v>1470</v>
      </c>
      <c r="V63" s="50">
        <f t="shared" si="10"/>
        <v>82694</v>
      </c>
      <c r="W63" s="37"/>
      <c r="X63" s="50">
        <f t="shared" si="9"/>
        <v>82694</v>
      </c>
      <c r="Y63" s="2"/>
    </row>
    <row r="64" spans="1:25" x14ac:dyDescent="0.2">
      <c r="A64" s="53" t="s">
        <v>58</v>
      </c>
      <c r="B64" s="54"/>
      <c r="C64" s="1">
        <f>SUM(C36:C63)</f>
        <v>28</v>
      </c>
      <c r="D64" s="1"/>
      <c r="E64" s="40"/>
      <c r="F64" s="1"/>
      <c r="G64" s="1"/>
      <c r="H64" s="67">
        <f>SUM(H36:H63)</f>
        <v>43917.619999999995</v>
      </c>
      <c r="I64" s="67">
        <f>SUM(I36:I63)</f>
        <v>5612.25</v>
      </c>
      <c r="J64" s="67">
        <f>SUM(J36:J63)</f>
        <v>0</v>
      </c>
      <c r="K64" s="73"/>
      <c r="L64" s="67">
        <f>SUM(L36:L63)</f>
        <v>1626045.4600000002</v>
      </c>
      <c r="M64" s="67">
        <f>SUM(M36:M63)</f>
        <v>372914.9</v>
      </c>
      <c r="N64" s="67">
        <f>SUM(N36:N63)</f>
        <v>41934.519999999997</v>
      </c>
      <c r="O64" s="67">
        <f>SUM(O36:O63)</f>
        <v>2040894.8800000001</v>
      </c>
      <c r="P64" s="73"/>
      <c r="Q64" s="74"/>
      <c r="R64" s="73"/>
      <c r="S64" s="67">
        <f>SUM(S36:S63)</f>
        <v>1872798.72</v>
      </c>
      <c r="T64" s="67">
        <f>SUM(T36:T63)</f>
        <v>324601.90575000003</v>
      </c>
      <c r="U64" s="67">
        <f>SUM(U36:U63)</f>
        <v>45689.36</v>
      </c>
      <c r="V64" s="67">
        <f>SUM(V36:V63)</f>
        <v>2243089.98575</v>
      </c>
      <c r="W64" s="58"/>
      <c r="X64" s="55">
        <f>SUM(X36:X63)</f>
        <v>202195.10575000002</v>
      </c>
      <c r="Y64" s="54"/>
    </row>
    <row r="65" spans="1:25" x14ac:dyDescent="0.2">
      <c r="A65" s="1"/>
      <c r="B65" s="1"/>
      <c r="C65" s="2"/>
      <c r="D65" s="1"/>
      <c r="E65" s="1"/>
      <c r="F65" s="55"/>
      <c r="G65" s="55"/>
      <c r="H65" s="55"/>
      <c r="I65" s="43"/>
      <c r="J65" s="55"/>
      <c r="K65" s="55"/>
      <c r="L65" s="55"/>
      <c r="M65" s="55"/>
      <c r="N65" s="75"/>
      <c r="O65" s="55"/>
      <c r="P65" s="56"/>
      <c r="Q65" s="55"/>
      <c r="R65" s="55"/>
      <c r="S65" s="55"/>
      <c r="T65" s="55"/>
      <c r="U65" s="76"/>
      <c r="V65" s="55"/>
      <c r="W65" s="58"/>
      <c r="X65" s="77"/>
      <c r="Y65" s="2"/>
    </row>
    <row r="66" spans="1:25" ht="13.5" thickBot="1" x14ac:dyDescent="0.25">
      <c r="A66" s="79" t="s">
        <v>103</v>
      </c>
      <c r="B66" s="80"/>
      <c r="C66" s="80">
        <f>C64+C33</f>
        <v>46</v>
      </c>
      <c r="D66" s="80"/>
      <c r="E66" s="80"/>
      <c r="F66" s="81"/>
      <c r="G66" s="81">
        <f>+G64+G28</f>
        <v>0</v>
      </c>
      <c r="H66" s="82">
        <f t="shared" ref="H66:V66" si="12">H64+H33</f>
        <v>77377.899999999994</v>
      </c>
      <c r="I66" s="82">
        <f t="shared" si="12"/>
        <v>5617.5</v>
      </c>
      <c r="J66" s="82">
        <f t="shared" si="12"/>
        <v>477.5</v>
      </c>
      <c r="K66" s="82"/>
      <c r="L66" s="82">
        <f t="shared" si="12"/>
        <v>3207839.8600000003</v>
      </c>
      <c r="M66" s="82">
        <f t="shared" si="12"/>
        <v>373101.7</v>
      </c>
      <c r="N66" s="82">
        <f t="shared" si="12"/>
        <v>160105.54999999999</v>
      </c>
      <c r="O66" s="82">
        <f t="shared" si="12"/>
        <v>3741047.1100000003</v>
      </c>
      <c r="P66" s="82"/>
      <c r="Q66" s="82"/>
      <c r="R66" s="82"/>
      <c r="S66" s="82">
        <f t="shared" si="12"/>
        <v>3547633.44</v>
      </c>
      <c r="T66" s="82">
        <f t="shared" si="12"/>
        <v>324601.90575000003</v>
      </c>
      <c r="U66" s="82">
        <f t="shared" si="12"/>
        <v>148380.63949999999</v>
      </c>
      <c r="V66" s="82">
        <f t="shared" si="12"/>
        <v>4020615.9852500004</v>
      </c>
      <c r="W66" s="82"/>
      <c r="X66" s="82">
        <f>V66-O66</f>
        <v>279568.87525000004</v>
      </c>
      <c r="Y66" s="2"/>
    </row>
    <row r="67" spans="1:25" ht="13.5" thickTop="1" x14ac:dyDescent="0.2">
      <c r="A67" s="83"/>
      <c r="B67" s="83"/>
      <c r="C67" s="84"/>
      <c r="D67" s="83"/>
      <c r="E67" s="83"/>
      <c r="F67" s="84"/>
      <c r="G67" s="84"/>
      <c r="H67" s="85"/>
      <c r="I67" s="85"/>
      <c r="J67" s="85"/>
      <c r="K67" s="86"/>
      <c r="L67" s="85"/>
      <c r="M67" s="85"/>
      <c r="N67" s="87"/>
      <c r="O67" s="85"/>
      <c r="P67" s="56"/>
      <c r="Q67" s="85"/>
      <c r="R67" s="86"/>
      <c r="S67" s="85"/>
      <c r="T67" s="85"/>
      <c r="U67" s="88"/>
      <c r="V67" s="85"/>
      <c r="W67" s="58"/>
      <c r="X67" s="89"/>
      <c r="Y67" s="2"/>
    </row>
    <row r="68" spans="1:25" x14ac:dyDescent="0.2">
      <c r="A68" s="10" t="s">
        <v>104</v>
      </c>
      <c r="B68" s="2"/>
      <c r="C68" s="90"/>
      <c r="D68" s="90"/>
      <c r="E68" s="90"/>
      <c r="F68" s="90"/>
      <c r="G68" s="90"/>
      <c r="H68" s="181" t="s">
        <v>105</v>
      </c>
      <c r="I68" s="181"/>
      <c r="J68" s="181"/>
      <c r="K68" s="181"/>
      <c r="L68" s="181"/>
      <c r="M68" s="181"/>
      <c r="N68" s="181"/>
      <c r="O68" s="181"/>
      <c r="P68" s="181"/>
      <c r="Q68" s="181"/>
      <c r="R68" s="181"/>
      <c r="S68" s="181"/>
      <c r="T68" s="181"/>
      <c r="U68" s="181"/>
      <c r="V68" s="181"/>
      <c r="W68" s="91"/>
      <c r="X68" s="78"/>
      <c r="Y68" s="2"/>
    </row>
    <row r="69" spans="1:25" x14ac:dyDescent="0.2">
      <c r="A69" s="1"/>
      <c r="B69" s="2"/>
      <c r="C69" s="92"/>
      <c r="D69" s="1"/>
      <c r="E69" s="40"/>
      <c r="F69" s="1"/>
      <c r="G69" s="1"/>
      <c r="H69" s="181"/>
      <c r="I69" s="181"/>
      <c r="J69" s="181"/>
      <c r="K69" s="181"/>
      <c r="L69" s="181"/>
      <c r="M69" s="181"/>
      <c r="N69" s="181"/>
      <c r="O69" s="181"/>
      <c r="P69" s="181"/>
      <c r="Q69" s="181"/>
      <c r="R69" s="181"/>
      <c r="S69" s="181"/>
      <c r="T69" s="181"/>
      <c r="U69" s="181"/>
      <c r="V69" s="181"/>
      <c r="W69" s="91"/>
      <c r="X69" s="78"/>
      <c r="Y69" s="2"/>
    </row>
    <row r="70" spans="1:25" x14ac:dyDescent="0.2">
      <c r="A70" s="1"/>
      <c r="B70" s="2"/>
      <c r="C70" s="92"/>
      <c r="D70" s="1"/>
      <c r="E70" s="40"/>
      <c r="F70" s="1"/>
      <c r="G70" s="1"/>
      <c r="H70" s="181"/>
      <c r="I70" s="181"/>
      <c r="J70" s="181"/>
      <c r="K70" s="181"/>
      <c r="L70" s="181"/>
      <c r="M70" s="181"/>
      <c r="N70" s="181"/>
      <c r="O70" s="181"/>
      <c r="P70" s="181"/>
      <c r="Q70" s="181"/>
      <c r="R70" s="181"/>
      <c r="S70" s="181"/>
      <c r="T70" s="181"/>
      <c r="U70" s="181"/>
      <c r="V70" s="181"/>
      <c r="W70" s="91"/>
      <c r="X70" s="78"/>
      <c r="Y70" s="2"/>
    </row>
    <row r="71" spans="1:25" s="96" customFormat="1" ht="15.75" customHeight="1" x14ac:dyDescent="0.2">
      <c r="A71" s="1"/>
      <c r="B71" s="2"/>
      <c r="C71" s="92"/>
      <c r="D71" s="1"/>
      <c r="E71" s="2"/>
      <c r="F71" s="1"/>
      <c r="G71" s="1"/>
      <c r="H71" s="55"/>
      <c r="I71" s="55"/>
      <c r="J71" s="55"/>
      <c r="K71" s="93"/>
      <c r="L71" s="93"/>
      <c r="M71" s="93"/>
      <c r="N71" s="93"/>
      <c r="O71" s="93"/>
      <c r="P71" s="94"/>
      <c r="Q71" s="93"/>
      <c r="R71" s="94"/>
      <c r="S71" s="93"/>
      <c r="T71" s="93"/>
      <c r="U71" s="93"/>
      <c r="V71" s="93"/>
      <c r="W71" s="95"/>
      <c r="X71" s="93"/>
      <c r="Y71" s="2"/>
    </row>
    <row r="72" spans="1:25" s="96" customFormat="1" ht="13.5" customHeight="1" x14ac:dyDescent="0.2">
      <c r="A72" s="83"/>
      <c r="B72" s="97"/>
      <c r="C72" s="181" t="s">
        <v>106</v>
      </c>
      <c r="D72" s="181"/>
      <c r="E72" s="181"/>
      <c r="F72" s="181"/>
      <c r="G72" s="181"/>
      <c r="H72" s="181"/>
      <c r="I72" s="181"/>
      <c r="J72" s="181"/>
      <c r="K72" s="181"/>
      <c r="L72" s="181"/>
      <c r="M72" s="181"/>
      <c r="N72" s="181"/>
      <c r="O72" s="181"/>
      <c r="P72" s="181"/>
      <c r="Q72" s="181"/>
      <c r="R72" s="181"/>
      <c r="S72" s="181"/>
      <c r="T72" s="181"/>
      <c r="U72" s="181"/>
      <c r="V72" s="181"/>
      <c r="W72" s="181"/>
      <c r="X72" s="181"/>
      <c r="Y72" s="2"/>
    </row>
    <row r="73" spans="1:25" s="101" customFormat="1" ht="43.5" customHeight="1" x14ac:dyDescent="0.2">
      <c r="A73" s="83"/>
      <c r="B73" s="2"/>
      <c r="C73" s="1"/>
      <c r="D73" s="98" t="s">
        <v>107</v>
      </c>
      <c r="E73" s="99" t="s">
        <v>107</v>
      </c>
      <c r="F73" s="1"/>
      <c r="G73" s="1"/>
      <c r="H73" s="2"/>
      <c r="I73" s="2"/>
      <c r="J73" s="2"/>
      <c r="K73" s="2"/>
      <c r="L73" s="100" t="s">
        <v>108</v>
      </c>
      <c r="M73" s="100" t="s">
        <v>109</v>
      </c>
      <c r="N73" s="100"/>
      <c r="O73" s="100" t="s">
        <v>110</v>
      </c>
      <c r="P73" s="16"/>
      <c r="Q73" s="1" t="s">
        <v>111</v>
      </c>
      <c r="R73" s="2"/>
      <c r="S73" s="98" t="s">
        <v>112</v>
      </c>
      <c r="T73" s="1" t="s">
        <v>113</v>
      </c>
      <c r="U73" s="98" t="s">
        <v>23</v>
      </c>
      <c r="V73" s="2"/>
      <c r="W73" s="2"/>
      <c r="X73" s="2"/>
      <c r="Y73" s="2"/>
    </row>
    <row r="74" spans="1:25" x14ac:dyDescent="0.2">
      <c r="A74" s="83">
        <v>47</v>
      </c>
      <c r="B74" s="2"/>
      <c r="C74" s="2"/>
      <c r="D74" s="102" t="s">
        <v>114</v>
      </c>
      <c r="E74" s="1" t="s">
        <v>114</v>
      </c>
      <c r="F74" s="2" t="s">
        <v>115</v>
      </c>
      <c r="G74" s="1"/>
      <c r="H74" s="1"/>
      <c r="I74" s="2"/>
      <c r="J74" s="2"/>
      <c r="K74" s="2"/>
      <c r="L74" s="103">
        <f>+SUM(L93:L99)</f>
        <v>544362.58000000007</v>
      </c>
      <c r="M74" s="104">
        <f>+SUM(M93:M99)</f>
        <v>0.14551074857994106</v>
      </c>
      <c r="N74" s="2"/>
      <c r="O74" s="105">
        <f>$X$66*M74</f>
        <v>40680.276317279662</v>
      </c>
      <c r="P74" s="2"/>
      <c r="Q74" s="2"/>
      <c r="R74" s="2"/>
      <c r="S74" s="106">
        <f>O74*0.0765</f>
        <v>3112.0411382718939</v>
      </c>
      <c r="T74" s="2"/>
      <c r="U74" s="106">
        <f>O74+S74</f>
        <v>43792.317455551558</v>
      </c>
      <c r="V74" s="2"/>
      <c r="W74" s="2"/>
      <c r="X74" s="2"/>
      <c r="Y74" s="2"/>
    </row>
    <row r="75" spans="1:25" ht="15.75" customHeight="1" x14ac:dyDescent="0.2">
      <c r="A75" s="1">
        <f t="shared" ref="A75:A77" si="13">A74+1</f>
        <v>48</v>
      </c>
      <c r="B75" s="2"/>
      <c r="C75" s="2"/>
      <c r="D75" s="102" t="s">
        <v>116</v>
      </c>
      <c r="E75" s="1" t="s">
        <v>116</v>
      </c>
      <c r="F75" s="2" t="s">
        <v>117</v>
      </c>
      <c r="G75" s="1"/>
      <c r="H75" s="1"/>
      <c r="I75" s="2"/>
      <c r="J75" s="2"/>
      <c r="K75" s="2"/>
      <c r="L75" s="103">
        <f>+SUM(L100:L107)</f>
        <v>608817.63000000012</v>
      </c>
      <c r="M75" s="104">
        <f>+SUM(M100:M107)</f>
        <v>0.16273989496112243</v>
      </c>
      <c r="N75" s="2"/>
      <c r="O75" s="105">
        <f>$X$66*M75</f>
        <v>45497.009392584143</v>
      </c>
      <c r="P75" s="2"/>
      <c r="Q75" s="2"/>
      <c r="R75" s="2"/>
      <c r="S75" s="106">
        <f>O75*0.0765</f>
        <v>3480.5212185326868</v>
      </c>
      <c r="T75" s="2"/>
      <c r="U75" s="106">
        <f t="shared" ref="U75:U78" si="14">O75+S75</f>
        <v>48977.530611116832</v>
      </c>
      <c r="V75" s="2"/>
      <c r="W75" s="2"/>
      <c r="X75" s="2"/>
      <c r="Y75" s="2"/>
    </row>
    <row r="76" spans="1:25" x14ac:dyDescent="0.2">
      <c r="A76" s="1">
        <f t="shared" si="13"/>
        <v>49</v>
      </c>
      <c r="B76" s="2"/>
      <c r="C76" s="2"/>
      <c r="D76" s="102" t="s">
        <v>118</v>
      </c>
      <c r="E76" s="1" t="s">
        <v>119</v>
      </c>
      <c r="F76" s="2" t="s">
        <v>120</v>
      </c>
      <c r="G76" s="1"/>
      <c r="H76" s="1"/>
      <c r="I76" s="2"/>
      <c r="J76" s="2"/>
      <c r="K76" s="2"/>
      <c r="L76" s="103">
        <f>+SUM(L108:L110)</f>
        <v>190647.94</v>
      </c>
      <c r="M76" s="104">
        <f>+SUM(M108:M110)</f>
        <v>5.0961115778060437E-2</v>
      </c>
      <c r="N76" s="2"/>
      <c r="O76" s="105">
        <f>$X$66*M76</f>
        <v>14247.141819557388</v>
      </c>
      <c r="P76" s="2"/>
      <c r="Q76" s="2"/>
      <c r="R76" s="2"/>
      <c r="S76" s="106">
        <f>O76*0.0765</f>
        <v>1089.9063491961401</v>
      </c>
      <c r="T76" s="2"/>
      <c r="U76" s="106">
        <f t="shared" si="14"/>
        <v>15337.048168753528</v>
      </c>
      <c r="V76" s="2"/>
      <c r="W76" s="2"/>
      <c r="X76" s="2"/>
      <c r="Y76" s="2"/>
    </row>
    <row r="77" spans="1:25" x14ac:dyDescent="0.2">
      <c r="A77" s="1">
        <f t="shared" si="13"/>
        <v>50</v>
      </c>
      <c r="B77" s="2"/>
      <c r="C77" s="2"/>
      <c r="D77" s="102" t="s">
        <v>121</v>
      </c>
      <c r="E77" s="1" t="s">
        <v>122</v>
      </c>
      <c r="F77" s="2" t="s">
        <v>123</v>
      </c>
      <c r="G77" s="1"/>
      <c r="H77" s="1"/>
      <c r="I77" s="2"/>
      <c r="J77" s="2"/>
      <c r="K77" s="2"/>
      <c r="L77" s="103">
        <f>+SUM(L111:L113)</f>
        <v>235218.43</v>
      </c>
      <c r="M77" s="104">
        <f>+SUM(M111:M113)</f>
        <v>6.2875023167644012E-2</v>
      </c>
      <c r="N77" s="2"/>
      <c r="O77" s="105">
        <f>$X$66*M77</f>
        <v>17577.89950829593</v>
      </c>
      <c r="P77" s="2"/>
      <c r="Q77" s="2"/>
      <c r="R77" s="2"/>
      <c r="S77" s="106">
        <f>O77*0.0765</f>
        <v>1344.7093123846387</v>
      </c>
      <c r="T77" s="2"/>
      <c r="U77" s="106">
        <f t="shared" si="14"/>
        <v>18922.608820680569</v>
      </c>
      <c r="V77" s="2"/>
      <c r="W77" s="2"/>
      <c r="X77" s="2"/>
      <c r="Y77" s="2"/>
    </row>
    <row r="78" spans="1:25" x14ac:dyDescent="0.2">
      <c r="A78" s="1">
        <f>A77+1</f>
        <v>51</v>
      </c>
      <c r="B78" s="2"/>
      <c r="C78" s="2"/>
      <c r="D78" s="102" t="s">
        <v>124</v>
      </c>
      <c r="E78" s="1" t="s">
        <v>124</v>
      </c>
      <c r="F78" s="2" t="s">
        <v>125</v>
      </c>
      <c r="G78" s="1"/>
      <c r="H78" s="1"/>
      <c r="I78" s="2"/>
      <c r="J78" s="2"/>
      <c r="K78" s="2"/>
      <c r="L78" s="103">
        <f>+SUM(L114:L117)</f>
        <v>466367.67000000004</v>
      </c>
      <c r="M78" s="104">
        <f>+SUM(M114:M117)</f>
        <v>0.12466233218158186</v>
      </c>
      <c r="N78" s="2"/>
      <c r="O78" s="105">
        <f>$X$66*M78</f>
        <v>34851.707994046723</v>
      </c>
      <c r="P78" s="2"/>
      <c r="Q78" s="2"/>
      <c r="R78" s="2"/>
      <c r="S78" s="106">
        <f>O78*0.0765</f>
        <v>2666.1556615445743</v>
      </c>
      <c r="T78" s="2"/>
      <c r="U78" s="106">
        <f t="shared" si="14"/>
        <v>37517.863655591296</v>
      </c>
      <c r="V78" s="2"/>
      <c r="W78" s="2"/>
      <c r="X78" s="2"/>
      <c r="Y78" s="2"/>
    </row>
    <row r="79" spans="1:25" x14ac:dyDescent="0.2">
      <c r="A79" s="1"/>
      <c r="B79" s="2"/>
      <c r="C79" s="2"/>
      <c r="D79" s="107"/>
      <c r="E79" s="107"/>
      <c r="F79" s="108"/>
      <c r="G79" s="1"/>
      <c r="H79" s="107"/>
      <c r="I79" s="109" t="s">
        <v>126</v>
      </c>
      <c r="J79" s="108"/>
      <c r="K79" s="176">
        <f>SUM(L74:L78)</f>
        <v>2045414.25</v>
      </c>
      <c r="L79" s="176"/>
      <c r="M79" s="111">
        <f>SUM(M74:M78)</f>
        <v>0.54674911466834974</v>
      </c>
      <c r="N79" s="2"/>
      <c r="O79" s="112">
        <f>SUM(O74:O78)</f>
        <v>152854.03503176384</v>
      </c>
      <c r="P79" s="2"/>
      <c r="Q79" s="2"/>
      <c r="R79" s="2"/>
      <c r="S79" s="112">
        <f>SUM(S74:S78)</f>
        <v>11693.333679929936</v>
      </c>
      <c r="T79" s="2"/>
      <c r="U79" s="113">
        <f>SUM(U74:U78)</f>
        <v>164547.36871169379</v>
      </c>
      <c r="V79" s="2"/>
      <c r="W79" s="2"/>
      <c r="X79" s="2"/>
      <c r="Y79" s="2"/>
    </row>
    <row r="80" spans="1:25" x14ac:dyDescent="0.2">
      <c r="A80" s="83"/>
      <c r="B80" s="2"/>
      <c r="C80" s="2"/>
      <c r="D80" s="1"/>
      <c r="E80" s="1"/>
      <c r="F80" s="2"/>
      <c r="G80" s="1"/>
      <c r="H80" s="1"/>
      <c r="I80" s="2"/>
      <c r="J80" s="2"/>
      <c r="K80" s="114"/>
      <c r="L80" s="114"/>
      <c r="M80" s="104"/>
      <c r="N80" s="2"/>
      <c r="O80" s="2"/>
      <c r="P80" s="2"/>
      <c r="Q80" s="2"/>
      <c r="R80" s="2"/>
      <c r="S80" s="2"/>
      <c r="T80" s="2"/>
      <c r="U80" s="2"/>
      <c r="V80" s="2"/>
      <c r="W80" s="2"/>
      <c r="X80" s="2"/>
      <c r="Y80" s="2"/>
    </row>
    <row r="81" spans="1:25" x14ac:dyDescent="0.2">
      <c r="A81" s="1">
        <f>A78+1</f>
        <v>52</v>
      </c>
      <c r="B81" s="2"/>
      <c r="C81" s="2"/>
      <c r="D81" s="1"/>
      <c r="E81" s="1"/>
      <c r="F81" s="2" t="s">
        <v>127</v>
      </c>
      <c r="G81" s="1"/>
      <c r="H81" s="1"/>
      <c r="I81" s="2"/>
      <c r="J81" s="2"/>
      <c r="K81" s="105"/>
      <c r="L81" s="103">
        <f>+L92</f>
        <v>1695632.9600000002</v>
      </c>
      <c r="M81" s="104">
        <f>+M92</f>
        <v>0.45325088533165026</v>
      </c>
      <c r="N81" s="2"/>
      <c r="O81" s="105">
        <f>$X$66*M81</f>
        <v>126714.8402182362</v>
      </c>
      <c r="P81" s="2"/>
      <c r="Q81" s="2"/>
      <c r="R81" s="2"/>
      <c r="S81" s="2"/>
      <c r="T81" s="2"/>
      <c r="U81" s="2"/>
      <c r="V81" s="2"/>
      <c r="W81" s="2"/>
      <c r="X81" s="2"/>
      <c r="Y81" s="2"/>
    </row>
    <row r="82" spans="1:25" x14ac:dyDescent="0.2">
      <c r="A82" s="1">
        <f t="shared" ref="A82:A85" si="15">A81+1</f>
        <v>53</v>
      </c>
      <c r="B82" s="2"/>
      <c r="C82" s="2"/>
      <c r="D82" s="1"/>
      <c r="E82" s="1"/>
      <c r="F82" s="2"/>
      <c r="G82" s="1"/>
      <c r="H82" s="1"/>
      <c r="I82" s="2"/>
      <c r="J82" s="2"/>
      <c r="K82" s="2"/>
      <c r="L82" s="103"/>
      <c r="M82" s="104"/>
      <c r="N82" s="2"/>
      <c r="O82" s="105"/>
      <c r="P82" s="2"/>
      <c r="Q82" s="2"/>
      <c r="R82" s="2"/>
      <c r="S82" s="2"/>
      <c r="T82" s="2"/>
      <c r="U82" s="2"/>
      <c r="V82" s="2"/>
      <c r="W82" s="2"/>
      <c r="X82" s="2"/>
      <c r="Y82" s="2"/>
    </row>
    <row r="83" spans="1:25" x14ac:dyDescent="0.2">
      <c r="A83" s="1">
        <f t="shared" si="15"/>
        <v>54</v>
      </c>
      <c r="B83" s="2"/>
      <c r="C83" s="2"/>
      <c r="D83" s="107"/>
      <c r="E83" s="107"/>
      <c r="F83" s="108"/>
      <c r="G83" s="1"/>
      <c r="H83" s="107"/>
      <c r="I83" s="108" t="s">
        <v>58</v>
      </c>
      <c r="J83" s="108"/>
      <c r="K83" s="114">
        <f>SUM(L81:L82)</f>
        <v>1695632.9600000002</v>
      </c>
      <c r="L83" s="110"/>
      <c r="M83" s="111">
        <f>SUM(M81:M82)</f>
        <v>0.45325088533165026</v>
      </c>
      <c r="N83" s="2"/>
      <c r="O83" s="115">
        <f>SUM(O81:O82)</f>
        <v>126714.8402182362</v>
      </c>
      <c r="P83" s="2"/>
      <c r="Q83" s="2"/>
      <c r="R83" s="2"/>
      <c r="S83" s="2"/>
      <c r="T83" s="2"/>
      <c r="U83" s="2"/>
      <c r="V83" s="2"/>
      <c r="W83" s="2"/>
      <c r="X83" s="2"/>
      <c r="Y83" s="2"/>
    </row>
    <row r="84" spans="1:25" ht="15" customHeight="1" x14ac:dyDescent="0.2">
      <c r="A84" s="1">
        <f t="shared" si="15"/>
        <v>55</v>
      </c>
      <c r="B84" s="2"/>
      <c r="C84" s="2"/>
      <c r="D84" s="1"/>
      <c r="E84" s="1"/>
      <c r="F84" s="2"/>
      <c r="G84" s="1"/>
      <c r="H84" s="1"/>
      <c r="I84" s="2"/>
      <c r="J84" s="2"/>
      <c r="K84" s="114"/>
      <c r="L84" s="114"/>
      <c r="M84" s="104"/>
      <c r="N84" s="2"/>
      <c r="O84" s="2"/>
      <c r="P84" s="2"/>
      <c r="Q84" s="2"/>
      <c r="R84" s="2"/>
      <c r="S84" s="2"/>
      <c r="T84" s="2"/>
      <c r="U84" s="2"/>
      <c r="V84" s="2"/>
      <c r="W84" s="2"/>
      <c r="X84" s="2"/>
      <c r="Y84" s="2"/>
    </row>
    <row r="85" spans="1:25" ht="13.5" thickBot="1" x14ac:dyDescent="0.25">
      <c r="A85" s="1">
        <f t="shared" si="15"/>
        <v>56</v>
      </c>
      <c r="B85" s="2"/>
      <c r="C85" s="2"/>
      <c r="D85" s="116"/>
      <c r="E85" s="116"/>
      <c r="F85" s="117" t="s">
        <v>23</v>
      </c>
      <c r="G85" s="1"/>
      <c r="H85" s="116"/>
      <c r="I85" s="117"/>
      <c r="J85" s="117"/>
      <c r="K85" s="175">
        <f>K79+K83</f>
        <v>3741047.21</v>
      </c>
      <c r="L85" s="175"/>
      <c r="M85" s="118">
        <f>M79+M83</f>
        <v>1</v>
      </c>
      <c r="N85" s="2"/>
      <c r="O85" s="119">
        <f>O79+O83</f>
        <v>279568.87525000004</v>
      </c>
      <c r="P85" s="2"/>
      <c r="Q85" s="2"/>
      <c r="R85" s="2"/>
      <c r="S85" s="2"/>
      <c r="T85" s="2"/>
      <c r="U85" s="2"/>
      <c r="V85" s="2"/>
      <c r="W85" s="2"/>
      <c r="X85" s="2"/>
      <c r="Y85" s="2"/>
    </row>
    <row r="86" spans="1:25" ht="13.5" thickTop="1" x14ac:dyDescent="0.2">
      <c r="A86" s="83"/>
      <c r="B86" s="2"/>
      <c r="C86" s="2"/>
      <c r="D86" s="1"/>
      <c r="E86" s="2"/>
      <c r="F86" s="2"/>
      <c r="G86" s="2"/>
      <c r="H86" s="2"/>
      <c r="I86" s="2"/>
      <c r="J86" s="2"/>
      <c r="K86" s="2"/>
      <c r="L86" s="2"/>
      <c r="M86" s="2"/>
      <c r="N86" s="2"/>
      <c r="O86" s="2"/>
      <c r="P86" s="2"/>
      <c r="Q86" s="2"/>
      <c r="R86" s="2"/>
      <c r="S86" s="2"/>
      <c r="T86" s="2"/>
      <c r="U86" s="2"/>
      <c r="V86" s="2"/>
      <c r="W86" s="2"/>
      <c r="X86" s="2"/>
      <c r="Y86" s="2"/>
    </row>
    <row r="87" spans="1:25" ht="5.25" customHeight="1" x14ac:dyDescent="0.2">
      <c r="A87" s="1"/>
      <c r="B87" s="2"/>
      <c r="C87" s="1"/>
      <c r="D87" s="1"/>
      <c r="E87" s="2"/>
      <c r="F87" s="1"/>
      <c r="G87" s="1"/>
      <c r="H87" s="2"/>
      <c r="I87" s="2"/>
      <c r="J87" s="2"/>
      <c r="K87" s="2"/>
      <c r="L87" s="2"/>
      <c r="M87" s="2"/>
      <c r="N87" s="2"/>
      <c r="O87" s="2"/>
      <c r="P87" s="2"/>
      <c r="Q87" s="2"/>
      <c r="R87" s="2"/>
      <c r="S87" s="2"/>
      <c r="T87" s="2"/>
      <c r="U87" s="2"/>
      <c r="V87" s="2"/>
      <c r="W87" s="2"/>
      <c r="X87" s="2"/>
      <c r="Y87" s="2"/>
    </row>
    <row r="88" spans="1:25" ht="15" customHeight="1" x14ac:dyDescent="0.2">
      <c r="A88" s="1"/>
      <c r="B88" s="2"/>
      <c r="C88" s="1"/>
      <c r="D88" s="98" t="s">
        <v>128</v>
      </c>
      <c r="E88" s="99" t="s">
        <v>128</v>
      </c>
      <c r="F88" s="1"/>
      <c r="G88" s="1"/>
      <c r="H88" s="2"/>
      <c r="I88" s="2"/>
      <c r="J88" s="2"/>
      <c r="K88" s="2"/>
      <c r="L88" s="105"/>
      <c r="M88" s="2"/>
      <c r="N88" s="2"/>
      <c r="O88" s="2"/>
      <c r="P88" s="2"/>
      <c r="Q88" s="2"/>
      <c r="R88" s="2"/>
      <c r="S88" s="2"/>
      <c r="T88" s="2"/>
      <c r="U88" s="2"/>
      <c r="V88" s="2"/>
      <c r="W88" s="2"/>
      <c r="X88" s="2"/>
      <c r="Y88" s="2"/>
    </row>
    <row r="89" spans="1:25" x14ac:dyDescent="0.2">
      <c r="A89" s="1"/>
      <c r="B89" s="2"/>
      <c r="C89" s="1"/>
      <c r="D89" s="1"/>
      <c r="E89" s="2"/>
      <c r="F89" s="1"/>
      <c r="G89" s="1"/>
      <c r="H89" s="2"/>
      <c r="I89" s="2"/>
      <c r="J89" s="1"/>
      <c r="K89" s="1"/>
      <c r="L89" s="2"/>
      <c r="M89" s="2"/>
      <c r="N89" s="2"/>
      <c r="O89" s="2"/>
      <c r="P89" s="2"/>
      <c r="Q89" s="2"/>
      <c r="R89" s="2"/>
      <c r="S89" s="2"/>
      <c r="T89" s="2"/>
      <c r="U89" s="2"/>
      <c r="V89" s="2"/>
      <c r="W89" s="2"/>
      <c r="X89" s="2"/>
      <c r="Y89" s="2"/>
    </row>
    <row r="90" spans="1:25" x14ac:dyDescent="0.2">
      <c r="A90" s="1"/>
      <c r="B90" s="2"/>
      <c r="C90" s="1"/>
      <c r="D90" s="98" t="s">
        <v>129</v>
      </c>
      <c r="E90" s="98" t="s">
        <v>129</v>
      </c>
      <c r="F90" s="98" t="s">
        <v>130</v>
      </c>
      <c r="G90" s="98"/>
      <c r="H90" s="2"/>
      <c r="I90" s="2"/>
      <c r="J90" s="2"/>
      <c r="K90" s="2"/>
      <c r="L90" s="120" t="s">
        <v>131</v>
      </c>
      <c r="M90" s="120" t="s">
        <v>132</v>
      </c>
      <c r="N90" s="2"/>
      <c r="O90" s="2"/>
      <c r="P90" s="2"/>
      <c r="Q90" s="2"/>
      <c r="R90" s="2"/>
      <c r="S90" s="2"/>
      <c r="T90" s="2"/>
      <c r="U90" s="2"/>
      <c r="V90" s="2"/>
      <c r="W90" s="2"/>
      <c r="X90" s="2"/>
      <c r="Y90" s="2"/>
    </row>
    <row r="91" spans="1:25" x14ac:dyDescent="0.2">
      <c r="A91" s="1"/>
      <c r="B91" s="2"/>
      <c r="C91" s="1"/>
      <c r="D91" s="1"/>
      <c r="E91" s="1"/>
      <c r="F91" s="2"/>
      <c r="G91" s="1"/>
      <c r="H91" s="2"/>
      <c r="I91" s="2"/>
      <c r="J91" s="2"/>
      <c r="K91" s="2"/>
      <c r="L91" s="2"/>
      <c r="M91" s="2"/>
      <c r="N91" s="2"/>
      <c r="R91" s="2"/>
      <c r="S91" s="2"/>
      <c r="T91" s="2"/>
      <c r="U91" s="2"/>
      <c r="V91" s="35"/>
      <c r="W91" s="2"/>
      <c r="X91" s="59"/>
      <c r="Y91" s="2"/>
    </row>
    <row r="92" spans="1:25" x14ac:dyDescent="0.2">
      <c r="A92" s="1">
        <f>A85+1</f>
        <v>57</v>
      </c>
      <c r="B92" s="2"/>
      <c r="C92" s="1"/>
      <c r="D92" s="121"/>
      <c r="E92" s="121">
        <v>107.2</v>
      </c>
      <c r="F92" s="2" t="s">
        <v>133</v>
      </c>
      <c r="G92" s="1"/>
      <c r="H92" s="2"/>
      <c r="I92" s="2"/>
      <c r="J92" s="2"/>
      <c r="K92" s="2"/>
      <c r="L92" s="122">
        <f>1227408.09+150544.94+3370.58+4476.79+7605.98+2405.2+88618.32+211203.06</f>
        <v>1695632.9600000002</v>
      </c>
      <c r="M92" s="123">
        <f t="shared" ref="M92:M117" si="16">L92/K$118</f>
        <v>0.45325088533165026</v>
      </c>
      <c r="N92" s="2"/>
      <c r="O92" s="124">
        <f>O66</f>
        <v>3741047.1100000003</v>
      </c>
      <c r="P92" s="2"/>
      <c r="Q92" s="2" t="s">
        <v>134</v>
      </c>
      <c r="R92" s="2"/>
      <c r="S92" s="2"/>
      <c r="T92" s="2"/>
      <c r="U92" s="2"/>
      <c r="V92" s="2"/>
      <c r="W92" s="2"/>
      <c r="X92" s="2"/>
      <c r="Y92" s="2"/>
    </row>
    <row r="93" spans="1:25" x14ac:dyDescent="0.2">
      <c r="A93" s="1">
        <f>A92+1</f>
        <v>58</v>
      </c>
      <c r="B93" s="2"/>
      <c r="C93" s="102"/>
      <c r="D93" s="125" t="s">
        <v>135</v>
      </c>
      <c r="E93" s="121"/>
      <c r="F93" s="126" t="s">
        <v>136</v>
      </c>
      <c r="G93" s="1"/>
      <c r="H93" s="2"/>
      <c r="I93" s="2"/>
      <c r="J93" s="2"/>
      <c r="K93" s="2"/>
      <c r="L93" s="122">
        <v>115978.7</v>
      </c>
      <c r="M93" s="123">
        <f t="shared" si="16"/>
        <v>3.1001667043918432E-2</v>
      </c>
      <c r="N93" s="2"/>
      <c r="O93" s="124">
        <v>151694.37</v>
      </c>
      <c r="P93" s="2"/>
      <c r="Q93" s="2" t="s">
        <v>137</v>
      </c>
      <c r="R93" s="2"/>
      <c r="S93" s="2"/>
      <c r="T93" s="2"/>
      <c r="U93" s="2"/>
      <c r="V93" s="2"/>
      <c r="W93" s="2"/>
      <c r="X93" s="2"/>
      <c r="Y93" s="2"/>
    </row>
    <row r="94" spans="1:25" x14ac:dyDescent="0.2">
      <c r="A94" s="1">
        <f t="shared" ref="A94:A119" si="17">A93+1</f>
        <v>59</v>
      </c>
      <c r="B94" s="2"/>
      <c r="C94" s="102"/>
      <c r="D94" s="125" t="s">
        <v>138</v>
      </c>
      <c r="E94" s="121"/>
      <c r="F94" s="126" t="s">
        <v>139</v>
      </c>
      <c r="G94" s="1"/>
      <c r="H94" s="2"/>
      <c r="I94" s="2"/>
      <c r="J94" s="2"/>
      <c r="K94" s="2"/>
      <c r="L94" s="122">
        <v>126521.69</v>
      </c>
      <c r="M94" s="123">
        <f t="shared" si="16"/>
        <v>3.381985922599464E-2</v>
      </c>
      <c r="N94" s="2"/>
      <c r="O94" s="127">
        <v>-144797.87</v>
      </c>
      <c r="P94" s="2"/>
      <c r="Q94" s="2" t="s">
        <v>140</v>
      </c>
      <c r="R94" s="2"/>
      <c r="S94" s="2"/>
      <c r="T94" s="2"/>
      <c r="U94" s="2"/>
      <c r="V94" s="2"/>
      <c r="W94" s="2"/>
      <c r="X94" s="2"/>
      <c r="Y94" s="2"/>
    </row>
    <row r="95" spans="1:25" x14ac:dyDescent="0.2">
      <c r="A95" s="1">
        <f t="shared" si="17"/>
        <v>60</v>
      </c>
      <c r="B95" s="2"/>
      <c r="C95" s="102"/>
      <c r="D95" s="125" t="s">
        <v>141</v>
      </c>
      <c r="E95" s="121"/>
      <c r="F95" s="126" t="s">
        <v>142</v>
      </c>
      <c r="G95" s="1"/>
      <c r="H95" s="2"/>
      <c r="I95" s="2"/>
      <c r="J95" s="2"/>
      <c r="K95" s="2"/>
      <c r="L95" s="122">
        <v>33633.33</v>
      </c>
      <c r="M95" s="123">
        <f t="shared" si="16"/>
        <v>8.990351661453639E-3</v>
      </c>
      <c r="N95" s="2"/>
      <c r="O95" s="124">
        <f>SUM(O92:O94)</f>
        <v>3747943.6100000003</v>
      </c>
      <c r="P95" s="2"/>
      <c r="Q95" s="2"/>
      <c r="R95" s="2"/>
      <c r="S95" s="2"/>
      <c r="T95" s="2"/>
      <c r="U95" s="2"/>
      <c r="V95" s="2"/>
      <c r="W95" s="2"/>
      <c r="X95" s="2"/>
      <c r="Y95" s="2"/>
    </row>
    <row r="96" spans="1:25" x14ac:dyDescent="0.2">
      <c r="A96" s="1">
        <f t="shared" si="17"/>
        <v>61</v>
      </c>
      <c r="B96" s="2"/>
      <c r="C96" s="102"/>
      <c r="D96" s="125" t="s">
        <v>143</v>
      </c>
      <c r="E96" s="121"/>
      <c r="F96" s="126" t="s">
        <v>144</v>
      </c>
      <c r="G96" s="1"/>
      <c r="H96" s="2"/>
      <c r="I96" s="2"/>
      <c r="J96" s="2"/>
      <c r="K96" s="2"/>
      <c r="L96" s="122">
        <v>89526.28</v>
      </c>
      <c r="M96" s="123">
        <f t="shared" si="16"/>
        <v>2.3930807331351479E-2</v>
      </c>
      <c r="N96" s="2"/>
      <c r="O96" s="127">
        <v>3747943.71</v>
      </c>
      <c r="P96" s="2"/>
      <c r="Q96" s="2" t="s">
        <v>145</v>
      </c>
      <c r="R96" s="2"/>
      <c r="S96" s="2"/>
      <c r="T96" s="2"/>
      <c r="U96" s="2"/>
      <c r="V96" s="2"/>
      <c r="W96" s="2"/>
      <c r="X96" s="2"/>
      <c r="Y96" s="2"/>
    </row>
    <row r="97" spans="1:25" x14ac:dyDescent="0.2">
      <c r="A97" s="1">
        <f t="shared" si="17"/>
        <v>62</v>
      </c>
      <c r="B97" s="2"/>
      <c r="C97" s="102"/>
      <c r="D97" s="125" t="s">
        <v>146</v>
      </c>
      <c r="E97" s="121"/>
      <c r="F97" s="126" t="s">
        <v>147</v>
      </c>
      <c r="G97" s="1"/>
      <c r="H97" s="2"/>
      <c r="I97" s="2"/>
      <c r="J97" s="2"/>
      <c r="K97" s="2"/>
      <c r="L97" s="122">
        <v>6384.02</v>
      </c>
      <c r="M97" s="123">
        <f t="shared" si="16"/>
        <v>1.7064794004564301E-3</v>
      </c>
      <c r="N97" s="2"/>
      <c r="O97" s="124">
        <f>O95-O96</f>
        <v>-9.999999962747097E-2</v>
      </c>
      <c r="P97" s="2"/>
      <c r="Q97" s="2" t="s">
        <v>148</v>
      </c>
      <c r="R97" s="2"/>
      <c r="S97" s="2"/>
      <c r="T97" s="2"/>
      <c r="U97" s="2"/>
      <c r="V97" s="2"/>
      <c r="W97" s="2"/>
      <c r="X97" s="2"/>
      <c r="Y97" s="2"/>
    </row>
    <row r="98" spans="1:25" x14ac:dyDescent="0.2">
      <c r="A98" s="1">
        <f t="shared" si="17"/>
        <v>63</v>
      </c>
      <c r="B98" s="2"/>
      <c r="C98" s="102"/>
      <c r="D98" s="128" t="s">
        <v>149</v>
      </c>
      <c r="E98" s="121"/>
      <c r="F98" s="126" t="s">
        <v>150</v>
      </c>
      <c r="G98" s="1"/>
      <c r="H98" s="2"/>
      <c r="I98" s="2"/>
      <c r="J98" s="2"/>
      <c r="K98" s="2"/>
      <c r="L98" s="122">
        <v>11033.03</v>
      </c>
      <c r="M98" s="123">
        <f t="shared" si="16"/>
        <v>2.9491822424769672E-3</v>
      </c>
      <c r="N98" s="2"/>
      <c r="O98" s="129"/>
      <c r="P98" s="2"/>
      <c r="Q98" s="2"/>
      <c r="R98" s="2"/>
      <c r="S98" s="2"/>
      <c r="T98" s="2"/>
      <c r="U98" s="2"/>
      <c r="V98" s="2"/>
      <c r="W98" s="2"/>
      <c r="X98" s="2"/>
      <c r="Y98" s="2"/>
    </row>
    <row r="99" spans="1:25" x14ac:dyDescent="0.2">
      <c r="A99" s="1">
        <f t="shared" si="17"/>
        <v>64</v>
      </c>
      <c r="B99" s="2"/>
      <c r="C99" s="102"/>
      <c r="D99" s="125" t="s">
        <v>151</v>
      </c>
      <c r="E99" s="121"/>
      <c r="F99" s="126" t="s">
        <v>152</v>
      </c>
      <c r="G99" s="1"/>
      <c r="H99" s="2"/>
      <c r="I99" s="2"/>
      <c r="J99" s="2"/>
      <c r="K99" s="2"/>
      <c r="L99" s="122">
        <v>161285.53</v>
      </c>
      <c r="M99" s="123">
        <f t="shared" si="16"/>
        <v>4.311240167428948E-2</v>
      </c>
      <c r="N99" s="2"/>
      <c r="O99" s="129"/>
      <c r="P99" s="2"/>
      <c r="Q99" s="2"/>
      <c r="R99" s="2"/>
      <c r="S99" s="2"/>
      <c r="T99" s="2"/>
      <c r="U99" s="2"/>
      <c r="V99" s="2"/>
      <c r="W99" s="2"/>
      <c r="X99" s="2"/>
      <c r="Y99" s="2"/>
    </row>
    <row r="100" spans="1:25" x14ac:dyDescent="0.2">
      <c r="A100" s="1">
        <f t="shared" si="17"/>
        <v>65</v>
      </c>
      <c r="B100" s="2"/>
      <c r="C100" s="102"/>
      <c r="D100" s="125" t="s">
        <v>153</v>
      </c>
      <c r="E100" s="121"/>
      <c r="F100" s="126" t="s">
        <v>154</v>
      </c>
      <c r="G100" s="1"/>
      <c r="H100" s="2"/>
      <c r="I100" s="2"/>
      <c r="J100" s="2"/>
      <c r="K100" s="2"/>
      <c r="L100" s="122">
        <v>19118.189999999999</v>
      </c>
      <c r="M100" s="123">
        <f t="shared" si="16"/>
        <v>5.1103845866729914E-3</v>
      </c>
      <c r="N100" s="2"/>
      <c r="O100" s="129"/>
      <c r="P100" s="2"/>
      <c r="Q100" s="2"/>
      <c r="R100" s="2"/>
      <c r="S100" s="2"/>
      <c r="T100" s="2"/>
      <c r="U100" s="2"/>
      <c r="V100" s="2"/>
      <c r="W100" s="2"/>
      <c r="X100" s="2"/>
      <c r="Y100" s="2"/>
    </row>
    <row r="101" spans="1:25" x14ac:dyDescent="0.2">
      <c r="A101" s="1">
        <f t="shared" si="17"/>
        <v>66</v>
      </c>
      <c r="B101" s="2"/>
      <c r="C101" s="102"/>
      <c r="D101" s="125" t="s">
        <v>155</v>
      </c>
      <c r="E101" s="121"/>
      <c r="F101" s="126" t="s">
        <v>156</v>
      </c>
      <c r="G101" s="1"/>
      <c r="H101" s="2"/>
      <c r="I101" s="2"/>
      <c r="J101" s="2"/>
      <c r="K101" s="2"/>
      <c r="L101" s="122">
        <v>385087.4</v>
      </c>
      <c r="M101" s="123">
        <f t="shared" si="16"/>
        <v>0.10293572317682674</v>
      </c>
      <c r="N101" s="2"/>
      <c r="O101" s="129"/>
      <c r="P101" s="2"/>
      <c r="Q101" s="2"/>
      <c r="R101" s="2"/>
      <c r="S101" s="2"/>
      <c r="T101" s="2"/>
      <c r="U101" s="2"/>
      <c r="V101" s="2"/>
      <c r="W101" s="2"/>
      <c r="X101" s="2"/>
      <c r="Y101" s="2"/>
    </row>
    <row r="102" spans="1:25" x14ac:dyDescent="0.2">
      <c r="A102" s="1">
        <f t="shared" si="17"/>
        <v>67</v>
      </c>
      <c r="B102" s="2"/>
      <c r="C102" s="102"/>
      <c r="D102" s="130" t="s">
        <v>157</v>
      </c>
      <c r="E102" s="121"/>
      <c r="F102" s="126" t="s">
        <v>158</v>
      </c>
      <c r="G102" s="1"/>
      <c r="H102" s="2"/>
      <c r="I102" s="2"/>
      <c r="J102" s="2"/>
      <c r="K102" s="2"/>
      <c r="L102" s="122">
        <v>46567.26</v>
      </c>
      <c r="M102" s="123">
        <f t="shared" si="16"/>
        <v>1.2447653661125544E-2</v>
      </c>
      <c r="N102" s="2"/>
      <c r="O102" s="129"/>
      <c r="P102" s="2"/>
      <c r="Q102" s="2"/>
      <c r="R102" s="2"/>
      <c r="S102" s="2"/>
      <c r="T102" s="2"/>
      <c r="U102" s="2"/>
      <c r="V102" s="2"/>
      <c r="W102" s="2"/>
      <c r="X102" s="2"/>
      <c r="Y102" s="2"/>
    </row>
    <row r="103" spans="1:25" x14ac:dyDescent="0.2">
      <c r="A103" s="1">
        <f t="shared" si="17"/>
        <v>68</v>
      </c>
      <c r="B103" s="2"/>
      <c r="C103" s="102"/>
      <c r="D103" s="125" t="s">
        <v>159</v>
      </c>
      <c r="E103" s="121"/>
      <c r="F103" s="126" t="s">
        <v>160</v>
      </c>
      <c r="G103" s="1"/>
      <c r="H103" s="2"/>
      <c r="I103" s="2"/>
      <c r="J103" s="2"/>
      <c r="K103" s="2"/>
      <c r="L103" s="122">
        <v>23982.5</v>
      </c>
      <c r="M103" s="123">
        <f t="shared" si="16"/>
        <v>6.410638159254879E-3</v>
      </c>
      <c r="N103" s="2"/>
      <c r="O103" s="2"/>
      <c r="P103" s="2"/>
      <c r="Q103" s="2"/>
      <c r="R103" s="2"/>
      <c r="S103" s="2"/>
      <c r="T103" s="2"/>
      <c r="U103" s="2"/>
      <c r="V103" s="2"/>
      <c r="W103" s="2"/>
      <c r="X103" s="2"/>
      <c r="Y103" s="2"/>
    </row>
    <row r="104" spans="1:25" x14ac:dyDescent="0.2">
      <c r="A104" s="1">
        <f t="shared" si="17"/>
        <v>69</v>
      </c>
      <c r="B104" s="2"/>
      <c r="C104" s="102"/>
      <c r="D104" s="125" t="s">
        <v>161</v>
      </c>
      <c r="E104" s="121"/>
      <c r="F104" s="126" t="s">
        <v>162</v>
      </c>
      <c r="G104" s="1"/>
      <c r="H104" s="2"/>
      <c r="I104" s="2"/>
      <c r="J104" s="2"/>
      <c r="K104" s="2"/>
      <c r="L104" s="122">
        <v>23066.5</v>
      </c>
      <c r="M104" s="123">
        <f t="shared" si="16"/>
        <v>6.165786932156892E-3</v>
      </c>
      <c r="N104" s="2"/>
      <c r="O104" s="2"/>
      <c r="P104" s="2"/>
      <c r="Q104" s="2"/>
      <c r="R104" s="2"/>
      <c r="S104" s="2"/>
      <c r="T104" s="2"/>
      <c r="U104" s="2"/>
      <c r="V104" s="2"/>
      <c r="W104" s="2"/>
      <c r="X104" s="2"/>
      <c r="Y104" s="2"/>
    </row>
    <row r="105" spans="1:25" x14ac:dyDescent="0.2">
      <c r="A105" s="1">
        <f t="shared" si="17"/>
        <v>70</v>
      </c>
      <c r="B105" s="2"/>
      <c r="C105" s="102"/>
      <c r="D105" s="130" t="s">
        <v>163</v>
      </c>
      <c r="E105" s="121"/>
      <c r="F105" s="126" t="s">
        <v>164</v>
      </c>
      <c r="G105" s="1"/>
      <c r="H105" s="2"/>
      <c r="I105" s="2"/>
      <c r="J105" s="2"/>
      <c r="K105" s="2"/>
      <c r="L105" s="122">
        <v>5652.78</v>
      </c>
      <c r="M105" s="123">
        <f t="shared" si="16"/>
        <v>1.5110154143176395E-3</v>
      </c>
      <c r="N105" s="2"/>
      <c r="O105" s="2"/>
      <c r="P105" s="2"/>
      <c r="Q105" s="2"/>
      <c r="R105" s="2"/>
      <c r="S105" s="2"/>
      <c r="T105" s="2"/>
      <c r="U105" s="2"/>
      <c r="V105" s="2"/>
      <c r="W105" s="2"/>
      <c r="X105" s="2"/>
      <c r="Y105" s="2"/>
    </row>
    <row r="106" spans="1:25" x14ac:dyDescent="0.2">
      <c r="A106" s="1">
        <f t="shared" si="17"/>
        <v>71</v>
      </c>
      <c r="B106" s="2"/>
      <c r="C106" s="102"/>
      <c r="D106" s="125" t="s">
        <v>165</v>
      </c>
      <c r="E106" s="121"/>
      <c r="F106" s="126" t="s">
        <v>166</v>
      </c>
      <c r="G106" s="1"/>
      <c r="H106" s="2"/>
      <c r="I106" s="2"/>
      <c r="J106" s="2"/>
      <c r="K106" s="2"/>
      <c r="L106" s="122">
        <v>11033.03</v>
      </c>
      <c r="M106" s="123">
        <f t="shared" si="16"/>
        <v>2.9491822424769672E-3</v>
      </c>
      <c r="N106" s="2"/>
      <c r="O106" s="2"/>
      <c r="P106" s="2"/>
      <c r="Q106" s="2"/>
      <c r="R106" s="2"/>
      <c r="S106" s="2"/>
      <c r="T106" s="2"/>
      <c r="U106" s="2"/>
      <c r="V106" s="2"/>
      <c r="W106" s="2"/>
      <c r="X106" s="2"/>
      <c r="Y106" s="2"/>
    </row>
    <row r="107" spans="1:25" x14ac:dyDescent="0.2">
      <c r="A107" s="1">
        <f t="shared" si="17"/>
        <v>72</v>
      </c>
      <c r="B107" s="2"/>
      <c r="C107" s="102"/>
      <c r="D107" s="125" t="s">
        <v>167</v>
      </c>
      <c r="E107" s="121"/>
      <c r="F107" s="126" t="s">
        <v>168</v>
      </c>
      <c r="G107" s="1"/>
      <c r="H107" s="2"/>
      <c r="I107" s="2"/>
      <c r="J107" s="2"/>
      <c r="K107" s="2"/>
      <c r="L107" s="122">
        <v>94309.97</v>
      </c>
      <c r="M107" s="123">
        <f t="shared" si="16"/>
        <v>2.5209510788290746E-2</v>
      </c>
      <c r="N107" s="2"/>
      <c r="O107" s="2"/>
      <c r="P107" s="2"/>
      <c r="Q107" s="2"/>
      <c r="R107" s="2"/>
      <c r="S107" s="2"/>
      <c r="T107" s="2"/>
      <c r="U107" s="2"/>
      <c r="V107" s="2"/>
      <c r="W107" s="2"/>
      <c r="X107" s="2"/>
      <c r="Y107" s="2"/>
    </row>
    <row r="108" spans="1:25" x14ac:dyDescent="0.2">
      <c r="A108" s="1">
        <f t="shared" si="17"/>
        <v>73</v>
      </c>
      <c r="B108" s="2"/>
      <c r="C108" s="102"/>
      <c r="D108" s="125" t="s">
        <v>169</v>
      </c>
      <c r="E108" s="121"/>
      <c r="F108" s="126" t="s">
        <v>170</v>
      </c>
      <c r="G108" s="1"/>
      <c r="H108" s="2"/>
      <c r="I108" s="2"/>
      <c r="J108" s="2"/>
      <c r="K108" s="2"/>
      <c r="L108" s="122">
        <v>85449.2</v>
      </c>
      <c r="M108" s="123">
        <f t="shared" si="16"/>
        <v>2.284098414251233E-2</v>
      </c>
      <c r="N108" s="2"/>
      <c r="O108" s="2"/>
      <c r="P108" s="2"/>
      <c r="Q108" s="2"/>
      <c r="R108" s="2"/>
      <c r="S108" s="2"/>
      <c r="T108" s="2"/>
      <c r="U108" s="2"/>
      <c r="V108" s="2"/>
      <c r="W108" s="2"/>
      <c r="X108" s="2"/>
      <c r="Y108" s="2"/>
    </row>
    <row r="109" spans="1:25" x14ac:dyDescent="0.2">
      <c r="A109" s="1">
        <f t="shared" si="17"/>
        <v>74</v>
      </c>
      <c r="B109" s="2"/>
      <c r="C109" s="102"/>
      <c r="D109" s="130" t="s">
        <v>171</v>
      </c>
      <c r="E109" s="121"/>
      <c r="F109" s="126" t="s">
        <v>172</v>
      </c>
      <c r="G109" s="1"/>
      <c r="H109" s="2"/>
      <c r="I109" s="2"/>
      <c r="J109" s="2"/>
      <c r="K109" s="2"/>
      <c r="L109" s="122">
        <v>44212.39</v>
      </c>
      <c r="M109" s="123">
        <f t="shared" si="16"/>
        <v>1.181818552885891E-2</v>
      </c>
      <c r="N109" s="2"/>
      <c r="O109" s="2"/>
      <c r="P109" s="2"/>
      <c r="Q109" s="2"/>
      <c r="R109" s="2"/>
      <c r="S109" s="2"/>
      <c r="T109" s="2"/>
      <c r="U109" s="2"/>
      <c r="V109" s="2"/>
      <c r="W109" s="2"/>
      <c r="X109" s="2"/>
      <c r="Y109" s="2"/>
    </row>
    <row r="110" spans="1:25" x14ac:dyDescent="0.2">
      <c r="A110" s="1">
        <f t="shared" si="17"/>
        <v>75</v>
      </c>
      <c r="B110" s="2"/>
      <c r="C110" s="102"/>
      <c r="D110" s="125" t="s">
        <v>173</v>
      </c>
      <c r="E110" s="121"/>
      <c r="F110" s="126" t="s">
        <v>174</v>
      </c>
      <c r="G110" s="1"/>
      <c r="H110" s="2"/>
      <c r="I110" s="2"/>
      <c r="J110" s="2"/>
      <c r="K110" s="2"/>
      <c r="L110" s="122">
        <v>60986.35</v>
      </c>
      <c r="M110" s="123">
        <f t="shared" si="16"/>
        <v>1.63019461066892E-2</v>
      </c>
      <c r="N110" s="2"/>
      <c r="O110" s="71"/>
      <c r="P110" s="2"/>
      <c r="Q110" s="2"/>
      <c r="R110" s="2"/>
      <c r="S110" s="2"/>
      <c r="T110" s="2"/>
      <c r="U110" s="2"/>
      <c r="V110" s="2"/>
      <c r="W110" s="2"/>
      <c r="X110" s="2"/>
      <c r="Y110" s="2"/>
    </row>
    <row r="111" spans="1:25" x14ac:dyDescent="0.2">
      <c r="A111" s="1">
        <f t="shared" si="17"/>
        <v>76</v>
      </c>
      <c r="B111" s="2"/>
      <c r="C111" s="102"/>
      <c r="D111" s="130" t="s">
        <v>175</v>
      </c>
      <c r="E111" s="121"/>
      <c r="F111" s="126" t="s">
        <v>176</v>
      </c>
      <c r="G111" s="1"/>
      <c r="H111" s="2"/>
      <c r="I111" s="2"/>
      <c r="J111" s="2"/>
      <c r="K111" s="2"/>
      <c r="L111" s="122">
        <v>87452.38</v>
      </c>
      <c r="M111" s="123">
        <f t="shared" si="16"/>
        <v>2.3376443838034326E-2</v>
      </c>
      <c r="N111" s="2"/>
      <c r="O111" s="131"/>
      <c r="P111" s="2"/>
      <c r="Q111" s="2"/>
      <c r="R111" s="2"/>
      <c r="S111" s="2"/>
      <c r="T111" s="2"/>
      <c r="U111" s="2"/>
      <c r="V111" s="2"/>
      <c r="W111" s="2"/>
      <c r="X111" s="2"/>
      <c r="Y111" s="2"/>
    </row>
    <row r="112" spans="1:25" x14ac:dyDescent="0.2">
      <c r="A112" s="1">
        <f t="shared" si="17"/>
        <v>77</v>
      </c>
      <c r="B112" s="2"/>
      <c r="C112" s="102"/>
      <c r="D112" s="130" t="s">
        <v>177</v>
      </c>
      <c r="E112" s="121"/>
      <c r="F112" s="126" t="s">
        <v>178</v>
      </c>
      <c r="G112" s="1"/>
      <c r="H112" s="2"/>
      <c r="I112" s="2"/>
      <c r="J112" s="2"/>
      <c r="K112" s="2"/>
      <c r="L112" s="122">
        <v>4252.33</v>
      </c>
      <c r="M112" s="123">
        <f t="shared" si="16"/>
        <v>1.1366683608357885E-3</v>
      </c>
      <c r="N112" s="2"/>
      <c r="O112" s="131"/>
      <c r="P112" s="2"/>
      <c r="Q112" s="2"/>
      <c r="R112" s="2"/>
      <c r="S112" s="2"/>
      <c r="T112" s="2"/>
      <c r="U112" s="2"/>
      <c r="V112" s="2"/>
      <c r="W112" s="2"/>
      <c r="X112" s="2"/>
      <c r="Y112" s="2"/>
    </row>
    <row r="113" spans="1:25" x14ac:dyDescent="0.2">
      <c r="A113" s="1">
        <f t="shared" si="17"/>
        <v>78</v>
      </c>
      <c r="B113" s="2"/>
      <c r="C113" s="102"/>
      <c r="D113" s="125" t="s">
        <v>179</v>
      </c>
      <c r="E113" s="121"/>
      <c r="F113" s="126" t="s">
        <v>180</v>
      </c>
      <c r="G113" s="1"/>
      <c r="H113" s="2"/>
      <c r="I113" s="2"/>
      <c r="J113" s="2"/>
      <c r="K113" s="2"/>
      <c r="L113" s="122">
        <v>143513.72</v>
      </c>
      <c r="M113" s="123">
        <f t="shared" si="16"/>
        <v>3.83619109687739E-2</v>
      </c>
      <c r="N113" s="2"/>
      <c r="O113" s="71"/>
      <c r="P113" s="2"/>
      <c r="Q113" s="2"/>
      <c r="R113" s="2"/>
      <c r="S113" s="2"/>
      <c r="T113" s="2"/>
      <c r="U113" s="2"/>
      <c r="V113" s="2"/>
      <c r="W113" s="2"/>
      <c r="X113" s="2"/>
      <c r="Y113" s="2"/>
    </row>
    <row r="114" spans="1:25" x14ac:dyDescent="0.2">
      <c r="A114" s="1">
        <f t="shared" si="17"/>
        <v>79</v>
      </c>
      <c r="B114" s="2"/>
      <c r="C114" s="102"/>
      <c r="D114" s="125" t="s">
        <v>181</v>
      </c>
      <c r="E114" s="121"/>
      <c r="F114" s="126" t="s">
        <v>182</v>
      </c>
      <c r="G114" s="1"/>
      <c r="H114" s="2"/>
      <c r="I114" s="2"/>
      <c r="J114" s="2"/>
      <c r="K114" s="2"/>
      <c r="L114" s="122">
        <v>150943.03</v>
      </c>
      <c r="M114" s="123">
        <f t="shared" si="16"/>
        <v>4.0347801438196766E-2</v>
      </c>
      <c r="N114" s="2"/>
      <c r="O114" s="131"/>
      <c r="P114" s="2"/>
      <c r="Q114" s="2"/>
      <c r="R114" s="2"/>
      <c r="S114" s="2"/>
      <c r="T114" s="2"/>
      <c r="U114" s="2"/>
      <c r="V114" s="2"/>
      <c r="W114" s="2"/>
      <c r="X114" s="2"/>
      <c r="Y114" s="2"/>
    </row>
    <row r="115" spans="1:25" x14ac:dyDescent="0.2">
      <c r="A115" s="1">
        <f t="shared" si="17"/>
        <v>80</v>
      </c>
      <c r="B115" s="2"/>
      <c r="C115" s="102"/>
      <c r="D115" s="130" t="s">
        <v>183</v>
      </c>
      <c r="E115" s="121"/>
      <c r="F115" s="126" t="s">
        <v>184</v>
      </c>
      <c r="G115" s="1"/>
      <c r="H115" s="2"/>
      <c r="I115" s="2"/>
      <c r="J115" s="2"/>
      <c r="K115" s="2"/>
      <c r="L115" s="122">
        <v>294931.65000000002</v>
      </c>
      <c r="M115" s="123">
        <f t="shared" si="16"/>
        <v>7.8836655472198661E-2</v>
      </c>
      <c r="N115" s="2"/>
      <c r="O115" s="71"/>
      <c r="P115" s="2"/>
      <c r="Q115" s="2"/>
      <c r="R115" s="2"/>
      <c r="S115" s="2"/>
      <c r="T115" s="2"/>
      <c r="U115" s="2"/>
      <c r="V115" s="2"/>
      <c r="W115" s="2"/>
      <c r="X115" s="2"/>
      <c r="Y115" s="2"/>
    </row>
    <row r="116" spans="1:25" x14ac:dyDescent="0.2">
      <c r="A116" s="1">
        <f t="shared" si="17"/>
        <v>81</v>
      </c>
      <c r="B116" s="2"/>
      <c r="C116" s="102"/>
      <c r="D116" s="130" t="s">
        <v>185</v>
      </c>
      <c r="E116" s="132"/>
      <c r="F116" s="126" t="s">
        <v>186</v>
      </c>
      <c r="G116" s="1"/>
      <c r="H116" s="2"/>
      <c r="I116" s="2"/>
      <c r="J116" s="2"/>
      <c r="K116" s="2"/>
      <c r="L116" s="122">
        <v>19290.740000000002</v>
      </c>
      <c r="M116" s="123">
        <f t="shared" si="16"/>
        <v>5.1565080356203259E-3</v>
      </c>
      <c r="N116" s="2"/>
      <c r="O116" s="131"/>
      <c r="P116" s="2"/>
      <c r="Q116" s="2"/>
      <c r="R116" s="2"/>
      <c r="S116" s="2"/>
      <c r="T116" s="2"/>
      <c r="U116" s="2"/>
      <c r="V116" s="2"/>
      <c r="W116" s="2"/>
      <c r="X116" s="2"/>
      <c r="Y116" s="2"/>
    </row>
    <row r="117" spans="1:25" x14ac:dyDescent="0.2">
      <c r="A117" s="1">
        <f t="shared" si="17"/>
        <v>82</v>
      </c>
      <c r="B117" s="2"/>
      <c r="C117" s="102"/>
      <c r="D117" s="133" t="s">
        <v>187</v>
      </c>
      <c r="E117" s="121"/>
      <c r="F117" s="134" t="s">
        <v>188</v>
      </c>
      <c r="G117" s="1"/>
      <c r="H117" s="2"/>
      <c r="I117" s="2"/>
      <c r="J117" s="2"/>
      <c r="K117" s="2"/>
      <c r="L117" s="122">
        <v>1202.25</v>
      </c>
      <c r="M117" s="123">
        <f t="shared" si="16"/>
        <v>3.2136723556610772E-4</v>
      </c>
      <c r="N117" s="2"/>
      <c r="O117" s="71"/>
      <c r="P117" s="2"/>
      <c r="Q117" s="2"/>
      <c r="R117" s="2"/>
      <c r="S117" s="2"/>
      <c r="T117" s="2"/>
      <c r="U117" s="2"/>
      <c r="V117" s="2"/>
      <c r="W117" s="2"/>
      <c r="X117" s="2"/>
      <c r="Y117" s="2"/>
    </row>
    <row r="118" spans="1:25" x14ac:dyDescent="0.2">
      <c r="A118" s="1">
        <f t="shared" si="17"/>
        <v>83</v>
      </c>
      <c r="B118" s="2"/>
      <c r="C118" s="1"/>
      <c r="D118" s="107"/>
      <c r="E118" s="108"/>
      <c r="F118" s="108"/>
      <c r="G118" s="1"/>
      <c r="H118" s="108"/>
      <c r="I118" s="108"/>
      <c r="J118" s="108"/>
      <c r="K118" s="176">
        <f>SUM(L92:L117)</f>
        <v>3741047.21</v>
      </c>
      <c r="L118" s="176"/>
      <c r="M118" s="135">
        <f>SUM(M92:M117)</f>
        <v>1</v>
      </c>
      <c r="N118" s="2"/>
      <c r="O118" s="131"/>
      <c r="P118" s="2"/>
      <c r="Q118" s="2"/>
      <c r="R118" s="2"/>
      <c r="S118" s="2"/>
      <c r="T118" s="2"/>
      <c r="U118" s="2"/>
      <c r="V118" s="2"/>
      <c r="W118" s="2"/>
      <c r="X118" s="2"/>
      <c r="Y118" s="2"/>
    </row>
    <row r="119" spans="1:25" x14ac:dyDescent="0.2">
      <c r="A119" s="1">
        <f t="shared" si="17"/>
        <v>84</v>
      </c>
      <c r="B119" s="2"/>
      <c r="C119" s="1"/>
      <c r="D119" s="1"/>
      <c r="E119" s="2"/>
      <c r="F119" s="1"/>
      <c r="G119" s="1"/>
      <c r="H119" s="2"/>
      <c r="I119" s="14"/>
      <c r="J119" s="136" t="s">
        <v>189</v>
      </c>
      <c r="K119" s="177">
        <v>3741047.21</v>
      </c>
      <c r="L119" s="177"/>
      <c r="M119" s="2"/>
      <c r="N119" s="2"/>
      <c r="O119" s="131"/>
      <c r="P119" s="2"/>
      <c r="Q119" s="2"/>
      <c r="R119" s="2"/>
      <c r="S119" s="2"/>
      <c r="T119" s="2"/>
      <c r="U119" s="2"/>
      <c r="V119" s="2"/>
      <c r="W119" s="2"/>
      <c r="X119" s="2"/>
      <c r="Y119" s="2"/>
    </row>
    <row r="120" spans="1:25" x14ac:dyDescent="0.2">
      <c r="A120" s="1"/>
      <c r="B120" s="2"/>
      <c r="C120" s="1"/>
      <c r="D120" s="1"/>
      <c r="E120" s="2"/>
      <c r="F120" s="1"/>
      <c r="G120" s="1"/>
      <c r="H120" s="2"/>
      <c r="I120" s="2"/>
      <c r="J120" s="2"/>
      <c r="K120" s="2"/>
      <c r="L120" s="106">
        <f>K118-K119</f>
        <v>0</v>
      </c>
      <c r="M120" s="2"/>
      <c r="N120" s="2"/>
      <c r="O120" s="71"/>
      <c r="P120" s="2"/>
      <c r="Q120" s="2"/>
      <c r="R120" s="2"/>
      <c r="S120" s="2"/>
      <c r="T120" s="2"/>
      <c r="U120" s="2"/>
      <c r="V120" s="2"/>
      <c r="W120" s="2"/>
      <c r="X120" s="2"/>
      <c r="Y120" s="2"/>
    </row>
    <row r="121" spans="1:25" x14ac:dyDescent="0.2">
      <c r="A121" s="1"/>
      <c r="B121" s="2"/>
      <c r="C121" s="1"/>
      <c r="D121" s="1"/>
      <c r="E121" s="2"/>
      <c r="F121" s="1"/>
      <c r="G121" s="1"/>
      <c r="H121" s="2"/>
      <c r="I121" s="2"/>
      <c r="J121" s="2"/>
      <c r="K121" s="2"/>
      <c r="L121" s="2"/>
      <c r="M121" s="2"/>
      <c r="N121" s="2"/>
      <c r="O121" s="131"/>
      <c r="P121" s="2"/>
      <c r="Q121" s="2"/>
      <c r="R121" s="2"/>
      <c r="S121" s="2"/>
      <c r="T121" s="2"/>
      <c r="U121" s="2"/>
      <c r="V121" s="2"/>
      <c r="W121" s="2"/>
      <c r="X121" s="2"/>
      <c r="Y121" s="2"/>
    </row>
    <row r="122" spans="1:25" x14ac:dyDescent="0.2">
      <c r="A122" s="1"/>
      <c r="B122" s="2"/>
      <c r="C122" s="1"/>
      <c r="D122" s="1"/>
      <c r="E122" s="2"/>
      <c r="F122" s="1"/>
      <c r="G122" s="1"/>
      <c r="H122" s="2"/>
      <c r="I122" s="2"/>
      <c r="J122" s="2"/>
      <c r="K122" s="2"/>
      <c r="L122" s="2"/>
      <c r="M122" s="2"/>
      <c r="N122" s="2"/>
      <c r="O122" s="71"/>
      <c r="P122" s="2"/>
      <c r="Q122" s="2"/>
      <c r="R122" s="2"/>
      <c r="S122" s="2"/>
      <c r="T122" s="2"/>
      <c r="U122" s="2"/>
      <c r="V122" s="2"/>
      <c r="W122" s="2"/>
      <c r="X122" s="2"/>
      <c r="Y122" s="2"/>
    </row>
    <row r="123" spans="1:25" x14ac:dyDescent="0.2">
      <c r="A123" s="1"/>
      <c r="B123" s="2"/>
      <c r="C123" s="1"/>
      <c r="D123" s="1"/>
      <c r="E123" s="2"/>
      <c r="F123" s="1"/>
      <c r="G123" s="1"/>
      <c r="H123" s="2"/>
      <c r="I123" s="2"/>
      <c r="J123" s="2"/>
      <c r="K123" s="2"/>
      <c r="L123" s="2"/>
      <c r="M123" s="2"/>
      <c r="N123" s="2"/>
      <c r="O123" s="131"/>
      <c r="P123" s="2"/>
      <c r="Q123" s="2"/>
      <c r="R123" s="2"/>
      <c r="S123" s="2"/>
      <c r="T123" s="2"/>
      <c r="U123" s="2"/>
      <c r="V123" s="2"/>
      <c r="W123" s="2"/>
      <c r="X123" s="2"/>
      <c r="Y123" s="2"/>
    </row>
    <row r="124" spans="1:25" x14ac:dyDescent="0.2">
      <c r="A124" s="1"/>
      <c r="B124" s="2"/>
      <c r="C124" s="1"/>
      <c r="D124" s="1"/>
      <c r="E124" s="2"/>
      <c r="F124" s="1"/>
      <c r="G124" s="1"/>
      <c r="H124" s="2"/>
      <c r="I124" s="2"/>
      <c r="J124" s="2"/>
      <c r="K124" s="2"/>
      <c r="L124" s="2"/>
      <c r="M124" s="2"/>
      <c r="N124" s="2"/>
      <c r="O124" s="105"/>
      <c r="P124" s="2"/>
      <c r="Q124" s="2"/>
      <c r="R124" s="2"/>
      <c r="S124" s="2"/>
      <c r="T124" s="2"/>
      <c r="U124" s="2"/>
      <c r="V124" s="2"/>
      <c r="W124" s="2"/>
      <c r="X124" s="2"/>
      <c r="Y124" s="2"/>
    </row>
    <row r="125" spans="1:25" x14ac:dyDescent="0.2">
      <c r="A125" s="1"/>
      <c r="B125" s="2"/>
      <c r="C125" s="1"/>
      <c r="D125" s="1"/>
      <c r="E125" s="2"/>
      <c r="F125" s="1"/>
      <c r="G125" s="1"/>
      <c r="H125" s="2"/>
      <c r="I125" s="2"/>
      <c r="J125" s="2"/>
      <c r="K125" s="2"/>
      <c r="L125" s="2"/>
      <c r="M125" s="2"/>
      <c r="N125" s="2"/>
      <c r="O125" s="105"/>
      <c r="P125" s="2"/>
      <c r="Q125" s="2"/>
      <c r="R125" s="2"/>
      <c r="S125" s="2"/>
      <c r="T125" s="2"/>
      <c r="U125" s="2"/>
      <c r="V125" s="2"/>
      <c r="W125" s="2"/>
      <c r="X125" s="2"/>
      <c r="Y125" s="2"/>
    </row>
    <row r="126" spans="1:25" x14ac:dyDescent="0.2">
      <c r="A126" s="1"/>
      <c r="B126" s="2"/>
      <c r="C126" s="1"/>
      <c r="D126" s="1"/>
      <c r="E126" s="2"/>
      <c r="F126" s="1"/>
      <c r="G126" s="1"/>
      <c r="H126" s="2"/>
      <c r="I126" s="2"/>
      <c r="J126" s="2"/>
      <c r="K126" s="2"/>
      <c r="L126" s="2"/>
      <c r="M126" s="2"/>
      <c r="N126" s="2"/>
      <c r="O126" s="2"/>
      <c r="P126" s="2"/>
      <c r="Q126" s="2"/>
      <c r="R126" s="2"/>
      <c r="S126" s="2"/>
      <c r="T126" s="2"/>
      <c r="U126" s="2"/>
      <c r="V126" s="2"/>
      <c r="W126" s="2"/>
      <c r="X126" s="2"/>
      <c r="Y126" s="2"/>
    </row>
    <row r="127" spans="1:25" x14ac:dyDescent="0.2">
      <c r="A127" s="1"/>
      <c r="B127" s="2"/>
      <c r="C127" s="1"/>
      <c r="D127" s="1"/>
      <c r="E127" s="2"/>
      <c r="F127" s="1"/>
      <c r="G127" s="1"/>
      <c r="H127" s="2"/>
      <c r="I127" s="2"/>
      <c r="J127" s="2"/>
      <c r="K127" s="2"/>
      <c r="L127" s="2"/>
      <c r="M127" s="2"/>
      <c r="N127" s="2"/>
      <c r="O127" s="2"/>
      <c r="P127" s="2"/>
      <c r="Q127" s="2"/>
      <c r="R127" s="2"/>
      <c r="S127" s="2"/>
      <c r="T127" s="2"/>
      <c r="U127" s="2"/>
      <c r="V127" s="2"/>
      <c r="W127" s="2"/>
      <c r="X127" s="2"/>
      <c r="Y127" s="2"/>
    </row>
    <row r="128" spans="1:25" x14ac:dyDescent="0.2">
      <c r="A128" s="1"/>
      <c r="B128" s="2"/>
      <c r="C128" s="1"/>
      <c r="D128" s="1"/>
      <c r="E128" s="2"/>
      <c r="F128" s="1"/>
      <c r="G128" s="1"/>
      <c r="H128" s="2"/>
      <c r="I128" s="2"/>
      <c r="J128" s="2"/>
      <c r="K128" s="2"/>
      <c r="L128" s="2"/>
      <c r="M128" s="2"/>
      <c r="N128" s="2"/>
      <c r="O128" s="2"/>
      <c r="P128" s="2"/>
      <c r="Q128" s="2"/>
      <c r="R128" s="2"/>
      <c r="S128" s="2"/>
      <c r="T128" s="2"/>
      <c r="U128" s="2"/>
      <c r="V128" s="2"/>
      <c r="W128" s="2"/>
      <c r="X128" s="2"/>
      <c r="Y128" s="2"/>
    </row>
    <row r="129" spans="1:25" x14ac:dyDescent="0.2">
      <c r="A129" s="1"/>
      <c r="B129" s="2"/>
      <c r="C129" s="1"/>
      <c r="D129" s="1"/>
      <c r="E129" s="2"/>
      <c r="F129" s="1"/>
      <c r="G129" s="1"/>
      <c r="H129" s="2"/>
      <c r="I129" s="2"/>
      <c r="J129" s="2"/>
      <c r="K129" s="2"/>
      <c r="L129" s="2"/>
      <c r="M129" s="2"/>
      <c r="N129" s="2"/>
      <c r="O129" s="2"/>
      <c r="P129" s="2"/>
      <c r="Q129" s="2"/>
      <c r="R129" s="2"/>
      <c r="S129" s="2"/>
      <c r="T129" s="2"/>
      <c r="U129" s="2"/>
      <c r="V129" s="2"/>
      <c r="W129" s="2"/>
      <c r="X129" s="2"/>
      <c r="Y129" s="2"/>
    </row>
    <row r="130" spans="1:25" x14ac:dyDescent="0.2">
      <c r="A130" s="1"/>
      <c r="B130" s="2"/>
      <c r="C130" s="1"/>
      <c r="D130" s="1"/>
      <c r="E130" s="2"/>
      <c r="F130" s="1"/>
      <c r="G130" s="1"/>
      <c r="H130" s="2"/>
      <c r="I130" s="2"/>
      <c r="J130" s="2"/>
      <c r="K130" s="2"/>
      <c r="L130" s="2"/>
      <c r="M130" s="2"/>
      <c r="N130" s="2"/>
      <c r="O130" s="2"/>
      <c r="P130" s="2"/>
      <c r="Q130" s="2"/>
      <c r="R130" s="2"/>
      <c r="S130" s="2"/>
      <c r="T130" s="2"/>
      <c r="U130" s="2"/>
      <c r="V130" s="2"/>
      <c r="W130" s="2"/>
      <c r="X130" s="2"/>
      <c r="Y130" s="2"/>
    </row>
    <row r="131" spans="1:25" x14ac:dyDescent="0.2">
      <c r="A131" s="1"/>
      <c r="B131" s="2"/>
      <c r="C131" s="1"/>
      <c r="D131" s="1"/>
      <c r="E131" s="2"/>
      <c r="F131" s="1"/>
      <c r="G131" s="1"/>
      <c r="H131" s="2"/>
      <c r="I131" s="2"/>
      <c r="J131" s="2"/>
      <c r="K131" s="2"/>
      <c r="L131" s="2"/>
      <c r="M131" s="2"/>
      <c r="N131" s="2"/>
      <c r="O131" s="2"/>
      <c r="P131" s="2"/>
      <c r="Q131" s="2"/>
      <c r="R131" s="2"/>
      <c r="S131" s="2"/>
      <c r="T131" s="2"/>
      <c r="U131" s="2"/>
      <c r="V131" s="2"/>
      <c r="W131" s="2"/>
      <c r="X131" s="2"/>
      <c r="Y131" s="2"/>
    </row>
    <row r="132" spans="1:25" x14ac:dyDescent="0.2">
      <c r="A132" s="1"/>
      <c r="B132" s="2"/>
      <c r="C132" s="1"/>
      <c r="D132" s="1"/>
      <c r="E132" s="2"/>
      <c r="F132" s="1"/>
      <c r="G132" s="1"/>
      <c r="H132" s="2"/>
      <c r="I132" s="2"/>
      <c r="J132" s="2"/>
      <c r="K132" s="2"/>
      <c r="L132" s="2"/>
      <c r="M132" s="2"/>
      <c r="N132" s="2"/>
      <c r="O132" s="2"/>
      <c r="P132" s="2"/>
      <c r="Q132" s="2"/>
      <c r="R132" s="2"/>
      <c r="S132" s="2"/>
      <c r="T132" s="2"/>
      <c r="U132" s="2"/>
      <c r="V132" s="2"/>
      <c r="W132" s="2"/>
      <c r="X132" s="2"/>
      <c r="Y132" s="2"/>
    </row>
    <row r="140" spans="1:25" x14ac:dyDescent="0.2">
      <c r="S140" s="137"/>
    </row>
    <row r="141" spans="1:25" ht="15" customHeight="1" x14ac:dyDescent="0.2"/>
  </sheetData>
  <mergeCells count="16">
    <mergeCell ref="A3:X3"/>
    <mergeCell ref="A4:X4"/>
    <mergeCell ref="A6:X6"/>
    <mergeCell ref="C8:F8"/>
    <mergeCell ref="H8:J8"/>
    <mergeCell ref="L8:O8"/>
    <mergeCell ref="S8:V8"/>
    <mergeCell ref="K85:L85"/>
    <mergeCell ref="K118:L118"/>
    <mergeCell ref="K119:L119"/>
    <mergeCell ref="S11:V11"/>
    <mergeCell ref="H12:J12"/>
    <mergeCell ref="S12:T12"/>
    <mergeCell ref="H68:V70"/>
    <mergeCell ref="C72:X72"/>
    <mergeCell ref="K79:L79"/>
  </mergeCells>
  <printOptions horizontalCentered="1"/>
  <pageMargins left="0.25" right="0.25" top="0.75" bottom="0.5" header="0.5" footer="0.5"/>
  <pageSetup scale="56" fitToHeight="3" orientation="landscape" r:id="rId1"/>
  <headerFooter alignWithMargins="0">
    <oddFooter>&amp;RExhibit JW-2
Page &amp;P of &amp;N</oddFooter>
  </headerFooter>
  <rowBreaks count="1" manualBreakCount="1">
    <brk id="66"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Sheet2</vt:lpstr>
      <vt:lpstr>1.10 Wages</vt:lpstr>
      <vt:lpstr>'1.10 Wages'!Print_Area</vt:lpstr>
      <vt:lpstr>'1.10 Wages'!Print_Titles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Moriarty</dc:creator>
  <cp:lastModifiedBy>Michael Moriarty</cp:lastModifiedBy>
  <dcterms:created xsi:type="dcterms:W3CDTF">2025-02-19T16:05:45Z</dcterms:created>
  <dcterms:modified xsi:type="dcterms:W3CDTF">2025-02-19T21:06:51Z</dcterms:modified>
</cp:coreProperties>
</file>