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Rate Case 2024\OAG Second Data Request\Item 5\"/>
    </mc:Choice>
  </mc:AlternateContent>
  <xr:revisionPtr revIDLastSave="0" documentId="13_ncr:1_{8E8B4833-FBDE-4EB2-9A45-71445E3B0DA3}" xr6:coauthVersionLast="47" xr6:coauthVersionMax="47" xr10:uidLastSave="{00000000-0000-0000-0000-000000000000}"/>
  <bookViews>
    <workbookView xWindow="28680" yWindow="-120" windowWidth="29040" windowHeight="15720" xr2:uid="{AB370ECA-C547-4828-804B-66A712FA6C1B}"/>
  </bookViews>
  <sheets>
    <sheet name="Reconciliation" sheetId="1" r:id="rId1"/>
    <sheet name="AG 1-4" sheetId="2" r:id="rId2"/>
    <sheet name="2024 Other Pay Items" sheetId="3" r:id="rId3"/>
  </sheets>
  <externalReferences>
    <externalReference r:id="rId4"/>
  </externalReferences>
  <definedNames>
    <definedName name="_xlnm._FilterDatabase" localSheetId="2" hidden="1">'2024 Other Pay Items'!$A$2:$K$55</definedName>
    <definedName name="_xlnm._FilterDatabase" localSheetId="1" hidden="1">'AG 1-4'!$A$2:$AB$55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L56" i="3"/>
  <c r="C32" i="1"/>
  <c r="M56" i="3" l="1"/>
  <c r="C22" i="1" s="1"/>
  <c r="K56" i="3"/>
  <c r="C21" i="1" s="1"/>
  <c r="J56" i="3"/>
  <c r="C20" i="1" s="1"/>
  <c r="I56" i="3"/>
  <c r="C19" i="1" s="1"/>
  <c r="I63" i="3"/>
  <c r="I61" i="3"/>
  <c r="AA69" i="2"/>
  <c r="Z69" i="2"/>
  <c r="Y69" i="2"/>
  <c r="X69" i="2"/>
  <c r="W69" i="2"/>
  <c r="V69" i="2"/>
  <c r="U69" i="2"/>
  <c r="S69" i="2"/>
  <c r="R69" i="2"/>
  <c r="N69" i="2"/>
  <c r="L69" i="2"/>
  <c r="K69" i="2"/>
  <c r="J69" i="2"/>
  <c r="AA68" i="2"/>
  <c r="Z68" i="2"/>
  <c r="Y68" i="2"/>
  <c r="X68" i="2"/>
  <c r="W68" i="2"/>
  <c r="V68" i="2"/>
  <c r="U68" i="2"/>
  <c r="S68" i="2"/>
  <c r="R68" i="2"/>
  <c r="P68" i="2"/>
  <c r="O68" i="2"/>
  <c r="N68" i="2"/>
  <c r="M68" i="2"/>
  <c r="L68" i="2"/>
  <c r="K68" i="2"/>
  <c r="J68" i="2"/>
  <c r="I68" i="2"/>
  <c r="AA65" i="2"/>
  <c r="Z65" i="2"/>
  <c r="Y65" i="2"/>
  <c r="X65" i="2"/>
  <c r="W65" i="2"/>
  <c r="V65" i="2"/>
  <c r="U65" i="2"/>
  <c r="S65" i="2"/>
  <c r="R65" i="2"/>
  <c r="P65" i="2"/>
  <c r="O65" i="2"/>
  <c r="N65" i="2"/>
  <c r="M65" i="2"/>
  <c r="L65" i="2"/>
  <c r="K65" i="2"/>
  <c r="K66" i="2" s="1"/>
  <c r="J65" i="2"/>
  <c r="I65" i="2"/>
  <c r="I75" i="2" s="1"/>
  <c r="AA64" i="2"/>
  <c r="Z64" i="2"/>
  <c r="Y64" i="2"/>
  <c r="X64" i="2"/>
  <c r="X66" i="2" s="1"/>
  <c r="W64" i="2"/>
  <c r="W66" i="2" s="1"/>
  <c r="V64" i="2"/>
  <c r="V66" i="2" s="1"/>
  <c r="S64" i="2"/>
  <c r="R64" i="2"/>
  <c r="N64" i="2"/>
  <c r="N66" i="2" s="1"/>
  <c r="L64" i="2"/>
  <c r="L66" i="2" s="1"/>
  <c r="K64" i="2"/>
  <c r="J64" i="2"/>
  <c r="AA61" i="2"/>
  <c r="Z61" i="2"/>
  <c r="Y61" i="2"/>
  <c r="X61" i="2"/>
  <c r="W61" i="2"/>
  <c r="V61" i="2"/>
  <c r="S61" i="2"/>
  <c r="R61" i="2"/>
  <c r="P61" i="2"/>
  <c r="O61" i="2"/>
  <c r="N61" i="2"/>
  <c r="N62" i="2" s="1"/>
  <c r="L61" i="2"/>
  <c r="K61" i="2"/>
  <c r="J61" i="2"/>
  <c r="AA60" i="2"/>
  <c r="Z60" i="2"/>
  <c r="Y60" i="2"/>
  <c r="X60" i="2"/>
  <c r="W60" i="2"/>
  <c r="V60" i="2"/>
  <c r="U60" i="2"/>
  <c r="S60" i="2"/>
  <c r="R60" i="2"/>
  <c r="O60" i="2"/>
  <c r="N60" i="2"/>
  <c r="M60" i="2"/>
  <c r="L60" i="2"/>
  <c r="K60" i="2"/>
  <c r="J60" i="2"/>
  <c r="I60" i="2"/>
  <c r="I73" i="2" s="1"/>
  <c r="R59" i="2"/>
  <c r="P59" i="2"/>
  <c r="N59" i="2"/>
  <c r="L59" i="2"/>
  <c r="K59" i="2"/>
  <c r="J59" i="2"/>
  <c r="I59" i="2"/>
  <c r="AC55" i="2"/>
  <c r="AB55" i="2"/>
  <c r="Q55" i="2"/>
  <c r="AC54" i="2"/>
  <c r="AB54" i="2"/>
  <c r="Q54" i="2"/>
  <c r="AC53" i="2"/>
  <c r="AB53" i="2"/>
  <c r="T53" i="2"/>
  <c r="I53" i="2"/>
  <c r="Q53" i="2" s="1"/>
  <c r="AC52" i="2"/>
  <c r="AB52" i="2"/>
  <c r="T52" i="2"/>
  <c r="Q52" i="2"/>
  <c r="AC51" i="2"/>
  <c r="AB51" i="2"/>
  <c r="T51" i="2"/>
  <c r="Q51" i="2"/>
  <c r="AC50" i="2"/>
  <c r="AB50" i="2"/>
  <c r="T50" i="2"/>
  <c r="I50" i="2"/>
  <c r="Q50" i="2" s="1"/>
  <c r="AC49" i="2"/>
  <c r="AB49" i="2"/>
  <c r="T49" i="2"/>
  <c r="Q49" i="2"/>
  <c r="AC48" i="2"/>
  <c r="AB48" i="2"/>
  <c r="Q48" i="2"/>
  <c r="AC47" i="2"/>
  <c r="AB47" i="2"/>
  <c r="Q47" i="2"/>
  <c r="AC46" i="2"/>
  <c r="AB46" i="2"/>
  <c r="T46" i="2"/>
  <c r="I46" i="2"/>
  <c r="Q46" i="2" s="1"/>
  <c r="AC45" i="2"/>
  <c r="AB45" i="2"/>
  <c r="T45" i="2"/>
  <c r="Q45" i="2"/>
  <c r="AC44" i="2"/>
  <c r="AB44" i="2"/>
  <c r="T44" i="2"/>
  <c r="Q44" i="2"/>
  <c r="AC43" i="2"/>
  <c r="AB43" i="2"/>
  <c r="Q43" i="2"/>
  <c r="AC42" i="2"/>
  <c r="AB42" i="2"/>
  <c r="T42" i="2"/>
  <c r="Q42" i="2"/>
  <c r="AC41" i="2"/>
  <c r="AB41" i="2"/>
  <c r="T41" i="2"/>
  <c r="Q41" i="2"/>
  <c r="AC40" i="2"/>
  <c r="AB40" i="2"/>
  <c r="Q40" i="2"/>
  <c r="AC39" i="2"/>
  <c r="AB39" i="2"/>
  <c r="T39" i="2"/>
  <c r="Q39" i="2"/>
  <c r="AC38" i="2"/>
  <c r="AB38" i="2"/>
  <c r="T38" i="2"/>
  <c r="Q38" i="2"/>
  <c r="AC37" i="2"/>
  <c r="AB37" i="2"/>
  <c r="T37" i="2"/>
  <c r="Q37" i="2"/>
  <c r="AC36" i="2"/>
  <c r="AB36" i="2"/>
  <c r="T36" i="2"/>
  <c r="Q36" i="2"/>
  <c r="AC35" i="2"/>
  <c r="AB35" i="2"/>
  <c r="T35" i="2"/>
  <c r="Q35" i="2"/>
  <c r="AC34" i="2"/>
  <c r="AB34" i="2"/>
  <c r="Q34" i="2"/>
  <c r="AC33" i="2"/>
  <c r="AB33" i="2"/>
  <c r="T33" i="2"/>
  <c r="Q33" i="2"/>
  <c r="AC32" i="2"/>
  <c r="AB32" i="2"/>
  <c r="Q32" i="2"/>
  <c r="AC31" i="2"/>
  <c r="AB31" i="2"/>
  <c r="Q31" i="2"/>
  <c r="AC30" i="2"/>
  <c r="AB30" i="2"/>
  <c r="T30" i="2"/>
  <c r="Q30" i="2"/>
  <c r="AC29" i="2"/>
  <c r="AB29" i="2"/>
  <c r="T29" i="2"/>
  <c r="Q29" i="2"/>
  <c r="AC28" i="2"/>
  <c r="AB28" i="2"/>
  <c r="T28" i="2"/>
  <c r="Q28" i="2"/>
  <c r="AC27" i="2"/>
  <c r="AB27" i="2"/>
  <c r="U27" i="2"/>
  <c r="U64" i="2" s="1"/>
  <c r="I27" i="2"/>
  <c r="Q27" i="2" s="1"/>
  <c r="AC26" i="2"/>
  <c r="AB26" i="2"/>
  <c r="T26" i="2"/>
  <c r="Q26" i="2"/>
  <c r="AC25" i="2"/>
  <c r="AB25" i="2"/>
  <c r="T25" i="2"/>
  <c r="Q25" i="2"/>
  <c r="AC24" i="2"/>
  <c r="AB24" i="2"/>
  <c r="Q24" i="2"/>
  <c r="AC23" i="2"/>
  <c r="AB23" i="2"/>
  <c r="Q23" i="2"/>
  <c r="AC22" i="2"/>
  <c r="AB22" i="2"/>
  <c r="Q22" i="2"/>
  <c r="AC21" i="2"/>
  <c r="AB21" i="2"/>
  <c r="T21" i="2"/>
  <c r="Q21" i="2"/>
  <c r="AC20" i="2"/>
  <c r="AB20" i="2"/>
  <c r="Q20" i="2"/>
  <c r="AC19" i="2"/>
  <c r="AB19" i="2"/>
  <c r="T19" i="2"/>
  <c r="I19" i="2"/>
  <c r="Q19" i="2" s="1"/>
  <c r="AC18" i="2"/>
  <c r="AB18" i="2"/>
  <c r="Q18" i="2"/>
  <c r="AC17" i="2"/>
  <c r="AB17" i="2"/>
  <c r="T17" i="2"/>
  <c r="I17" i="2"/>
  <c r="Q17" i="2" s="1"/>
  <c r="AC16" i="2"/>
  <c r="AB16" i="2"/>
  <c r="T16" i="2"/>
  <c r="M16" i="2"/>
  <c r="M61" i="2" s="1"/>
  <c r="I16" i="2"/>
  <c r="AC15" i="2"/>
  <c r="AB15" i="2"/>
  <c r="T15" i="2"/>
  <c r="Q15" i="2"/>
  <c r="AC14" i="2"/>
  <c r="AB14" i="2"/>
  <c r="Q14" i="2"/>
  <c r="AC13" i="2"/>
  <c r="AB13" i="2"/>
  <c r="T13" i="2"/>
  <c r="I13" i="2"/>
  <c r="AC12" i="2"/>
  <c r="AB12" i="2"/>
  <c r="Q12" i="2"/>
  <c r="AC11" i="2"/>
  <c r="AB11" i="2"/>
  <c r="T11" i="2"/>
  <c r="Q11" i="2"/>
  <c r="AC10" i="2"/>
  <c r="AB10" i="2"/>
  <c r="Q10" i="2"/>
  <c r="AC9" i="2"/>
  <c r="AB9" i="2"/>
  <c r="Q9" i="2"/>
  <c r="AC8" i="2"/>
  <c r="AB8" i="2"/>
  <c r="T8" i="2"/>
  <c r="Q8" i="2"/>
  <c r="AC7" i="2"/>
  <c r="AB7" i="2"/>
  <c r="T7" i="2"/>
  <c r="Q7" i="2"/>
  <c r="AC6" i="2"/>
  <c r="AB6" i="2"/>
  <c r="Q6" i="2"/>
  <c r="AC5" i="2"/>
  <c r="AB5" i="2"/>
  <c r="P5" i="2"/>
  <c r="P60" i="2" s="1"/>
  <c r="O5" i="2"/>
  <c r="O69" i="2" s="1"/>
  <c r="AC4" i="2"/>
  <c r="AB4" i="2"/>
  <c r="T4" i="2"/>
  <c r="Q4" i="2"/>
  <c r="AC3" i="2"/>
  <c r="AB3" i="2"/>
  <c r="T3" i="2"/>
  <c r="Q3" i="2"/>
  <c r="C27" i="1" l="1"/>
  <c r="Y66" i="2"/>
  <c r="N56" i="3"/>
  <c r="Y70" i="2"/>
  <c r="L62" i="2"/>
  <c r="Y62" i="2"/>
  <c r="AA62" i="2"/>
  <c r="O62" i="2"/>
  <c r="M62" i="2"/>
  <c r="Z66" i="2"/>
  <c r="S66" i="2"/>
  <c r="W70" i="2"/>
  <c r="AA66" i="2"/>
  <c r="X70" i="2"/>
  <c r="J62" i="2"/>
  <c r="K62" i="2"/>
  <c r="J70" i="2"/>
  <c r="AC61" i="2"/>
  <c r="T60" i="2"/>
  <c r="R66" i="2"/>
  <c r="P69" i="2"/>
  <c r="P70" i="2" s="1"/>
  <c r="C13" i="1" s="1"/>
  <c r="AB69" i="2"/>
  <c r="I64" i="2"/>
  <c r="I74" i="2" s="1"/>
  <c r="AA70" i="2"/>
  <c r="K70" i="2"/>
  <c r="C9" i="1" s="1"/>
  <c r="I69" i="2"/>
  <c r="I70" i="2" s="1"/>
  <c r="N70" i="2"/>
  <c r="V62" i="2"/>
  <c r="P62" i="2"/>
  <c r="X62" i="2"/>
  <c r="Z62" i="2"/>
  <c r="U70" i="2"/>
  <c r="AB65" i="2"/>
  <c r="AC65" i="2"/>
  <c r="R62" i="2"/>
  <c r="W62" i="2"/>
  <c r="AB60" i="2"/>
  <c r="V70" i="2"/>
  <c r="Z70" i="2"/>
  <c r="Q65" i="2"/>
  <c r="J66" i="2"/>
  <c r="T68" i="2"/>
  <c r="AB61" i="2"/>
  <c r="L70" i="2"/>
  <c r="C10" i="1" s="1"/>
  <c r="S62" i="2"/>
  <c r="R70" i="2"/>
  <c r="AB64" i="2"/>
  <c r="S70" i="2"/>
  <c r="AC69" i="2"/>
  <c r="U66" i="2"/>
  <c r="I62" i="3"/>
  <c r="O70" i="2"/>
  <c r="C12" i="1" s="1"/>
  <c r="U61" i="2"/>
  <c r="U62" i="2" s="1"/>
  <c r="AB68" i="2"/>
  <c r="AC68" i="2"/>
  <c r="Q13" i="2"/>
  <c r="M64" i="2"/>
  <c r="M66" i="2" s="1"/>
  <c r="AC64" i="2"/>
  <c r="Q16" i="2"/>
  <c r="Q61" i="2" s="1"/>
  <c r="AC60" i="2"/>
  <c r="T65" i="2"/>
  <c r="I61" i="2"/>
  <c r="I62" i="2" s="1"/>
  <c r="O64" i="2"/>
  <c r="O66" i="2" s="1"/>
  <c r="P64" i="2"/>
  <c r="P66" i="2" s="1"/>
  <c r="Q68" i="2"/>
  <c r="Q5" i="2"/>
  <c r="M69" i="2"/>
  <c r="M70" i="2" s="1"/>
  <c r="C11" i="1" s="1"/>
  <c r="T27" i="2"/>
  <c r="T61" i="2" s="1"/>
  <c r="AB62" i="2" l="1"/>
  <c r="AB70" i="2"/>
  <c r="T62" i="2"/>
  <c r="T69" i="2"/>
  <c r="T70" i="2" s="1"/>
  <c r="I66" i="2"/>
  <c r="AB66" i="2"/>
  <c r="AC62" i="2"/>
  <c r="AC66" i="2"/>
  <c r="AC70" i="2"/>
  <c r="C14" i="1"/>
  <c r="C16" i="1" s="1"/>
  <c r="C34" i="1" s="1"/>
  <c r="T64" i="2"/>
  <c r="T66" i="2" s="1"/>
  <c r="Q69" i="2"/>
  <c r="Q70" i="2" s="1"/>
  <c r="Q60" i="2"/>
  <c r="Q62" i="2" s="1"/>
  <c r="Q64" i="2"/>
  <c r="Q66" i="2" s="1"/>
</calcChain>
</file>

<file path=xl/sharedStrings.xml><?xml version="1.0" encoding="utf-8"?>
<sst xmlns="http://schemas.openxmlformats.org/spreadsheetml/2006/main" count="435" uniqueCount="89">
  <si>
    <t>JW-2, Reference Schedule 1.10 - Other Pays</t>
  </si>
  <si>
    <t>Excess vacation payout</t>
  </si>
  <si>
    <t>Dispatch/duty pay</t>
  </si>
  <si>
    <t>Special comp. @ straight time</t>
  </si>
  <si>
    <t>Car allowance</t>
  </si>
  <si>
    <t>Other pays</t>
  </si>
  <si>
    <t>Empl</t>
  </si>
  <si>
    <t>Executive</t>
  </si>
  <si>
    <t>Manager</t>
  </si>
  <si>
    <t>Supervisor</t>
  </si>
  <si>
    <t>Exempt</t>
  </si>
  <si>
    <t>Non-Exempt</t>
  </si>
  <si>
    <t>Union</t>
  </si>
  <si>
    <t>Non-Union</t>
  </si>
  <si>
    <t>Reg Salary/Wages Paid (includes any employee's regular rate of pay categories that are paid at regular rate i.e. holiday, sick, etc.)</t>
  </si>
  <si>
    <t>OT Amount (includes All Pays at OT &amp; Above Rate)</t>
  </si>
  <si>
    <t>Excess Vacation Payout</t>
  </si>
  <si>
    <t>Dispatch / Duty Pay</t>
  </si>
  <si>
    <t>Special Comp. @ Straight Time</t>
  </si>
  <si>
    <t>Bonus Pay</t>
  </si>
  <si>
    <t>Car Allowance</t>
  </si>
  <si>
    <t>Other Pays Including Phone, Med Opt-Out, etc.</t>
  </si>
  <si>
    <t>Total Comp</t>
  </si>
  <si>
    <t>Other Incentives, Deferred Compensation</t>
  </si>
  <si>
    <t>Employer Yearly Paid Healthcare</t>
  </si>
  <si>
    <t>Employer Yearly Paid Healthcare (Revised)</t>
  </si>
  <si>
    <t>Employee Paid Yearly Heathcare Cost</t>
  </si>
  <si>
    <t>Dental 100% Employee Paid Yearly Cost</t>
  </si>
  <si>
    <t>Vision 100% Employee Paid</t>
  </si>
  <si>
    <t>Employer 100% Pays for 2x Basic Life Insurance</t>
  </si>
  <si>
    <t>Employer 100% Pays for Long-term Disability</t>
  </si>
  <si>
    <t>Employer Contribution Defined Benefit R&amp;S Plan</t>
  </si>
  <si>
    <t>Employer Defined Contribution 401(k) Match</t>
  </si>
  <si>
    <t>Total ER Benefits</t>
  </si>
  <si>
    <t>Total EE Paid Benefits</t>
  </si>
  <si>
    <t>Lead Line Technician</t>
  </si>
  <si>
    <t>X</t>
  </si>
  <si>
    <t>Customer Service Rep</t>
  </si>
  <si>
    <t>President &amp; Ceo</t>
  </si>
  <si>
    <t>Line Technician</t>
  </si>
  <si>
    <t>N/A</t>
  </si>
  <si>
    <t>Customer Service Rep (PT)</t>
  </si>
  <si>
    <t>Payroll &amp; Benefits Administrator</t>
  </si>
  <si>
    <t>Director of Communications</t>
  </si>
  <si>
    <t>Dispatch Coordinator</t>
  </si>
  <si>
    <t>Contract Resource Manager</t>
  </si>
  <si>
    <t>Joint Use Coordinator</t>
  </si>
  <si>
    <t>System Engineer</t>
  </si>
  <si>
    <t>Accounting Clerk</t>
  </si>
  <si>
    <t>Customer Service Specialist</t>
  </si>
  <si>
    <t>Operations Manager</t>
  </si>
  <si>
    <t>Billing Manager</t>
  </si>
  <si>
    <t>General Accountant</t>
  </si>
  <si>
    <t>GIS Specialist</t>
  </si>
  <si>
    <t>CFO</t>
  </si>
  <si>
    <t>Intern</t>
  </si>
  <si>
    <t>Crew Leader</t>
  </si>
  <si>
    <t>Director of IT</t>
  </si>
  <si>
    <t>Materials Technician</t>
  </si>
  <si>
    <t>Staking Engineer</t>
  </si>
  <si>
    <t>Engineering Inspector (PT)</t>
  </si>
  <si>
    <t>Engineering Manager</t>
  </si>
  <si>
    <t>SVP Power Delivery</t>
  </si>
  <si>
    <t>Summary:</t>
  </si>
  <si>
    <t>Total EE Benefits</t>
  </si>
  <si>
    <t>Total</t>
  </si>
  <si>
    <t>Average Raise</t>
  </si>
  <si>
    <t>Salaried</t>
  </si>
  <si>
    <t>Non-Salaried</t>
  </si>
  <si>
    <t>Difference</t>
  </si>
  <si>
    <t>Jan 2024 Car Allowance</t>
  </si>
  <si>
    <t>2024 Union boot allowance</t>
  </si>
  <si>
    <t>2024 Non-union clothing allowance</t>
  </si>
  <si>
    <t>2024 retirement service award</t>
  </si>
  <si>
    <t>1/2 Jan 2024 duty pay</t>
  </si>
  <si>
    <t>Wellness program - EE gym reimbursement</t>
  </si>
  <si>
    <t>EE mileage reimbursement</t>
  </si>
  <si>
    <t>Medical opt out correction (reversal)</t>
  </si>
  <si>
    <t>Less: 2023 accruals</t>
  </si>
  <si>
    <t>Add: 2022 accruals</t>
  </si>
  <si>
    <t>Reconciled difference</t>
  </si>
  <si>
    <t>Response to AG 1-4:</t>
  </si>
  <si>
    <t>1/2 of Jan 2024 Duty Pay</t>
  </si>
  <si>
    <t>2024 Union Boot Allowance (paid in January)</t>
  </si>
  <si>
    <t>2024 Non-Union Clothing Allowance (paid in January)</t>
  </si>
  <si>
    <t>Retirement award (paid in 2024)</t>
  </si>
  <si>
    <t>Shelby Energy Cooperative, Inc.</t>
  </si>
  <si>
    <t>2024-00351</t>
  </si>
  <si>
    <t>Reconciliation of Exhibit JW-2 Ref. Sch. 1.10 and "AG 1-4 1-5 1-6 CONFIDENTIAL"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</si>
</sst>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3" fontId="2" fillId="0" borderId="0" xfId="1" applyFont="1" applyFill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3" fontId="3" fillId="0" borderId="0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2" fillId="0" borderId="3" xfId="1" applyFont="1" applyBorder="1" applyAlignment="1">
      <alignment vertical="center"/>
    </xf>
    <xf numFmtId="43" fontId="2" fillId="0" borderId="3" xfId="1" applyFont="1" applyFill="1" applyBorder="1" applyAlignment="1">
      <alignment vertical="center"/>
    </xf>
    <xf numFmtId="43" fontId="2" fillId="3" borderId="3" xfId="1" applyFont="1" applyFill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9" fontId="2" fillId="0" borderId="0" xfId="3" applyFont="1" applyAlignment="1">
      <alignment vertical="center"/>
    </xf>
    <xf numFmtId="43" fontId="3" fillId="0" borderId="0" xfId="1" applyFont="1" applyBorder="1" applyAlignment="1">
      <alignment horizontal="center" vertical="center" wrapText="1"/>
    </xf>
    <xf numFmtId="0" fontId="5" fillId="0" borderId="0" xfId="0" applyFont="1"/>
    <xf numFmtId="164" fontId="5" fillId="0" borderId="5" xfId="2" applyNumberFormat="1" applyFont="1" applyBorder="1"/>
    <xf numFmtId="164" fontId="5" fillId="0" borderId="0" xfId="2" applyNumberFormat="1" applyFont="1"/>
    <xf numFmtId="164" fontId="5" fillId="0" borderId="0" xfId="0" applyNumberFormat="1" applyFont="1"/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3"/>
    </xf>
    <xf numFmtId="164" fontId="5" fillId="0" borderId="4" xfId="2" applyNumberFormat="1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64" fontId="5" fillId="0" borderId="0" xfId="1" applyNumberFormat="1" applyFont="1"/>
    <xf numFmtId="164" fontId="5" fillId="0" borderId="6" xfId="0" applyNumberFormat="1" applyFont="1" applyBorder="1"/>
    <xf numFmtId="164" fontId="5" fillId="0" borderId="7" xfId="0" applyNumberFormat="1" applyFont="1" applyBorder="1"/>
    <xf numFmtId="165" fontId="5" fillId="0" borderId="0" xfId="1" applyNumberFormat="1" applyFont="1"/>
    <xf numFmtId="0" fontId="6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Rate%20Case%202024\OAG%20First%20Data%20Request\DR%204\Response%20AOG%20First%20Request%204-6.xlsx" TargetMode="External"/><Relationship Id="rId1" Type="http://schemas.openxmlformats.org/officeDocument/2006/relationships/externalLinkPath" Target="/Rate%20Case%202024/OAG%20First%20Data%20Request/DR%204/Response%20AOG%20First%20Request%204-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1"/>
      <sheetName val="2022"/>
      <sheetName val="2023"/>
      <sheetName val="2024"/>
      <sheetName val="Summary"/>
    </sheetNames>
    <sheetDataSet>
      <sheetData sheetId="0"/>
      <sheetData sheetId="1">
        <row r="60">
          <cell r="I60">
            <v>434388.12</v>
          </cell>
        </row>
        <row r="64">
          <cell r="I64">
            <v>1539934.27</v>
          </cell>
        </row>
        <row r="65">
          <cell r="I65">
            <v>1597939.8900000001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611A0-833C-4219-9731-295D42E5A886}">
  <dimension ref="A1:C34"/>
  <sheetViews>
    <sheetView tabSelected="1" workbookViewId="0">
      <selection activeCell="C25" sqref="C25"/>
    </sheetView>
  </sheetViews>
  <sheetFormatPr defaultColWidth="8.7109375" defaultRowHeight="15" x14ac:dyDescent="0.25"/>
  <cols>
    <col min="1" max="1" width="8.7109375" style="25"/>
    <col min="2" max="2" width="41.28515625" style="25" bestFit="1" customWidth="1"/>
    <col min="3" max="3" width="12.5703125" style="25" bestFit="1" customWidth="1"/>
    <col min="4" max="16384" width="8.7109375" style="25"/>
  </cols>
  <sheetData>
    <row r="1" spans="1:3" x14ac:dyDescent="0.25">
      <c r="A1" s="38" t="s">
        <v>86</v>
      </c>
    </row>
    <row r="2" spans="1:3" x14ac:dyDescent="0.25">
      <c r="A2" s="38" t="s">
        <v>87</v>
      </c>
    </row>
    <row r="3" spans="1:3" x14ac:dyDescent="0.25">
      <c r="A3" s="38" t="s">
        <v>88</v>
      </c>
    </row>
    <row r="6" spans="1:3" ht="15.75" thickBot="1" x14ac:dyDescent="0.3">
      <c r="B6" s="25" t="s">
        <v>0</v>
      </c>
      <c r="C6" s="26">
        <v>157854.70000000001</v>
      </c>
    </row>
    <row r="7" spans="1:3" ht="15.75" thickTop="1" x14ac:dyDescent="0.25">
      <c r="C7" s="27"/>
    </row>
    <row r="8" spans="1:3" x14ac:dyDescent="0.25">
      <c r="B8" s="25" t="s">
        <v>81</v>
      </c>
      <c r="C8" s="28"/>
    </row>
    <row r="9" spans="1:3" x14ac:dyDescent="0.25">
      <c r="B9" s="29" t="s">
        <v>1</v>
      </c>
      <c r="C9" s="27">
        <f>'AG 1-4'!K70</f>
        <v>4396.79</v>
      </c>
    </row>
    <row r="10" spans="1:3" x14ac:dyDescent="0.25">
      <c r="B10" s="29" t="s">
        <v>2</v>
      </c>
      <c r="C10" s="37">
        <f>'AG 1-4'!L70</f>
        <v>50289.09</v>
      </c>
    </row>
    <row r="11" spans="1:3" x14ac:dyDescent="0.25">
      <c r="B11" s="29" t="s">
        <v>3</v>
      </c>
      <c r="C11" s="37">
        <f>'AG 1-4'!M70</f>
        <v>18560.760000000002</v>
      </c>
    </row>
    <row r="12" spans="1:3" x14ac:dyDescent="0.25">
      <c r="B12" s="29" t="s">
        <v>4</v>
      </c>
      <c r="C12" s="37">
        <f>'AG 1-4'!O70</f>
        <v>6600</v>
      </c>
    </row>
    <row r="13" spans="1:3" x14ac:dyDescent="0.25">
      <c r="B13" s="29" t="s">
        <v>5</v>
      </c>
      <c r="C13" s="37">
        <f>'AG 1-4'!P70</f>
        <v>67406.439999999988</v>
      </c>
    </row>
    <row r="14" spans="1:3" ht="15.75" thickBot="1" x14ac:dyDescent="0.3">
      <c r="B14" s="30" t="s">
        <v>65</v>
      </c>
      <c r="C14" s="31">
        <f>SUM(C9:C13)</f>
        <v>147253.07999999999</v>
      </c>
    </row>
    <row r="15" spans="1:3" ht="15.75" thickTop="1" x14ac:dyDescent="0.25">
      <c r="B15" s="30"/>
      <c r="C15" s="28"/>
    </row>
    <row r="16" spans="1:3" x14ac:dyDescent="0.25">
      <c r="B16" s="32" t="s">
        <v>69</v>
      </c>
      <c r="C16" s="28">
        <f>C6-C14</f>
        <v>10601.620000000024</v>
      </c>
    </row>
    <row r="17" spans="2:3" x14ac:dyDescent="0.25">
      <c r="B17" s="32"/>
      <c r="C17" s="28"/>
    </row>
    <row r="18" spans="2:3" x14ac:dyDescent="0.25">
      <c r="B18" s="32" t="s">
        <v>78</v>
      </c>
      <c r="C18" s="28"/>
    </row>
    <row r="19" spans="2:3" x14ac:dyDescent="0.25">
      <c r="B19" s="33" t="s">
        <v>70</v>
      </c>
      <c r="C19" s="34">
        <f>-'2024 Other Pay Items'!I56</f>
        <v>-550</v>
      </c>
    </row>
    <row r="20" spans="2:3" x14ac:dyDescent="0.25">
      <c r="B20" s="33" t="s">
        <v>71</v>
      </c>
      <c r="C20" s="37">
        <f>-'2024 Other Pay Items'!J56</f>
        <v>-3500</v>
      </c>
    </row>
    <row r="21" spans="2:3" x14ac:dyDescent="0.25">
      <c r="B21" s="33" t="s">
        <v>72</v>
      </c>
      <c r="C21" s="37">
        <f>-'2024 Other Pay Items'!K56</f>
        <v>-5200</v>
      </c>
    </row>
    <row r="22" spans="2:3" x14ac:dyDescent="0.25">
      <c r="B22" s="33" t="s">
        <v>73</v>
      </c>
      <c r="C22" s="37">
        <f>-'2024 Other Pay Items'!M56</f>
        <v>-1500</v>
      </c>
    </row>
    <row r="23" spans="2:3" x14ac:dyDescent="0.25">
      <c r="B23" s="33" t="s">
        <v>74</v>
      </c>
      <c r="C23" s="37">
        <f>-'2024 Other Pay Items'!L56</f>
        <v>-1730.7899999999997</v>
      </c>
    </row>
    <row r="24" spans="2:3" x14ac:dyDescent="0.25">
      <c r="B24" s="33" t="s">
        <v>77</v>
      </c>
      <c r="C24" s="37">
        <v>278.25</v>
      </c>
    </row>
    <row r="25" spans="2:3" x14ac:dyDescent="0.25">
      <c r="B25" s="33" t="s">
        <v>75</v>
      </c>
      <c r="C25" s="37">
        <v>-157.94</v>
      </c>
    </row>
    <row r="26" spans="2:3" x14ac:dyDescent="0.25">
      <c r="B26" s="33" t="s">
        <v>76</v>
      </c>
      <c r="C26" s="37">
        <v>-2.62</v>
      </c>
    </row>
    <row r="27" spans="2:3" x14ac:dyDescent="0.25">
      <c r="B27" s="29" t="s">
        <v>65</v>
      </c>
      <c r="C27" s="35">
        <f>SUM(C19:C26)</f>
        <v>-12363.1</v>
      </c>
    </row>
    <row r="28" spans="2:3" x14ac:dyDescent="0.25">
      <c r="C28" s="28"/>
    </row>
    <row r="29" spans="2:3" x14ac:dyDescent="0.25">
      <c r="B29" s="32" t="s">
        <v>79</v>
      </c>
      <c r="C29" s="28"/>
    </row>
    <row r="30" spans="2:3" x14ac:dyDescent="0.25">
      <c r="B30" s="33" t="s">
        <v>3</v>
      </c>
      <c r="C30" s="34">
        <v>1737.07</v>
      </c>
    </row>
    <row r="31" spans="2:3" x14ac:dyDescent="0.25">
      <c r="B31" s="33" t="s">
        <v>76</v>
      </c>
      <c r="C31" s="37">
        <v>24.38</v>
      </c>
    </row>
    <row r="32" spans="2:3" x14ac:dyDescent="0.25">
      <c r="B32" s="29" t="s">
        <v>65</v>
      </c>
      <c r="C32" s="35">
        <f>SUM(C30:C31)</f>
        <v>1761.45</v>
      </c>
    </row>
    <row r="34" spans="2:3" ht="15.75" thickBot="1" x14ac:dyDescent="0.3">
      <c r="B34" s="25" t="s">
        <v>80</v>
      </c>
      <c r="C34" s="36">
        <f>C16+C27+C32</f>
        <v>-2.9999999975871106E-2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CB4FC-F5FC-4908-909E-050B41A32B41}">
  <dimension ref="A1:AE75"/>
  <sheetViews>
    <sheetView zoomScaleNormal="100" workbookViewId="0">
      <pane xSplit="1" ySplit="2" topLeftCell="F57" activePane="bottomRight" state="frozen"/>
      <selection pane="topRight" activeCell="C1" sqref="C1"/>
      <selection pane="bottomLeft" activeCell="A3" sqref="A3"/>
      <selection pane="bottomRight" activeCell="I85" sqref="I85"/>
    </sheetView>
  </sheetViews>
  <sheetFormatPr defaultColWidth="9.140625" defaultRowHeight="12" x14ac:dyDescent="0.25"/>
  <cols>
    <col min="1" max="1" width="26.140625" style="1" bestFit="1" customWidth="1"/>
    <col min="2" max="2" width="15.42578125" style="1" bestFit="1" customWidth="1"/>
    <col min="3" max="3" width="12.7109375" style="1" bestFit="1" customWidth="1"/>
    <col min="4" max="4" width="14.42578125" style="1" bestFit="1" customWidth="1"/>
    <col min="5" max="5" width="11.7109375" style="1" customWidth="1"/>
    <col min="6" max="6" width="15.42578125" style="1" customWidth="1"/>
    <col min="7" max="7" width="10.140625" style="1" customWidth="1"/>
    <col min="8" max="8" width="13.85546875" style="1" customWidth="1"/>
    <col min="9" max="9" width="16.140625" style="12" customWidth="1"/>
    <col min="10" max="11" width="14.5703125" style="12" customWidth="1"/>
    <col min="12" max="13" width="14.7109375" style="12" customWidth="1"/>
    <col min="14" max="15" width="11.28515625" style="12" customWidth="1"/>
    <col min="16" max="16" width="11.5703125" style="12" bestFit="1" customWidth="1"/>
    <col min="17" max="17" width="16.140625" style="12" customWidth="1"/>
    <col min="18" max="18" width="12.7109375" style="12" bestFit="1" customWidth="1"/>
    <col min="19" max="19" width="14.5703125" style="12" bestFit="1" customWidth="1"/>
    <col min="20" max="21" width="16.140625" style="12" customWidth="1"/>
    <col min="22" max="22" width="14.7109375" style="12" customWidth="1"/>
    <col min="23" max="26" width="17.85546875" style="12" bestFit="1" customWidth="1"/>
    <col min="27" max="27" width="18.140625" style="11" bestFit="1" customWidth="1"/>
    <col min="28" max="28" width="15.5703125" style="12" bestFit="1" customWidth="1"/>
    <col min="29" max="29" width="14" style="12" hidden="1" customWidth="1"/>
    <col min="30" max="30" width="14" style="12" bestFit="1" customWidth="1"/>
    <col min="31" max="31" width="15.42578125" style="12" bestFit="1" customWidth="1"/>
    <col min="32" max="32" width="23.7109375" style="14" bestFit="1" customWidth="1"/>
    <col min="33" max="33" width="21" style="14" customWidth="1"/>
    <col min="34" max="16384" width="9.140625" style="14"/>
  </cols>
  <sheetData>
    <row r="1" spans="1:31" s="1" customFormat="1" x14ac:dyDescent="0.25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 spans="1:31" s="9" customFormat="1" ht="102" customHeight="1" x14ac:dyDescent="0.25">
      <c r="A2" s="4" t="s">
        <v>6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5" t="s">
        <v>12</v>
      </c>
      <c r="H2" s="5" t="s">
        <v>13</v>
      </c>
      <c r="I2" s="6" t="s">
        <v>14</v>
      </c>
      <c r="J2" s="6" t="s">
        <v>15</v>
      </c>
      <c r="K2" s="6" t="s">
        <v>16</v>
      </c>
      <c r="L2" s="6" t="s">
        <v>17</v>
      </c>
      <c r="M2" s="6" t="s">
        <v>18</v>
      </c>
      <c r="N2" s="6" t="s">
        <v>19</v>
      </c>
      <c r="O2" s="6" t="s">
        <v>20</v>
      </c>
      <c r="P2" s="6" t="s">
        <v>21</v>
      </c>
      <c r="Q2" s="7" t="s">
        <v>22</v>
      </c>
      <c r="R2" s="6" t="s">
        <v>23</v>
      </c>
      <c r="S2" s="6" t="s">
        <v>24</v>
      </c>
      <c r="T2" s="6" t="s">
        <v>25</v>
      </c>
      <c r="U2" s="6" t="s">
        <v>26</v>
      </c>
      <c r="V2" s="6" t="s">
        <v>27</v>
      </c>
      <c r="W2" s="6" t="s">
        <v>28</v>
      </c>
      <c r="X2" s="6" t="s">
        <v>29</v>
      </c>
      <c r="Y2" s="6" t="s">
        <v>30</v>
      </c>
      <c r="Z2" s="6" t="s">
        <v>31</v>
      </c>
      <c r="AA2" s="8" t="s">
        <v>32</v>
      </c>
      <c r="AB2" s="6" t="s">
        <v>33</v>
      </c>
      <c r="AC2" s="6" t="s">
        <v>34</v>
      </c>
    </row>
    <row r="3" spans="1:31" x14ac:dyDescent="0.25">
      <c r="A3" s="1" t="s">
        <v>35</v>
      </c>
      <c r="B3" s="10"/>
      <c r="C3" s="10"/>
      <c r="D3" s="10"/>
      <c r="E3" s="10"/>
      <c r="F3" s="10" t="s">
        <v>36</v>
      </c>
      <c r="G3" s="10" t="s">
        <v>36</v>
      </c>
      <c r="H3" s="10"/>
      <c r="I3" s="11">
        <v>91933.359999999986</v>
      </c>
      <c r="J3" s="12">
        <v>24975.56</v>
      </c>
      <c r="K3" s="12">
        <v>0</v>
      </c>
      <c r="L3" s="12">
        <v>0</v>
      </c>
      <c r="M3" s="12">
        <v>0</v>
      </c>
      <c r="N3" s="12">
        <v>0</v>
      </c>
      <c r="O3" s="12">
        <v>0</v>
      </c>
      <c r="P3" s="11">
        <v>1383.5</v>
      </c>
      <c r="Q3" s="11">
        <f t="shared" ref="Q3:Q34" si="0">SUM(I3:P3)</f>
        <v>118292.41999999998</v>
      </c>
      <c r="R3" s="12">
        <v>0</v>
      </c>
      <c r="S3" s="12">
        <v>19442.160000000003</v>
      </c>
      <c r="T3" s="11">
        <f>26935.32-U3</f>
        <v>23433.72</v>
      </c>
      <c r="U3" s="12">
        <v>3501.6</v>
      </c>
      <c r="V3" s="12">
        <v>1153.68</v>
      </c>
      <c r="W3" s="12">
        <v>0</v>
      </c>
      <c r="X3" s="12">
        <v>349.8</v>
      </c>
      <c r="Y3" s="12">
        <v>455.88</v>
      </c>
      <c r="Z3" s="12">
        <v>24438.6</v>
      </c>
      <c r="AA3" s="11">
        <v>2340.46</v>
      </c>
      <c r="AB3" s="13">
        <f t="shared" ref="AB3:AB55" si="1">S3+AA3+Y3+X3+Z3</f>
        <v>47026.9</v>
      </c>
      <c r="AC3" s="13">
        <f t="shared" ref="AC3:AC55" si="2">U3+V3+W3</f>
        <v>4655.28</v>
      </c>
      <c r="AD3" s="14"/>
      <c r="AE3" s="14"/>
    </row>
    <row r="4" spans="1:31" x14ac:dyDescent="0.25">
      <c r="A4" s="1" t="s">
        <v>37</v>
      </c>
      <c r="B4" s="10"/>
      <c r="C4" s="10"/>
      <c r="D4" s="10"/>
      <c r="E4" s="10"/>
      <c r="F4" s="10" t="s">
        <v>36</v>
      </c>
      <c r="G4" s="10"/>
      <c r="H4" s="10" t="s">
        <v>36</v>
      </c>
      <c r="I4" s="11">
        <v>47602.880000000005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1">
        <v>0</v>
      </c>
      <c r="Q4" s="11">
        <f t="shared" si="0"/>
        <v>47602.880000000005</v>
      </c>
      <c r="R4" s="12">
        <v>0</v>
      </c>
      <c r="S4" s="12">
        <v>16042.44</v>
      </c>
      <c r="T4" s="11">
        <f>8347.44-U4</f>
        <v>7512.72</v>
      </c>
      <c r="U4" s="12">
        <v>834.72</v>
      </c>
      <c r="V4" s="12">
        <v>314.39999999999998</v>
      </c>
      <c r="W4" s="12">
        <v>79.8</v>
      </c>
      <c r="X4" s="12">
        <v>171.12</v>
      </c>
      <c r="Y4" s="12">
        <v>204.71</v>
      </c>
      <c r="Z4" s="12">
        <v>0</v>
      </c>
      <c r="AA4" s="11">
        <v>912.34</v>
      </c>
      <c r="AB4" s="13">
        <f t="shared" si="1"/>
        <v>17330.609999999997</v>
      </c>
      <c r="AC4" s="13">
        <f t="shared" si="2"/>
        <v>1228.9199999999998</v>
      </c>
      <c r="AD4" s="14"/>
      <c r="AE4" s="14"/>
    </row>
    <row r="5" spans="1:31" x14ac:dyDescent="0.25">
      <c r="A5" s="1" t="s">
        <v>38</v>
      </c>
      <c r="B5" s="10" t="s">
        <v>36</v>
      </c>
      <c r="C5" s="10"/>
      <c r="D5" s="10"/>
      <c r="E5" s="10" t="s">
        <v>36</v>
      </c>
      <c r="F5" s="10"/>
      <c r="G5" s="10"/>
      <c r="H5" s="10" t="s">
        <v>36</v>
      </c>
      <c r="I5" s="11">
        <v>200578.57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f>550*12</f>
        <v>6600</v>
      </c>
      <c r="P5" s="11">
        <f>7902.84-O5</f>
        <v>1302.8400000000001</v>
      </c>
      <c r="Q5" s="11">
        <f t="shared" si="0"/>
        <v>208481.41</v>
      </c>
      <c r="R5" s="12">
        <v>52650</v>
      </c>
      <c r="S5" s="12">
        <v>0</v>
      </c>
      <c r="T5" s="11"/>
      <c r="U5" s="12">
        <v>0</v>
      </c>
      <c r="V5" s="12">
        <v>623.88</v>
      </c>
      <c r="W5" s="12">
        <v>0</v>
      </c>
      <c r="X5" s="12">
        <v>764.16</v>
      </c>
      <c r="Y5" s="12">
        <v>1001.76</v>
      </c>
      <c r="Z5" s="12">
        <v>0</v>
      </c>
      <c r="AA5" s="11">
        <v>4586.4799999999996</v>
      </c>
      <c r="AB5" s="13">
        <f t="shared" si="1"/>
        <v>6352.4</v>
      </c>
      <c r="AC5" s="13">
        <f t="shared" si="2"/>
        <v>623.88</v>
      </c>
      <c r="AD5" s="14"/>
      <c r="AE5" s="14"/>
    </row>
    <row r="6" spans="1:31" x14ac:dyDescent="0.25">
      <c r="A6" s="1" t="s">
        <v>37</v>
      </c>
      <c r="B6" s="10"/>
      <c r="C6" s="10"/>
      <c r="D6" s="10"/>
      <c r="E6" s="10"/>
      <c r="F6" s="10" t="s">
        <v>36</v>
      </c>
      <c r="G6" s="10"/>
      <c r="H6" s="10" t="s">
        <v>36</v>
      </c>
      <c r="I6" s="11">
        <v>27649.68</v>
      </c>
      <c r="J6" s="12">
        <v>51.76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1">
        <v>1669.5</v>
      </c>
      <c r="Q6" s="11">
        <f t="shared" si="0"/>
        <v>29370.94</v>
      </c>
      <c r="R6" s="12">
        <v>0</v>
      </c>
      <c r="S6" s="12">
        <v>0</v>
      </c>
      <c r="T6" s="11"/>
      <c r="U6" s="12">
        <v>0</v>
      </c>
      <c r="V6" s="11">
        <v>157.19999999999999</v>
      </c>
      <c r="W6" s="11">
        <v>39.9</v>
      </c>
      <c r="X6" s="12">
        <v>91.26</v>
      </c>
      <c r="Y6" s="12">
        <v>59.73</v>
      </c>
      <c r="Z6" s="12">
        <v>0</v>
      </c>
      <c r="AA6" s="11">
        <v>0</v>
      </c>
      <c r="AB6" s="13">
        <f t="shared" si="1"/>
        <v>150.99</v>
      </c>
      <c r="AC6" s="13">
        <f t="shared" si="2"/>
        <v>197.1</v>
      </c>
      <c r="AD6" s="14"/>
      <c r="AE6" s="14"/>
    </row>
    <row r="7" spans="1:31" x14ac:dyDescent="0.25">
      <c r="A7" s="1" t="s">
        <v>39</v>
      </c>
      <c r="B7" s="10"/>
      <c r="C7" s="10"/>
      <c r="D7" s="10"/>
      <c r="E7" s="10"/>
      <c r="F7" s="10" t="s">
        <v>36</v>
      </c>
      <c r="G7" s="10" t="s">
        <v>36</v>
      </c>
      <c r="H7" s="10"/>
      <c r="I7" s="11">
        <v>89597.15</v>
      </c>
      <c r="J7" s="12">
        <v>25333.91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1">
        <v>1270</v>
      </c>
      <c r="Q7" s="11">
        <f t="shared" si="0"/>
        <v>116201.06</v>
      </c>
      <c r="R7" s="12">
        <v>0</v>
      </c>
      <c r="S7" s="12">
        <v>19442.160000000003</v>
      </c>
      <c r="T7" s="11">
        <f>26935.32-U7</f>
        <v>23433.72</v>
      </c>
      <c r="U7" s="12">
        <v>3501.6</v>
      </c>
      <c r="V7" s="12">
        <v>1153.68</v>
      </c>
      <c r="W7" s="12">
        <v>0</v>
      </c>
      <c r="X7" s="12">
        <v>342.12</v>
      </c>
      <c r="Y7" s="12">
        <v>445.44</v>
      </c>
      <c r="Z7" s="12">
        <v>0</v>
      </c>
      <c r="AA7" s="11">
        <v>13221.77</v>
      </c>
      <c r="AB7" s="13">
        <f t="shared" si="1"/>
        <v>33451.490000000005</v>
      </c>
      <c r="AC7" s="13">
        <f t="shared" si="2"/>
        <v>4655.28</v>
      </c>
      <c r="AD7" s="14"/>
      <c r="AE7" s="14"/>
    </row>
    <row r="8" spans="1:31" x14ac:dyDescent="0.25">
      <c r="A8" s="1" t="s">
        <v>39</v>
      </c>
      <c r="B8" s="10"/>
      <c r="C8" s="10"/>
      <c r="D8" s="10"/>
      <c r="E8" s="10"/>
      <c r="F8" s="10" t="s">
        <v>36</v>
      </c>
      <c r="G8" s="10" t="s">
        <v>36</v>
      </c>
      <c r="H8" s="10"/>
      <c r="I8" s="11">
        <v>81136.19</v>
      </c>
      <c r="J8" s="12">
        <v>24320.23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1">
        <v>1270</v>
      </c>
      <c r="Q8" s="11">
        <f t="shared" si="0"/>
        <v>106726.42</v>
      </c>
      <c r="R8" s="12">
        <v>0</v>
      </c>
      <c r="S8" s="12">
        <v>21858.600000000002</v>
      </c>
      <c r="T8" s="11">
        <f>8347.44-U8</f>
        <v>7262.2800000000007</v>
      </c>
      <c r="U8" s="12">
        <v>1085.1600000000001</v>
      </c>
      <c r="V8" s="12">
        <v>314.39999999999998</v>
      </c>
      <c r="W8" s="12">
        <v>79.8</v>
      </c>
      <c r="X8" s="12">
        <v>292.8</v>
      </c>
      <c r="Y8" s="12">
        <v>382.32</v>
      </c>
      <c r="Z8" s="12">
        <v>0</v>
      </c>
      <c r="AA8" s="11">
        <v>12654.78</v>
      </c>
      <c r="AB8" s="13">
        <f t="shared" si="1"/>
        <v>35188.500000000007</v>
      </c>
      <c r="AC8" s="13">
        <f t="shared" si="2"/>
        <v>1479.36</v>
      </c>
      <c r="AD8" s="14"/>
      <c r="AE8" s="14"/>
    </row>
    <row r="9" spans="1:31" x14ac:dyDescent="0.25">
      <c r="A9" s="1" t="s">
        <v>40</v>
      </c>
      <c r="B9" s="10"/>
      <c r="C9" s="10"/>
      <c r="D9" s="10"/>
      <c r="E9" s="10" t="s">
        <v>36</v>
      </c>
      <c r="F9" s="10"/>
      <c r="G9" s="10"/>
      <c r="H9" s="10" t="s">
        <v>36</v>
      </c>
      <c r="I9" s="11">
        <v>0</v>
      </c>
      <c r="J9" s="11">
        <v>0</v>
      </c>
      <c r="K9" s="11">
        <v>0</v>
      </c>
      <c r="L9" s="11">
        <v>0</v>
      </c>
      <c r="M9" s="12">
        <v>0</v>
      </c>
      <c r="N9" s="11">
        <v>0</v>
      </c>
      <c r="O9" s="12">
        <v>0</v>
      </c>
      <c r="P9" s="11">
        <v>0</v>
      </c>
      <c r="Q9" s="11">
        <f t="shared" si="0"/>
        <v>0</v>
      </c>
      <c r="R9" s="11">
        <v>0</v>
      </c>
      <c r="S9" s="12">
        <v>0</v>
      </c>
      <c r="T9" s="11"/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1">
        <v>0</v>
      </c>
      <c r="AB9" s="13">
        <f t="shared" si="1"/>
        <v>0</v>
      </c>
      <c r="AC9" s="13">
        <f t="shared" si="2"/>
        <v>0</v>
      </c>
      <c r="AD9" s="13"/>
      <c r="AE9" s="14"/>
    </row>
    <row r="10" spans="1:31" x14ac:dyDescent="0.25">
      <c r="A10" s="1" t="s">
        <v>41</v>
      </c>
      <c r="B10" s="10"/>
      <c r="C10" s="10"/>
      <c r="D10" s="10"/>
      <c r="E10" s="10"/>
      <c r="F10" s="10" t="s">
        <v>36</v>
      </c>
      <c r="G10" s="10"/>
      <c r="H10" s="10" t="s">
        <v>36</v>
      </c>
      <c r="I10" s="11">
        <v>17760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1">
        <v>0</v>
      </c>
      <c r="Q10" s="11">
        <f t="shared" si="0"/>
        <v>17760</v>
      </c>
      <c r="R10" s="12">
        <v>0</v>
      </c>
      <c r="S10" s="12">
        <v>0</v>
      </c>
      <c r="T10" s="11"/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1">
        <v>0</v>
      </c>
      <c r="AB10" s="13">
        <f t="shared" si="1"/>
        <v>0</v>
      </c>
      <c r="AC10" s="13">
        <f t="shared" si="2"/>
        <v>0</v>
      </c>
      <c r="AD10" s="14"/>
      <c r="AE10" s="14"/>
    </row>
    <row r="11" spans="1:31" x14ac:dyDescent="0.25">
      <c r="A11" s="1" t="s">
        <v>42</v>
      </c>
      <c r="B11" s="10"/>
      <c r="C11" s="10"/>
      <c r="D11" s="10"/>
      <c r="E11" s="10" t="s">
        <v>36</v>
      </c>
      <c r="F11" s="10"/>
      <c r="G11" s="10"/>
      <c r="H11" s="10" t="s">
        <v>36</v>
      </c>
      <c r="I11" s="11">
        <v>62947.71</v>
      </c>
      <c r="J11" s="12">
        <v>0</v>
      </c>
      <c r="K11" s="12">
        <v>1297.8399999999999</v>
      </c>
      <c r="L11" s="12">
        <v>0</v>
      </c>
      <c r="M11" s="12">
        <v>0</v>
      </c>
      <c r="N11" s="12">
        <v>0</v>
      </c>
      <c r="O11" s="12">
        <v>0</v>
      </c>
      <c r="P11" s="11">
        <v>306.77999999999997</v>
      </c>
      <c r="Q11" s="11">
        <f t="shared" si="0"/>
        <v>64552.329999999994</v>
      </c>
      <c r="R11" s="12">
        <v>0</v>
      </c>
      <c r="S11" s="12">
        <v>6619.2</v>
      </c>
      <c r="T11" s="11">
        <f>8347.44-U11</f>
        <v>7512.72</v>
      </c>
      <c r="U11" s="12">
        <v>834.72</v>
      </c>
      <c r="V11" s="12">
        <v>0</v>
      </c>
      <c r="W11" s="12">
        <v>0</v>
      </c>
      <c r="X11" s="12">
        <v>239.52</v>
      </c>
      <c r="Y11" s="12">
        <v>311.04000000000002</v>
      </c>
      <c r="Z11" s="12">
        <v>16674.48</v>
      </c>
      <c r="AA11" s="11">
        <v>1258.8599999999999</v>
      </c>
      <c r="AB11" s="13">
        <f t="shared" si="1"/>
        <v>25103.1</v>
      </c>
      <c r="AC11" s="13">
        <f t="shared" si="2"/>
        <v>834.72</v>
      </c>
      <c r="AD11" s="14"/>
      <c r="AE11" s="14"/>
    </row>
    <row r="12" spans="1:31" x14ac:dyDescent="0.25">
      <c r="A12" s="1" t="s">
        <v>43</v>
      </c>
      <c r="B12" s="10"/>
      <c r="C12" s="10" t="s">
        <v>36</v>
      </c>
      <c r="D12" s="10"/>
      <c r="E12" s="10" t="s">
        <v>36</v>
      </c>
      <c r="F12" s="10"/>
      <c r="G12" s="10"/>
      <c r="H12" s="10" t="s">
        <v>36</v>
      </c>
      <c r="I12" s="11">
        <v>95604.62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1">
        <v>5505.09</v>
      </c>
      <c r="Q12" s="11">
        <f t="shared" si="0"/>
        <v>101109.70999999999</v>
      </c>
      <c r="R12" s="12">
        <v>0</v>
      </c>
      <c r="S12" s="12">
        <v>0</v>
      </c>
      <c r="T12" s="11"/>
      <c r="U12" s="12">
        <v>0</v>
      </c>
      <c r="V12" s="12">
        <v>0</v>
      </c>
      <c r="W12" s="12">
        <v>0</v>
      </c>
      <c r="X12" s="12">
        <v>361.2</v>
      </c>
      <c r="Y12" s="12">
        <v>474.48</v>
      </c>
      <c r="Z12" s="12">
        <v>0</v>
      </c>
      <c r="AA12" s="11">
        <v>1826.22</v>
      </c>
      <c r="AB12" s="13">
        <f t="shared" si="1"/>
        <v>2661.8999999999996</v>
      </c>
      <c r="AC12" s="13">
        <f t="shared" si="2"/>
        <v>0</v>
      </c>
      <c r="AD12" s="14"/>
      <c r="AE12" s="14"/>
    </row>
    <row r="13" spans="1:31" x14ac:dyDescent="0.25">
      <c r="A13" s="1" t="s">
        <v>44</v>
      </c>
      <c r="B13" s="10"/>
      <c r="C13" s="10"/>
      <c r="D13" s="10"/>
      <c r="E13" s="10" t="s">
        <v>36</v>
      </c>
      <c r="F13" s="10"/>
      <c r="G13" s="10"/>
      <c r="H13" s="10" t="s">
        <v>36</v>
      </c>
      <c r="I13" s="11">
        <f>61966.98-M13</f>
        <v>59927.740000000005</v>
      </c>
      <c r="J13" s="12">
        <v>0</v>
      </c>
      <c r="K13" s="12">
        <v>0</v>
      </c>
      <c r="L13" s="12">
        <v>5000.0600000000004</v>
      </c>
      <c r="M13" s="12">
        <v>2039.24</v>
      </c>
      <c r="N13" s="12">
        <v>0</v>
      </c>
      <c r="O13" s="12">
        <v>0</v>
      </c>
      <c r="P13" s="11">
        <v>1302.8399999999999</v>
      </c>
      <c r="Q13" s="11">
        <f t="shared" si="0"/>
        <v>68269.88</v>
      </c>
      <c r="R13" s="12">
        <v>0</v>
      </c>
      <c r="S13" s="12">
        <v>13548.119999999999</v>
      </c>
      <c r="T13" s="11">
        <f>17796-U13</f>
        <v>16016.4</v>
      </c>
      <c r="U13" s="12">
        <v>1779.6</v>
      </c>
      <c r="V13" s="12">
        <v>708</v>
      </c>
      <c r="W13" s="12">
        <v>222.6</v>
      </c>
      <c r="X13" s="12">
        <v>228.12</v>
      </c>
      <c r="Y13" s="12">
        <v>296.27999999999997</v>
      </c>
      <c r="Z13" s="12">
        <v>0</v>
      </c>
      <c r="AA13" s="11">
        <v>8036.06</v>
      </c>
      <c r="AB13" s="13">
        <f t="shared" si="1"/>
        <v>22108.579999999998</v>
      </c>
      <c r="AC13" s="13">
        <f t="shared" si="2"/>
        <v>2710.2</v>
      </c>
      <c r="AD13" s="14"/>
      <c r="AE13" s="14"/>
    </row>
    <row r="14" spans="1:31" x14ac:dyDescent="0.25">
      <c r="A14" s="1" t="s">
        <v>40</v>
      </c>
      <c r="B14" s="10"/>
      <c r="C14" s="10"/>
      <c r="D14" s="10"/>
      <c r="E14" s="10"/>
      <c r="F14" s="10" t="s">
        <v>36</v>
      </c>
      <c r="G14" s="10"/>
      <c r="H14" s="10" t="s">
        <v>36</v>
      </c>
      <c r="I14" s="11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1">
        <v>0</v>
      </c>
      <c r="Q14" s="11">
        <f t="shared" si="0"/>
        <v>0</v>
      </c>
      <c r="R14" s="12">
        <v>0</v>
      </c>
      <c r="S14" s="12">
        <v>0</v>
      </c>
      <c r="T14" s="11"/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1">
        <v>0</v>
      </c>
      <c r="AB14" s="13">
        <f t="shared" si="1"/>
        <v>0</v>
      </c>
      <c r="AC14" s="13">
        <f t="shared" si="2"/>
        <v>0</v>
      </c>
      <c r="AD14" s="14"/>
      <c r="AE14" s="14"/>
    </row>
    <row r="15" spans="1:31" x14ac:dyDescent="0.25">
      <c r="A15" s="1" t="s">
        <v>39</v>
      </c>
      <c r="B15" s="10"/>
      <c r="C15" s="10"/>
      <c r="D15" s="10"/>
      <c r="E15" s="10"/>
      <c r="F15" s="10" t="s">
        <v>36</v>
      </c>
      <c r="G15" s="10" t="s">
        <v>36</v>
      </c>
      <c r="H15" s="10"/>
      <c r="I15" s="11">
        <v>89741.01</v>
      </c>
      <c r="J15" s="12">
        <v>26015.010000000002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1">
        <v>1270</v>
      </c>
      <c r="Q15" s="11">
        <f t="shared" si="0"/>
        <v>117026.01999999999</v>
      </c>
      <c r="R15" s="12">
        <v>0</v>
      </c>
      <c r="S15" s="12">
        <v>19442.160000000003</v>
      </c>
      <c r="T15" s="11">
        <f>26935.32-U15</f>
        <v>23433.72</v>
      </c>
      <c r="U15" s="12">
        <v>3501.6</v>
      </c>
      <c r="V15" s="12">
        <v>1153.68</v>
      </c>
      <c r="W15" s="12">
        <v>222.6</v>
      </c>
      <c r="X15" s="12">
        <v>342.12</v>
      </c>
      <c r="Y15" s="12">
        <v>445.44</v>
      </c>
      <c r="Z15" s="12">
        <v>0</v>
      </c>
      <c r="AA15" s="11">
        <v>13890.75</v>
      </c>
      <c r="AB15" s="13">
        <f t="shared" si="1"/>
        <v>34120.470000000008</v>
      </c>
      <c r="AC15" s="13">
        <f t="shared" si="2"/>
        <v>4877.88</v>
      </c>
      <c r="AD15" s="14"/>
      <c r="AE15" s="14"/>
    </row>
    <row r="16" spans="1:31" x14ac:dyDescent="0.25">
      <c r="A16" s="1" t="s">
        <v>45</v>
      </c>
      <c r="B16" s="10"/>
      <c r="C16" s="10" t="s">
        <v>36</v>
      </c>
      <c r="D16" s="10"/>
      <c r="E16" s="10" t="s">
        <v>36</v>
      </c>
      <c r="F16" s="10"/>
      <c r="G16" s="10"/>
      <c r="H16" s="10" t="s">
        <v>36</v>
      </c>
      <c r="I16" s="11">
        <f>132954.82-M16</f>
        <v>127532.31000000001</v>
      </c>
      <c r="J16" s="12">
        <v>0</v>
      </c>
      <c r="K16" s="12">
        <v>0</v>
      </c>
      <c r="L16" s="12">
        <v>5000.0600000000004</v>
      </c>
      <c r="M16" s="12">
        <f>5422.51</f>
        <v>5422.51</v>
      </c>
      <c r="N16" s="12">
        <v>0</v>
      </c>
      <c r="O16" s="12">
        <v>0</v>
      </c>
      <c r="P16" s="11">
        <v>1952.84</v>
      </c>
      <c r="Q16" s="11">
        <f t="shared" si="0"/>
        <v>139907.72000000003</v>
      </c>
      <c r="R16" s="12">
        <v>0</v>
      </c>
      <c r="S16" s="12">
        <v>20250.240000000002</v>
      </c>
      <c r="T16" s="11">
        <f>26935.32-U16</f>
        <v>24241.8</v>
      </c>
      <c r="U16" s="12">
        <v>2693.52</v>
      </c>
      <c r="V16" s="12">
        <v>1153.68</v>
      </c>
      <c r="W16" s="11">
        <v>222.6</v>
      </c>
      <c r="X16" s="12">
        <v>482.88</v>
      </c>
      <c r="Y16" s="12">
        <v>632.88</v>
      </c>
      <c r="Z16" s="12">
        <v>33925.08</v>
      </c>
      <c r="AA16" s="11">
        <v>2759.1</v>
      </c>
      <c r="AB16" s="13">
        <f t="shared" si="1"/>
        <v>58050.180000000008</v>
      </c>
      <c r="AC16" s="13">
        <f t="shared" si="2"/>
        <v>4069.7999999999997</v>
      </c>
      <c r="AD16" s="13"/>
      <c r="AE16" s="14"/>
    </row>
    <row r="17" spans="1:31" x14ac:dyDescent="0.25">
      <c r="A17" s="1" t="s">
        <v>44</v>
      </c>
      <c r="B17" s="10"/>
      <c r="C17" s="10"/>
      <c r="D17" s="10"/>
      <c r="E17" s="10" t="s">
        <v>36</v>
      </c>
      <c r="F17" s="10"/>
      <c r="G17" s="10"/>
      <c r="H17" s="10" t="s">
        <v>36</v>
      </c>
      <c r="I17" s="11">
        <f>63145.33-M17</f>
        <v>62622.450000000004</v>
      </c>
      <c r="J17" s="12">
        <v>0</v>
      </c>
      <c r="K17" s="12">
        <v>1267</v>
      </c>
      <c r="L17" s="12">
        <v>5000.0600000000004</v>
      </c>
      <c r="M17" s="12">
        <v>522.88</v>
      </c>
      <c r="N17" s="12">
        <v>0</v>
      </c>
      <c r="O17" s="12">
        <v>0</v>
      </c>
      <c r="P17" s="11">
        <v>1302.8399999999999</v>
      </c>
      <c r="Q17" s="11">
        <f t="shared" si="0"/>
        <v>70715.23000000001</v>
      </c>
      <c r="R17" s="12">
        <v>0</v>
      </c>
      <c r="S17" s="12">
        <v>14911.68</v>
      </c>
      <c r="T17" s="11">
        <f>19655.4-U17</f>
        <v>17689.920000000002</v>
      </c>
      <c r="U17" s="12">
        <v>1965.48</v>
      </c>
      <c r="V17" s="12">
        <v>623.88</v>
      </c>
      <c r="W17" s="12">
        <v>0</v>
      </c>
      <c r="X17" s="12">
        <v>239.52</v>
      </c>
      <c r="Y17" s="12">
        <v>310.44</v>
      </c>
      <c r="Z17" s="12">
        <v>16637.04</v>
      </c>
      <c r="AA17" s="11">
        <v>1362.87</v>
      </c>
      <c r="AB17" s="13">
        <f t="shared" si="1"/>
        <v>33461.550000000003</v>
      </c>
      <c r="AC17" s="13">
        <f t="shared" si="2"/>
        <v>2589.36</v>
      </c>
      <c r="AD17" s="14"/>
      <c r="AE17" s="14"/>
    </row>
    <row r="18" spans="1:31" x14ac:dyDescent="0.25">
      <c r="A18" s="1" t="s">
        <v>46</v>
      </c>
      <c r="B18" s="10"/>
      <c r="C18" s="10"/>
      <c r="D18" s="10"/>
      <c r="E18" s="10" t="s">
        <v>36</v>
      </c>
      <c r="F18" s="10"/>
      <c r="G18" s="10"/>
      <c r="H18" s="10" t="s">
        <v>36</v>
      </c>
      <c r="I18" s="11">
        <v>54025.57</v>
      </c>
      <c r="J18" s="12">
        <v>964.88</v>
      </c>
      <c r="K18" s="12">
        <v>0</v>
      </c>
      <c r="L18" s="12">
        <v>5000.0600000000004</v>
      </c>
      <c r="M18" s="12">
        <v>0</v>
      </c>
      <c r="N18" s="12">
        <v>0</v>
      </c>
      <c r="O18" s="12">
        <v>0</v>
      </c>
      <c r="P18" s="11">
        <v>5460.38</v>
      </c>
      <c r="Q18" s="11">
        <f t="shared" si="0"/>
        <v>65450.889999999992</v>
      </c>
      <c r="R18" s="12">
        <v>0</v>
      </c>
      <c r="S18" s="12">
        <v>0</v>
      </c>
      <c r="T18" s="11"/>
      <c r="U18" s="12">
        <v>0</v>
      </c>
      <c r="V18" s="12">
        <v>0</v>
      </c>
      <c r="W18" s="12">
        <v>0</v>
      </c>
      <c r="X18" s="12">
        <v>205.32</v>
      </c>
      <c r="Y18" s="12">
        <v>267.36</v>
      </c>
      <c r="Z18" s="12">
        <v>0</v>
      </c>
      <c r="AA18" s="11">
        <v>7198.97</v>
      </c>
      <c r="AB18" s="13">
        <f t="shared" si="1"/>
        <v>7671.65</v>
      </c>
      <c r="AC18" s="13">
        <f t="shared" si="2"/>
        <v>0</v>
      </c>
      <c r="AD18" s="14"/>
      <c r="AE18" s="14"/>
    </row>
    <row r="19" spans="1:31" x14ac:dyDescent="0.25">
      <c r="A19" s="1" t="s">
        <v>47</v>
      </c>
      <c r="B19" s="10"/>
      <c r="C19" s="10"/>
      <c r="D19" s="10" t="s">
        <v>36</v>
      </c>
      <c r="E19" s="10" t="s">
        <v>36</v>
      </c>
      <c r="F19" s="10"/>
      <c r="G19" s="10"/>
      <c r="H19" s="10" t="s">
        <v>36</v>
      </c>
      <c r="I19" s="11">
        <f>103560.03-M19</f>
        <v>102024.68</v>
      </c>
      <c r="J19" s="12">
        <v>0</v>
      </c>
      <c r="K19" s="12">
        <v>0</v>
      </c>
      <c r="L19" s="12">
        <v>5000.0600000000004</v>
      </c>
      <c r="M19" s="12">
        <v>1535.35</v>
      </c>
      <c r="N19" s="12">
        <v>0</v>
      </c>
      <c r="O19" s="12">
        <v>0</v>
      </c>
      <c r="P19" s="11">
        <v>1952.84</v>
      </c>
      <c r="Q19" s="11">
        <f t="shared" si="0"/>
        <v>110512.93</v>
      </c>
      <c r="R19" s="12">
        <v>0</v>
      </c>
      <c r="S19" s="12">
        <v>14911.68</v>
      </c>
      <c r="T19" s="11">
        <f>19655.4-U19</f>
        <v>17689.920000000002</v>
      </c>
      <c r="U19" s="12">
        <v>1965.48</v>
      </c>
      <c r="V19" s="12">
        <v>0</v>
      </c>
      <c r="W19" s="12">
        <v>0</v>
      </c>
      <c r="X19" s="12">
        <v>387.84</v>
      </c>
      <c r="Y19" s="12">
        <v>506.28</v>
      </c>
      <c r="Z19" s="12">
        <v>0</v>
      </c>
      <c r="AA19" s="11">
        <v>2171.16</v>
      </c>
      <c r="AB19" s="13">
        <f t="shared" si="1"/>
        <v>17976.96</v>
      </c>
      <c r="AC19" s="13">
        <f t="shared" si="2"/>
        <v>1965.48</v>
      </c>
      <c r="AD19" s="13"/>
      <c r="AE19" s="14"/>
    </row>
    <row r="20" spans="1:31" x14ac:dyDescent="0.25">
      <c r="A20" s="1" t="s">
        <v>40</v>
      </c>
      <c r="B20" s="10"/>
      <c r="C20" s="10"/>
      <c r="D20" s="10"/>
      <c r="E20" s="10"/>
      <c r="F20" s="10" t="s">
        <v>36</v>
      </c>
      <c r="G20" s="10" t="s">
        <v>36</v>
      </c>
      <c r="H20" s="10"/>
      <c r="I20" s="11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1">
        <v>0</v>
      </c>
      <c r="Q20" s="11">
        <f t="shared" si="0"/>
        <v>0</v>
      </c>
      <c r="R20" s="12">
        <v>0</v>
      </c>
      <c r="S20" s="12">
        <v>0</v>
      </c>
      <c r="T20" s="11"/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1">
        <v>0</v>
      </c>
      <c r="AB20" s="13">
        <f t="shared" si="1"/>
        <v>0</v>
      </c>
      <c r="AC20" s="13">
        <f t="shared" si="2"/>
        <v>0</v>
      </c>
      <c r="AD20" s="14"/>
      <c r="AE20" s="14"/>
    </row>
    <row r="21" spans="1:31" x14ac:dyDescent="0.25">
      <c r="A21" s="1" t="s">
        <v>48</v>
      </c>
      <c r="B21" s="10"/>
      <c r="C21" s="10"/>
      <c r="D21" s="10"/>
      <c r="E21" s="10"/>
      <c r="F21" s="10" t="s">
        <v>36</v>
      </c>
      <c r="G21" s="10"/>
      <c r="H21" s="10" t="s">
        <v>36</v>
      </c>
      <c r="I21" s="11">
        <v>47285.75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1">
        <v>217.14</v>
      </c>
      <c r="Q21" s="11">
        <f t="shared" si="0"/>
        <v>47502.89</v>
      </c>
      <c r="R21" s="12">
        <v>0</v>
      </c>
      <c r="S21" s="12">
        <v>13548.119999999999</v>
      </c>
      <c r="T21" s="11">
        <f>17796-U21</f>
        <v>16016.4</v>
      </c>
      <c r="U21" s="12">
        <v>1779.6</v>
      </c>
      <c r="V21" s="12">
        <v>708</v>
      </c>
      <c r="W21" s="12">
        <v>151.56</v>
      </c>
      <c r="X21" s="12">
        <v>182.52</v>
      </c>
      <c r="Y21" s="12">
        <v>234.72</v>
      </c>
      <c r="Z21" s="12">
        <v>0</v>
      </c>
      <c r="AA21" s="11">
        <v>5674.29</v>
      </c>
      <c r="AB21" s="13">
        <f t="shared" si="1"/>
        <v>19639.650000000001</v>
      </c>
      <c r="AC21" s="13">
        <f t="shared" si="2"/>
        <v>2639.16</v>
      </c>
      <c r="AD21" s="14"/>
      <c r="AE21" s="14"/>
    </row>
    <row r="22" spans="1:31" x14ac:dyDescent="0.25">
      <c r="A22" s="1" t="s">
        <v>40</v>
      </c>
      <c r="B22" s="10"/>
      <c r="C22" s="10"/>
      <c r="D22" s="10"/>
      <c r="E22" s="10" t="s">
        <v>36</v>
      </c>
      <c r="F22" s="10"/>
      <c r="G22" s="10"/>
      <c r="H22" s="10" t="s">
        <v>36</v>
      </c>
      <c r="I22" s="1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1">
        <v>0</v>
      </c>
      <c r="Q22" s="11">
        <f t="shared" si="0"/>
        <v>0</v>
      </c>
      <c r="R22" s="12">
        <v>0</v>
      </c>
      <c r="S22" s="12">
        <v>0</v>
      </c>
      <c r="T22" s="11"/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1">
        <v>0</v>
      </c>
      <c r="AB22" s="13">
        <f t="shared" si="1"/>
        <v>0</v>
      </c>
      <c r="AC22" s="13">
        <f t="shared" si="2"/>
        <v>0</v>
      </c>
      <c r="AD22" s="14"/>
      <c r="AE22" s="14"/>
    </row>
    <row r="23" spans="1:31" x14ac:dyDescent="0.25">
      <c r="A23" s="1" t="s">
        <v>40</v>
      </c>
      <c r="B23" s="10"/>
      <c r="C23" s="10"/>
      <c r="D23" s="10"/>
      <c r="E23" s="10"/>
      <c r="F23" s="10" t="s">
        <v>36</v>
      </c>
      <c r="G23" s="10"/>
      <c r="H23" s="10" t="s">
        <v>36</v>
      </c>
      <c r="I23" s="1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1">
        <v>0</v>
      </c>
      <c r="Q23" s="11">
        <f t="shared" si="0"/>
        <v>0</v>
      </c>
      <c r="R23" s="12">
        <v>0</v>
      </c>
      <c r="S23" s="12">
        <v>0</v>
      </c>
      <c r="T23" s="11"/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1">
        <v>0</v>
      </c>
      <c r="AB23" s="13">
        <f t="shared" si="1"/>
        <v>0</v>
      </c>
      <c r="AC23" s="13">
        <f t="shared" si="2"/>
        <v>0</v>
      </c>
      <c r="AD23" s="14"/>
      <c r="AE23" s="14"/>
    </row>
    <row r="24" spans="1:31" x14ac:dyDescent="0.25">
      <c r="A24" s="1" t="s">
        <v>49</v>
      </c>
      <c r="B24" s="10"/>
      <c r="C24" s="10"/>
      <c r="D24" s="10"/>
      <c r="E24" s="10"/>
      <c r="F24" s="10" t="s">
        <v>36</v>
      </c>
      <c r="G24" s="10"/>
      <c r="H24" s="10" t="s">
        <v>36</v>
      </c>
      <c r="I24" s="11">
        <v>54732.639999999999</v>
      </c>
      <c r="J24" s="12">
        <v>400.28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1">
        <v>3813.51</v>
      </c>
      <c r="Q24" s="11">
        <f t="shared" si="0"/>
        <v>58946.43</v>
      </c>
      <c r="R24" s="12">
        <v>0</v>
      </c>
      <c r="S24" s="12">
        <v>0</v>
      </c>
      <c r="T24" s="11"/>
      <c r="U24" s="12">
        <v>0</v>
      </c>
      <c r="V24" s="12">
        <v>0</v>
      </c>
      <c r="W24" s="12">
        <v>0</v>
      </c>
      <c r="X24" s="12">
        <v>190.08</v>
      </c>
      <c r="Y24" s="12">
        <v>246.36</v>
      </c>
      <c r="Z24" s="12">
        <v>0</v>
      </c>
      <c r="AA24" s="11">
        <v>6615.96</v>
      </c>
      <c r="AB24" s="13">
        <f t="shared" si="1"/>
        <v>7052.4</v>
      </c>
      <c r="AC24" s="13">
        <f t="shared" si="2"/>
        <v>0</v>
      </c>
      <c r="AD24" s="14"/>
      <c r="AE24" s="14"/>
    </row>
    <row r="25" spans="1:31" x14ac:dyDescent="0.25">
      <c r="A25" s="1" t="s">
        <v>39</v>
      </c>
      <c r="B25" s="10"/>
      <c r="C25" s="10"/>
      <c r="D25" s="10"/>
      <c r="E25" s="10"/>
      <c r="F25" s="10" t="s">
        <v>36</v>
      </c>
      <c r="G25" s="10" t="s">
        <v>36</v>
      </c>
      <c r="H25" s="10"/>
      <c r="I25" s="11">
        <v>83776.320000000007</v>
      </c>
      <c r="J25" s="12">
        <v>30171.51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1">
        <v>1604.96</v>
      </c>
      <c r="Q25" s="11">
        <f t="shared" si="0"/>
        <v>115552.79000000001</v>
      </c>
      <c r="R25" s="12">
        <v>0</v>
      </c>
      <c r="S25" s="12">
        <v>19442.160000000003</v>
      </c>
      <c r="T25" s="11">
        <f>26935.32-U25</f>
        <v>23433.72</v>
      </c>
      <c r="U25" s="12">
        <v>3501.6</v>
      </c>
      <c r="V25" s="12">
        <v>1153.68</v>
      </c>
      <c r="W25" s="12">
        <v>222.6</v>
      </c>
      <c r="X25" s="12">
        <v>311.76</v>
      </c>
      <c r="Y25" s="12">
        <v>408.96</v>
      </c>
      <c r="Z25" s="12">
        <v>0</v>
      </c>
      <c r="AA25" s="11">
        <v>13673.74</v>
      </c>
      <c r="AB25" s="13">
        <f t="shared" si="1"/>
        <v>33836.620000000003</v>
      </c>
      <c r="AC25" s="13">
        <f t="shared" si="2"/>
        <v>4877.88</v>
      </c>
      <c r="AD25" s="14"/>
      <c r="AE25" s="14"/>
    </row>
    <row r="26" spans="1:31" x14ac:dyDescent="0.25">
      <c r="A26" s="1" t="s">
        <v>39</v>
      </c>
      <c r="B26" s="10"/>
      <c r="C26" s="10"/>
      <c r="D26" s="10"/>
      <c r="E26" s="10"/>
      <c r="F26" s="10" t="s">
        <v>36</v>
      </c>
      <c r="G26" s="10" t="s">
        <v>36</v>
      </c>
      <c r="H26" s="10"/>
      <c r="I26" s="11">
        <v>35359.769999999997</v>
      </c>
      <c r="J26" s="12">
        <v>13220.670000000002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1">
        <v>412.75</v>
      </c>
      <c r="Q26" s="11">
        <f t="shared" si="0"/>
        <v>48993.19</v>
      </c>
      <c r="R26" s="12">
        <v>0</v>
      </c>
      <c r="S26" s="12">
        <v>6480.72</v>
      </c>
      <c r="T26" s="11">
        <f>8978.44-U26</f>
        <v>7811.2400000000007</v>
      </c>
      <c r="U26" s="12">
        <v>1167.2</v>
      </c>
      <c r="V26" s="12">
        <v>384.56</v>
      </c>
      <c r="W26" s="12">
        <v>74.2</v>
      </c>
      <c r="X26" s="12">
        <v>114.04</v>
      </c>
      <c r="Y26" s="12">
        <v>148.47999999999999</v>
      </c>
      <c r="Z26" s="12">
        <v>0</v>
      </c>
      <c r="AA26" s="11">
        <v>5829.66</v>
      </c>
      <c r="AB26" s="13">
        <f t="shared" si="1"/>
        <v>12572.900000000001</v>
      </c>
      <c r="AC26" s="13">
        <f t="shared" si="2"/>
        <v>1625.96</v>
      </c>
      <c r="AD26" s="13"/>
      <c r="AE26" s="14"/>
    </row>
    <row r="27" spans="1:31" x14ac:dyDescent="0.25">
      <c r="A27" s="1" t="s">
        <v>50</v>
      </c>
      <c r="B27" s="10"/>
      <c r="C27" s="10" t="s">
        <v>36</v>
      </c>
      <c r="D27" s="10"/>
      <c r="E27" s="10" t="s">
        <v>36</v>
      </c>
      <c r="F27" s="10"/>
      <c r="G27" s="10"/>
      <c r="H27" s="10" t="s">
        <v>36</v>
      </c>
      <c r="I27" s="11">
        <f>102315.21-M27</f>
        <v>98169.21</v>
      </c>
      <c r="J27" s="12">
        <v>0</v>
      </c>
      <c r="K27" s="12">
        <v>0</v>
      </c>
      <c r="L27" s="12">
        <v>4807.75</v>
      </c>
      <c r="M27" s="12">
        <v>4146</v>
      </c>
      <c r="N27" s="12">
        <v>0</v>
      </c>
      <c r="O27" s="12">
        <v>0</v>
      </c>
      <c r="P27" s="11">
        <v>1733.85</v>
      </c>
      <c r="Q27" s="11">
        <f t="shared" si="0"/>
        <v>108856.81000000001</v>
      </c>
      <c r="R27" s="12">
        <v>0</v>
      </c>
      <c r="S27" s="12">
        <v>20362.47</v>
      </c>
      <c r="T27" s="11">
        <f>26935.32-U27</f>
        <v>24241.8</v>
      </c>
      <c r="U27" s="12">
        <f>2581.29+112.23</f>
        <v>2693.52</v>
      </c>
      <c r="V27" s="12">
        <v>1105.6099999999999</v>
      </c>
      <c r="W27" s="12">
        <v>213.33</v>
      </c>
      <c r="X27" s="12">
        <v>391.56</v>
      </c>
      <c r="Y27" s="12">
        <v>509.76</v>
      </c>
      <c r="Z27" s="12">
        <v>0</v>
      </c>
      <c r="AA27" s="11">
        <v>12386.55</v>
      </c>
      <c r="AB27" s="13">
        <f t="shared" si="1"/>
        <v>33650.339999999997</v>
      </c>
      <c r="AC27" s="13">
        <f t="shared" si="2"/>
        <v>4012.46</v>
      </c>
      <c r="AD27" s="14"/>
      <c r="AE27" s="14"/>
    </row>
    <row r="28" spans="1:31" x14ac:dyDescent="0.25">
      <c r="A28" s="1" t="s">
        <v>51</v>
      </c>
      <c r="B28" s="10"/>
      <c r="C28" s="10" t="s">
        <v>36</v>
      </c>
      <c r="D28" s="10"/>
      <c r="E28" s="10" t="s">
        <v>36</v>
      </c>
      <c r="F28" s="10"/>
      <c r="G28" s="10"/>
      <c r="H28" s="10" t="s">
        <v>36</v>
      </c>
      <c r="I28" s="11">
        <v>91299.14</v>
      </c>
      <c r="J28" s="12">
        <v>0</v>
      </c>
      <c r="K28" s="12">
        <v>1831.95</v>
      </c>
      <c r="L28" s="12">
        <v>5000.0600000000004</v>
      </c>
      <c r="M28" s="12">
        <v>0</v>
      </c>
      <c r="N28" s="12">
        <v>0</v>
      </c>
      <c r="O28" s="12">
        <v>0</v>
      </c>
      <c r="P28" s="11">
        <v>1744.05</v>
      </c>
      <c r="Q28" s="11">
        <f t="shared" si="0"/>
        <v>99875.199999999997</v>
      </c>
      <c r="R28" s="12">
        <v>0</v>
      </c>
      <c r="S28" s="12">
        <v>6619.2</v>
      </c>
      <c r="T28" s="11">
        <f>8347.44-U28</f>
        <v>7512.72</v>
      </c>
      <c r="U28" s="12">
        <v>834.72</v>
      </c>
      <c r="V28" s="12">
        <v>623.88</v>
      </c>
      <c r="W28" s="12">
        <v>151.56</v>
      </c>
      <c r="X28" s="12">
        <v>345.96</v>
      </c>
      <c r="Y28" s="12">
        <v>453.12</v>
      </c>
      <c r="Z28" s="12">
        <v>0</v>
      </c>
      <c r="AA28" s="11">
        <v>1925.9</v>
      </c>
      <c r="AB28" s="13">
        <f t="shared" si="1"/>
        <v>9344.18</v>
      </c>
      <c r="AC28" s="13">
        <f t="shared" si="2"/>
        <v>1610.1599999999999</v>
      </c>
      <c r="AD28" s="14"/>
      <c r="AE28" s="14"/>
    </row>
    <row r="29" spans="1:31" x14ac:dyDescent="0.25">
      <c r="A29" s="1" t="s">
        <v>52</v>
      </c>
      <c r="B29" s="10"/>
      <c r="C29" s="10"/>
      <c r="D29" s="10"/>
      <c r="E29" s="10"/>
      <c r="F29" s="10" t="s">
        <v>36</v>
      </c>
      <c r="G29" s="10"/>
      <c r="H29" s="10" t="s">
        <v>36</v>
      </c>
      <c r="I29" s="11">
        <v>62674.189999999995</v>
      </c>
      <c r="J29" s="12">
        <v>381.95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1">
        <v>247.26999999999998</v>
      </c>
      <c r="Q29" s="11">
        <f t="shared" si="0"/>
        <v>63303.409999999989</v>
      </c>
      <c r="R29" s="12">
        <v>0</v>
      </c>
      <c r="S29" s="12">
        <v>6619.2</v>
      </c>
      <c r="T29" s="11">
        <f>8347.44-U29</f>
        <v>7512.72</v>
      </c>
      <c r="U29" s="12">
        <v>834.72</v>
      </c>
      <c r="V29" s="12">
        <v>314.39999999999998</v>
      </c>
      <c r="W29" s="12">
        <v>151.56</v>
      </c>
      <c r="X29" s="12">
        <v>235.8</v>
      </c>
      <c r="Y29" s="12">
        <v>309.60000000000002</v>
      </c>
      <c r="Z29" s="12">
        <v>0</v>
      </c>
      <c r="AA29" s="11">
        <v>6180.81</v>
      </c>
      <c r="AB29" s="13">
        <f t="shared" si="1"/>
        <v>13345.41</v>
      </c>
      <c r="AC29" s="13">
        <f t="shared" si="2"/>
        <v>1300.6799999999998</v>
      </c>
      <c r="AD29" s="14"/>
      <c r="AE29" s="14"/>
    </row>
    <row r="30" spans="1:31" x14ac:dyDescent="0.25">
      <c r="A30" s="1" t="s">
        <v>35</v>
      </c>
      <c r="B30" s="10"/>
      <c r="C30" s="10"/>
      <c r="D30" s="10"/>
      <c r="E30" s="10"/>
      <c r="F30" s="10" t="s">
        <v>36</v>
      </c>
      <c r="G30" s="10" t="s">
        <v>36</v>
      </c>
      <c r="H30" s="10"/>
      <c r="I30" s="11">
        <v>91629.14</v>
      </c>
      <c r="J30" s="12">
        <v>35464.89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1">
        <v>1845.6399999999999</v>
      </c>
      <c r="Q30" s="11">
        <f t="shared" si="0"/>
        <v>128939.67</v>
      </c>
      <c r="R30" s="12">
        <v>0</v>
      </c>
      <c r="S30" s="12">
        <v>19442.160000000003</v>
      </c>
      <c r="T30" s="11">
        <f>26935.32-U30</f>
        <v>23433.72</v>
      </c>
      <c r="U30" s="12">
        <v>3501.6</v>
      </c>
      <c r="V30" s="12">
        <v>1153.68</v>
      </c>
      <c r="W30" s="12">
        <v>0</v>
      </c>
      <c r="X30" s="12">
        <v>349.8</v>
      </c>
      <c r="Y30" s="12">
        <v>455.88</v>
      </c>
      <c r="Z30" s="12">
        <v>0</v>
      </c>
      <c r="AA30" s="11">
        <v>15251.3</v>
      </c>
      <c r="AB30" s="13">
        <f t="shared" si="1"/>
        <v>35499.140000000007</v>
      </c>
      <c r="AC30" s="13">
        <f t="shared" si="2"/>
        <v>4655.28</v>
      </c>
      <c r="AD30" s="14"/>
      <c r="AE30" s="14"/>
    </row>
    <row r="31" spans="1:31" x14ac:dyDescent="0.25">
      <c r="A31" s="1" t="s">
        <v>40</v>
      </c>
      <c r="B31" s="10"/>
      <c r="C31" s="10"/>
      <c r="D31" s="10" t="s">
        <v>36</v>
      </c>
      <c r="E31" s="10" t="s">
        <v>36</v>
      </c>
      <c r="F31" s="10"/>
      <c r="G31" s="10"/>
      <c r="H31" s="10" t="s">
        <v>36</v>
      </c>
      <c r="I31" s="11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1">
        <v>0</v>
      </c>
      <c r="Q31" s="11">
        <f t="shared" si="0"/>
        <v>0</v>
      </c>
      <c r="R31" s="12">
        <v>0</v>
      </c>
      <c r="S31" s="12">
        <v>0</v>
      </c>
      <c r="T31" s="11"/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1">
        <v>0</v>
      </c>
      <c r="AB31" s="13">
        <f t="shared" si="1"/>
        <v>0</v>
      </c>
      <c r="AC31" s="13">
        <f t="shared" si="2"/>
        <v>0</v>
      </c>
      <c r="AD31" s="14"/>
      <c r="AE31" s="14"/>
    </row>
    <row r="32" spans="1:31" x14ac:dyDescent="0.25">
      <c r="A32" s="1" t="s">
        <v>53</v>
      </c>
      <c r="B32" s="10"/>
      <c r="C32" s="10"/>
      <c r="D32" s="10"/>
      <c r="E32" s="10" t="s">
        <v>36</v>
      </c>
      <c r="F32" s="10"/>
      <c r="G32" s="10"/>
      <c r="H32" s="10" t="s">
        <v>36</v>
      </c>
      <c r="I32" s="11">
        <v>4888.0499999999993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1">
        <v>0</v>
      </c>
      <c r="Q32" s="11">
        <f t="shared" si="0"/>
        <v>4888.0499999999993</v>
      </c>
      <c r="R32" s="12">
        <v>0</v>
      </c>
      <c r="S32" s="12">
        <v>0</v>
      </c>
      <c r="T32" s="11"/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1">
        <v>586.55999999999995</v>
      </c>
      <c r="AB32" s="13">
        <f t="shared" si="1"/>
        <v>586.55999999999995</v>
      </c>
      <c r="AC32" s="13">
        <f t="shared" si="2"/>
        <v>0</v>
      </c>
      <c r="AD32" s="14"/>
      <c r="AE32" s="14"/>
    </row>
    <row r="33" spans="1:31" x14ac:dyDescent="0.25">
      <c r="A33" s="1" t="s">
        <v>54</v>
      </c>
      <c r="B33" s="10" t="s">
        <v>36</v>
      </c>
      <c r="C33" s="10"/>
      <c r="D33" s="10"/>
      <c r="E33" s="10" t="s">
        <v>36</v>
      </c>
      <c r="F33" s="10"/>
      <c r="G33" s="10"/>
      <c r="H33" s="10" t="s">
        <v>36</v>
      </c>
      <c r="I33" s="11">
        <v>114882.17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1">
        <v>1302.8399999999999</v>
      </c>
      <c r="Q33" s="11">
        <f t="shared" si="0"/>
        <v>116185.01</v>
      </c>
      <c r="R33" s="12">
        <v>0</v>
      </c>
      <c r="S33" s="12">
        <v>6629.04</v>
      </c>
      <c r="T33" s="11">
        <f>8347.44-U33</f>
        <v>7512.72</v>
      </c>
      <c r="U33" s="12">
        <v>834.72</v>
      </c>
      <c r="V33" s="12">
        <v>314.39999999999998</v>
      </c>
      <c r="W33" s="12">
        <v>79.8</v>
      </c>
      <c r="X33" s="12">
        <v>421.92</v>
      </c>
      <c r="Y33" s="12">
        <v>549.36</v>
      </c>
      <c r="Z33" s="12">
        <v>0</v>
      </c>
      <c r="AA33" s="11">
        <v>13785.95</v>
      </c>
      <c r="AB33" s="13">
        <f t="shared" si="1"/>
        <v>21386.27</v>
      </c>
      <c r="AC33" s="13">
        <f t="shared" si="2"/>
        <v>1228.9199999999998</v>
      </c>
      <c r="AD33" s="14"/>
      <c r="AE33" s="14"/>
    </row>
    <row r="34" spans="1:31" x14ac:dyDescent="0.25">
      <c r="A34" s="1" t="s">
        <v>55</v>
      </c>
      <c r="B34" s="10"/>
      <c r="C34" s="10"/>
      <c r="D34" s="10"/>
      <c r="E34" s="10"/>
      <c r="F34" s="10" t="s">
        <v>36</v>
      </c>
      <c r="G34" s="10"/>
      <c r="H34" s="10" t="s">
        <v>36</v>
      </c>
      <c r="I34" s="11">
        <v>1025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1">
        <v>0</v>
      </c>
      <c r="Q34" s="11">
        <f t="shared" si="0"/>
        <v>1025</v>
      </c>
      <c r="R34" s="12">
        <v>0</v>
      </c>
      <c r="S34" s="12">
        <v>0</v>
      </c>
      <c r="T34" s="11"/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1">
        <v>0</v>
      </c>
      <c r="AB34" s="13">
        <f t="shared" si="1"/>
        <v>0</v>
      </c>
      <c r="AC34" s="13">
        <f t="shared" si="2"/>
        <v>0</v>
      </c>
      <c r="AD34" s="14"/>
      <c r="AE34" s="14"/>
    </row>
    <row r="35" spans="1:31" x14ac:dyDescent="0.25">
      <c r="A35" s="1" t="s">
        <v>56</v>
      </c>
      <c r="B35" s="10"/>
      <c r="C35" s="10"/>
      <c r="D35" s="10"/>
      <c r="E35" s="10"/>
      <c r="F35" s="10" t="s">
        <v>36</v>
      </c>
      <c r="G35" s="10" t="s">
        <v>36</v>
      </c>
      <c r="H35" s="10"/>
      <c r="I35" s="11">
        <v>88400.83</v>
      </c>
      <c r="J35" s="12">
        <v>28325.489999999998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1">
        <v>1270</v>
      </c>
      <c r="Q35" s="11">
        <f t="shared" ref="Q35:Q55" si="3">SUM(I35:P35)</f>
        <v>117996.32</v>
      </c>
      <c r="R35" s="12">
        <v>0</v>
      </c>
      <c r="S35" s="12">
        <v>13014.24</v>
      </c>
      <c r="T35" s="11">
        <f>17796-U35</f>
        <v>15482.52</v>
      </c>
      <c r="U35" s="12">
        <v>2313.48</v>
      </c>
      <c r="V35" s="12">
        <v>708</v>
      </c>
      <c r="W35" s="12">
        <v>222.6</v>
      </c>
      <c r="X35" s="12">
        <v>364.92</v>
      </c>
      <c r="Y35" s="12">
        <v>476.64</v>
      </c>
      <c r="Z35" s="12">
        <v>25552.2</v>
      </c>
      <c r="AA35" s="11">
        <v>2334.5300000000002</v>
      </c>
      <c r="AB35" s="13">
        <f t="shared" si="1"/>
        <v>41742.53</v>
      </c>
      <c r="AC35" s="13">
        <f t="shared" si="2"/>
        <v>3244.08</v>
      </c>
      <c r="AD35" s="14"/>
      <c r="AE35" s="14"/>
    </row>
    <row r="36" spans="1:31" x14ac:dyDescent="0.25">
      <c r="A36" s="1" t="s">
        <v>39</v>
      </c>
      <c r="B36" s="10"/>
      <c r="C36" s="10"/>
      <c r="D36" s="10"/>
      <c r="E36" s="10"/>
      <c r="F36" s="10" t="s">
        <v>36</v>
      </c>
      <c r="G36" s="10" t="s">
        <v>36</v>
      </c>
      <c r="H36" s="10"/>
      <c r="I36" s="11">
        <v>76336.179999999993</v>
      </c>
      <c r="J36" s="12">
        <v>25734.17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1">
        <v>1270</v>
      </c>
      <c r="Q36" s="11">
        <f t="shared" si="3"/>
        <v>103340.34999999999</v>
      </c>
      <c r="R36" s="12">
        <v>0</v>
      </c>
      <c r="S36" s="12">
        <v>20230.86</v>
      </c>
      <c r="T36" s="11">
        <f>(1637.95*10)+(2244.61*2)-U36</f>
        <v>18155.82</v>
      </c>
      <c r="U36" s="12">
        <v>2712.9</v>
      </c>
      <c r="V36" s="12">
        <v>314.39999999999998</v>
      </c>
      <c r="W36" s="12">
        <v>79.8</v>
      </c>
      <c r="X36" s="12">
        <v>277.56</v>
      </c>
      <c r="Y36" s="12">
        <v>360.84</v>
      </c>
      <c r="Z36" s="12">
        <v>0</v>
      </c>
      <c r="AA36" s="11">
        <v>11565.64</v>
      </c>
      <c r="AB36" s="13">
        <f t="shared" si="1"/>
        <v>32434.9</v>
      </c>
      <c r="AC36" s="13">
        <f t="shared" si="2"/>
        <v>3107.1000000000004</v>
      </c>
      <c r="AD36" s="14"/>
      <c r="AE36" s="14"/>
    </row>
    <row r="37" spans="1:31" x14ac:dyDescent="0.25">
      <c r="A37" s="1" t="s">
        <v>39</v>
      </c>
      <c r="B37" s="10"/>
      <c r="C37" s="10"/>
      <c r="D37" s="10"/>
      <c r="E37" s="10"/>
      <c r="F37" s="10" t="s">
        <v>36</v>
      </c>
      <c r="G37" s="10" t="s">
        <v>36</v>
      </c>
      <c r="H37" s="10"/>
      <c r="I37" s="11">
        <v>67934.5</v>
      </c>
      <c r="J37" s="12">
        <v>21451.31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1">
        <v>1270</v>
      </c>
      <c r="Q37" s="11">
        <f t="shared" si="3"/>
        <v>90655.81</v>
      </c>
      <c r="R37" s="12">
        <v>0</v>
      </c>
      <c r="S37" s="12">
        <v>19442.160000000003</v>
      </c>
      <c r="T37" s="11">
        <f>26935.32-U37</f>
        <v>23433.72</v>
      </c>
      <c r="U37" s="12">
        <v>3501.6</v>
      </c>
      <c r="V37" s="12">
        <v>0</v>
      </c>
      <c r="W37" s="12">
        <v>0</v>
      </c>
      <c r="X37" s="12">
        <v>277.56</v>
      </c>
      <c r="Y37" s="12">
        <v>360.84</v>
      </c>
      <c r="Z37" s="12">
        <v>0</v>
      </c>
      <c r="AA37" s="11">
        <v>10714.63</v>
      </c>
      <c r="AB37" s="13">
        <f t="shared" si="1"/>
        <v>30795.190000000002</v>
      </c>
      <c r="AC37" s="13">
        <f t="shared" si="2"/>
        <v>3501.6</v>
      </c>
      <c r="AD37" s="14"/>
      <c r="AE37" s="14"/>
    </row>
    <row r="38" spans="1:31" x14ac:dyDescent="0.25">
      <c r="A38" s="1" t="s">
        <v>51</v>
      </c>
      <c r="B38" s="10"/>
      <c r="C38" s="10" t="s">
        <v>36</v>
      </c>
      <c r="D38" s="10"/>
      <c r="E38" s="10" t="s">
        <v>36</v>
      </c>
      <c r="F38" s="10"/>
      <c r="G38" s="10"/>
      <c r="H38" s="10" t="s">
        <v>36</v>
      </c>
      <c r="I38" s="11">
        <v>7211.6</v>
      </c>
      <c r="J38" s="12">
        <v>0</v>
      </c>
      <c r="K38" s="12">
        <v>0</v>
      </c>
      <c r="L38" s="12">
        <v>480.8</v>
      </c>
      <c r="M38" s="12">
        <v>0</v>
      </c>
      <c r="N38" s="12">
        <v>0</v>
      </c>
      <c r="O38" s="12">
        <v>0</v>
      </c>
      <c r="P38" s="11">
        <v>173.71</v>
      </c>
      <c r="Q38" s="11">
        <f t="shared" si="3"/>
        <v>7866.1100000000006</v>
      </c>
      <c r="R38" s="12">
        <v>0</v>
      </c>
      <c r="S38" s="12">
        <v>15179.42</v>
      </c>
      <c r="T38" s="11">
        <f>1483-U38</f>
        <v>1334.7</v>
      </c>
      <c r="U38" s="12">
        <v>148.30000000000001</v>
      </c>
      <c r="V38" s="12">
        <v>59</v>
      </c>
      <c r="W38" s="12">
        <v>18.55</v>
      </c>
      <c r="X38" s="12">
        <v>26.55</v>
      </c>
      <c r="Y38" s="12">
        <v>0</v>
      </c>
      <c r="Z38" s="12">
        <v>0</v>
      </c>
      <c r="AA38" s="11">
        <v>0</v>
      </c>
      <c r="AB38" s="13">
        <f t="shared" si="1"/>
        <v>15205.97</v>
      </c>
      <c r="AC38" s="13">
        <f t="shared" si="2"/>
        <v>225.85000000000002</v>
      </c>
      <c r="AD38" s="14"/>
      <c r="AE38" s="14"/>
    </row>
    <row r="39" spans="1:31" x14ac:dyDescent="0.25">
      <c r="A39" s="1" t="s">
        <v>57</v>
      </c>
      <c r="B39" s="10"/>
      <c r="C39" s="10" t="s">
        <v>36</v>
      </c>
      <c r="D39" s="10"/>
      <c r="E39" s="10" t="s">
        <v>36</v>
      </c>
      <c r="F39" s="10"/>
      <c r="G39" s="10"/>
      <c r="H39" s="10" t="s">
        <v>36</v>
      </c>
      <c r="I39" s="11">
        <v>85239.420000000013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1">
        <v>5291.84</v>
      </c>
      <c r="Q39" s="11">
        <f t="shared" si="3"/>
        <v>90531.260000000009</v>
      </c>
      <c r="R39" s="12">
        <v>0</v>
      </c>
      <c r="S39" s="12">
        <v>7384.36</v>
      </c>
      <c r="T39" s="11">
        <f>695.62-U39</f>
        <v>626.05999999999995</v>
      </c>
      <c r="U39" s="12">
        <v>69.56</v>
      </c>
      <c r="V39" s="12">
        <v>0</v>
      </c>
      <c r="W39" s="12">
        <v>0</v>
      </c>
      <c r="X39" s="12">
        <v>323.16000000000003</v>
      </c>
      <c r="Y39" s="12">
        <v>421.92</v>
      </c>
      <c r="Z39" s="12">
        <v>0</v>
      </c>
      <c r="AA39" s="11">
        <v>8523.98</v>
      </c>
      <c r="AB39" s="13">
        <f t="shared" si="1"/>
        <v>16653.420000000002</v>
      </c>
      <c r="AC39" s="13">
        <f t="shared" si="2"/>
        <v>69.56</v>
      </c>
      <c r="AD39" s="14"/>
      <c r="AE39" s="14"/>
    </row>
    <row r="40" spans="1:31" x14ac:dyDescent="0.25">
      <c r="A40" s="1" t="s">
        <v>40</v>
      </c>
      <c r="B40" s="10"/>
      <c r="C40" s="10"/>
      <c r="D40" s="10"/>
      <c r="E40" s="10"/>
      <c r="F40" s="10"/>
      <c r="G40" s="10"/>
      <c r="H40" s="10"/>
      <c r="I40" s="11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1">
        <v>0</v>
      </c>
      <c r="Q40" s="11">
        <f t="shared" si="3"/>
        <v>0</v>
      </c>
      <c r="R40" s="12">
        <v>0</v>
      </c>
      <c r="S40" s="12">
        <v>0</v>
      </c>
      <c r="T40" s="11"/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1">
        <v>0</v>
      </c>
      <c r="AB40" s="13">
        <f t="shared" si="1"/>
        <v>0</v>
      </c>
      <c r="AC40" s="13">
        <f t="shared" si="2"/>
        <v>0</v>
      </c>
      <c r="AD40" s="13"/>
      <c r="AE40" s="14"/>
    </row>
    <row r="41" spans="1:31" x14ac:dyDescent="0.25">
      <c r="A41" s="1" t="s">
        <v>39</v>
      </c>
      <c r="B41" s="10"/>
      <c r="C41" s="10"/>
      <c r="D41" s="10"/>
      <c r="E41" s="10"/>
      <c r="F41" s="10" t="s">
        <v>36</v>
      </c>
      <c r="G41" s="10" t="s">
        <v>36</v>
      </c>
      <c r="H41" s="10"/>
      <c r="I41" s="11">
        <v>89573.17</v>
      </c>
      <c r="J41" s="12">
        <v>24127.910000000003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1">
        <v>1270</v>
      </c>
      <c r="Q41" s="11">
        <f t="shared" si="3"/>
        <v>114971.08</v>
      </c>
      <c r="R41" s="12">
        <v>0</v>
      </c>
      <c r="S41" s="12">
        <v>6368.76</v>
      </c>
      <c r="T41" s="11">
        <f>8347.44-U41</f>
        <v>7262.2800000000007</v>
      </c>
      <c r="U41" s="12">
        <v>1085.1600000000001</v>
      </c>
      <c r="V41" s="12">
        <v>314.39999999999998</v>
      </c>
      <c r="W41" s="12">
        <v>79.8</v>
      </c>
      <c r="X41" s="12">
        <v>342.12</v>
      </c>
      <c r="Y41" s="12">
        <v>445.44</v>
      </c>
      <c r="Z41" s="12">
        <v>0</v>
      </c>
      <c r="AA41" s="11">
        <v>9326.69</v>
      </c>
      <c r="AB41" s="13">
        <f t="shared" si="1"/>
        <v>16483.010000000002</v>
      </c>
      <c r="AC41" s="13">
        <f t="shared" si="2"/>
        <v>1479.36</v>
      </c>
      <c r="AD41" s="14"/>
      <c r="AE41" s="14"/>
    </row>
    <row r="42" spans="1:31" x14ac:dyDescent="0.25">
      <c r="A42" s="1" t="s">
        <v>56</v>
      </c>
      <c r="B42" s="10"/>
      <c r="C42" s="10"/>
      <c r="D42" s="10"/>
      <c r="E42" s="10"/>
      <c r="F42" s="10" t="s">
        <v>36</v>
      </c>
      <c r="G42" s="10" t="s">
        <v>36</v>
      </c>
      <c r="H42" s="10"/>
      <c r="I42" s="11">
        <v>95789.119999999995</v>
      </c>
      <c r="J42" s="12">
        <v>20263.23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1">
        <v>1270</v>
      </c>
      <c r="Q42" s="11">
        <f t="shared" si="3"/>
        <v>117322.34999999999</v>
      </c>
      <c r="R42" s="12">
        <v>0</v>
      </c>
      <c r="S42" s="12">
        <v>19442.160000000003</v>
      </c>
      <c r="T42" s="11">
        <f>26935.32-U42</f>
        <v>23433.72</v>
      </c>
      <c r="U42" s="12">
        <v>3501.6</v>
      </c>
      <c r="V42" s="12">
        <v>1153.68</v>
      </c>
      <c r="W42" s="12">
        <v>0</v>
      </c>
      <c r="X42" s="12">
        <v>364.92</v>
      </c>
      <c r="Y42" s="12">
        <v>476.64</v>
      </c>
      <c r="Z42" s="12">
        <v>25552.2</v>
      </c>
      <c r="AA42" s="11">
        <v>2321.0100000000002</v>
      </c>
      <c r="AB42" s="13">
        <f t="shared" si="1"/>
        <v>48156.930000000008</v>
      </c>
      <c r="AC42" s="13">
        <f t="shared" si="2"/>
        <v>4655.28</v>
      </c>
      <c r="AD42" s="14"/>
      <c r="AE42" s="14"/>
    </row>
    <row r="43" spans="1:31" x14ac:dyDescent="0.25">
      <c r="A43" s="1" t="s">
        <v>58</v>
      </c>
      <c r="B43" s="10"/>
      <c r="C43" s="10"/>
      <c r="D43" s="10"/>
      <c r="E43" s="10"/>
      <c r="F43" s="10" t="s">
        <v>36</v>
      </c>
      <c r="G43" s="10" t="s">
        <v>36</v>
      </c>
      <c r="H43" s="10"/>
      <c r="I43" s="11">
        <v>70317.2</v>
      </c>
      <c r="J43" s="12">
        <v>6583.29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1">
        <v>4609</v>
      </c>
      <c r="Q43" s="11">
        <f t="shared" si="3"/>
        <v>81509.489999999991</v>
      </c>
      <c r="R43" s="12">
        <v>0</v>
      </c>
      <c r="S43" s="12">
        <v>0</v>
      </c>
      <c r="T43" s="11"/>
      <c r="U43" s="12">
        <v>0</v>
      </c>
      <c r="V43" s="12">
        <v>0</v>
      </c>
      <c r="W43" s="12">
        <v>0</v>
      </c>
      <c r="X43" s="12">
        <v>277.56</v>
      </c>
      <c r="Y43" s="12">
        <v>363.72</v>
      </c>
      <c r="Z43" s="12">
        <v>0</v>
      </c>
      <c r="AA43" s="11">
        <v>7418.02</v>
      </c>
      <c r="AB43" s="13">
        <f t="shared" si="1"/>
        <v>8059.3000000000011</v>
      </c>
      <c r="AC43" s="13">
        <f t="shared" si="2"/>
        <v>0</v>
      </c>
      <c r="AD43" s="14"/>
      <c r="AE43" s="14"/>
    </row>
    <row r="44" spans="1:31" x14ac:dyDescent="0.25">
      <c r="A44" s="1" t="s">
        <v>37</v>
      </c>
      <c r="B44" s="10"/>
      <c r="C44" s="10"/>
      <c r="D44" s="10"/>
      <c r="E44" s="10"/>
      <c r="F44" s="10" t="s">
        <v>36</v>
      </c>
      <c r="G44" s="10"/>
      <c r="H44" s="10" t="s">
        <v>36</v>
      </c>
      <c r="I44" s="11">
        <v>33181.49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1">
        <v>181.78</v>
      </c>
      <c r="Q44" s="11">
        <f t="shared" si="3"/>
        <v>33363.269999999997</v>
      </c>
      <c r="R44" s="12">
        <v>0</v>
      </c>
      <c r="S44" s="12">
        <v>20250.240000000002</v>
      </c>
      <c r="T44" s="11">
        <f>26935.32-U44</f>
        <v>24241.8</v>
      </c>
      <c r="U44" s="12">
        <v>2693.52</v>
      </c>
      <c r="V44" s="12">
        <v>1153.68</v>
      </c>
      <c r="W44" s="12">
        <v>222.6</v>
      </c>
      <c r="X44" s="12">
        <v>178.68</v>
      </c>
      <c r="Y44" s="12">
        <v>229.68</v>
      </c>
      <c r="Z44" s="12">
        <v>0</v>
      </c>
      <c r="AA44" s="11">
        <v>3801.12</v>
      </c>
      <c r="AB44" s="13">
        <f t="shared" si="1"/>
        <v>24459.72</v>
      </c>
      <c r="AC44" s="13">
        <f t="shared" si="2"/>
        <v>4069.7999999999997</v>
      </c>
      <c r="AD44" s="14"/>
      <c r="AE44" s="14"/>
    </row>
    <row r="45" spans="1:31" x14ac:dyDescent="0.25">
      <c r="A45" s="1" t="s">
        <v>39</v>
      </c>
      <c r="B45" s="10"/>
      <c r="C45" s="10"/>
      <c r="D45" s="10"/>
      <c r="E45" s="10"/>
      <c r="F45" s="10" t="s">
        <v>36</v>
      </c>
      <c r="G45" s="10" t="s">
        <v>36</v>
      </c>
      <c r="H45" s="10"/>
      <c r="I45" s="11">
        <v>59635.460000000006</v>
      </c>
      <c r="J45" s="12">
        <v>23626.769999999997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1">
        <v>802.29000000000008</v>
      </c>
      <c r="Q45" s="11">
        <f t="shared" si="3"/>
        <v>84064.52</v>
      </c>
      <c r="R45" s="12">
        <v>0</v>
      </c>
      <c r="S45" s="12">
        <v>7884.08</v>
      </c>
      <c r="T45" s="11">
        <f>17956.88-U45</f>
        <v>15622.480000000001</v>
      </c>
      <c r="U45" s="12">
        <v>2334.4</v>
      </c>
      <c r="V45" s="12">
        <v>769.12</v>
      </c>
      <c r="W45" s="12">
        <v>53.2</v>
      </c>
      <c r="X45" s="12">
        <v>228.08</v>
      </c>
      <c r="Y45" s="12">
        <v>296.95999999999998</v>
      </c>
      <c r="Z45" s="12">
        <v>0</v>
      </c>
      <c r="AA45" s="11">
        <v>8284.24</v>
      </c>
      <c r="AB45" s="13">
        <f t="shared" si="1"/>
        <v>16693.36</v>
      </c>
      <c r="AC45" s="13">
        <f t="shared" si="2"/>
        <v>3156.72</v>
      </c>
      <c r="AD45" s="14"/>
      <c r="AE45" s="14"/>
    </row>
    <row r="46" spans="1:31" x14ac:dyDescent="0.25">
      <c r="A46" s="1" t="s">
        <v>59</v>
      </c>
      <c r="B46" s="10"/>
      <c r="C46" s="10"/>
      <c r="D46" s="10"/>
      <c r="E46" s="10" t="s">
        <v>36</v>
      </c>
      <c r="F46" s="10"/>
      <c r="G46" s="10"/>
      <c r="H46" s="10" t="s">
        <v>36</v>
      </c>
      <c r="I46" s="11">
        <f>78389.94-M46</f>
        <v>77869.13</v>
      </c>
      <c r="J46" s="12">
        <v>0</v>
      </c>
      <c r="K46" s="12">
        <v>0</v>
      </c>
      <c r="L46" s="12">
        <v>5000.0600000000004</v>
      </c>
      <c r="M46" s="12">
        <v>520.80999999999995</v>
      </c>
      <c r="N46" s="12">
        <v>0</v>
      </c>
      <c r="O46" s="12">
        <v>0</v>
      </c>
      <c r="P46" s="11">
        <v>1952.84</v>
      </c>
      <c r="Q46" s="11">
        <f t="shared" si="3"/>
        <v>85342.84</v>
      </c>
      <c r="R46" s="12">
        <v>0</v>
      </c>
      <c r="S46" s="12">
        <v>13548.119999999999</v>
      </c>
      <c r="T46" s="11">
        <f>17796-U46</f>
        <v>16016.4</v>
      </c>
      <c r="U46" s="12">
        <v>1779.6</v>
      </c>
      <c r="V46" s="12">
        <v>708</v>
      </c>
      <c r="W46" s="12">
        <v>0</v>
      </c>
      <c r="X46" s="12">
        <v>296.52</v>
      </c>
      <c r="Y46" s="12">
        <v>386.4</v>
      </c>
      <c r="Z46" s="12">
        <v>0</v>
      </c>
      <c r="AA46" s="11">
        <v>10006.85</v>
      </c>
      <c r="AB46" s="13">
        <f t="shared" si="1"/>
        <v>24237.890000000003</v>
      </c>
      <c r="AC46" s="13">
        <f t="shared" si="2"/>
        <v>2487.6</v>
      </c>
      <c r="AD46" s="14"/>
      <c r="AE46" s="14"/>
    </row>
    <row r="47" spans="1:31" x14ac:dyDescent="0.25">
      <c r="A47" s="1" t="s">
        <v>40</v>
      </c>
      <c r="B47" s="10"/>
      <c r="C47" s="10"/>
      <c r="D47" s="10"/>
      <c r="E47" s="10"/>
      <c r="F47" s="10"/>
      <c r="G47" s="10"/>
      <c r="H47" s="10"/>
      <c r="I47" s="11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1">
        <v>0</v>
      </c>
      <c r="Q47" s="11">
        <f t="shared" si="3"/>
        <v>0</v>
      </c>
      <c r="R47" s="12">
        <v>0</v>
      </c>
      <c r="S47" s="12">
        <v>0</v>
      </c>
      <c r="T47" s="11"/>
      <c r="U47" s="12">
        <v>0</v>
      </c>
      <c r="V47" s="11">
        <v>0</v>
      </c>
      <c r="W47" s="11">
        <v>0</v>
      </c>
      <c r="X47" s="12">
        <v>0</v>
      </c>
      <c r="Y47" s="12">
        <v>0</v>
      </c>
      <c r="Z47" s="12">
        <v>0</v>
      </c>
      <c r="AA47" s="11">
        <v>0</v>
      </c>
      <c r="AB47" s="13">
        <f t="shared" si="1"/>
        <v>0</v>
      </c>
      <c r="AC47" s="13">
        <f t="shared" si="2"/>
        <v>0</v>
      </c>
      <c r="AD47" s="14"/>
      <c r="AE47" s="14"/>
    </row>
    <row r="48" spans="1:31" x14ac:dyDescent="0.25">
      <c r="A48" s="1" t="s">
        <v>60</v>
      </c>
      <c r="B48" s="10"/>
      <c r="C48" s="10"/>
      <c r="D48" s="10"/>
      <c r="E48" s="10"/>
      <c r="F48" s="10" t="s">
        <v>36</v>
      </c>
      <c r="G48" s="10"/>
      <c r="H48" s="10" t="s">
        <v>36</v>
      </c>
      <c r="I48" s="11">
        <v>45270.720000000001</v>
      </c>
      <c r="J48" s="12">
        <v>1593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1">
        <v>650</v>
      </c>
      <c r="Q48" s="11">
        <f t="shared" si="3"/>
        <v>47513.72</v>
      </c>
      <c r="R48" s="12">
        <v>0</v>
      </c>
      <c r="S48" s="12">
        <v>0</v>
      </c>
      <c r="T48" s="11"/>
      <c r="U48" s="12">
        <v>0</v>
      </c>
      <c r="V48" s="12">
        <v>0</v>
      </c>
      <c r="W48" s="12">
        <v>0</v>
      </c>
      <c r="X48" s="12">
        <v>144.47999999999999</v>
      </c>
      <c r="Y48" s="12">
        <v>186.96</v>
      </c>
      <c r="Z48" s="12">
        <v>0</v>
      </c>
      <c r="AA48" s="11">
        <v>0</v>
      </c>
      <c r="AB48" s="13">
        <f t="shared" si="1"/>
        <v>331.44</v>
      </c>
      <c r="AC48" s="13">
        <f t="shared" si="2"/>
        <v>0</v>
      </c>
      <c r="AD48" s="13"/>
      <c r="AE48" s="14"/>
    </row>
    <row r="49" spans="1:31" x14ac:dyDescent="0.25">
      <c r="A49" s="1" t="s">
        <v>35</v>
      </c>
      <c r="B49" s="10"/>
      <c r="C49" s="10"/>
      <c r="D49" s="10"/>
      <c r="E49" s="10"/>
      <c r="F49" s="10" t="s">
        <v>36</v>
      </c>
      <c r="G49" s="10" t="s">
        <v>36</v>
      </c>
      <c r="H49" s="10"/>
      <c r="I49" s="11">
        <v>91645.14</v>
      </c>
      <c r="J49" s="12">
        <v>33403.119999999995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1">
        <v>1270</v>
      </c>
      <c r="Q49" s="11">
        <f t="shared" si="3"/>
        <v>126318.26</v>
      </c>
      <c r="R49" s="12">
        <v>0</v>
      </c>
      <c r="S49" s="12">
        <v>19442.160000000003</v>
      </c>
      <c r="T49" s="11">
        <f>26935.32-U49</f>
        <v>23433.72</v>
      </c>
      <c r="U49" s="12">
        <v>3501.6</v>
      </c>
      <c r="V49" s="12">
        <v>1153.68</v>
      </c>
      <c r="W49" s="12">
        <v>222.6</v>
      </c>
      <c r="X49" s="12">
        <v>349.8</v>
      </c>
      <c r="Y49" s="12">
        <v>455.88</v>
      </c>
      <c r="Z49" s="12">
        <v>0</v>
      </c>
      <c r="AA49" s="11">
        <v>12288.1</v>
      </c>
      <c r="AB49" s="13">
        <f t="shared" si="1"/>
        <v>32535.940000000002</v>
      </c>
      <c r="AC49" s="13">
        <f t="shared" si="2"/>
        <v>4877.88</v>
      </c>
      <c r="AD49" s="14"/>
      <c r="AE49" s="14"/>
    </row>
    <row r="50" spans="1:31" x14ac:dyDescent="0.25">
      <c r="A50" s="1" t="s">
        <v>61</v>
      </c>
      <c r="B50" s="10"/>
      <c r="C50" s="10" t="s">
        <v>36</v>
      </c>
      <c r="D50" s="10"/>
      <c r="E50" s="10" t="s">
        <v>36</v>
      </c>
      <c r="F50" s="10"/>
      <c r="G50" s="10"/>
      <c r="H50" s="10" t="s">
        <v>36</v>
      </c>
      <c r="I50" s="11">
        <f>118206-M50</f>
        <v>115126</v>
      </c>
      <c r="J50" s="12">
        <v>0</v>
      </c>
      <c r="K50" s="12">
        <v>0</v>
      </c>
      <c r="L50" s="12">
        <v>5000.0600000000004</v>
      </c>
      <c r="M50" s="12">
        <v>3080</v>
      </c>
      <c r="N50" s="12">
        <v>0</v>
      </c>
      <c r="O50" s="12">
        <v>0</v>
      </c>
      <c r="P50" s="11">
        <v>1952.84</v>
      </c>
      <c r="Q50" s="11">
        <f t="shared" si="3"/>
        <v>125158.9</v>
      </c>
      <c r="R50" s="12">
        <v>0</v>
      </c>
      <c r="S50" s="12">
        <v>6619.2</v>
      </c>
      <c r="T50" s="11">
        <f>8347.44-U50</f>
        <v>7512.72</v>
      </c>
      <c r="U50" s="12">
        <v>834.72</v>
      </c>
      <c r="V50" s="12">
        <v>314.39999999999998</v>
      </c>
      <c r="W50" s="12">
        <v>79.8</v>
      </c>
      <c r="X50" s="12">
        <v>437.28</v>
      </c>
      <c r="Y50" s="12">
        <v>571.32000000000005</v>
      </c>
      <c r="Z50" s="12">
        <v>0</v>
      </c>
      <c r="AA50" s="11">
        <v>8442.42</v>
      </c>
      <c r="AB50" s="13">
        <f t="shared" si="1"/>
        <v>16070.22</v>
      </c>
      <c r="AC50" s="13">
        <f t="shared" si="2"/>
        <v>1228.9199999999998</v>
      </c>
      <c r="AD50" s="14"/>
      <c r="AE50" s="14"/>
    </row>
    <row r="51" spans="1:31" x14ac:dyDescent="0.25">
      <c r="A51" s="1" t="s">
        <v>62</v>
      </c>
      <c r="B51" s="10" t="s">
        <v>36</v>
      </c>
      <c r="D51" s="10"/>
      <c r="E51" s="10" t="s">
        <v>36</v>
      </c>
      <c r="F51" s="10"/>
      <c r="G51" s="10"/>
      <c r="H51" s="10" t="s">
        <v>36</v>
      </c>
      <c r="I51" s="11">
        <v>142088.51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1">
        <v>1302.8399999999999</v>
      </c>
      <c r="Q51" s="11">
        <f t="shared" si="3"/>
        <v>143391.35</v>
      </c>
      <c r="R51" s="12">
        <v>0</v>
      </c>
      <c r="S51" s="12">
        <v>13548.119999999999</v>
      </c>
      <c r="T51" s="11">
        <f>17796-U51</f>
        <v>16016.4</v>
      </c>
      <c r="U51" s="12">
        <v>1779.6</v>
      </c>
      <c r="V51" s="12">
        <v>708</v>
      </c>
      <c r="W51" s="12">
        <v>222.6</v>
      </c>
      <c r="X51" s="12">
        <v>539.88</v>
      </c>
      <c r="Y51" s="12">
        <v>705.12</v>
      </c>
      <c r="Z51" s="12">
        <v>0</v>
      </c>
      <c r="AA51" s="11">
        <v>17050.669999999998</v>
      </c>
      <c r="AB51" s="13">
        <f t="shared" si="1"/>
        <v>31843.789999999997</v>
      </c>
      <c r="AC51" s="13">
        <f t="shared" si="2"/>
        <v>2710.2</v>
      </c>
      <c r="AD51" s="14"/>
      <c r="AE51" s="14"/>
    </row>
    <row r="52" spans="1:31" x14ac:dyDescent="0.25">
      <c r="A52" s="1" t="s">
        <v>39</v>
      </c>
      <c r="B52" s="10"/>
      <c r="C52" s="10"/>
      <c r="D52" s="10"/>
      <c r="E52" s="10"/>
      <c r="F52" s="10" t="s">
        <v>36</v>
      </c>
      <c r="G52" s="10" t="s">
        <v>36</v>
      </c>
      <c r="H52" s="10"/>
      <c r="I52" s="11">
        <v>87858.17</v>
      </c>
      <c r="J52" s="12">
        <v>23547.86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1">
        <v>1270</v>
      </c>
      <c r="Q52" s="11">
        <f t="shared" si="3"/>
        <v>112676.03</v>
      </c>
      <c r="R52" s="12">
        <v>0</v>
      </c>
      <c r="S52" s="12">
        <v>6368.76</v>
      </c>
      <c r="T52" s="11">
        <f>8347.44-U52</f>
        <v>7262.2800000000007</v>
      </c>
      <c r="U52" s="12">
        <v>1085.1600000000001</v>
      </c>
      <c r="V52" s="12">
        <v>314.39999999999998</v>
      </c>
      <c r="W52" s="12">
        <v>79.8</v>
      </c>
      <c r="X52" s="12">
        <v>311.76</v>
      </c>
      <c r="Y52" s="12">
        <v>408.96</v>
      </c>
      <c r="Z52" s="12">
        <v>0</v>
      </c>
      <c r="AA52" s="11">
        <v>13368.74</v>
      </c>
      <c r="AB52" s="13">
        <f t="shared" si="1"/>
        <v>20458.219999999998</v>
      </c>
      <c r="AC52" s="13">
        <f t="shared" si="2"/>
        <v>1479.36</v>
      </c>
      <c r="AD52" s="14"/>
      <c r="AE52" s="14"/>
    </row>
    <row r="53" spans="1:31" x14ac:dyDescent="0.25">
      <c r="A53" s="1" t="s">
        <v>59</v>
      </c>
      <c r="B53" s="10"/>
      <c r="C53" s="10"/>
      <c r="D53" s="10"/>
      <c r="E53" s="10" t="s">
        <v>36</v>
      </c>
      <c r="F53" s="10"/>
      <c r="G53" s="10"/>
      <c r="H53" s="10" t="s">
        <v>36</v>
      </c>
      <c r="I53" s="11">
        <f>82145.86-M53</f>
        <v>80851.89</v>
      </c>
      <c r="J53" s="12">
        <v>0</v>
      </c>
      <c r="K53" s="12">
        <v>0</v>
      </c>
      <c r="L53" s="12">
        <v>5000.0600000000004</v>
      </c>
      <c r="M53" s="12">
        <v>1293.97</v>
      </c>
      <c r="N53" s="12">
        <v>0</v>
      </c>
      <c r="O53" s="12">
        <v>0</v>
      </c>
      <c r="P53" s="11">
        <v>2727.84</v>
      </c>
      <c r="Q53" s="11">
        <f t="shared" si="3"/>
        <v>89873.76</v>
      </c>
      <c r="R53" s="12">
        <v>0</v>
      </c>
      <c r="S53" s="12">
        <v>20250.240000000002</v>
      </c>
      <c r="T53" s="11">
        <f>26935.32-U53</f>
        <v>24241.8</v>
      </c>
      <c r="U53" s="12">
        <v>2693.52</v>
      </c>
      <c r="V53" s="12">
        <v>1153.68</v>
      </c>
      <c r="W53" s="12">
        <v>222.6</v>
      </c>
      <c r="X53" s="12">
        <v>307.92</v>
      </c>
      <c r="Y53" s="12">
        <v>401.28</v>
      </c>
      <c r="Z53" s="12">
        <v>21507.599999999999</v>
      </c>
      <c r="AA53" s="11">
        <v>1750.97</v>
      </c>
      <c r="AB53" s="13">
        <f t="shared" si="1"/>
        <v>44218.009999999995</v>
      </c>
      <c r="AC53" s="13">
        <f t="shared" si="2"/>
        <v>4069.7999999999997</v>
      </c>
      <c r="AD53" s="14"/>
      <c r="AE53" s="14"/>
    </row>
    <row r="54" spans="1:31" x14ac:dyDescent="0.25">
      <c r="A54" s="1" t="s">
        <v>40</v>
      </c>
      <c r="B54" s="10"/>
      <c r="C54" s="10"/>
      <c r="D54" s="10"/>
      <c r="E54" s="10"/>
      <c r="F54" s="10" t="s">
        <v>36</v>
      </c>
      <c r="G54" s="10"/>
      <c r="H54" s="10" t="s">
        <v>36</v>
      </c>
      <c r="I54" s="11">
        <v>0</v>
      </c>
      <c r="J54" s="11">
        <v>0</v>
      </c>
      <c r="K54" s="11">
        <v>0</v>
      </c>
      <c r="L54" s="11">
        <v>0</v>
      </c>
      <c r="M54" s="12">
        <v>0</v>
      </c>
      <c r="N54" s="11">
        <v>0</v>
      </c>
      <c r="O54" s="12">
        <v>0</v>
      </c>
      <c r="P54" s="11">
        <v>0</v>
      </c>
      <c r="Q54" s="11">
        <f t="shared" si="3"/>
        <v>0</v>
      </c>
      <c r="R54" s="11">
        <v>0</v>
      </c>
      <c r="S54" s="11">
        <v>0</v>
      </c>
      <c r="T54" s="11"/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1">
        <v>0</v>
      </c>
      <c r="AB54" s="13">
        <f t="shared" si="1"/>
        <v>0</v>
      </c>
      <c r="AC54" s="13">
        <f t="shared" si="2"/>
        <v>0</v>
      </c>
      <c r="AD54" s="14"/>
      <c r="AE54" s="14"/>
    </row>
    <row r="55" spans="1:31" x14ac:dyDescent="0.25">
      <c r="A55" s="1" t="s">
        <v>40</v>
      </c>
      <c r="B55" s="10"/>
      <c r="C55" s="10"/>
      <c r="D55" s="10"/>
      <c r="E55" s="10"/>
      <c r="F55" s="10" t="s">
        <v>36</v>
      </c>
      <c r="G55" s="10" t="s">
        <v>36</v>
      </c>
      <c r="H55" s="10"/>
      <c r="I55" s="11">
        <v>0</v>
      </c>
      <c r="J55" s="11">
        <v>0</v>
      </c>
      <c r="K55" s="11">
        <v>0</v>
      </c>
      <c r="L55" s="11">
        <v>0</v>
      </c>
      <c r="M55" s="12">
        <v>0</v>
      </c>
      <c r="N55" s="11">
        <v>0</v>
      </c>
      <c r="O55" s="12">
        <v>0</v>
      </c>
      <c r="P55" s="11">
        <v>0</v>
      </c>
      <c r="Q55" s="11">
        <f t="shared" si="3"/>
        <v>0</v>
      </c>
      <c r="R55" s="11">
        <v>0</v>
      </c>
      <c r="S55" s="11">
        <v>0</v>
      </c>
      <c r="T55" s="11"/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1">
        <v>0</v>
      </c>
      <c r="AB55" s="13">
        <f t="shared" si="1"/>
        <v>0</v>
      </c>
      <c r="AC55" s="13">
        <f t="shared" si="2"/>
        <v>0</v>
      </c>
      <c r="AD55" s="14"/>
      <c r="AE55" s="14"/>
    </row>
    <row r="56" spans="1:31" x14ac:dyDescent="0.25">
      <c r="AB56" s="14"/>
      <c r="AC56" s="14"/>
      <c r="AD56" s="14"/>
      <c r="AE56" s="14"/>
    </row>
    <row r="57" spans="1:31" x14ac:dyDescent="0.25">
      <c r="AB57" s="14"/>
      <c r="AC57" s="14"/>
      <c r="AD57" s="14"/>
      <c r="AE57" s="14"/>
    </row>
    <row r="58" spans="1:31" x14ac:dyDescent="0.25">
      <c r="AB58" s="14"/>
      <c r="AC58" s="14"/>
      <c r="AD58" s="14"/>
      <c r="AE58" s="14"/>
    </row>
    <row r="59" spans="1:31" ht="108" x14ac:dyDescent="0.25">
      <c r="H59" s="15" t="s">
        <v>63</v>
      </c>
      <c r="I59" s="6" t="str">
        <f>I2</f>
        <v>Reg Salary/Wages Paid (includes any employee's regular rate of pay categories that are paid at regular rate i.e. holiday, sick, etc.)</v>
      </c>
      <c r="J59" s="6" t="str">
        <f t="shared" ref="J59:P59" si="4">J2</f>
        <v>OT Amount (includes All Pays at OT &amp; Above Rate)</v>
      </c>
      <c r="K59" s="6" t="str">
        <f t="shared" si="4"/>
        <v>Excess Vacation Payout</v>
      </c>
      <c r="L59" s="6" t="str">
        <f t="shared" si="4"/>
        <v>Dispatch / Duty Pay</v>
      </c>
      <c r="M59" s="6"/>
      <c r="N59" s="6" t="str">
        <f t="shared" si="4"/>
        <v>Bonus Pay</v>
      </c>
      <c r="O59" s="6" t="s">
        <v>20</v>
      </c>
      <c r="P59" s="6" t="str">
        <f t="shared" si="4"/>
        <v>Other Pays Including Phone, Med Opt-Out, etc.</v>
      </c>
      <c r="Q59" s="16" t="s">
        <v>22</v>
      </c>
      <c r="R59" s="6" t="str">
        <f>R2</f>
        <v>Other Incentives, Deferred Compensation</v>
      </c>
      <c r="S59" s="6" t="s">
        <v>24</v>
      </c>
      <c r="T59" s="6" t="s">
        <v>25</v>
      </c>
      <c r="U59" s="6" t="s">
        <v>26</v>
      </c>
      <c r="V59" s="6" t="s">
        <v>27</v>
      </c>
      <c r="W59" s="6" t="s">
        <v>28</v>
      </c>
      <c r="X59" s="6" t="s">
        <v>29</v>
      </c>
      <c r="Y59" s="6" t="s">
        <v>30</v>
      </c>
      <c r="Z59" s="6" t="s">
        <v>31</v>
      </c>
      <c r="AA59" s="8" t="s">
        <v>32</v>
      </c>
      <c r="AB59" s="6" t="s">
        <v>33</v>
      </c>
      <c r="AC59" s="6" t="s">
        <v>64</v>
      </c>
      <c r="AD59" s="14"/>
      <c r="AE59" s="14"/>
    </row>
    <row r="60" spans="1:31" x14ac:dyDescent="0.25">
      <c r="H60" s="1" t="s">
        <v>7</v>
      </c>
      <c r="I60" s="12">
        <f t="shared" ref="I60:AC60" si="5">+SUMIF($B$3:$B$55,"X",I3:I55)</f>
        <v>457549.25</v>
      </c>
      <c r="J60" s="12">
        <f t="shared" si="5"/>
        <v>0</v>
      </c>
      <c r="K60" s="12">
        <f t="shared" si="5"/>
        <v>0</v>
      </c>
      <c r="L60" s="12">
        <f t="shared" si="5"/>
        <v>0</v>
      </c>
      <c r="M60" s="12">
        <f>+SUMIF($B$3:$B$55,"X",M3:M55)</f>
        <v>0</v>
      </c>
      <c r="N60" s="12">
        <f t="shared" si="5"/>
        <v>0</v>
      </c>
      <c r="O60" s="12">
        <f t="shared" si="5"/>
        <v>6600</v>
      </c>
      <c r="P60" s="12">
        <f t="shared" si="5"/>
        <v>3908.5200000000004</v>
      </c>
      <c r="Q60" s="12">
        <f t="shared" si="5"/>
        <v>468057.77</v>
      </c>
      <c r="R60" s="12">
        <f>+SUMIF($B$3:$B$55,"X",R3:R55)</f>
        <v>52650</v>
      </c>
      <c r="S60" s="12">
        <f t="shared" si="5"/>
        <v>20177.16</v>
      </c>
      <c r="T60" s="12">
        <f t="shared" si="5"/>
        <v>23529.119999999999</v>
      </c>
      <c r="U60" s="12">
        <f t="shared" si="5"/>
        <v>2614.3199999999997</v>
      </c>
      <c r="V60" s="12">
        <f t="shared" si="5"/>
        <v>1646.28</v>
      </c>
      <c r="W60" s="12">
        <f t="shared" si="5"/>
        <v>302.39999999999998</v>
      </c>
      <c r="X60" s="12">
        <f t="shared" si="5"/>
        <v>1725.96</v>
      </c>
      <c r="Y60" s="12">
        <f t="shared" si="5"/>
        <v>2256.2399999999998</v>
      </c>
      <c r="Z60" s="12">
        <f t="shared" si="5"/>
        <v>0</v>
      </c>
      <c r="AA60" s="11">
        <f t="shared" si="5"/>
        <v>35423.1</v>
      </c>
      <c r="AB60" s="12">
        <f t="shared" si="5"/>
        <v>59582.459999999992</v>
      </c>
      <c r="AC60" s="12">
        <f t="shared" si="5"/>
        <v>4563</v>
      </c>
      <c r="AD60" s="14"/>
      <c r="AE60" s="14"/>
    </row>
    <row r="61" spans="1:31" x14ac:dyDescent="0.25">
      <c r="H61" s="1" t="s">
        <v>8</v>
      </c>
      <c r="I61" s="12">
        <f>+SUMIF($C$3:$C$55,"X",I3:I55)</f>
        <v>620182.30000000005</v>
      </c>
      <c r="J61" s="12">
        <f>+SUMIF($C$3:$C$55,"X",J3:J55)</f>
        <v>0</v>
      </c>
      <c r="K61" s="12">
        <f t="shared" ref="K61:AC61" si="6">+SUMIF($C$3:$C$55,"X",K3:K55)</f>
        <v>1831.95</v>
      </c>
      <c r="L61" s="12">
        <f t="shared" si="6"/>
        <v>20288.730000000003</v>
      </c>
      <c r="M61" s="12">
        <f t="shared" si="6"/>
        <v>12648.51</v>
      </c>
      <c r="N61" s="12">
        <f t="shared" si="6"/>
        <v>0</v>
      </c>
      <c r="O61" s="12">
        <f t="shared" si="6"/>
        <v>0</v>
      </c>
      <c r="P61" s="12">
        <f t="shared" si="6"/>
        <v>18354.219999999998</v>
      </c>
      <c r="Q61" s="12">
        <f t="shared" si="6"/>
        <v>673305.71000000008</v>
      </c>
      <c r="R61" s="12">
        <f>+SUMIF($C$3:$C$55,"X",R3:R55)</f>
        <v>0</v>
      </c>
      <c r="S61" s="12">
        <f t="shared" si="6"/>
        <v>76414.89</v>
      </c>
      <c r="T61" s="12">
        <f t="shared" si="6"/>
        <v>65469.799999999996</v>
      </c>
      <c r="U61" s="12">
        <f t="shared" si="6"/>
        <v>7274.3400000000011</v>
      </c>
      <c r="V61" s="12">
        <f t="shared" si="6"/>
        <v>3256.57</v>
      </c>
      <c r="W61" s="12">
        <f t="shared" si="6"/>
        <v>685.83999999999992</v>
      </c>
      <c r="X61" s="12">
        <f>+SUMIF($C$3:$C$55,"X",X3:X55)</f>
        <v>2368.59</v>
      </c>
      <c r="Y61" s="12">
        <f>+SUMIF($C$3:$C$55,"X",Y3:Y55)</f>
        <v>3063.4800000000005</v>
      </c>
      <c r="Z61" s="12">
        <f>+SUMIF($C$3:$C$55,"X",Z3:Z55)</f>
        <v>33925.08</v>
      </c>
      <c r="AA61" s="11">
        <f t="shared" si="6"/>
        <v>35864.17</v>
      </c>
      <c r="AB61" s="12">
        <f t="shared" si="6"/>
        <v>151636.21000000002</v>
      </c>
      <c r="AC61" s="12">
        <f t="shared" si="6"/>
        <v>11216.75</v>
      </c>
      <c r="AD61" s="14"/>
      <c r="AE61" s="14"/>
    </row>
    <row r="62" spans="1:31" ht="12.75" thickBot="1" x14ac:dyDescent="0.3">
      <c r="H62" s="1" t="s">
        <v>65</v>
      </c>
      <c r="I62" s="17">
        <f>+SUM(I60:I61)</f>
        <v>1077731.55</v>
      </c>
      <c r="J62" s="17">
        <f t="shared" ref="J62:AC62" si="7">+SUM(J60:J61)</f>
        <v>0</v>
      </c>
      <c r="K62" s="17">
        <f t="shared" ref="K62:P62" si="8">+SUM(K60:K61)</f>
        <v>1831.95</v>
      </c>
      <c r="L62" s="17">
        <f t="shared" si="8"/>
        <v>20288.730000000003</v>
      </c>
      <c r="M62" s="17">
        <f t="shared" si="8"/>
        <v>12648.51</v>
      </c>
      <c r="N62" s="17">
        <f t="shared" si="8"/>
        <v>0</v>
      </c>
      <c r="O62" s="17">
        <f t="shared" si="8"/>
        <v>6600</v>
      </c>
      <c r="P62" s="17">
        <f t="shared" si="8"/>
        <v>22262.739999999998</v>
      </c>
      <c r="Q62" s="17">
        <f t="shared" si="7"/>
        <v>1141363.48</v>
      </c>
      <c r="R62" s="17">
        <f>+SUM(R60:R61)</f>
        <v>52650</v>
      </c>
      <c r="S62" s="17">
        <f t="shared" si="7"/>
        <v>96592.05</v>
      </c>
      <c r="T62" s="17">
        <f t="shared" ref="T62" si="9">+SUM(T60:T61)</f>
        <v>88998.92</v>
      </c>
      <c r="U62" s="17">
        <f t="shared" si="7"/>
        <v>9888.66</v>
      </c>
      <c r="V62" s="17">
        <f t="shared" si="7"/>
        <v>4902.8500000000004</v>
      </c>
      <c r="W62" s="17">
        <f t="shared" si="7"/>
        <v>988.2399999999999</v>
      </c>
      <c r="X62" s="17">
        <f>+SUM(X60:X61)</f>
        <v>4094.55</v>
      </c>
      <c r="Y62" s="17">
        <f>+SUM(Y60:Y61)</f>
        <v>5319.72</v>
      </c>
      <c r="Z62" s="17">
        <f>+SUM(Z60:Z61)</f>
        <v>33925.08</v>
      </c>
      <c r="AA62" s="18">
        <f t="shared" si="7"/>
        <v>71287.26999999999</v>
      </c>
      <c r="AB62" s="17">
        <f t="shared" si="7"/>
        <v>211218.67</v>
      </c>
      <c r="AC62" s="17">
        <f t="shared" si="7"/>
        <v>15779.75</v>
      </c>
      <c r="AD62" s="14"/>
      <c r="AE62" s="14"/>
    </row>
    <row r="63" spans="1:31" x14ac:dyDescent="0.25">
      <c r="AB63" s="14"/>
      <c r="AC63" s="14"/>
      <c r="AD63" s="14"/>
      <c r="AE63" s="14"/>
    </row>
    <row r="64" spans="1:31" x14ac:dyDescent="0.25">
      <c r="H64" s="1" t="s">
        <v>10</v>
      </c>
      <c r="I64" s="12">
        <f>+SUMIF($E$3:$E$55,"X",I3:I55)</f>
        <v>1582888.77</v>
      </c>
      <c r="J64" s="12">
        <f>+SUMIF($E$3:$E$55,"X",J3:J55)</f>
        <v>964.88</v>
      </c>
      <c r="K64" s="12">
        <f t="shared" ref="K64:AC64" si="10">+SUMIF($E$3:$E$55,"X",K3:K55)</f>
        <v>4396.79</v>
      </c>
      <c r="L64" s="12">
        <f t="shared" si="10"/>
        <v>50289.09</v>
      </c>
      <c r="M64" s="12">
        <f t="shared" si="10"/>
        <v>18560.760000000002</v>
      </c>
      <c r="N64" s="12">
        <f t="shared" si="10"/>
        <v>0</v>
      </c>
      <c r="O64" s="12">
        <f t="shared" si="10"/>
        <v>6600</v>
      </c>
      <c r="P64" s="12">
        <f t="shared" si="10"/>
        <v>37269.099999999991</v>
      </c>
      <c r="Q64" s="12">
        <f t="shared" si="10"/>
        <v>1700969.3900000004</v>
      </c>
      <c r="R64" s="12">
        <f>+SUMIF($E$3:$E$55,"X",R3:R55)</f>
        <v>52650</v>
      </c>
      <c r="S64" s="12">
        <f t="shared" si="10"/>
        <v>180381.09</v>
      </c>
      <c r="T64" s="12">
        <f t="shared" si="10"/>
        <v>188166.08</v>
      </c>
      <c r="U64" s="12">
        <f t="shared" si="10"/>
        <v>20907.059999999998</v>
      </c>
      <c r="V64" s="12">
        <f t="shared" si="10"/>
        <v>8096.41</v>
      </c>
      <c r="W64" s="12">
        <f t="shared" si="10"/>
        <v>1433.4399999999996</v>
      </c>
      <c r="X64" s="12">
        <f>+SUMIF($E$3:$E$55,"X",X3:X55)</f>
        <v>5999.3100000000013</v>
      </c>
      <c r="Y64" s="12">
        <f>+SUMIF($E$3:$E$55,"X",Y3:Y55)</f>
        <v>7798.7999999999993</v>
      </c>
      <c r="Z64" s="12">
        <f>+SUMIF($E$3:$E$55,"X",Z3:Z55)</f>
        <v>88744.200000000012</v>
      </c>
      <c r="AA64" s="11">
        <f t="shared" si="10"/>
        <v>103659.56999999999</v>
      </c>
      <c r="AB64" s="12">
        <f t="shared" si="10"/>
        <v>386582.97</v>
      </c>
      <c r="AC64" s="12">
        <f t="shared" si="10"/>
        <v>30436.909999999993</v>
      </c>
      <c r="AD64" s="14"/>
      <c r="AE64" s="14"/>
    </row>
    <row r="65" spans="8:31" x14ac:dyDescent="0.25">
      <c r="H65" s="1" t="s">
        <v>11</v>
      </c>
      <c r="I65" s="12">
        <f>+SUMIF($F$3:$F$55,"X",I3:I55)</f>
        <v>1627845.0599999996</v>
      </c>
      <c r="J65" s="12">
        <f>+SUMIF($F$3:$F$55,"X",J3:J55)</f>
        <v>388991.92</v>
      </c>
      <c r="K65" s="12">
        <f t="shared" ref="K65:AC65" si="11">+SUMIF($F$3:$F$55,"X",K3:K55)</f>
        <v>0</v>
      </c>
      <c r="L65" s="12">
        <f t="shared" si="11"/>
        <v>0</v>
      </c>
      <c r="M65" s="12">
        <f t="shared" si="11"/>
        <v>0</v>
      </c>
      <c r="N65" s="12">
        <f t="shared" si="11"/>
        <v>0</v>
      </c>
      <c r="O65" s="12">
        <f t="shared" si="11"/>
        <v>0</v>
      </c>
      <c r="P65" s="12">
        <f t="shared" si="11"/>
        <v>30137.34</v>
      </c>
      <c r="Q65" s="12">
        <f t="shared" si="11"/>
        <v>2046974.3200000005</v>
      </c>
      <c r="R65" s="12">
        <f>+SUMIF($F$3:$F$55,"X",R3:R55)</f>
        <v>0</v>
      </c>
      <c r="S65" s="12">
        <f t="shared" si="11"/>
        <v>294203.30000000005</v>
      </c>
      <c r="T65" s="12">
        <f t="shared" si="11"/>
        <v>321612.30000000005</v>
      </c>
      <c r="U65" s="12">
        <f t="shared" si="11"/>
        <v>45938.82</v>
      </c>
      <c r="V65" s="12">
        <f t="shared" si="11"/>
        <v>13842.720000000001</v>
      </c>
      <c r="W65" s="12">
        <f t="shared" si="11"/>
        <v>1982.4199999999998</v>
      </c>
      <c r="X65" s="12">
        <f>+SUMIF($F$3:$F$55,"X",X3:X55)</f>
        <v>6090.6600000000008</v>
      </c>
      <c r="Y65" s="12">
        <f>+SUMIF($F$3:$F$55,"X",Y3:Y55)</f>
        <v>7860.0800000000008</v>
      </c>
      <c r="Z65" s="12">
        <f>+SUMIF($F$3:$F$55,"X",Z3:Z55)</f>
        <v>75543</v>
      </c>
      <c r="AA65" s="11">
        <f t="shared" si="11"/>
        <v>177668.58</v>
      </c>
      <c r="AB65" s="12">
        <f t="shared" si="11"/>
        <v>561365.62</v>
      </c>
      <c r="AC65" s="12">
        <f t="shared" si="11"/>
        <v>61763.96</v>
      </c>
      <c r="AD65" s="14"/>
      <c r="AE65" s="14"/>
    </row>
    <row r="66" spans="8:31" ht="12.75" thickBot="1" x14ac:dyDescent="0.3">
      <c r="H66" s="1" t="s">
        <v>65</v>
      </c>
      <c r="I66" s="17">
        <f>+I64+I65</f>
        <v>3210733.8299999996</v>
      </c>
      <c r="J66" s="17">
        <f t="shared" ref="J66:AC66" si="12">+J64+J65</f>
        <v>389956.8</v>
      </c>
      <c r="K66" s="17">
        <f t="shared" si="12"/>
        <v>4396.79</v>
      </c>
      <c r="L66" s="17">
        <f t="shared" si="12"/>
        <v>50289.09</v>
      </c>
      <c r="M66" s="17">
        <f t="shared" si="12"/>
        <v>18560.760000000002</v>
      </c>
      <c r="N66" s="17">
        <f t="shared" si="12"/>
        <v>0</v>
      </c>
      <c r="O66" s="17">
        <f t="shared" si="12"/>
        <v>6600</v>
      </c>
      <c r="P66" s="17">
        <f t="shared" si="12"/>
        <v>67406.439999999988</v>
      </c>
      <c r="Q66" s="17">
        <f t="shared" si="12"/>
        <v>3747943.7100000009</v>
      </c>
      <c r="R66" s="17">
        <f>+R64+R65</f>
        <v>52650</v>
      </c>
      <c r="S66" s="17">
        <f t="shared" si="12"/>
        <v>474584.39</v>
      </c>
      <c r="T66" s="17">
        <f t="shared" si="12"/>
        <v>509778.38</v>
      </c>
      <c r="U66" s="17">
        <f t="shared" si="12"/>
        <v>66845.88</v>
      </c>
      <c r="V66" s="17">
        <f t="shared" si="12"/>
        <v>21939.13</v>
      </c>
      <c r="W66" s="17">
        <f t="shared" si="12"/>
        <v>3415.8599999999997</v>
      </c>
      <c r="X66" s="17">
        <f>+X64+X65</f>
        <v>12089.970000000001</v>
      </c>
      <c r="Y66" s="17">
        <f>+Y64+Y65</f>
        <v>15658.880000000001</v>
      </c>
      <c r="Z66" s="17">
        <f>+Z64+Z65</f>
        <v>164287.20000000001</v>
      </c>
      <c r="AA66" s="18">
        <f t="shared" si="12"/>
        <v>281328.14999999997</v>
      </c>
      <c r="AB66" s="17">
        <f t="shared" si="12"/>
        <v>947948.59</v>
      </c>
      <c r="AC66" s="17">
        <f t="shared" si="12"/>
        <v>92200.87</v>
      </c>
      <c r="AD66" s="14"/>
      <c r="AE66" s="14"/>
    </row>
    <row r="67" spans="8:31" x14ac:dyDescent="0.25">
      <c r="AD67" s="14"/>
      <c r="AE67" s="14"/>
    </row>
    <row r="68" spans="8:31" x14ac:dyDescent="0.25">
      <c r="H68" s="1" t="s">
        <v>12</v>
      </c>
      <c r="I68" s="12">
        <f>+SUMIF($G$3:$G$55,"X",I3:I55)</f>
        <v>1290662.7099999997</v>
      </c>
      <c r="J68" s="12">
        <f>+SUMIF($G$3:$G$55,"X",J3:J55)</f>
        <v>386564.92999999988</v>
      </c>
      <c r="K68" s="12">
        <f t="shared" ref="K68:AC68" si="13">+SUMIF($G$3:$G$55,"X",K3:K55)</f>
        <v>0</v>
      </c>
      <c r="L68" s="12">
        <f t="shared" si="13"/>
        <v>0</v>
      </c>
      <c r="M68" s="12">
        <f t="shared" si="13"/>
        <v>0</v>
      </c>
      <c r="N68" s="12">
        <f t="shared" si="13"/>
        <v>0</v>
      </c>
      <c r="O68" s="12">
        <f t="shared" si="13"/>
        <v>0</v>
      </c>
      <c r="P68" s="12">
        <f t="shared" si="13"/>
        <v>23358.14</v>
      </c>
      <c r="Q68" s="12">
        <f t="shared" si="13"/>
        <v>1700585.78</v>
      </c>
      <c r="R68" s="12">
        <f>+SUMIF($G$3:$G$55,"X",R3:R55)</f>
        <v>0</v>
      </c>
      <c r="S68" s="12">
        <f t="shared" si="13"/>
        <v>237743.30000000005</v>
      </c>
      <c r="T68" s="12">
        <f t="shared" si="13"/>
        <v>266328.66000000003</v>
      </c>
      <c r="U68" s="12">
        <f t="shared" si="13"/>
        <v>39796.26</v>
      </c>
      <c r="V68" s="12">
        <f t="shared" si="13"/>
        <v>11195.04</v>
      </c>
      <c r="W68" s="12">
        <f t="shared" si="13"/>
        <v>1336.9999999999998</v>
      </c>
      <c r="X68" s="12">
        <f>+SUMIF($G$3:$G$55,"X",X3:X55)</f>
        <v>4896.72</v>
      </c>
      <c r="Y68" s="12">
        <f>+SUMIF($G$3:$G$55,"X",Y3:Y55)</f>
        <v>6388.3200000000006</v>
      </c>
      <c r="Z68" s="12">
        <f>+SUMIF($G$3:$G$55,"X",Z3:Z55)</f>
        <v>75543</v>
      </c>
      <c r="AA68" s="11">
        <f t="shared" si="13"/>
        <v>154484.06</v>
      </c>
      <c r="AB68" s="12">
        <f t="shared" si="13"/>
        <v>479055.4</v>
      </c>
      <c r="AC68" s="12">
        <f t="shared" si="13"/>
        <v>52328.299999999996</v>
      </c>
      <c r="AD68" s="14"/>
      <c r="AE68" s="14"/>
    </row>
    <row r="69" spans="8:31" x14ac:dyDescent="0.25">
      <c r="H69" s="1" t="s">
        <v>13</v>
      </c>
      <c r="I69" s="12">
        <f>+SUMIF($H$3:$H$55,"X",I3:I55)</f>
        <v>1920071.1199999999</v>
      </c>
      <c r="J69" s="12">
        <f>+SUMIF($H$3:$H$55,"X",J3:J55)</f>
        <v>3391.87</v>
      </c>
      <c r="K69" s="12">
        <f t="shared" ref="K69:AC69" si="14">+SUMIF($H$3:$H$55,"X",K3:K55)</f>
        <v>4396.79</v>
      </c>
      <c r="L69" s="12">
        <f t="shared" si="14"/>
        <v>50289.09</v>
      </c>
      <c r="M69" s="12">
        <f t="shared" si="14"/>
        <v>18560.760000000002</v>
      </c>
      <c r="N69" s="12">
        <f t="shared" si="14"/>
        <v>0</v>
      </c>
      <c r="O69" s="12">
        <f t="shared" si="14"/>
        <v>6600</v>
      </c>
      <c r="P69" s="12">
        <f t="shared" si="14"/>
        <v>44048.299999999988</v>
      </c>
      <c r="Q69" s="12">
        <f t="shared" si="14"/>
        <v>2047357.9300000004</v>
      </c>
      <c r="R69" s="12">
        <f>+SUMIF($H$3:$H$55,"X",R3:R55)</f>
        <v>52650</v>
      </c>
      <c r="S69" s="12">
        <f t="shared" si="14"/>
        <v>236841.08999999997</v>
      </c>
      <c r="T69" s="12">
        <f t="shared" si="14"/>
        <v>243449.71999999997</v>
      </c>
      <c r="U69" s="12">
        <f t="shared" si="14"/>
        <v>27049.62</v>
      </c>
      <c r="V69" s="12">
        <f t="shared" si="14"/>
        <v>10744.089999999998</v>
      </c>
      <c r="W69" s="12">
        <f t="shared" si="14"/>
        <v>2078.8599999999997</v>
      </c>
      <c r="X69" s="12">
        <f>+SUMIF($H$3:$H$55,"X",X3:X55)</f>
        <v>7193.25</v>
      </c>
      <c r="Y69" s="12">
        <f>+SUMIF($H$3:$H$55,"X",Y3:Y55)</f>
        <v>9270.5600000000013</v>
      </c>
      <c r="Z69" s="12">
        <f>+SUMIF($H$3:$H$55,"X",Z3:Z55)</f>
        <v>88744.200000000012</v>
      </c>
      <c r="AA69" s="11">
        <f t="shared" si="14"/>
        <v>126844.09</v>
      </c>
      <c r="AB69" s="12">
        <f t="shared" si="14"/>
        <v>468893.18999999994</v>
      </c>
      <c r="AC69" s="12">
        <f t="shared" si="14"/>
        <v>39872.569999999992</v>
      </c>
      <c r="AD69" s="14"/>
      <c r="AE69" s="14"/>
    </row>
    <row r="70" spans="8:31" ht="12.75" thickBot="1" x14ac:dyDescent="0.3">
      <c r="H70" s="1" t="s">
        <v>65</v>
      </c>
      <c r="I70" s="17">
        <f>+I68+I69</f>
        <v>3210733.8299999996</v>
      </c>
      <c r="J70" s="17">
        <f t="shared" ref="J70:AC70" si="15">+J68+J69</f>
        <v>389956.79999999987</v>
      </c>
      <c r="K70" s="19">
        <f t="shared" si="15"/>
        <v>4396.79</v>
      </c>
      <c r="L70" s="19">
        <f t="shared" si="15"/>
        <v>50289.09</v>
      </c>
      <c r="M70" s="19">
        <f t="shared" si="15"/>
        <v>18560.760000000002</v>
      </c>
      <c r="N70" s="17">
        <f t="shared" si="15"/>
        <v>0</v>
      </c>
      <c r="O70" s="19">
        <f t="shared" si="15"/>
        <v>6600</v>
      </c>
      <c r="P70" s="19">
        <f t="shared" si="15"/>
        <v>67406.439999999988</v>
      </c>
      <c r="Q70" s="17">
        <f t="shared" si="15"/>
        <v>3747943.7100000004</v>
      </c>
      <c r="R70" s="17">
        <f>+R68+R69</f>
        <v>52650</v>
      </c>
      <c r="S70" s="17">
        <f t="shared" si="15"/>
        <v>474584.39</v>
      </c>
      <c r="T70" s="17">
        <f t="shared" si="15"/>
        <v>509778.38</v>
      </c>
      <c r="U70" s="17">
        <f t="shared" si="15"/>
        <v>66845.88</v>
      </c>
      <c r="V70" s="17">
        <f t="shared" si="15"/>
        <v>21939.129999999997</v>
      </c>
      <c r="W70" s="17">
        <f t="shared" si="15"/>
        <v>3415.8599999999997</v>
      </c>
      <c r="X70" s="17">
        <f>+X68+X69</f>
        <v>12089.970000000001</v>
      </c>
      <c r="Y70" s="17">
        <f>+Y68+Y69</f>
        <v>15658.880000000001</v>
      </c>
      <c r="Z70" s="17">
        <f>+Z68+Z69</f>
        <v>164287.20000000001</v>
      </c>
      <c r="AA70" s="18">
        <f t="shared" si="15"/>
        <v>281328.15000000002</v>
      </c>
      <c r="AB70" s="17">
        <f t="shared" si="15"/>
        <v>947948.59</v>
      </c>
      <c r="AC70" s="17">
        <f t="shared" si="15"/>
        <v>92200.87</v>
      </c>
      <c r="AD70" s="14"/>
      <c r="AE70" s="14"/>
    </row>
    <row r="71" spans="8:31" x14ac:dyDescent="0.25"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1"/>
      <c r="AB71" s="20"/>
      <c r="AC71" s="20"/>
      <c r="AD71" s="14"/>
      <c r="AE71" s="14"/>
    </row>
    <row r="72" spans="8:31" ht="15" hidden="1" x14ac:dyDescent="0.25">
      <c r="H72" s="22" t="s">
        <v>66</v>
      </c>
    </row>
    <row r="73" spans="8:31" ht="15" hidden="1" x14ac:dyDescent="0.25">
      <c r="H73" s="22" t="s">
        <v>7</v>
      </c>
      <c r="I73" s="23">
        <f>(I60-'[1]2022'!I60)/'[1]2022'!I60</f>
        <v>5.3318976587112939E-2</v>
      </c>
    </row>
    <row r="74" spans="8:31" ht="15" hidden="1" x14ac:dyDescent="0.25">
      <c r="H74" s="22" t="s">
        <v>67</v>
      </c>
      <c r="I74" s="23">
        <f>(I64-'[1]2022'!I64)/'[1]2022'!I64</f>
        <v>2.7893723022346922E-2</v>
      </c>
    </row>
    <row r="75" spans="8:31" ht="15" hidden="1" x14ac:dyDescent="0.25">
      <c r="H75" s="22" t="s">
        <v>68</v>
      </c>
      <c r="I75" s="23">
        <f>(I65-'[1]2022'!I65)/'[1]2022'!I65</f>
        <v>1.8714827877536405E-2</v>
      </c>
    </row>
  </sheetData>
  <autoFilter ref="A2:AB55" xr:uid="{A53ACBA8-38C2-4DC6-9895-AA7529EFC731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6858-63D9-482E-94FD-39DCA74BCA67}">
  <dimension ref="A1:O63"/>
  <sheetViews>
    <sheetView zoomScaleNormal="100" workbookViewId="0">
      <pane xSplit="1" ySplit="2" topLeftCell="F30" activePane="bottomRight" state="frozen"/>
      <selection pane="topRight" activeCell="C1" sqref="C1"/>
      <selection pane="bottomLeft" activeCell="A3" sqref="A3"/>
      <selection pane="bottomRight" activeCell="N56" sqref="N56"/>
    </sheetView>
  </sheetViews>
  <sheetFormatPr defaultColWidth="9.140625" defaultRowHeight="12" x14ac:dyDescent="0.25"/>
  <cols>
    <col min="1" max="1" width="26.140625" style="1" bestFit="1" customWidth="1"/>
    <col min="2" max="2" width="15.42578125" style="1" bestFit="1" customWidth="1"/>
    <col min="3" max="3" width="12.7109375" style="1" bestFit="1" customWidth="1"/>
    <col min="4" max="4" width="14.42578125" style="1" bestFit="1" customWidth="1"/>
    <col min="5" max="5" width="11.7109375" style="1" customWidth="1"/>
    <col min="6" max="6" width="15.42578125" style="1" customWidth="1"/>
    <col min="7" max="7" width="10.140625" style="1" customWidth="1"/>
    <col min="8" max="8" width="13.85546875" style="1" customWidth="1"/>
    <col min="9" max="9" width="14" style="12" bestFit="1" customWidth="1"/>
    <col min="10" max="12" width="14.5703125" style="12" customWidth="1"/>
    <col min="13" max="13" width="14" style="12" customWidth="1"/>
    <col min="14" max="14" width="14" style="12" bestFit="1" customWidth="1"/>
    <col min="15" max="15" width="15.42578125" style="12" bestFit="1" customWidth="1"/>
    <col min="16" max="16" width="23.7109375" style="14" bestFit="1" customWidth="1"/>
    <col min="17" max="17" width="21" style="14" customWidth="1"/>
    <col min="18" max="16384" width="9.140625" style="14"/>
  </cols>
  <sheetData>
    <row r="1" spans="1:15" s="1" customFormat="1" x14ac:dyDescent="0.25">
      <c r="I1" s="2"/>
      <c r="J1" s="2"/>
      <c r="K1" s="2"/>
      <c r="L1" s="2"/>
    </row>
    <row r="2" spans="1:15" s="9" customFormat="1" ht="102" customHeight="1" x14ac:dyDescent="0.25">
      <c r="A2" s="4" t="s">
        <v>6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5" t="s">
        <v>12</v>
      </c>
      <c r="H2" s="5" t="s">
        <v>13</v>
      </c>
      <c r="I2" s="6" t="s">
        <v>70</v>
      </c>
      <c r="J2" s="6" t="s">
        <v>83</v>
      </c>
      <c r="K2" s="6" t="s">
        <v>84</v>
      </c>
      <c r="L2" s="24" t="s">
        <v>82</v>
      </c>
      <c r="M2" s="24" t="s">
        <v>85</v>
      </c>
      <c r="N2" s="9" t="s">
        <v>65</v>
      </c>
    </row>
    <row r="3" spans="1:15" x14ac:dyDescent="0.25">
      <c r="A3" s="1" t="s">
        <v>35</v>
      </c>
      <c r="B3" s="10"/>
      <c r="C3" s="10"/>
      <c r="D3" s="10"/>
      <c r="E3" s="10"/>
      <c r="F3" s="10" t="s">
        <v>36</v>
      </c>
      <c r="G3" s="10" t="s">
        <v>36</v>
      </c>
      <c r="H3" s="10"/>
      <c r="I3" s="11"/>
      <c r="J3" s="12">
        <v>250</v>
      </c>
      <c r="K3" s="12">
        <v>0</v>
      </c>
      <c r="M3" s="13"/>
      <c r="N3" s="14"/>
      <c r="O3" s="14"/>
    </row>
    <row r="4" spans="1:15" x14ac:dyDescent="0.25">
      <c r="A4" s="1" t="s">
        <v>37</v>
      </c>
      <c r="B4" s="10"/>
      <c r="C4" s="10"/>
      <c r="D4" s="10"/>
      <c r="E4" s="10"/>
      <c r="F4" s="10" t="s">
        <v>36</v>
      </c>
      <c r="G4" s="10"/>
      <c r="H4" s="10" t="s">
        <v>36</v>
      </c>
      <c r="I4" s="11"/>
      <c r="M4" s="13"/>
      <c r="N4" s="14"/>
      <c r="O4" s="14"/>
    </row>
    <row r="5" spans="1:15" x14ac:dyDescent="0.25">
      <c r="A5" s="1" t="s">
        <v>38</v>
      </c>
      <c r="B5" s="10" t="s">
        <v>36</v>
      </c>
      <c r="C5" s="10"/>
      <c r="D5" s="10"/>
      <c r="E5" s="10" t="s">
        <v>36</v>
      </c>
      <c r="F5" s="10"/>
      <c r="G5" s="10"/>
      <c r="H5" s="10" t="s">
        <v>36</v>
      </c>
      <c r="I5" s="11">
        <v>550</v>
      </c>
      <c r="M5" s="13"/>
      <c r="N5" s="14"/>
      <c r="O5" s="14"/>
    </row>
    <row r="6" spans="1:15" x14ac:dyDescent="0.25">
      <c r="A6" s="1" t="s">
        <v>37</v>
      </c>
      <c r="B6" s="10"/>
      <c r="C6" s="10"/>
      <c r="D6" s="10"/>
      <c r="E6" s="10"/>
      <c r="F6" s="10" t="s">
        <v>36</v>
      </c>
      <c r="G6" s="10"/>
      <c r="H6" s="10" t="s">
        <v>36</v>
      </c>
      <c r="I6" s="11"/>
      <c r="M6" s="13"/>
      <c r="N6" s="14"/>
      <c r="O6" s="14"/>
    </row>
    <row r="7" spans="1:15" x14ac:dyDescent="0.25">
      <c r="A7" s="1" t="s">
        <v>39</v>
      </c>
      <c r="B7" s="10"/>
      <c r="C7" s="10"/>
      <c r="D7" s="10"/>
      <c r="E7" s="10"/>
      <c r="F7" s="10" t="s">
        <v>36</v>
      </c>
      <c r="G7" s="10" t="s">
        <v>36</v>
      </c>
      <c r="H7" s="10"/>
      <c r="I7" s="11"/>
      <c r="J7" s="12">
        <v>250</v>
      </c>
      <c r="K7" s="12">
        <v>0</v>
      </c>
      <c r="M7" s="13"/>
      <c r="N7" s="14"/>
      <c r="O7" s="14"/>
    </row>
    <row r="8" spans="1:15" x14ac:dyDescent="0.25">
      <c r="A8" s="1" t="s">
        <v>39</v>
      </c>
      <c r="B8" s="10"/>
      <c r="C8" s="10"/>
      <c r="D8" s="10"/>
      <c r="E8" s="10"/>
      <c r="F8" s="10" t="s">
        <v>36</v>
      </c>
      <c r="G8" s="10" t="s">
        <v>36</v>
      </c>
      <c r="H8" s="10"/>
      <c r="I8" s="11"/>
      <c r="J8" s="12">
        <v>250</v>
      </c>
      <c r="K8" s="12">
        <v>0</v>
      </c>
      <c r="M8" s="13"/>
      <c r="N8" s="14"/>
      <c r="O8" s="14"/>
    </row>
    <row r="9" spans="1:15" x14ac:dyDescent="0.25">
      <c r="A9" s="1" t="s">
        <v>40</v>
      </c>
      <c r="B9" s="10"/>
      <c r="C9" s="10"/>
      <c r="D9" s="10"/>
      <c r="E9" s="10" t="s">
        <v>36</v>
      </c>
      <c r="F9" s="10"/>
      <c r="G9" s="10"/>
      <c r="H9" s="10" t="s">
        <v>36</v>
      </c>
      <c r="I9" s="11"/>
      <c r="J9" s="11"/>
      <c r="K9" s="11"/>
      <c r="L9" s="11"/>
      <c r="M9" s="13"/>
      <c r="N9" s="13"/>
      <c r="O9" s="14"/>
    </row>
    <row r="10" spans="1:15" x14ac:dyDescent="0.25">
      <c r="A10" s="1" t="s">
        <v>41</v>
      </c>
      <c r="B10" s="10"/>
      <c r="C10" s="10"/>
      <c r="D10" s="10"/>
      <c r="E10" s="10"/>
      <c r="F10" s="10" t="s">
        <v>36</v>
      </c>
      <c r="G10" s="10"/>
      <c r="H10" s="10" t="s">
        <v>36</v>
      </c>
      <c r="I10" s="11"/>
      <c r="M10" s="13"/>
      <c r="N10" s="14"/>
      <c r="O10" s="14"/>
    </row>
    <row r="11" spans="1:15" x14ac:dyDescent="0.25">
      <c r="A11" s="1" t="s">
        <v>42</v>
      </c>
      <c r="B11" s="10"/>
      <c r="C11" s="10"/>
      <c r="D11" s="10"/>
      <c r="E11" s="10" t="s">
        <v>36</v>
      </c>
      <c r="F11" s="10"/>
      <c r="G11" s="10"/>
      <c r="H11" s="10" t="s">
        <v>36</v>
      </c>
      <c r="I11" s="11"/>
      <c r="M11" s="13"/>
      <c r="N11" s="14"/>
      <c r="O11" s="14"/>
    </row>
    <row r="12" spans="1:15" x14ac:dyDescent="0.25">
      <c r="A12" s="1" t="s">
        <v>43</v>
      </c>
      <c r="B12" s="10"/>
      <c r="C12" s="10" t="s">
        <v>36</v>
      </c>
      <c r="D12" s="10"/>
      <c r="E12" s="10" t="s">
        <v>36</v>
      </c>
      <c r="F12" s="10"/>
      <c r="G12" s="10"/>
      <c r="H12" s="10" t="s">
        <v>36</v>
      </c>
      <c r="I12" s="11"/>
      <c r="M12" s="13"/>
      <c r="N12" s="14"/>
      <c r="O12" s="14"/>
    </row>
    <row r="13" spans="1:15" x14ac:dyDescent="0.25">
      <c r="A13" s="1" t="s">
        <v>44</v>
      </c>
      <c r="B13" s="10"/>
      <c r="C13" s="10"/>
      <c r="D13" s="10"/>
      <c r="E13" s="10" t="s">
        <v>36</v>
      </c>
      <c r="F13" s="10"/>
      <c r="G13" s="10"/>
      <c r="H13" s="10" t="s">
        <v>36</v>
      </c>
      <c r="I13" s="11"/>
      <c r="L13" s="12">
        <v>192.31</v>
      </c>
      <c r="M13" s="13"/>
      <c r="N13" s="14"/>
      <c r="O13" s="14"/>
    </row>
    <row r="14" spans="1:15" x14ac:dyDescent="0.25">
      <c r="A14" s="1" t="s">
        <v>40</v>
      </c>
      <c r="B14" s="10"/>
      <c r="C14" s="10"/>
      <c r="D14" s="10"/>
      <c r="E14" s="10"/>
      <c r="F14" s="10" t="s">
        <v>36</v>
      </c>
      <c r="G14" s="10"/>
      <c r="H14" s="10" t="s">
        <v>36</v>
      </c>
      <c r="I14" s="11"/>
      <c r="M14" s="13"/>
      <c r="N14" s="14"/>
      <c r="O14" s="14"/>
    </row>
    <row r="15" spans="1:15" x14ac:dyDescent="0.25">
      <c r="A15" s="1" t="s">
        <v>39</v>
      </c>
      <c r="B15" s="10"/>
      <c r="C15" s="10"/>
      <c r="D15" s="10"/>
      <c r="E15" s="10"/>
      <c r="F15" s="10" t="s">
        <v>36</v>
      </c>
      <c r="G15" s="10" t="s">
        <v>36</v>
      </c>
      <c r="H15" s="10"/>
      <c r="I15" s="11"/>
      <c r="J15" s="12">
        <v>250</v>
      </c>
      <c r="K15" s="12">
        <v>0</v>
      </c>
      <c r="M15" s="13"/>
      <c r="N15" s="14"/>
      <c r="O15" s="14"/>
    </row>
    <row r="16" spans="1:15" x14ac:dyDescent="0.25">
      <c r="A16" s="1" t="s">
        <v>45</v>
      </c>
      <c r="B16" s="10"/>
      <c r="C16" s="10" t="s">
        <v>36</v>
      </c>
      <c r="D16" s="10"/>
      <c r="E16" s="10" t="s">
        <v>36</v>
      </c>
      <c r="F16" s="10"/>
      <c r="G16" s="10"/>
      <c r="H16" s="10" t="s">
        <v>36</v>
      </c>
      <c r="I16" s="11"/>
      <c r="K16" s="12">
        <v>650</v>
      </c>
      <c r="L16" s="12">
        <v>192.31</v>
      </c>
      <c r="M16" s="13"/>
      <c r="N16" s="13"/>
      <c r="O16" s="14"/>
    </row>
    <row r="17" spans="1:15" x14ac:dyDescent="0.25">
      <c r="A17" s="1" t="s">
        <v>44</v>
      </c>
      <c r="B17" s="10"/>
      <c r="C17" s="10"/>
      <c r="D17" s="10"/>
      <c r="E17" s="10" t="s">
        <v>36</v>
      </c>
      <c r="F17" s="10"/>
      <c r="G17" s="10"/>
      <c r="H17" s="10" t="s">
        <v>36</v>
      </c>
      <c r="I17" s="11"/>
      <c r="L17" s="12">
        <v>192.31</v>
      </c>
      <c r="M17" s="13"/>
      <c r="N17" s="14"/>
      <c r="O17" s="14"/>
    </row>
    <row r="18" spans="1:15" x14ac:dyDescent="0.25">
      <c r="A18" s="1" t="s">
        <v>46</v>
      </c>
      <c r="B18" s="10"/>
      <c r="C18" s="10"/>
      <c r="D18" s="10"/>
      <c r="E18" s="10" t="s">
        <v>36</v>
      </c>
      <c r="F18" s="10"/>
      <c r="G18" s="10"/>
      <c r="H18" s="10" t="s">
        <v>36</v>
      </c>
      <c r="I18" s="11"/>
      <c r="K18" s="12">
        <v>650</v>
      </c>
      <c r="L18" s="12">
        <v>192.31</v>
      </c>
      <c r="M18" s="13"/>
      <c r="N18" s="14"/>
      <c r="O18" s="14"/>
    </row>
    <row r="19" spans="1:15" x14ac:dyDescent="0.25">
      <c r="A19" s="1" t="s">
        <v>47</v>
      </c>
      <c r="B19" s="10"/>
      <c r="C19" s="10"/>
      <c r="D19" s="10" t="s">
        <v>36</v>
      </c>
      <c r="E19" s="10" t="s">
        <v>36</v>
      </c>
      <c r="F19" s="10"/>
      <c r="G19" s="10"/>
      <c r="H19" s="10" t="s">
        <v>36</v>
      </c>
      <c r="I19" s="11"/>
      <c r="K19" s="12">
        <v>650</v>
      </c>
      <c r="L19" s="12">
        <v>192.31</v>
      </c>
      <c r="M19" s="13"/>
      <c r="N19" s="13"/>
      <c r="O19" s="14"/>
    </row>
    <row r="20" spans="1:15" x14ac:dyDescent="0.25">
      <c r="A20" s="1" t="s">
        <v>40</v>
      </c>
      <c r="B20" s="10"/>
      <c r="C20" s="10"/>
      <c r="D20" s="10"/>
      <c r="E20" s="10"/>
      <c r="F20" s="10" t="s">
        <v>36</v>
      </c>
      <c r="G20" s="10" t="s">
        <v>36</v>
      </c>
      <c r="H20" s="10"/>
      <c r="I20" s="11"/>
      <c r="J20" s="12">
        <v>250</v>
      </c>
      <c r="K20" s="12">
        <v>0</v>
      </c>
      <c r="M20" s="13"/>
      <c r="N20" s="14"/>
      <c r="O20" s="14"/>
    </row>
    <row r="21" spans="1:15" x14ac:dyDescent="0.25">
      <c r="A21" s="1" t="s">
        <v>48</v>
      </c>
      <c r="B21" s="10"/>
      <c r="C21" s="10"/>
      <c r="D21" s="10"/>
      <c r="E21" s="10"/>
      <c r="F21" s="10" t="s">
        <v>36</v>
      </c>
      <c r="G21" s="10"/>
      <c r="H21" s="10" t="s">
        <v>36</v>
      </c>
      <c r="I21" s="11"/>
      <c r="M21" s="13"/>
      <c r="N21" s="14"/>
      <c r="O21" s="14"/>
    </row>
    <row r="22" spans="1:15" x14ac:dyDescent="0.25">
      <c r="A22" s="1" t="s">
        <v>40</v>
      </c>
      <c r="B22" s="10"/>
      <c r="C22" s="10"/>
      <c r="D22" s="10"/>
      <c r="E22" s="10" t="s">
        <v>36</v>
      </c>
      <c r="F22" s="10"/>
      <c r="G22" s="10"/>
      <c r="H22" s="10" t="s">
        <v>36</v>
      </c>
      <c r="I22" s="11"/>
      <c r="M22" s="13"/>
      <c r="N22" s="14"/>
      <c r="O22" s="14"/>
    </row>
    <row r="23" spans="1:15" x14ac:dyDescent="0.25">
      <c r="A23" s="1" t="s">
        <v>40</v>
      </c>
      <c r="B23" s="10"/>
      <c r="C23" s="10"/>
      <c r="D23" s="10"/>
      <c r="E23" s="10"/>
      <c r="F23" s="10" t="s">
        <v>36</v>
      </c>
      <c r="G23" s="10"/>
      <c r="H23" s="10" t="s">
        <v>36</v>
      </c>
      <c r="I23" s="11"/>
      <c r="M23" s="13"/>
      <c r="N23" s="14"/>
      <c r="O23" s="14"/>
    </row>
    <row r="24" spans="1:15" x14ac:dyDescent="0.25">
      <c r="A24" s="1" t="s">
        <v>49</v>
      </c>
      <c r="B24" s="10"/>
      <c r="C24" s="10"/>
      <c r="D24" s="10"/>
      <c r="E24" s="10"/>
      <c r="F24" s="10" t="s">
        <v>36</v>
      </c>
      <c r="G24" s="10"/>
      <c r="H24" s="10" t="s">
        <v>36</v>
      </c>
      <c r="I24" s="11"/>
      <c r="M24" s="13"/>
      <c r="N24" s="14"/>
      <c r="O24" s="14"/>
    </row>
    <row r="25" spans="1:15" x14ac:dyDescent="0.25">
      <c r="A25" s="1" t="s">
        <v>39</v>
      </c>
      <c r="B25" s="10"/>
      <c r="C25" s="10"/>
      <c r="D25" s="10"/>
      <c r="E25" s="10"/>
      <c r="F25" s="10" t="s">
        <v>36</v>
      </c>
      <c r="G25" s="10" t="s">
        <v>36</v>
      </c>
      <c r="H25" s="10"/>
      <c r="I25" s="11"/>
      <c r="J25" s="12">
        <v>250</v>
      </c>
      <c r="K25" s="12">
        <v>0</v>
      </c>
      <c r="M25" s="13"/>
      <c r="N25" s="14"/>
      <c r="O25" s="14"/>
    </row>
    <row r="26" spans="1:15" x14ac:dyDescent="0.25">
      <c r="A26" s="1" t="s">
        <v>39</v>
      </c>
      <c r="B26" s="10"/>
      <c r="C26" s="10"/>
      <c r="D26" s="10"/>
      <c r="E26" s="10"/>
      <c r="F26" s="10" t="s">
        <v>36</v>
      </c>
      <c r="G26" s="10" t="s">
        <v>36</v>
      </c>
      <c r="H26" s="10"/>
      <c r="I26" s="11"/>
      <c r="K26" s="12">
        <v>0</v>
      </c>
      <c r="M26" s="13"/>
      <c r="N26" s="13"/>
      <c r="O26" s="14"/>
    </row>
    <row r="27" spans="1:15" x14ac:dyDescent="0.25">
      <c r="A27" s="1" t="s">
        <v>50</v>
      </c>
      <c r="B27" s="10"/>
      <c r="C27" s="10" t="s">
        <v>36</v>
      </c>
      <c r="D27" s="10"/>
      <c r="E27" s="10" t="s">
        <v>36</v>
      </c>
      <c r="F27" s="10"/>
      <c r="G27" s="10"/>
      <c r="H27" s="10" t="s">
        <v>36</v>
      </c>
      <c r="I27" s="11"/>
      <c r="M27" s="13"/>
      <c r="N27" s="14"/>
      <c r="O27" s="14"/>
    </row>
    <row r="28" spans="1:15" x14ac:dyDescent="0.25">
      <c r="A28" s="1" t="s">
        <v>51</v>
      </c>
      <c r="B28" s="10"/>
      <c r="C28" s="10" t="s">
        <v>36</v>
      </c>
      <c r="D28" s="10"/>
      <c r="E28" s="10" t="s">
        <v>36</v>
      </c>
      <c r="F28" s="10"/>
      <c r="G28" s="10"/>
      <c r="H28" s="10" t="s">
        <v>36</v>
      </c>
      <c r="I28" s="11"/>
      <c r="L28" s="12">
        <v>192.31</v>
      </c>
      <c r="M28" s="13"/>
      <c r="N28" s="14"/>
      <c r="O28" s="14"/>
    </row>
    <row r="29" spans="1:15" x14ac:dyDescent="0.25">
      <c r="A29" s="1" t="s">
        <v>52</v>
      </c>
      <c r="B29" s="10"/>
      <c r="C29" s="10"/>
      <c r="D29" s="10"/>
      <c r="E29" s="10"/>
      <c r="F29" s="10" t="s">
        <v>36</v>
      </c>
      <c r="G29" s="10"/>
      <c r="H29" s="10" t="s">
        <v>36</v>
      </c>
      <c r="I29" s="11"/>
      <c r="M29" s="13"/>
      <c r="N29" s="14"/>
      <c r="O29" s="14"/>
    </row>
    <row r="30" spans="1:15" x14ac:dyDescent="0.25">
      <c r="A30" s="1" t="s">
        <v>35</v>
      </c>
      <c r="B30" s="10"/>
      <c r="C30" s="10"/>
      <c r="D30" s="10"/>
      <c r="E30" s="10"/>
      <c r="F30" s="10" t="s">
        <v>36</v>
      </c>
      <c r="G30" s="10" t="s">
        <v>36</v>
      </c>
      <c r="H30" s="10"/>
      <c r="I30" s="11"/>
      <c r="J30" s="12">
        <v>250</v>
      </c>
      <c r="K30" s="12">
        <v>0</v>
      </c>
      <c r="M30" s="13"/>
      <c r="N30" s="14"/>
      <c r="O30" s="14"/>
    </row>
    <row r="31" spans="1:15" x14ac:dyDescent="0.25">
      <c r="A31" s="1" t="s">
        <v>40</v>
      </c>
      <c r="B31" s="10"/>
      <c r="C31" s="10"/>
      <c r="D31" s="10" t="s">
        <v>36</v>
      </c>
      <c r="E31" s="10" t="s">
        <v>36</v>
      </c>
      <c r="F31" s="10"/>
      <c r="G31" s="10"/>
      <c r="H31" s="10" t="s">
        <v>36</v>
      </c>
      <c r="I31" s="11"/>
      <c r="M31" s="13"/>
      <c r="N31" s="14"/>
      <c r="O31" s="14"/>
    </row>
    <row r="32" spans="1:15" x14ac:dyDescent="0.25">
      <c r="A32" s="1" t="s">
        <v>53</v>
      </c>
      <c r="B32" s="10"/>
      <c r="C32" s="10"/>
      <c r="D32" s="10"/>
      <c r="E32" s="10" t="s">
        <v>36</v>
      </c>
      <c r="F32" s="10"/>
      <c r="G32" s="10"/>
      <c r="H32" s="10" t="s">
        <v>36</v>
      </c>
      <c r="I32" s="11"/>
      <c r="M32" s="13"/>
      <c r="N32" s="14"/>
      <c r="O32" s="14"/>
    </row>
    <row r="33" spans="1:15" x14ac:dyDescent="0.25">
      <c r="A33" s="1" t="s">
        <v>54</v>
      </c>
      <c r="B33" s="10" t="s">
        <v>36</v>
      </c>
      <c r="C33" s="10"/>
      <c r="D33" s="10"/>
      <c r="E33" s="10" t="s">
        <v>36</v>
      </c>
      <c r="F33" s="10"/>
      <c r="G33" s="10"/>
      <c r="H33" s="10" t="s">
        <v>36</v>
      </c>
      <c r="I33" s="11"/>
      <c r="M33" s="13"/>
      <c r="N33" s="14"/>
      <c r="O33" s="14"/>
    </row>
    <row r="34" spans="1:15" x14ac:dyDescent="0.25">
      <c r="A34" s="1" t="s">
        <v>55</v>
      </c>
      <c r="B34" s="10"/>
      <c r="C34" s="10"/>
      <c r="D34" s="10"/>
      <c r="E34" s="10"/>
      <c r="F34" s="10" t="s">
        <v>36</v>
      </c>
      <c r="G34" s="10"/>
      <c r="H34" s="10" t="s">
        <v>36</v>
      </c>
      <c r="I34" s="11"/>
      <c r="M34" s="13"/>
      <c r="N34" s="14"/>
      <c r="O34" s="14"/>
    </row>
    <row r="35" spans="1:15" x14ac:dyDescent="0.25">
      <c r="A35" s="1" t="s">
        <v>56</v>
      </c>
      <c r="B35" s="10"/>
      <c r="C35" s="10"/>
      <c r="D35" s="10"/>
      <c r="E35" s="10"/>
      <c r="F35" s="10" t="s">
        <v>36</v>
      </c>
      <c r="G35" s="10" t="s">
        <v>36</v>
      </c>
      <c r="H35" s="10"/>
      <c r="I35" s="11"/>
      <c r="J35" s="12">
        <v>250</v>
      </c>
      <c r="K35" s="12">
        <v>0</v>
      </c>
      <c r="M35" s="13"/>
      <c r="N35" s="14"/>
      <c r="O35" s="14"/>
    </row>
    <row r="36" spans="1:15" x14ac:dyDescent="0.25">
      <c r="A36" s="1" t="s">
        <v>39</v>
      </c>
      <c r="B36" s="10"/>
      <c r="C36" s="10"/>
      <c r="D36" s="10"/>
      <c r="E36" s="10"/>
      <c r="F36" s="10" t="s">
        <v>36</v>
      </c>
      <c r="G36" s="10" t="s">
        <v>36</v>
      </c>
      <c r="H36" s="10"/>
      <c r="I36" s="11"/>
      <c r="K36" s="12">
        <v>0</v>
      </c>
      <c r="M36" s="13"/>
      <c r="N36" s="14"/>
      <c r="O36" s="14"/>
    </row>
    <row r="37" spans="1:15" x14ac:dyDescent="0.25">
      <c r="A37" s="1" t="s">
        <v>39</v>
      </c>
      <c r="B37" s="10"/>
      <c r="C37" s="10"/>
      <c r="D37" s="10"/>
      <c r="E37" s="10"/>
      <c r="F37" s="10" t="s">
        <v>36</v>
      </c>
      <c r="G37" s="10" t="s">
        <v>36</v>
      </c>
      <c r="H37" s="10"/>
      <c r="I37" s="11"/>
      <c r="J37" s="12">
        <v>250</v>
      </c>
      <c r="K37" s="12">
        <v>0</v>
      </c>
      <c r="M37" s="13"/>
      <c r="N37" s="14"/>
      <c r="O37" s="14"/>
    </row>
    <row r="38" spans="1:15" x14ac:dyDescent="0.25">
      <c r="A38" s="1" t="s">
        <v>51</v>
      </c>
      <c r="B38" s="10"/>
      <c r="C38" s="10" t="s">
        <v>36</v>
      </c>
      <c r="D38" s="10"/>
      <c r="E38" s="10" t="s">
        <v>36</v>
      </c>
      <c r="F38" s="10"/>
      <c r="G38" s="10"/>
      <c r="H38" s="10" t="s">
        <v>36</v>
      </c>
      <c r="I38" s="11"/>
      <c r="M38" s="13">
        <v>1500</v>
      </c>
      <c r="N38" s="14"/>
      <c r="O38" s="14"/>
    </row>
    <row r="39" spans="1:15" x14ac:dyDescent="0.25">
      <c r="A39" s="1" t="s">
        <v>57</v>
      </c>
      <c r="B39" s="10"/>
      <c r="C39" s="10" t="s">
        <v>36</v>
      </c>
      <c r="D39" s="10"/>
      <c r="E39" s="10" t="s">
        <v>36</v>
      </c>
      <c r="F39" s="10"/>
      <c r="G39" s="10"/>
      <c r="H39" s="10" t="s">
        <v>36</v>
      </c>
      <c r="I39" s="11"/>
      <c r="K39" s="12">
        <v>650</v>
      </c>
      <c r="M39" s="13"/>
      <c r="N39" s="14"/>
      <c r="O39" s="14"/>
    </row>
    <row r="40" spans="1:15" x14ac:dyDescent="0.25">
      <c r="A40" s="1" t="s">
        <v>40</v>
      </c>
      <c r="B40" s="10"/>
      <c r="C40" s="10"/>
      <c r="D40" s="10"/>
      <c r="E40" s="10"/>
      <c r="F40" s="10"/>
      <c r="G40" s="10"/>
      <c r="H40" s="10"/>
      <c r="I40" s="11"/>
      <c r="K40" s="12">
        <v>0</v>
      </c>
      <c r="M40" s="13"/>
      <c r="N40" s="13"/>
      <c r="O40" s="14"/>
    </row>
    <row r="41" spans="1:15" x14ac:dyDescent="0.25">
      <c r="A41" s="1" t="s">
        <v>39</v>
      </c>
      <c r="B41" s="10"/>
      <c r="C41" s="10"/>
      <c r="D41" s="10"/>
      <c r="E41" s="10"/>
      <c r="F41" s="10" t="s">
        <v>36</v>
      </c>
      <c r="G41" s="10" t="s">
        <v>36</v>
      </c>
      <c r="H41" s="10"/>
      <c r="I41" s="11"/>
      <c r="J41" s="12">
        <v>250</v>
      </c>
      <c r="K41" s="12">
        <v>0</v>
      </c>
      <c r="M41" s="13"/>
      <c r="N41" s="14"/>
      <c r="O41" s="14"/>
    </row>
    <row r="42" spans="1:15" x14ac:dyDescent="0.25">
      <c r="A42" s="1" t="s">
        <v>56</v>
      </c>
      <c r="B42" s="10"/>
      <c r="C42" s="10"/>
      <c r="D42" s="10"/>
      <c r="E42" s="10"/>
      <c r="F42" s="10" t="s">
        <v>36</v>
      </c>
      <c r="G42" s="10" t="s">
        <v>36</v>
      </c>
      <c r="H42" s="10"/>
      <c r="I42" s="11"/>
      <c r="J42" s="12">
        <v>250</v>
      </c>
      <c r="K42" s="12">
        <v>0</v>
      </c>
      <c r="M42" s="13"/>
      <c r="N42" s="14"/>
      <c r="O42" s="14"/>
    </row>
    <row r="43" spans="1:15" x14ac:dyDescent="0.25">
      <c r="A43" s="1" t="s">
        <v>58</v>
      </c>
      <c r="B43" s="10"/>
      <c r="C43" s="10"/>
      <c r="D43" s="10"/>
      <c r="E43" s="10"/>
      <c r="F43" s="10" t="s">
        <v>36</v>
      </c>
      <c r="G43" s="10" t="s">
        <v>36</v>
      </c>
      <c r="H43" s="10"/>
      <c r="I43" s="11"/>
      <c r="J43" s="12">
        <v>250</v>
      </c>
      <c r="K43" s="12">
        <v>0</v>
      </c>
      <c r="M43" s="13"/>
      <c r="N43" s="14"/>
      <c r="O43" s="14"/>
    </row>
    <row r="44" spans="1:15" x14ac:dyDescent="0.25">
      <c r="A44" s="1" t="s">
        <v>37</v>
      </c>
      <c r="B44" s="10"/>
      <c r="C44" s="10"/>
      <c r="D44" s="10"/>
      <c r="E44" s="10"/>
      <c r="F44" s="10" t="s">
        <v>36</v>
      </c>
      <c r="G44" s="10"/>
      <c r="H44" s="10" t="s">
        <v>36</v>
      </c>
      <c r="I44" s="11"/>
      <c r="M44" s="13"/>
      <c r="N44" s="14"/>
      <c r="O44" s="14"/>
    </row>
    <row r="45" spans="1:15" x14ac:dyDescent="0.25">
      <c r="A45" s="1" t="s">
        <v>39</v>
      </c>
      <c r="B45" s="10"/>
      <c r="C45" s="10"/>
      <c r="D45" s="10"/>
      <c r="E45" s="10"/>
      <c r="F45" s="10" t="s">
        <v>36</v>
      </c>
      <c r="G45" s="10" t="s">
        <v>36</v>
      </c>
      <c r="H45" s="10"/>
      <c r="I45" s="11"/>
      <c r="K45" s="12">
        <v>0</v>
      </c>
      <c r="M45" s="13"/>
      <c r="N45" s="14"/>
      <c r="O45" s="14"/>
    </row>
    <row r="46" spans="1:15" x14ac:dyDescent="0.25">
      <c r="A46" s="1" t="s">
        <v>59</v>
      </c>
      <c r="B46" s="10"/>
      <c r="C46" s="10"/>
      <c r="D46" s="10"/>
      <c r="E46" s="10" t="s">
        <v>36</v>
      </c>
      <c r="F46" s="10"/>
      <c r="G46" s="10"/>
      <c r="H46" s="10" t="s">
        <v>36</v>
      </c>
      <c r="I46" s="11"/>
      <c r="K46" s="12">
        <v>650</v>
      </c>
      <c r="L46" s="12">
        <v>192.31</v>
      </c>
      <c r="M46" s="13"/>
      <c r="N46" s="14"/>
      <c r="O46" s="14"/>
    </row>
    <row r="47" spans="1:15" x14ac:dyDescent="0.25">
      <c r="A47" s="1" t="s">
        <v>40</v>
      </c>
      <c r="B47" s="10"/>
      <c r="C47" s="10"/>
      <c r="D47" s="10"/>
      <c r="E47" s="10"/>
      <c r="F47" s="10"/>
      <c r="G47" s="10"/>
      <c r="H47" s="10"/>
      <c r="I47" s="11"/>
      <c r="K47" s="12">
        <v>0</v>
      </c>
      <c r="M47" s="13"/>
      <c r="N47" s="14"/>
      <c r="O47" s="14"/>
    </row>
    <row r="48" spans="1:15" x14ac:dyDescent="0.25">
      <c r="A48" s="1" t="s">
        <v>60</v>
      </c>
      <c r="B48" s="10"/>
      <c r="C48" s="10"/>
      <c r="D48" s="10"/>
      <c r="E48" s="10"/>
      <c r="F48" s="10" t="s">
        <v>36</v>
      </c>
      <c r="G48" s="10"/>
      <c r="H48" s="10" t="s">
        <v>36</v>
      </c>
      <c r="I48" s="11"/>
      <c r="K48" s="12">
        <v>650</v>
      </c>
      <c r="M48" s="13"/>
      <c r="N48" s="13"/>
      <c r="O48" s="14"/>
    </row>
    <row r="49" spans="1:15" x14ac:dyDescent="0.25">
      <c r="A49" s="1" t="s">
        <v>35</v>
      </c>
      <c r="B49" s="10"/>
      <c r="C49" s="10"/>
      <c r="D49" s="10"/>
      <c r="E49" s="10"/>
      <c r="F49" s="10" t="s">
        <v>36</v>
      </c>
      <c r="G49" s="10" t="s">
        <v>36</v>
      </c>
      <c r="H49" s="10"/>
      <c r="I49" s="11"/>
      <c r="J49" s="12">
        <v>250</v>
      </c>
      <c r="K49" s="12">
        <v>0</v>
      </c>
      <c r="M49" s="13"/>
      <c r="N49" s="14"/>
      <c r="O49" s="14"/>
    </row>
    <row r="50" spans="1:15" x14ac:dyDescent="0.25">
      <c r="A50" s="1" t="s">
        <v>61</v>
      </c>
      <c r="B50" s="10"/>
      <c r="C50" s="10" t="s">
        <v>36</v>
      </c>
      <c r="D50" s="10"/>
      <c r="E50" s="10" t="s">
        <v>36</v>
      </c>
      <c r="F50" s="10"/>
      <c r="G50" s="10"/>
      <c r="H50" s="10" t="s">
        <v>36</v>
      </c>
      <c r="I50" s="11"/>
      <c r="K50" s="12">
        <v>650</v>
      </c>
      <c r="L50" s="12">
        <v>192.31</v>
      </c>
      <c r="M50" s="13"/>
      <c r="N50" s="14"/>
      <c r="O50" s="14"/>
    </row>
    <row r="51" spans="1:15" x14ac:dyDescent="0.25">
      <c r="A51" s="1" t="s">
        <v>62</v>
      </c>
      <c r="B51" s="10" t="s">
        <v>36</v>
      </c>
      <c r="D51" s="10"/>
      <c r="E51" s="10" t="s">
        <v>36</v>
      </c>
      <c r="F51" s="10"/>
      <c r="G51" s="10"/>
      <c r="H51" s="10" t="s">
        <v>36</v>
      </c>
      <c r="I51" s="11"/>
      <c r="M51" s="13"/>
      <c r="N51" s="14"/>
      <c r="O51" s="14"/>
    </row>
    <row r="52" spans="1:15" x14ac:dyDescent="0.25">
      <c r="A52" s="1" t="s">
        <v>39</v>
      </c>
      <c r="B52" s="10"/>
      <c r="C52" s="10"/>
      <c r="D52" s="10"/>
      <c r="E52" s="10"/>
      <c r="F52" s="10" t="s">
        <v>36</v>
      </c>
      <c r="G52" s="10" t="s">
        <v>36</v>
      </c>
      <c r="H52" s="10"/>
      <c r="I52" s="11"/>
      <c r="J52" s="12">
        <v>250</v>
      </c>
      <c r="K52" s="12">
        <v>0</v>
      </c>
      <c r="M52" s="13"/>
      <c r="N52" s="14"/>
      <c r="O52" s="14"/>
    </row>
    <row r="53" spans="1:15" x14ac:dyDescent="0.25">
      <c r="A53" s="1" t="s">
        <v>59</v>
      </c>
      <c r="B53" s="10"/>
      <c r="C53" s="10"/>
      <c r="D53" s="10"/>
      <c r="E53" s="10" t="s">
        <v>36</v>
      </c>
      <c r="F53" s="10"/>
      <c r="G53" s="10"/>
      <c r="H53" s="10" t="s">
        <v>36</v>
      </c>
      <c r="I53" s="11"/>
      <c r="K53" s="12">
        <v>650</v>
      </c>
      <c r="L53" s="12">
        <v>192.31</v>
      </c>
      <c r="M53" s="13"/>
      <c r="N53" s="14"/>
      <c r="O53" s="14"/>
    </row>
    <row r="54" spans="1:15" x14ac:dyDescent="0.25">
      <c r="A54" s="1" t="s">
        <v>40</v>
      </c>
      <c r="B54" s="10"/>
      <c r="C54" s="10"/>
      <c r="D54" s="10"/>
      <c r="E54" s="10"/>
      <c r="F54" s="10" t="s">
        <v>36</v>
      </c>
      <c r="G54" s="10"/>
      <c r="H54" s="10" t="s">
        <v>36</v>
      </c>
      <c r="I54" s="11"/>
      <c r="J54" s="11"/>
      <c r="K54" s="11"/>
      <c r="L54" s="11"/>
      <c r="M54" s="13"/>
      <c r="N54" s="14"/>
      <c r="O54" s="14"/>
    </row>
    <row r="55" spans="1:15" x14ac:dyDescent="0.25">
      <c r="A55" s="1" t="s">
        <v>40</v>
      </c>
      <c r="B55" s="10"/>
      <c r="C55" s="10"/>
      <c r="D55" s="10"/>
      <c r="E55" s="10"/>
      <c r="F55" s="10" t="s">
        <v>36</v>
      </c>
      <c r="G55" s="10" t="s">
        <v>36</v>
      </c>
      <c r="H55" s="10"/>
      <c r="I55" s="11"/>
      <c r="J55" s="11"/>
      <c r="K55" s="11">
        <v>0</v>
      </c>
      <c r="L55" s="11"/>
      <c r="M55" s="13"/>
      <c r="N55" s="14"/>
      <c r="O55" s="14"/>
    </row>
    <row r="56" spans="1:15" x14ac:dyDescent="0.25">
      <c r="I56" s="12">
        <f>SUM(I3:I55)</f>
        <v>550</v>
      </c>
      <c r="J56" s="12">
        <f>SUM(J3:J55)</f>
        <v>3500</v>
      </c>
      <c r="K56" s="12">
        <f>SUM(K3:K55)</f>
        <v>5200</v>
      </c>
      <c r="L56" s="12">
        <f>SUM(L3:L55)</f>
        <v>1730.7899999999997</v>
      </c>
      <c r="M56" s="12">
        <f>SUM(M3:M55)</f>
        <v>1500</v>
      </c>
      <c r="N56" s="13">
        <f>SUM(I56:M56)</f>
        <v>12480.789999999999</v>
      </c>
      <c r="O56" s="14"/>
    </row>
    <row r="57" spans="1:15" x14ac:dyDescent="0.25">
      <c r="M57" s="14"/>
      <c r="N57" s="14"/>
      <c r="O57" s="14"/>
    </row>
    <row r="58" spans="1:15" x14ac:dyDescent="0.25">
      <c r="M58" s="14"/>
      <c r="N58" s="14"/>
      <c r="O58" s="14"/>
    </row>
    <row r="59" spans="1:15" x14ac:dyDescent="0.25">
      <c r="I59" s="20"/>
      <c r="J59" s="20"/>
      <c r="K59" s="20"/>
      <c r="L59" s="20"/>
      <c r="M59" s="20"/>
      <c r="N59" s="14"/>
      <c r="O59" s="14"/>
    </row>
    <row r="60" spans="1:15" ht="15" hidden="1" x14ac:dyDescent="0.25">
      <c r="H60" s="22" t="s">
        <v>66</v>
      </c>
    </row>
    <row r="61" spans="1:15" ht="15" hidden="1" x14ac:dyDescent="0.25">
      <c r="H61" s="22" t="s">
        <v>7</v>
      </c>
      <c r="I61" s="23" t="e">
        <f>(#REF!-'[1]2022'!I60)/'[1]2022'!I60</f>
        <v>#REF!</v>
      </c>
    </row>
    <row r="62" spans="1:15" ht="15" hidden="1" x14ac:dyDescent="0.25">
      <c r="H62" s="22" t="s">
        <v>67</v>
      </c>
      <c r="I62" s="23" t="e">
        <f>(#REF!-'[1]2022'!I64)/'[1]2022'!I64</f>
        <v>#REF!</v>
      </c>
    </row>
    <row r="63" spans="1:15" ht="15" hidden="1" x14ac:dyDescent="0.25">
      <c r="H63" s="22" t="s">
        <v>68</v>
      </c>
      <c r="I63" s="23" t="e">
        <f>(#REF!-'[1]2022'!I65)/'[1]2022'!I65</f>
        <v>#REF!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Reconciliation</vt:lpstr>
      <vt:lpstr>AG 1-4</vt:lpstr>
      <vt:lpstr>2024 Other Pay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Moriarty</dc:creator>
  <cp:lastModifiedBy>Michael Moriarty</cp:lastModifiedBy>
  <dcterms:created xsi:type="dcterms:W3CDTF">2025-02-18T19:11:05Z</dcterms:created>
  <dcterms:modified xsi:type="dcterms:W3CDTF">2025-02-19T20:57:55Z</dcterms:modified>
</cp:coreProperties>
</file>