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6960 - Shelby Energy Coop\0003 - 2024-Full Rate Case\AG DR-1\To File\"/>
    </mc:Choice>
  </mc:AlternateContent>
  <xr:revisionPtr revIDLastSave="0" documentId="8_{BD105DD9-CADE-454B-B5DF-2DCF5B853DB0}" xr6:coauthVersionLast="47" xr6:coauthVersionMax="47" xr10:uidLastSave="{00000000-0000-0000-0000-000000000000}"/>
  <bookViews>
    <workbookView xWindow="43035" yWindow="1665" windowWidth="17895" windowHeight="11295" xr2:uid="{83B02F93-C27C-4815-BAE9-E2BC92E0ED43}"/>
  </bookViews>
  <sheets>
    <sheet name="2021" sheetId="1" r:id="rId1"/>
    <sheet name="2022" sheetId="2" r:id="rId2"/>
    <sheet name="2023" sheetId="3" r:id="rId3"/>
    <sheet name="2024" sheetId="4" r:id="rId4"/>
    <sheet name="Summary" sheetId="5" state="hidden" r:id="rId5"/>
  </sheets>
  <externalReferences>
    <externalReference r:id="rId6"/>
  </externalReferences>
  <definedNames>
    <definedName name="_xlnm._FilterDatabase" localSheetId="0" hidden="1">'2021'!$A$2:$AA$55</definedName>
    <definedName name="_xlnm._FilterDatabase" localSheetId="1" hidden="1">'2022'!$A$2:$AA$55</definedName>
    <definedName name="_xlnm._FilterDatabase" localSheetId="2" hidden="1">'2023'!$A$2:$AA$55</definedName>
    <definedName name="_xlnm._FilterDatabase" localSheetId="3" hidden="1">'2024'!$A$2:$AA$59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1" l="1"/>
  <c r="N70" i="1" s="1"/>
  <c r="N68" i="1"/>
  <c r="N65" i="1"/>
  <c r="N64" i="1"/>
  <c r="N66" i="1" s="1"/>
  <c r="N61" i="1"/>
  <c r="N60" i="1"/>
  <c r="N62" i="1" s="1"/>
  <c r="O28" i="4" l="1"/>
  <c r="O52" i="1"/>
  <c r="O49" i="1"/>
  <c r="O45" i="1"/>
  <c r="H42" i="1"/>
  <c r="O42" i="1"/>
  <c r="O41" i="1"/>
  <c r="O37" i="1"/>
  <c r="O35" i="1"/>
  <c r="O30" i="1"/>
  <c r="O26" i="1"/>
  <c r="O25" i="1"/>
  <c r="O22" i="1"/>
  <c r="H22" i="1"/>
  <c r="O20" i="1"/>
  <c r="O15" i="1"/>
  <c r="O3" i="1"/>
  <c r="I3" i="1"/>
  <c r="O5" i="1"/>
  <c r="Z73" i="4" l="1"/>
  <c r="V73" i="4"/>
  <c r="U73" i="4"/>
  <c r="T73" i="4"/>
  <c r="R73" i="4"/>
  <c r="Q73" i="4"/>
  <c r="Z72" i="4"/>
  <c r="V72" i="4"/>
  <c r="V74" i="4" s="1"/>
  <c r="U72" i="4"/>
  <c r="U74" i="4" s="1"/>
  <c r="T72" i="4"/>
  <c r="T74" i="4" s="1"/>
  <c r="R72" i="4"/>
  <c r="R74" i="4" s="1"/>
  <c r="Q72" i="4"/>
  <c r="Z69" i="4"/>
  <c r="Z70" i="4" s="1"/>
  <c r="V69" i="4"/>
  <c r="U69" i="4"/>
  <c r="T69" i="4"/>
  <c r="R69" i="4"/>
  <c r="Q69" i="4"/>
  <c r="Z68" i="4"/>
  <c r="V68" i="4"/>
  <c r="U68" i="4"/>
  <c r="T68" i="4"/>
  <c r="R68" i="4"/>
  <c r="Q68" i="4"/>
  <c r="Z65" i="4"/>
  <c r="Z66" i="4" s="1"/>
  <c r="V65" i="4"/>
  <c r="U65" i="4"/>
  <c r="T65" i="4"/>
  <c r="R65" i="4"/>
  <c r="Q65" i="4"/>
  <c r="Z64" i="4"/>
  <c r="Y64" i="4"/>
  <c r="V64" i="4"/>
  <c r="V66" i="4" s="1"/>
  <c r="U64" i="4"/>
  <c r="U66" i="4" s="1"/>
  <c r="T64" i="4"/>
  <c r="R64" i="4"/>
  <c r="R66" i="4" s="1"/>
  <c r="Q64" i="4"/>
  <c r="X57" i="4"/>
  <c r="W57" i="4"/>
  <c r="W58" i="4"/>
  <c r="X56" i="4"/>
  <c r="W56" i="4"/>
  <c r="X53" i="4"/>
  <c r="W53" i="4"/>
  <c r="X52" i="4"/>
  <c r="W52" i="4"/>
  <c r="X51" i="4"/>
  <c r="W51" i="4"/>
  <c r="X50" i="4"/>
  <c r="W50" i="4"/>
  <c r="X49" i="4"/>
  <c r="W49" i="4"/>
  <c r="X48" i="4"/>
  <c r="W48" i="4"/>
  <c r="X46" i="4"/>
  <c r="W46" i="4"/>
  <c r="X44" i="4"/>
  <c r="W44" i="4"/>
  <c r="X43" i="4"/>
  <c r="W43" i="4"/>
  <c r="X42" i="4"/>
  <c r="W42" i="4"/>
  <c r="X41" i="4"/>
  <c r="W41" i="4"/>
  <c r="X39" i="4"/>
  <c r="W39" i="4"/>
  <c r="X38" i="4"/>
  <c r="W38" i="4"/>
  <c r="X37" i="4"/>
  <c r="W37" i="4"/>
  <c r="X36" i="4"/>
  <c r="W36" i="4"/>
  <c r="X35" i="4"/>
  <c r="W35" i="4"/>
  <c r="X33" i="4"/>
  <c r="X64" i="4" s="1"/>
  <c r="X66" i="4" s="1"/>
  <c r="W33" i="4"/>
  <c r="X30" i="4"/>
  <c r="W30" i="4"/>
  <c r="X29" i="4"/>
  <c r="W29" i="4"/>
  <c r="X28" i="4"/>
  <c r="W28" i="4"/>
  <c r="X27" i="4"/>
  <c r="W27" i="4"/>
  <c r="X25" i="4"/>
  <c r="W25" i="4"/>
  <c r="X24" i="4"/>
  <c r="W24" i="4"/>
  <c r="X21" i="4"/>
  <c r="W21" i="4"/>
  <c r="W19" i="4"/>
  <c r="X19" i="4"/>
  <c r="X18" i="4"/>
  <c r="W18" i="4"/>
  <c r="X17" i="4"/>
  <c r="W17" i="4"/>
  <c r="X16" i="4"/>
  <c r="X65" i="4" s="1"/>
  <c r="W16" i="4"/>
  <c r="W65" i="4" s="1"/>
  <c r="X15" i="4"/>
  <c r="W15" i="4"/>
  <c r="X13" i="4"/>
  <c r="W13" i="4"/>
  <c r="X11" i="4"/>
  <c r="W11" i="4"/>
  <c r="X8" i="4"/>
  <c r="W8" i="4"/>
  <c r="X7" i="4"/>
  <c r="W7" i="4"/>
  <c r="X5" i="4"/>
  <c r="X68" i="4" s="1"/>
  <c r="W5" i="4"/>
  <c r="W68" i="4" s="1"/>
  <c r="X4" i="4"/>
  <c r="X73" i="4" s="1"/>
  <c r="W4" i="4"/>
  <c r="W73" i="4" s="1"/>
  <c r="X3" i="4"/>
  <c r="X69" i="4" s="1"/>
  <c r="X70" i="4" s="1"/>
  <c r="W3" i="4"/>
  <c r="W72" i="4" s="1"/>
  <c r="W74" i="4" l="1"/>
  <c r="W69" i="4"/>
  <c r="W70" i="4" s="1"/>
  <c r="X72" i="4"/>
  <c r="X74" i="4" s="1"/>
  <c r="Q66" i="4"/>
  <c r="T66" i="4"/>
  <c r="W64" i="4"/>
  <c r="W66" i="4" s="1"/>
  <c r="Q74" i="4"/>
  <c r="Z74" i="4"/>
  <c r="Q70" i="4"/>
  <c r="T70" i="4"/>
  <c r="R70" i="4"/>
  <c r="U70" i="4"/>
  <c r="V70" i="4"/>
  <c r="Y53" i="4"/>
  <c r="Y42" i="4"/>
  <c r="Y35" i="4"/>
  <c r="Y17" i="4"/>
  <c r="Y16" i="4"/>
  <c r="Y65" i="4" s="1"/>
  <c r="Y66" i="4" s="1"/>
  <c r="Y11" i="4"/>
  <c r="Y3" i="4"/>
  <c r="S57" i="4"/>
  <c r="S56" i="4"/>
  <c r="AA56" i="4" s="1"/>
  <c r="S53" i="4"/>
  <c r="S52" i="4"/>
  <c r="AA52" i="4" s="1"/>
  <c r="S51" i="4"/>
  <c r="AA51" i="4" s="1"/>
  <c r="S50" i="4"/>
  <c r="AA50" i="4" s="1"/>
  <c r="S49" i="4"/>
  <c r="S46" i="4"/>
  <c r="AA46" i="4" s="1"/>
  <c r="S44" i="4"/>
  <c r="S42" i="4"/>
  <c r="S41" i="4"/>
  <c r="AA41" i="4" s="1"/>
  <c r="S39" i="4"/>
  <c r="S38" i="4"/>
  <c r="S37" i="4"/>
  <c r="AA59" i="4"/>
  <c r="AA58" i="4"/>
  <c r="AA57" i="4"/>
  <c r="AA55" i="4"/>
  <c r="AA54" i="4"/>
  <c r="AA49" i="4"/>
  <c r="AA48" i="4"/>
  <c r="AA47" i="4"/>
  <c r="AA45" i="4"/>
  <c r="AA44" i="4"/>
  <c r="AA43" i="4"/>
  <c r="AA42" i="4"/>
  <c r="AA40" i="4"/>
  <c r="AA39" i="4"/>
  <c r="AA38" i="4"/>
  <c r="AA34" i="4"/>
  <c r="AA32" i="4"/>
  <c r="AA31" i="4"/>
  <c r="AA28" i="4"/>
  <c r="AA26" i="4"/>
  <c r="AA25" i="4"/>
  <c r="AA24" i="4"/>
  <c r="AA23" i="4"/>
  <c r="AA22" i="4"/>
  <c r="AA20" i="4"/>
  <c r="AA18" i="4"/>
  <c r="AA14" i="4"/>
  <c r="AA12" i="4"/>
  <c r="AA10" i="4"/>
  <c r="AA9" i="4"/>
  <c r="AA6" i="4"/>
  <c r="AA5" i="4"/>
  <c r="S36" i="4"/>
  <c r="AA36" i="4" s="1"/>
  <c r="S35" i="4"/>
  <c r="S33" i="4"/>
  <c r="S64" i="4" s="1"/>
  <c r="S30" i="4"/>
  <c r="AA30" i="4" s="1"/>
  <c r="S29" i="4"/>
  <c r="AA29" i="4" s="1"/>
  <c r="S28" i="4"/>
  <c r="S27" i="4"/>
  <c r="AA27" i="4" s="1"/>
  <c r="S25" i="4"/>
  <c r="S21" i="4"/>
  <c r="AA21" i="4" s="1"/>
  <c r="S19" i="4"/>
  <c r="AA19" i="4" s="1"/>
  <c r="S17" i="4"/>
  <c r="S16" i="4"/>
  <c r="S15" i="4"/>
  <c r="AA15" i="4" s="1"/>
  <c r="S13" i="4"/>
  <c r="AA13" i="4" s="1"/>
  <c r="S11" i="4"/>
  <c r="S8" i="4"/>
  <c r="AA8" i="4" s="1"/>
  <c r="S7" i="4"/>
  <c r="AA7" i="4" s="1"/>
  <c r="S4" i="4"/>
  <c r="S3" i="4"/>
  <c r="AA3" i="4" s="1"/>
  <c r="H28" i="4"/>
  <c r="H65" i="4" s="1"/>
  <c r="N73" i="4"/>
  <c r="M73" i="4"/>
  <c r="L73" i="4"/>
  <c r="K73" i="4"/>
  <c r="J73" i="4"/>
  <c r="I73" i="4"/>
  <c r="N72" i="4"/>
  <c r="M72" i="4"/>
  <c r="L72" i="4"/>
  <c r="K72" i="4"/>
  <c r="J72" i="4"/>
  <c r="I72" i="4"/>
  <c r="N69" i="4"/>
  <c r="M69" i="4"/>
  <c r="L69" i="4"/>
  <c r="K69" i="4"/>
  <c r="J69" i="4"/>
  <c r="I69" i="4"/>
  <c r="N68" i="4"/>
  <c r="M68" i="4"/>
  <c r="L68" i="4"/>
  <c r="K68" i="4"/>
  <c r="J68" i="4"/>
  <c r="I68" i="4"/>
  <c r="N65" i="4"/>
  <c r="M65" i="4"/>
  <c r="L65" i="4"/>
  <c r="K65" i="4"/>
  <c r="J65" i="4"/>
  <c r="I65" i="4"/>
  <c r="N64" i="4"/>
  <c r="M64" i="4"/>
  <c r="L64" i="4"/>
  <c r="K64" i="4"/>
  <c r="J64" i="4"/>
  <c r="I64" i="4"/>
  <c r="H64" i="4"/>
  <c r="H69" i="4"/>
  <c r="H72" i="4"/>
  <c r="O19" i="4"/>
  <c r="P19" i="4" s="1"/>
  <c r="O58" i="4"/>
  <c r="P58" i="4" s="1"/>
  <c r="O56" i="4"/>
  <c r="P56" i="4" s="1"/>
  <c r="AB59" i="4"/>
  <c r="P59" i="4"/>
  <c r="AB58" i="4"/>
  <c r="AB57" i="4"/>
  <c r="P57" i="4"/>
  <c r="AB56" i="4"/>
  <c r="O53" i="4"/>
  <c r="O52" i="4"/>
  <c r="P52" i="4" s="1"/>
  <c r="O50" i="4"/>
  <c r="P50" i="4" s="1"/>
  <c r="O49" i="4"/>
  <c r="P49" i="4" s="1"/>
  <c r="O46" i="4"/>
  <c r="P46" i="4" s="1"/>
  <c r="O43" i="4"/>
  <c r="P43" i="4" s="1"/>
  <c r="O42" i="4"/>
  <c r="P42" i="4" s="1"/>
  <c r="O41" i="4"/>
  <c r="P41" i="4" s="1"/>
  <c r="O39" i="4"/>
  <c r="P39" i="4" s="1"/>
  <c r="O38" i="4"/>
  <c r="P38" i="4" s="1"/>
  <c r="O37" i="4"/>
  <c r="P37" i="4" s="1"/>
  <c r="O36" i="4"/>
  <c r="P36" i="4" s="1"/>
  <c r="O35" i="4"/>
  <c r="P35" i="4" s="1"/>
  <c r="O33" i="4"/>
  <c r="P33" i="4" s="1"/>
  <c r="O30" i="4"/>
  <c r="P30" i="4" s="1"/>
  <c r="O29" i="4"/>
  <c r="P29" i="4" s="1"/>
  <c r="O27" i="4"/>
  <c r="P27" i="4" s="1"/>
  <c r="O25" i="4"/>
  <c r="P25" i="4" s="1"/>
  <c r="O24" i="4"/>
  <c r="P24" i="4" s="1"/>
  <c r="O21" i="4"/>
  <c r="P21" i="4" s="1"/>
  <c r="O18" i="4"/>
  <c r="P18" i="4" s="1"/>
  <c r="O17" i="4"/>
  <c r="P17" i="4" s="1"/>
  <c r="O16" i="4"/>
  <c r="O15" i="4"/>
  <c r="P15" i="4" s="1"/>
  <c r="O13" i="4"/>
  <c r="O12" i="4"/>
  <c r="O11" i="4"/>
  <c r="P11" i="4" s="1"/>
  <c r="O8" i="4"/>
  <c r="P8" i="4" s="1"/>
  <c r="O7" i="4"/>
  <c r="P7" i="4" s="1"/>
  <c r="O5" i="4"/>
  <c r="P5" i="4" s="1"/>
  <c r="P64" i="4" s="1"/>
  <c r="O3" i="4"/>
  <c r="Q63" i="4"/>
  <c r="O63" i="4"/>
  <c r="M63" i="4"/>
  <c r="K63" i="4"/>
  <c r="J63" i="4"/>
  <c r="I63" i="4"/>
  <c r="H63" i="4"/>
  <c r="AB55" i="4"/>
  <c r="P55" i="4"/>
  <c r="AB54" i="4"/>
  <c r="P54" i="4"/>
  <c r="AB53" i="4"/>
  <c r="P53" i="4"/>
  <c r="AB52" i="4"/>
  <c r="AB51" i="4"/>
  <c r="P51" i="4"/>
  <c r="AB50" i="4"/>
  <c r="AB49" i="4"/>
  <c r="AB48" i="4"/>
  <c r="P48" i="4"/>
  <c r="AB47" i="4"/>
  <c r="P47" i="4"/>
  <c r="AB46" i="4"/>
  <c r="AB45" i="4"/>
  <c r="P45" i="4"/>
  <c r="AB44" i="4"/>
  <c r="P44" i="4"/>
  <c r="AB43" i="4"/>
  <c r="AB42" i="4"/>
  <c r="AB41" i="4"/>
  <c r="AB40" i="4"/>
  <c r="P40" i="4"/>
  <c r="AB39" i="4"/>
  <c r="AB38" i="4"/>
  <c r="AB37" i="4"/>
  <c r="AB36" i="4"/>
  <c r="AB35" i="4"/>
  <c r="AB34" i="4"/>
  <c r="P34" i="4"/>
  <c r="AB33" i="4"/>
  <c r="AB32" i="4"/>
  <c r="P32" i="4"/>
  <c r="AB31" i="4"/>
  <c r="P31" i="4"/>
  <c r="AB30" i="4"/>
  <c r="AB29" i="4"/>
  <c r="AB28" i="4"/>
  <c r="AB26" i="4"/>
  <c r="P26" i="4"/>
  <c r="AB25" i="4"/>
  <c r="AB24" i="4"/>
  <c r="AB23" i="4"/>
  <c r="P23" i="4"/>
  <c r="AB22" i="4"/>
  <c r="P22" i="4"/>
  <c r="AB21" i="4"/>
  <c r="AB20" i="4"/>
  <c r="P20" i="4"/>
  <c r="AB19" i="4"/>
  <c r="AB18" i="4"/>
  <c r="AB17" i="4"/>
  <c r="AB16" i="4"/>
  <c r="AB15" i="4"/>
  <c r="AB14" i="4"/>
  <c r="P14" i="4"/>
  <c r="AB13" i="4"/>
  <c r="P13" i="4"/>
  <c r="AB12" i="4"/>
  <c r="AB11" i="4"/>
  <c r="AB10" i="4"/>
  <c r="P10" i="4"/>
  <c r="AB9" i="4"/>
  <c r="P9" i="4"/>
  <c r="AB8" i="4"/>
  <c r="AB7" i="4"/>
  <c r="AB6" i="4"/>
  <c r="P6" i="4"/>
  <c r="AB5" i="4"/>
  <c r="AB4" i="4"/>
  <c r="P4" i="4"/>
  <c r="AB3" i="4"/>
  <c r="L69" i="1"/>
  <c r="L68" i="1"/>
  <c r="L70" i="1" s="1"/>
  <c r="L65" i="1"/>
  <c r="L64" i="1"/>
  <c r="L61" i="1"/>
  <c r="L62" i="1" s="1"/>
  <c r="L60" i="1"/>
  <c r="S73" i="4" l="1"/>
  <c r="S68" i="4"/>
  <c r="S65" i="4"/>
  <c r="S66" i="4" s="1"/>
  <c r="AA16" i="4"/>
  <c r="AA4" i="4"/>
  <c r="AA33" i="4"/>
  <c r="Y69" i="4"/>
  <c r="Y72" i="4"/>
  <c r="AA17" i="4"/>
  <c r="O65" i="4"/>
  <c r="S69" i="4"/>
  <c r="S72" i="4"/>
  <c r="S74" i="4" s="1"/>
  <c r="AA64" i="4"/>
  <c r="AA65" i="4"/>
  <c r="Y73" i="4"/>
  <c r="Y68" i="4"/>
  <c r="AA35" i="4"/>
  <c r="L66" i="1"/>
  <c r="J70" i="4"/>
  <c r="K70" i="4"/>
  <c r="I70" i="4"/>
  <c r="AA53" i="4"/>
  <c r="AA11" i="4"/>
  <c r="AA68" i="4" s="1"/>
  <c r="AA37" i="4"/>
  <c r="AA72" i="4" s="1"/>
  <c r="J66" i="4"/>
  <c r="K66" i="4"/>
  <c r="L66" i="4"/>
  <c r="N66" i="4"/>
  <c r="H73" i="4"/>
  <c r="H68" i="4"/>
  <c r="P12" i="4"/>
  <c r="J74" i="4"/>
  <c r="L70" i="4"/>
  <c r="N70" i="4"/>
  <c r="O64" i="4"/>
  <c r="O66" i="4" s="1"/>
  <c r="I66" i="4"/>
  <c r="O68" i="4"/>
  <c r="K74" i="4"/>
  <c r="O69" i="4"/>
  <c r="O72" i="4"/>
  <c r="O73" i="4"/>
  <c r="N74" i="4"/>
  <c r="L74" i="4"/>
  <c r="I74" i="4"/>
  <c r="P28" i="4"/>
  <c r="M70" i="4"/>
  <c r="M66" i="4"/>
  <c r="M74" i="4"/>
  <c r="AB69" i="4"/>
  <c r="AB64" i="4"/>
  <c r="AB72" i="4"/>
  <c r="AB27" i="4"/>
  <c r="AB73" i="4" s="1"/>
  <c r="P3" i="4"/>
  <c r="H66" i="4"/>
  <c r="H74" i="4"/>
  <c r="P16" i="4"/>
  <c r="W20" i="1"/>
  <c r="V20" i="1"/>
  <c r="H53" i="1"/>
  <c r="V52" i="1"/>
  <c r="W48" i="1"/>
  <c r="V48" i="1"/>
  <c r="V43" i="1"/>
  <c r="W40" i="1"/>
  <c r="H40" i="1"/>
  <c r="H28" i="1"/>
  <c r="V24" i="1"/>
  <c r="H19" i="1"/>
  <c r="V18" i="1"/>
  <c r="M5" i="1"/>
  <c r="H16" i="1"/>
  <c r="N68" i="2"/>
  <c r="N65" i="2"/>
  <c r="N61" i="2"/>
  <c r="L69" i="2"/>
  <c r="L68" i="2"/>
  <c r="L65" i="2"/>
  <c r="L64" i="2"/>
  <c r="L66" i="2" s="1"/>
  <c r="L61" i="2"/>
  <c r="L60" i="2"/>
  <c r="L70" i="2" l="1"/>
  <c r="P73" i="4"/>
  <c r="Y74" i="4"/>
  <c r="Y70" i="4"/>
  <c r="AA66" i="4"/>
  <c r="AA73" i="4"/>
  <c r="AA74" i="4" s="1"/>
  <c r="S70" i="4"/>
  <c r="AA69" i="4"/>
  <c r="AA70" i="4" s="1"/>
  <c r="H70" i="4"/>
  <c r="L62" i="2"/>
  <c r="O74" i="4"/>
  <c r="O70" i="4"/>
  <c r="P65" i="4"/>
  <c r="P66" i="4" s="1"/>
  <c r="P72" i="4"/>
  <c r="P74" i="4" s="1"/>
  <c r="P69" i="4"/>
  <c r="AB74" i="4"/>
  <c r="AB68" i="4"/>
  <c r="AB70" i="4" s="1"/>
  <c r="P68" i="4"/>
  <c r="AB65" i="4"/>
  <c r="AB66" i="4" s="1"/>
  <c r="P70" i="4" l="1"/>
  <c r="X7" i="2"/>
  <c r="W40" i="2"/>
  <c r="O40" i="2"/>
  <c r="H53" i="2"/>
  <c r="H50" i="2"/>
  <c r="H46" i="2"/>
  <c r="I36" i="2"/>
  <c r="H28" i="2"/>
  <c r="H27" i="2"/>
  <c r="H17" i="2"/>
  <c r="O16" i="2"/>
  <c r="N5" i="2"/>
  <c r="N68" i="3"/>
  <c r="N65" i="3"/>
  <c r="N61" i="3"/>
  <c r="N5" i="3"/>
  <c r="N60" i="3" s="1"/>
  <c r="N62" i="3" s="1"/>
  <c r="O5" i="3" l="1"/>
  <c r="N64" i="3"/>
  <c r="N66" i="3" s="1"/>
  <c r="N69" i="3"/>
  <c r="N70" i="3" s="1"/>
  <c r="O5" i="2"/>
  <c r="N64" i="2"/>
  <c r="N66" i="2" s="1"/>
  <c r="N69" i="2"/>
  <c r="N70" i="2" s="1"/>
  <c r="N60" i="2"/>
  <c r="N62" i="2" s="1"/>
  <c r="T27" i="3" l="1"/>
  <c r="S27" i="3" s="1"/>
  <c r="S53" i="3"/>
  <c r="S52" i="3"/>
  <c r="S51" i="3"/>
  <c r="S50" i="3"/>
  <c r="S49" i="3"/>
  <c r="S46" i="3"/>
  <c r="S45" i="3"/>
  <c r="S44" i="3"/>
  <c r="S42" i="3"/>
  <c r="S41" i="3"/>
  <c r="S39" i="3"/>
  <c r="S38" i="3"/>
  <c r="S37" i="3"/>
  <c r="S36" i="3"/>
  <c r="S35" i="3"/>
  <c r="S33" i="3"/>
  <c r="S30" i="3"/>
  <c r="S29" i="3"/>
  <c r="S28" i="3"/>
  <c r="S26" i="3"/>
  <c r="S25" i="3"/>
  <c r="S21" i="3"/>
  <c r="S19" i="3"/>
  <c r="S17" i="3"/>
  <c r="S16" i="3"/>
  <c r="S15" i="3"/>
  <c r="S13" i="3"/>
  <c r="S11" i="3"/>
  <c r="S8" i="3"/>
  <c r="S7" i="3"/>
  <c r="S4" i="3"/>
  <c r="S3" i="3"/>
  <c r="L68" i="3"/>
  <c r="L65" i="3"/>
  <c r="L60" i="3"/>
  <c r="H53" i="3"/>
  <c r="H50" i="3"/>
  <c r="H46" i="3"/>
  <c r="H27" i="3"/>
  <c r="H19" i="3"/>
  <c r="H17" i="3"/>
  <c r="L16" i="3"/>
  <c r="H16" i="3" s="1"/>
  <c r="H13" i="3"/>
  <c r="L64" i="3" l="1"/>
  <c r="L66" i="3" s="1"/>
  <c r="S60" i="3"/>
  <c r="S65" i="3"/>
  <c r="S69" i="3"/>
  <c r="S68" i="3"/>
  <c r="S70" i="3" s="1"/>
  <c r="S64" i="3"/>
  <c r="S61" i="3"/>
  <c r="L61" i="3"/>
  <c r="L62" i="3" s="1"/>
  <c r="L69" i="3"/>
  <c r="L70" i="3" s="1"/>
  <c r="S66" i="3" l="1"/>
  <c r="S62" i="3"/>
  <c r="V60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A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1" i="3"/>
  <c r="AB10" i="3"/>
  <c r="AB9" i="3"/>
  <c r="AA9" i="3"/>
  <c r="AB8" i="3"/>
  <c r="AB7" i="3"/>
  <c r="AB6" i="3"/>
  <c r="Z69" i="3"/>
  <c r="V69" i="3"/>
  <c r="U69" i="3"/>
  <c r="Q69" i="3"/>
  <c r="Z68" i="3"/>
  <c r="V68" i="3"/>
  <c r="U68" i="3"/>
  <c r="Q68" i="3"/>
  <c r="Z65" i="3"/>
  <c r="V65" i="3"/>
  <c r="U65" i="3"/>
  <c r="Q65" i="3"/>
  <c r="Z64" i="3"/>
  <c r="V64" i="3"/>
  <c r="U64" i="3"/>
  <c r="Q64" i="3"/>
  <c r="Z61" i="3"/>
  <c r="V61" i="3"/>
  <c r="U61" i="3"/>
  <c r="Q61" i="3"/>
  <c r="Z60" i="3"/>
  <c r="U60" i="3"/>
  <c r="Q60" i="3"/>
  <c r="O59" i="3"/>
  <c r="Q59" i="3"/>
  <c r="M59" i="3"/>
  <c r="K59" i="3"/>
  <c r="J59" i="3"/>
  <c r="I59" i="3"/>
  <c r="H59" i="3"/>
  <c r="AA54" i="3" l="1"/>
  <c r="AA33" i="3"/>
  <c r="P50" i="3"/>
  <c r="Q66" i="3"/>
  <c r="AA45" i="3"/>
  <c r="AA6" i="3"/>
  <c r="AA14" i="3"/>
  <c r="AA37" i="3"/>
  <c r="AA42" i="3"/>
  <c r="Q62" i="3"/>
  <c r="AA5" i="3"/>
  <c r="AA13" i="3"/>
  <c r="AA50" i="3"/>
  <c r="AA34" i="3"/>
  <c r="AA46" i="3"/>
  <c r="AA21" i="3"/>
  <c r="AA26" i="3"/>
  <c r="AA10" i="3"/>
  <c r="AA40" i="3"/>
  <c r="AA30" i="3"/>
  <c r="AA22" i="3"/>
  <c r="AA17" i="3"/>
  <c r="AA53" i="3"/>
  <c r="V62" i="3"/>
  <c r="AA18" i="3"/>
  <c r="P25" i="3"/>
  <c r="AA41" i="3"/>
  <c r="AA4" i="3"/>
  <c r="AA24" i="3"/>
  <c r="AA38" i="3"/>
  <c r="AA49" i="3"/>
  <c r="AA27" i="3"/>
  <c r="AA36" i="3"/>
  <c r="V66" i="3"/>
  <c r="AA48" i="3"/>
  <c r="AA35" i="3"/>
  <c r="AA15" i="3"/>
  <c r="AA23" i="3"/>
  <c r="AA47" i="3"/>
  <c r="AA28" i="3"/>
  <c r="AA55" i="3"/>
  <c r="AA16" i="3"/>
  <c r="AA8" i="3"/>
  <c r="AA39" i="3"/>
  <c r="AA19" i="3"/>
  <c r="AA20" i="3"/>
  <c r="AA51" i="3"/>
  <c r="AA32" i="3"/>
  <c r="AA25" i="3"/>
  <c r="AA7" i="3"/>
  <c r="P6" i="3"/>
  <c r="AA12" i="3"/>
  <c r="AA52" i="3"/>
  <c r="AA44" i="3"/>
  <c r="AA31" i="3"/>
  <c r="AA11" i="3"/>
  <c r="AA43" i="3"/>
  <c r="U70" i="3"/>
  <c r="U62" i="3"/>
  <c r="U66" i="3"/>
  <c r="Z62" i="3"/>
  <c r="Z66" i="3"/>
  <c r="J60" i="3"/>
  <c r="P10" i="3"/>
  <c r="Q70" i="3"/>
  <c r="P15" i="3"/>
  <c r="P32" i="3"/>
  <c r="P37" i="3"/>
  <c r="P48" i="3"/>
  <c r="P53" i="3"/>
  <c r="V70" i="3"/>
  <c r="AA3" i="3"/>
  <c r="M61" i="3"/>
  <c r="T61" i="3"/>
  <c r="P17" i="3"/>
  <c r="P35" i="3"/>
  <c r="P42" i="3"/>
  <c r="I61" i="3"/>
  <c r="X61" i="3"/>
  <c r="P33" i="3"/>
  <c r="P38" i="3"/>
  <c r="P44" i="3"/>
  <c r="P47" i="3"/>
  <c r="P49" i="3"/>
  <c r="Z70" i="3"/>
  <c r="J69" i="3"/>
  <c r="P7" i="3"/>
  <c r="P9" i="3"/>
  <c r="W61" i="3"/>
  <c r="P21" i="3"/>
  <c r="P29" i="3"/>
  <c r="P34" i="3"/>
  <c r="P40" i="3"/>
  <c r="P43" i="3"/>
  <c r="P45" i="3"/>
  <c r="P55" i="3"/>
  <c r="P3" i="3"/>
  <c r="AB12" i="3"/>
  <c r="AB61" i="3" s="1"/>
  <c r="P51" i="3"/>
  <c r="W69" i="3"/>
  <c r="W64" i="3"/>
  <c r="P8" i="3"/>
  <c r="P11" i="3"/>
  <c r="O61" i="3"/>
  <c r="P13" i="3"/>
  <c r="P23" i="3"/>
  <c r="P26" i="3"/>
  <c r="P31" i="3"/>
  <c r="Y61" i="3"/>
  <c r="P19" i="3"/>
  <c r="P27" i="3"/>
  <c r="P30" i="3"/>
  <c r="P36" i="3"/>
  <c r="P39" i="3"/>
  <c r="P41" i="3"/>
  <c r="P46" i="3"/>
  <c r="P52" i="3"/>
  <c r="P54" i="3"/>
  <c r="P22" i="3"/>
  <c r="J65" i="3"/>
  <c r="J68" i="3"/>
  <c r="K69" i="3"/>
  <c r="Y69" i="3"/>
  <c r="R64" i="3"/>
  <c r="R60" i="3"/>
  <c r="K68" i="3"/>
  <c r="W68" i="3"/>
  <c r="H69" i="3"/>
  <c r="M69" i="3"/>
  <c r="P5" i="3"/>
  <c r="H64" i="3"/>
  <c r="H78" i="4" s="1"/>
  <c r="E4" i="5" s="1"/>
  <c r="H60" i="3"/>
  <c r="H77" i="4" s="1"/>
  <c r="E3" i="5" s="1"/>
  <c r="M64" i="3"/>
  <c r="M60" i="3"/>
  <c r="T60" i="3"/>
  <c r="AB5" i="3"/>
  <c r="T64" i="3"/>
  <c r="K61" i="3"/>
  <c r="R61" i="3"/>
  <c r="P24" i="3"/>
  <c r="I65" i="3"/>
  <c r="I68" i="3"/>
  <c r="O65" i="3"/>
  <c r="O68" i="3"/>
  <c r="T65" i="3"/>
  <c r="T68" i="3"/>
  <c r="P4" i="3"/>
  <c r="X65" i="3"/>
  <c r="X68" i="3"/>
  <c r="AB3" i="3"/>
  <c r="K64" i="3"/>
  <c r="Y64" i="3"/>
  <c r="Y60" i="3"/>
  <c r="J61" i="3"/>
  <c r="P14" i="3"/>
  <c r="P18" i="3"/>
  <c r="P28" i="3"/>
  <c r="H68" i="3"/>
  <c r="M68" i="3"/>
  <c r="Y68" i="3"/>
  <c r="I69" i="3"/>
  <c r="O69" i="3"/>
  <c r="T69" i="3"/>
  <c r="I64" i="3"/>
  <c r="I60" i="3"/>
  <c r="O60" i="3"/>
  <c r="O64" i="3"/>
  <c r="X60" i="3"/>
  <c r="H61" i="3"/>
  <c r="P12" i="3"/>
  <c r="P16" i="3"/>
  <c r="P20" i="3"/>
  <c r="AB4" i="3"/>
  <c r="K60" i="3"/>
  <c r="W60" i="3"/>
  <c r="J64" i="3"/>
  <c r="X64" i="3"/>
  <c r="K65" i="3"/>
  <c r="W65" i="3"/>
  <c r="X69" i="3"/>
  <c r="H65" i="3"/>
  <c r="H79" i="4" s="1"/>
  <c r="E5" i="5" s="1"/>
  <c r="M65" i="3"/>
  <c r="Y65" i="3"/>
  <c r="J70" i="3" l="1"/>
  <c r="O66" i="3"/>
  <c r="O62" i="3"/>
  <c r="J62" i="3"/>
  <c r="M62" i="3"/>
  <c r="I62" i="3"/>
  <c r="T62" i="3"/>
  <c r="W62" i="3"/>
  <c r="W66" i="3"/>
  <c r="K70" i="3"/>
  <c r="X62" i="3"/>
  <c r="Y62" i="3"/>
  <c r="Y66" i="3"/>
  <c r="K62" i="3"/>
  <c r="H70" i="3"/>
  <c r="P68" i="3"/>
  <c r="P65" i="3"/>
  <c r="H62" i="3"/>
  <c r="X66" i="3"/>
  <c r="AB69" i="3"/>
  <c r="I66" i="3"/>
  <c r="Y70" i="3"/>
  <c r="W70" i="3"/>
  <c r="O70" i="3"/>
  <c r="M66" i="3"/>
  <c r="P61" i="3"/>
  <c r="AA61" i="3"/>
  <c r="AB60" i="3"/>
  <c r="AB62" i="3" s="1"/>
  <c r="AB64" i="3"/>
  <c r="M70" i="3"/>
  <c r="K66" i="3"/>
  <c r="H66" i="3"/>
  <c r="AB65" i="3"/>
  <c r="AB68" i="3"/>
  <c r="P69" i="3"/>
  <c r="T66" i="3"/>
  <c r="J66" i="3"/>
  <c r="X70" i="3"/>
  <c r="T70" i="3"/>
  <c r="I70" i="3"/>
  <c r="AA64" i="3"/>
  <c r="AA60" i="3"/>
  <c r="P64" i="3"/>
  <c r="P60" i="3"/>
  <c r="R62" i="3"/>
  <c r="P66" i="3" l="1"/>
  <c r="AB70" i="3"/>
  <c r="P70" i="3"/>
  <c r="AA62" i="3"/>
  <c r="AB66" i="3"/>
  <c r="P62" i="3"/>
  <c r="AB55" i="2" l="1"/>
  <c r="Q55" i="2"/>
  <c r="AB54" i="2"/>
  <c r="Q54" i="2"/>
  <c r="AB53" i="2"/>
  <c r="Q53" i="2"/>
  <c r="AB52" i="2"/>
  <c r="Q52" i="2"/>
  <c r="Q51" i="2"/>
  <c r="AB50" i="2"/>
  <c r="Q50" i="2"/>
  <c r="AB49" i="2"/>
  <c r="Q49" i="2"/>
  <c r="AB48" i="2"/>
  <c r="Q48" i="2"/>
  <c r="AB47" i="2"/>
  <c r="Q47" i="2"/>
  <c r="AB46" i="2"/>
  <c r="Q46" i="2"/>
  <c r="AB45" i="2"/>
  <c r="Q45" i="2"/>
  <c r="AB44" i="2"/>
  <c r="Q44" i="2"/>
  <c r="AB43" i="2"/>
  <c r="Q43" i="2"/>
  <c r="AB42" i="2"/>
  <c r="Q42" i="2"/>
  <c r="AB41" i="2"/>
  <c r="Q41" i="2"/>
  <c r="AB40" i="2"/>
  <c r="Q40" i="2"/>
  <c r="AB39" i="2"/>
  <c r="Q39" i="2"/>
  <c r="AB38" i="2"/>
  <c r="Q38" i="2"/>
  <c r="AB37" i="2"/>
  <c r="Q37" i="2"/>
  <c r="AB36" i="2"/>
  <c r="Q36" i="2"/>
  <c r="AB35" i="2"/>
  <c r="Q35" i="2"/>
  <c r="AB34" i="2"/>
  <c r="Q34" i="2"/>
  <c r="AB33" i="2"/>
  <c r="Q33" i="2"/>
  <c r="AB32" i="2"/>
  <c r="Q32" i="2"/>
  <c r="AB31" i="2"/>
  <c r="Q31" i="2"/>
  <c r="AB30" i="2"/>
  <c r="Q30" i="2"/>
  <c r="AB29" i="2"/>
  <c r="Q29" i="2"/>
  <c r="AB28" i="2"/>
  <c r="Q28" i="2"/>
  <c r="AB27" i="2"/>
  <c r="Q27" i="2"/>
  <c r="AB26" i="2"/>
  <c r="Q26" i="2"/>
  <c r="AB25" i="2"/>
  <c r="Q25" i="2"/>
  <c r="AB24" i="2"/>
  <c r="Q24" i="2"/>
  <c r="AB23" i="2"/>
  <c r="Q23" i="2"/>
  <c r="AB22" i="2"/>
  <c r="Q22" i="2"/>
  <c r="AB21" i="2"/>
  <c r="Q21" i="2"/>
  <c r="AB20" i="2"/>
  <c r="Q20" i="2"/>
  <c r="AB19" i="2"/>
  <c r="Q19" i="2"/>
  <c r="AB18" i="2"/>
  <c r="Q18" i="2"/>
  <c r="AB17" i="2"/>
  <c r="Q17" i="2"/>
  <c r="AB16" i="2"/>
  <c r="Q16" i="2"/>
  <c r="AB15" i="2"/>
  <c r="Q15" i="2"/>
  <c r="AB14" i="2"/>
  <c r="Q14" i="2"/>
  <c r="AB13" i="2"/>
  <c r="Q13" i="2"/>
  <c r="AB12" i="2"/>
  <c r="Q12" i="2"/>
  <c r="AB11" i="2"/>
  <c r="Q11" i="2"/>
  <c r="AB10" i="2"/>
  <c r="Q10" i="2"/>
  <c r="AB9" i="2"/>
  <c r="Q9" i="2"/>
  <c r="AB8" i="2"/>
  <c r="Q8" i="2"/>
  <c r="AB7" i="2"/>
  <c r="Q7" i="2"/>
  <c r="AB6" i="2"/>
  <c r="Q6" i="2"/>
  <c r="Q5" i="2"/>
  <c r="Q4" i="2"/>
  <c r="AB3" i="2"/>
  <c r="Q3" i="2"/>
  <c r="Y69" i="2"/>
  <c r="Z69" i="2"/>
  <c r="V69" i="2"/>
  <c r="U69" i="2"/>
  <c r="R69" i="2"/>
  <c r="Y68" i="2"/>
  <c r="Z68" i="2"/>
  <c r="V68" i="2"/>
  <c r="U68" i="2"/>
  <c r="R68" i="2"/>
  <c r="Y65" i="2"/>
  <c r="Z65" i="2"/>
  <c r="V65" i="2"/>
  <c r="U65" i="2"/>
  <c r="R65" i="2"/>
  <c r="Y64" i="2"/>
  <c r="Z64" i="2"/>
  <c r="V64" i="2"/>
  <c r="U64" i="2"/>
  <c r="R64" i="2"/>
  <c r="Y61" i="2"/>
  <c r="Z61" i="2"/>
  <c r="V61" i="2"/>
  <c r="U61" i="2"/>
  <c r="R61" i="2"/>
  <c r="Y60" i="2"/>
  <c r="Z60" i="2"/>
  <c r="V60" i="2"/>
  <c r="U60" i="2"/>
  <c r="R60" i="2"/>
  <c r="O59" i="2"/>
  <c r="R59" i="2"/>
  <c r="M59" i="2"/>
  <c r="K59" i="2"/>
  <c r="J59" i="2"/>
  <c r="I59" i="2"/>
  <c r="H59" i="2"/>
  <c r="AB51" i="2"/>
  <c r="AA52" i="2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3" i="1"/>
  <c r="R62" i="2" l="1"/>
  <c r="AA36" i="2"/>
  <c r="AA4" i="2"/>
  <c r="K60" i="2"/>
  <c r="R66" i="2"/>
  <c r="Z62" i="2"/>
  <c r="Z70" i="2"/>
  <c r="AA32" i="2"/>
  <c r="AA28" i="2"/>
  <c r="AA24" i="2"/>
  <c r="AA20" i="2"/>
  <c r="AA16" i="2"/>
  <c r="AA53" i="2"/>
  <c r="AA49" i="2"/>
  <c r="AA39" i="2"/>
  <c r="AA35" i="2"/>
  <c r="AA31" i="2"/>
  <c r="AA27" i="2"/>
  <c r="AA23" i="2"/>
  <c r="AA19" i="2"/>
  <c r="AA15" i="2"/>
  <c r="AA11" i="2"/>
  <c r="AA37" i="2"/>
  <c r="AA33" i="2"/>
  <c r="AA29" i="2"/>
  <c r="AA25" i="2"/>
  <c r="AA21" i="2"/>
  <c r="AA17" i="2"/>
  <c r="AA13" i="2"/>
  <c r="AA9" i="2"/>
  <c r="AA41" i="2"/>
  <c r="AA45" i="2"/>
  <c r="AA48" i="2"/>
  <c r="AA44" i="2"/>
  <c r="AA8" i="2"/>
  <c r="AA5" i="2"/>
  <c r="AA12" i="2"/>
  <c r="AA6" i="2"/>
  <c r="AA3" i="2"/>
  <c r="AA51" i="2"/>
  <c r="AA47" i="2"/>
  <c r="AA43" i="2"/>
  <c r="AA38" i="2"/>
  <c r="AA34" i="2"/>
  <c r="AA30" i="2"/>
  <c r="AA26" i="2"/>
  <c r="AA22" i="2"/>
  <c r="AA18" i="2"/>
  <c r="AA14" i="2"/>
  <c r="AA10" i="2"/>
  <c r="AA40" i="2"/>
  <c r="AA50" i="2"/>
  <c r="AA46" i="2"/>
  <c r="AA42" i="2"/>
  <c r="AA7" i="2"/>
  <c r="AA55" i="2"/>
  <c r="AA54" i="2"/>
  <c r="U66" i="2"/>
  <c r="V62" i="2"/>
  <c r="V70" i="2"/>
  <c r="Y70" i="2"/>
  <c r="Y66" i="2"/>
  <c r="T60" i="2"/>
  <c r="AB61" i="2"/>
  <c r="P45" i="2"/>
  <c r="P49" i="2"/>
  <c r="P53" i="2"/>
  <c r="O60" i="2"/>
  <c r="Q61" i="2"/>
  <c r="W60" i="2"/>
  <c r="I61" i="2"/>
  <c r="O61" i="2"/>
  <c r="U62" i="2"/>
  <c r="Z66" i="2"/>
  <c r="V66" i="2"/>
  <c r="U70" i="2"/>
  <c r="K69" i="2"/>
  <c r="K61" i="2"/>
  <c r="O64" i="2"/>
  <c r="I64" i="2"/>
  <c r="P6" i="2"/>
  <c r="P8" i="2"/>
  <c r="P10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50" i="2"/>
  <c r="P54" i="2"/>
  <c r="T64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7" i="2"/>
  <c r="P51" i="2"/>
  <c r="P55" i="2"/>
  <c r="Y62" i="2"/>
  <c r="O69" i="2"/>
  <c r="W69" i="2"/>
  <c r="Q64" i="2"/>
  <c r="W64" i="2"/>
  <c r="P7" i="2"/>
  <c r="P9" i="2"/>
  <c r="P11" i="2"/>
  <c r="X61" i="2"/>
  <c r="P13" i="2"/>
  <c r="P15" i="2"/>
  <c r="X65" i="2"/>
  <c r="Q69" i="2"/>
  <c r="K64" i="2"/>
  <c r="J61" i="2"/>
  <c r="W61" i="2"/>
  <c r="P48" i="2"/>
  <c r="P52" i="2"/>
  <c r="R70" i="2"/>
  <c r="AB68" i="2"/>
  <c r="J60" i="2"/>
  <c r="J69" i="2"/>
  <c r="J64" i="2"/>
  <c r="P5" i="2"/>
  <c r="X60" i="2"/>
  <c r="X69" i="2"/>
  <c r="X64" i="2"/>
  <c r="J65" i="2"/>
  <c r="Q68" i="2"/>
  <c r="Q65" i="2"/>
  <c r="W68" i="2"/>
  <c r="W65" i="2"/>
  <c r="H61" i="2"/>
  <c r="M61" i="2"/>
  <c r="S61" i="2"/>
  <c r="K68" i="2"/>
  <c r="K65" i="2"/>
  <c r="H64" i="2"/>
  <c r="H60" i="2"/>
  <c r="M64" i="2"/>
  <c r="M60" i="2"/>
  <c r="S64" i="2"/>
  <c r="S60" i="2"/>
  <c r="I65" i="2"/>
  <c r="I68" i="2"/>
  <c r="O65" i="2"/>
  <c r="O68" i="2"/>
  <c r="I69" i="2"/>
  <c r="P4" i="2"/>
  <c r="H68" i="2"/>
  <c r="M68" i="2"/>
  <c r="T65" i="2"/>
  <c r="T68" i="2"/>
  <c r="H69" i="2"/>
  <c r="M69" i="2"/>
  <c r="AB4" i="2"/>
  <c r="T69" i="2"/>
  <c r="P12" i="2"/>
  <c r="AB5" i="2"/>
  <c r="Q60" i="2"/>
  <c r="H65" i="2"/>
  <c r="H75" i="3" s="1"/>
  <c r="D5" i="5" s="1"/>
  <c r="M65" i="2"/>
  <c r="J68" i="2"/>
  <c r="X68" i="2"/>
  <c r="I60" i="2"/>
  <c r="T61" i="2"/>
  <c r="P3" i="2"/>
  <c r="H73" i="3" l="1"/>
  <c r="D3" i="5" s="1"/>
  <c r="H74" i="3"/>
  <c r="D4" i="5" s="1"/>
  <c r="K62" i="2"/>
  <c r="I62" i="2"/>
  <c r="T62" i="2"/>
  <c r="I70" i="2"/>
  <c r="K70" i="2"/>
  <c r="I66" i="2"/>
  <c r="S68" i="2"/>
  <c r="S65" i="2"/>
  <c r="S66" i="2" s="1"/>
  <c r="AA68" i="3"/>
  <c r="R68" i="3"/>
  <c r="S69" i="2"/>
  <c r="R65" i="3"/>
  <c r="R66" i="3" s="1"/>
  <c r="R69" i="3"/>
  <c r="W70" i="2"/>
  <c r="Q62" i="2"/>
  <c r="W62" i="2"/>
  <c r="O70" i="2"/>
  <c r="X62" i="2"/>
  <c r="J62" i="2"/>
  <c r="Q66" i="2"/>
  <c r="S62" i="2"/>
  <c r="W66" i="2"/>
  <c r="O62" i="2"/>
  <c r="P61" i="2"/>
  <c r="AB69" i="2"/>
  <c r="AB70" i="2" s="1"/>
  <c r="T66" i="2"/>
  <c r="O66" i="2"/>
  <c r="H62" i="2"/>
  <c r="K66" i="2"/>
  <c r="M62" i="2"/>
  <c r="X66" i="2"/>
  <c r="AA61" i="2"/>
  <c r="Q70" i="2"/>
  <c r="X70" i="2"/>
  <c r="M70" i="2"/>
  <c r="P69" i="2"/>
  <c r="H66" i="2"/>
  <c r="P68" i="2"/>
  <c r="P65" i="2"/>
  <c r="J70" i="2"/>
  <c r="AB60" i="2"/>
  <c r="AB62" i="2" s="1"/>
  <c r="AB64" i="2"/>
  <c r="H70" i="2"/>
  <c r="P64" i="2"/>
  <c r="P60" i="2"/>
  <c r="AA65" i="2"/>
  <c r="AA68" i="2"/>
  <c r="T70" i="2"/>
  <c r="AA64" i="2"/>
  <c r="AA60" i="2"/>
  <c r="M66" i="2"/>
  <c r="AA69" i="2"/>
  <c r="J66" i="2"/>
  <c r="AB65" i="2"/>
  <c r="S70" i="2" l="1"/>
  <c r="R70" i="3"/>
  <c r="AA69" i="3"/>
  <c r="AA70" i="3" s="1"/>
  <c r="AA65" i="3"/>
  <c r="AA66" i="3" s="1"/>
  <c r="P62" i="2"/>
  <c r="P66" i="2"/>
  <c r="AA62" i="2"/>
  <c r="AA70" i="2"/>
  <c r="AA66" i="2"/>
  <c r="AB66" i="2"/>
  <c r="P70" i="2"/>
  <c r="Z40" i="1" l="1"/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3" i="1"/>
  <c r="P4" i="1" l="1"/>
  <c r="P6" i="1"/>
  <c r="P12" i="1"/>
  <c r="P20" i="1"/>
  <c r="P34" i="1"/>
  <c r="P36" i="1"/>
  <c r="P38" i="1"/>
  <c r="P54" i="1"/>
  <c r="P27" i="1"/>
  <c r="P50" i="1"/>
  <c r="P7" i="1"/>
  <c r="P37" i="1"/>
  <c r="P10" i="1"/>
  <c r="P8" i="1"/>
  <c r="P16" i="1"/>
  <c r="P30" i="1"/>
  <c r="P35" i="1"/>
  <c r="P44" i="1" l="1"/>
  <c r="P52" i="1"/>
  <c r="P43" i="1"/>
  <c r="P47" i="1"/>
  <c r="P48" i="1"/>
  <c r="P23" i="1"/>
  <c r="P5" i="1"/>
  <c r="P14" i="1"/>
  <c r="P32" i="1"/>
  <c r="P39" i="1"/>
  <c r="P28" i="1"/>
  <c r="P19" i="1"/>
  <c r="P3" i="1"/>
  <c r="P41" i="1"/>
  <c r="P33" i="1"/>
  <c r="P15" i="1"/>
  <c r="P26" i="1"/>
  <c r="P13" i="1"/>
  <c r="P18" i="1"/>
  <c r="P42" i="1"/>
  <c r="P25" i="1"/>
  <c r="P45" i="1"/>
  <c r="P40" i="1"/>
  <c r="P17" i="1"/>
  <c r="P53" i="1"/>
  <c r="P24" i="1"/>
  <c r="P31" i="1"/>
  <c r="P51" i="1"/>
  <c r="P22" i="1"/>
  <c r="P49" i="1"/>
  <c r="P46" i="1"/>
  <c r="P29" i="1"/>
  <c r="P9" i="1"/>
  <c r="P21" i="1"/>
  <c r="P11" i="1"/>
  <c r="P55" i="1"/>
  <c r="I59" i="1" l="1"/>
  <c r="J59" i="1"/>
  <c r="K59" i="1"/>
  <c r="M59" i="1"/>
  <c r="Q59" i="1"/>
  <c r="O59" i="1"/>
  <c r="H59" i="1"/>
  <c r="J69" i="1"/>
  <c r="K69" i="1"/>
  <c r="M69" i="1"/>
  <c r="Q69" i="1"/>
  <c r="O69" i="1"/>
  <c r="J64" i="1"/>
  <c r="K60" i="1"/>
  <c r="M64" i="1"/>
  <c r="Q64" i="1"/>
  <c r="O64" i="1"/>
  <c r="J61" i="1"/>
  <c r="K61" i="1"/>
  <c r="M61" i="1"/>
  <c r="Q61" i="1"/>
  <c r="O61" i="1"/>
  <c r="J68" i="1"/>
  <c r="O68" i="1"/>
  <c r="M65" i="1"/>
  <c r="K65" i="1"/>
  <c r="Q65" i="1"/>
  <c r="O70" i="1" l="1"/>
  <c r="M66" i="1"/>
  <c r="Q66" i="1"/>
  <c r="J70" i="1"/>
  <c r="K62" i="1"/>
  <c r="Q68" i="1"/>
  <c r="Q70" i="1" s="1"/>
  <c r="O65" i="1"/>
  <c r="O66" i="1" s="1"/>
  <c r="J65" i="1"/>
  <c r="J66" i="1" s="1"/>
  <c r="K64" i="1"/>
  <c r="K66" i="1" s="1"/>
  <c r="O60" i="1"/>
  <c r="O62" i="1" s="1"/>
  <c r="J60" i="1"/>
  <c r="J62" i="1" s="1"/>
  <c r="M68" i="1"/>
  <c r="M70" i="1" s="1"/>
  <c r="Q60" i="1"/>
  <c r="Q62" i="1" s="1"/>
  <c r="K68" i="1"/>
  <c r="K70" i="1" s="1"/>
  <c r="M60" i="1"/>
  <c r="M62" i="1" s="1"/>
  <c r="I69" i="1"/>
  <c r="R69" i="1"/>
  <c r="S69" i="1"/>
  <c r="T69" i="1"/>
  <c r="U69" i="1"/>
  <c r="X69" i="1"/>
  <c r="W69" i="1"/>
  <c r="V69" i="1"/>
  <c r="Y69" i="1"/>
  <c r="R68" i="1"/>
  <c r="S68" i="1"/>
  <c r="T68" i="1"/>
  <c r="U68" i="1"/>
  <c r="X68" i="1"/>
  <c r="W68" i="1"/>
  <c r="V68" i="1"/>
  <c r="Y68" i="1"/>
  <c r="R65" i="1"/>
  <c r="S65" i="1"/>
  <c r="T65" i="1"/>
  <c r="U65" i="1"/>
  <c r="X65" i="1"/>
  <c r="W65" i="1"/>
  <c r="V65" i="1"/>
  <c r="Y65" i="1"/>
  <c r="I64" i="1"/>
  <c r="R64" i="1"/>
  <c r="S64" i="1"/>
  <c r="T64" i="1"/>
  <c r="U64" i="1"/>
  <c r="X64" i="1"/>
  <c r="W64" i="1"/>
  <c r="V64" i="1"/>
  <c r="Y64" i="1"/>
  <c r="I61" i="1"/>
  <c r="R61" i="1"/>
  <c r="S61" i="1"/>
  <c r="T61" i="1"/>
  <c r="U61" i="1"/>
  <c r="X61" i="1"/>
  <c r="W61" i="1"/>
  <c r="V61" i="1"/>
  <c r="Y61" i="1"/>
  <c r="I60" i="1"/>
  <c r="R60" i="1"/>
  <c r="S60" i="1"/>
  <c r="T60" i="1"/>
  <c r="U60" i="1"/>
  <c r="X60" i="1"/>
  <c r="W60" i="1"/>
  <c r="V60" i="1"/>
  <c r="Y60" i="1"/>
  <c r="R66" i="1" l="1"/>
  <c r="S66" i="1"/>
  <c r="W66" i="1"/>
  <c r="X66" i="1"/>
  <c r="Y66" i="1"/>
  <c r="Y70" i="1"/>
  <c r="U70" i="1"/>
  <c r="T70" i="1"/>
  <c r="X70" i="1"/>
  <c r="R70" i="1"/>
  <c r="T62" i="1"/>
  <c r="W70" i="1"/>
  <c r="V70" i="1"/>
  <c r="T66" i="1"/>
  <c r="R62" i="1"/>
  <c r="S70" i="1"/>
  <c r="V66" i="1"/>
  <c r="U66" i="1"/>
  <c r="AA68" i="1"/>
  <c r="AA64" i="1"/>
  <c r="AA69" i="1"/>
  <c r="H60" i="1"/>
  <c r="H73" i="2" s="1"/>
  <c r="C3" i="5" s="1"/>
  <c r="F3" i="5" s="1"/>
  <c r="AA65" i="1"/>
  <c r="AA61" i="1"/>
  <c r="W62" i="1"/>
  <c r="AA60" i="1"/>
  <c r="X62" i="1"/>
  <c r="S62" i="1"/>
  <c r="Y62" i="1"/>
  <c r="U62" i="1"/>
  <c r="I62" i="1"/>
  <c r="V62" i="1"/>
  <c r="AA70" i="1" l="1"/>
  <c r="AA66" i="1"/>
  <c r="I68" i="1"/>
  <c r="I70" i="1" s="1"/>
  <c r="I65" i="1"/>
  <c r="I66" i="1" s="1"/>
  <c r="H68" i="1"/>
  <c r="H65" i="1"/>
  <c r="H75" i="2" s="1"/>
  <c r="C5" i="5" s="1"/>
  <c r="F5" i="5" s="1"/>
  <c r="Z60" i="1"/>
  <c r="Z64" i="1"/>
  <c r="Z69" i="1"/>
  <c r="Z61" i="1"/>
  <c r="Z68" i="1"/>
  <c r="Z65" i="1"/>
  <c r="AA62" i="1"/>
  <c r="P60" i="1"/>
  <c r="Z66" i="1" l="1"/>
  <c r="Z62" i="1"/>
  <c r="H61" i="1"/>
  <c r="H62" i="1" s="1"/>
  <c r="H64" i="1"/>
  <c r="H69" i="1"/>
  <c r="H70" i="1" s="1"/>
  <c r="Z70" i="1"/>
  <c r="P68" i="1"/>
  <c r="H66" i="1" l="1"/>
  <c r="H74" i="2"/>
  <c r="C4" i="5" s="1"/>
  <c r="F4" i="5" s="1"/>
  <c r="P65" i="1"/>
  <c r="P69" i="1"/>
  <c r="P70" i="1" s="1"/>
  <c r="P61" i="1"/>
  <c r="P62" i="1" s="1"/>
  <c r="P64" i="1"/>
  <c r="P66" i="1" l="1"/>
</calcChain>
</file>

<file path=xl/sharedStrings.xml><?xml version="1.0" encoding="utf-8"?>
<sst xmlns="http://schemas.openxmlformats.org/spreadsheetml/2006/main" count="694" uniqueCount="44">
  <si>
    <t>Manager</t>
  </si>
  <si>
    <t>Supervisor</t>
  </si>
  <si>
    <t>Exempt</t>
  </si>
  <si>
    <t>Non-Exempt</t>
  </si>
  <si>
    <t>Union</t>
  </si>
  <si>
    <t>Non-Union</t>
  </si>
  <si>
    <t>Total Comp</t>
  </si>
  <si>
    <t>Employer Paid Healthcare</t>
  </si>
  <si>
    <t>X</t>
  </si>
  <si>
    <t>Employer Defined Contribution 401(k)</t>
  </si>
  <si>
    <t>Total ER Benefits</t>
  </si>
  <si>
    <t>Total EE Benefits</t>
  </si>
  <si>
    <t>Summary:</t>
  </si>
  <si>
    <t>Total</t>
  </si>
  <si>
    <t>Reg Salary/Wages Paid (includes any employee's regular rate of pay categories that are paid at regular rate i.e. holiday sick, etc.)</t>
  </si>
  <si>
    <t>OT Amount (includes All Pays at OT &amp; Above Rate)</t>
  </si>
  <si>
    <t>Excess Vacation Payout</t>
  </si>
  <si>
    <t>Dispatch / Duty Pay</t>
  </si>
  <si>
    <t>Bonus &amp; Incentive Pays</t>
  </si>
  <si>
    <t>Other Incentives, Deferred Compensation</t>
  </si>
  <si>
    <t>Other Pays Including Phone, Auto Allowance</t>
  </si>
  <si>
    <t>Healthcare Monthly Benefit Cost</t>
  </si>
  <si>
    <t>Employer Yearly Paid Healthcare</t>
  </si>
  <si>
    <t>Employee Paid Yearly Heathcare Cost</t>
  </si>
  <si>
    <t>Dental 100% Employee Paid Yearly Cost</t>
  </si>
  <si>
    <t>Vision 100% Employee Paid</t>
  </si>
  <si>
    <t>Employer 100% Pays for Long-term Disability</t>
  </si>
  <si>
    <t>Employer Contribution Defined Benefit R&amp;S Plan</t>
  </si>
  <si>
    <t>Total EE Paid Benefits</t>
  </si>
  <si>
    <t>Employer Defined Contribution 401(k) Match</t>
  </si>
  <si>
    <t>Employer 100% Pays for 2x Basic Life Insurance</t>
  </si>
  <si>
    <t>Special Comp. @ Straight Time</t>
  </si>
  <si>
    <t>Employer Yearly Paid Healthcare (Revised)</t>
  </si>
  <si>
    <t>Reg Salary/Wages Paid (includes any employee's regular rate of pay categories that are paid at regular rate i.e. holiday, sick, etc.)</t>
  </si>
  <si>
    <t>Bonus Pay</t>
  </si>
  <si>
    <t>Car Allowance</t>
  </si>
  <si>
    <t>Other Pays Including Phone, Med Opt-Out, etc.</t>
  </si>
  <si>
    <t>Executive</t>
  </si>
  <si>
    <t xml:space="preserve">Employer Yearly Paid Healthcare </t>
  </si>
  <si>
    <t>Average Raise</t>
  </si>
  <si>
    <t>Salaried</t>
  </si>
  <si>
    <t>Non-Salaried</t>
  </si>
  <si>
    <t>Raise</t>
  </si>
  <si>
    <t>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</si>
</sst>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3" xfId="1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43" fontId="0" fillId="0" borderId="3" xfId="1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9" fontId="0" fillId="0" borderId="0" xfId="2" applyFont="1" applyAlignment="1">
      <alignment vertical="center"/>
    </xf>
    <xf numFmtId="9" fontId="4" fillId="0" borderId="0" xfId="2" applyFont="1" applyAlignment="1">
      <alignment vertical="center"/>
    </xf>
    <xf numFmtId="9" fontId="5" fillId="0" borderId="0" xfId="2" applyFont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43" fontId="4" fillId="3" borderId="0" xfId="1" applyFont="1" applyFill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te%20Case%202024\Payroll%20-%20folder%20locked%20Only%20Moriarty,%20Bragg%20&amp;%20Daily%20have%20access\Q%2031.%20Backup%20Detail%20Pay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2"/>
      <sheetName val="2023"/>
    </sheetNames>
    <sheetDataSet>
      <sheetData sheetId="0">
        <row r="4">
          <cell r="C4" t="str">
            <v>1</v>
          </cell>
        </row>
      </sheetData>
      <sheetData sheetId="1">
        <row r="4">
          <cell r="C4" t="str">
            <v>1</v>
          </cell>
          <cell r="AC4">
            <v>2226.36</v>
          </cell>
        </row>
        <row r="5">
          <cell r="C5" t="str">
            <v>2</v>
          </cell>
          <cell r="AC5">
            <v>672.6</v>
          </cell>
        </row>
        <row r="6">
          <cell r="C6" t="str">
            <v>3</v>
          </cell>
        </row>
        <row r="7">
          <cell r="C7" t="str">
            <v>4</v>
          </cell>
        </row>
        <row r="8">
          <cell r="C8" t="str">
            <v>5</v>
          </cell>
          <cell r="AC8">
            <v>2226.36</v>
          </cell>
        </row>
        <row r="9">
          <cell r="C9" t="str">
            <v>6</v>
          </cell>
        </row>
        <row r="10">
          <cell r="C10" t="str">
            <v>7</v>
          </cell>
          <cell r="AC10">
            <v>1462.4</v>
          </cell>
        </row>
        <row r="11">
          <cell r="C11" t="str">
            <v>8</v>
          </cell>
        </row>
        <row r="12">
          <cell r="C12" t="str">
            <v>9</v>
          </cell>
          <cell r="AC12">
            <v>672.6</v>
          </cell>
        </row>
        <row r="13">
          <cell r="C13" t="str">
            <v>10</v>
          </cell>
        </row>
        <row r="14">
          <cell r="C14" t="str">
            <v>11</v>
          </cell>
          <cell r="AC14">
            <v>1462.4</v>
          </cell>
        </row>
        <row r="15">
          <cell r="C15" t="str">
            <v>12</v>
          </cell>
          <cell r="AC15">
            <v>1617.83</v>
          </cell>
        </row>
        <row r="16">
          <cell r="C16" t="str">
            <v>13</v>
          </cell>
          <cell r="AC16">
            <v>2226.36</v>
          </cell>
        </row>
        <row r="17">
          <cell r="C17" t="str">
            <v>14</v>
          </cell>
          <cell r="AC17">
            <v>2226.36</v>
          </cell>
        </row>
        <row r="18">
          <cell r="C18" t="str">
            <v>15</v>
          </cell>
          <cell r="AC18">
            <v>1617.83</v>
          </cell>
        </row>
        <row r="19">
          <cell r="C19" t="str">
            <v>16</v>
          </cell>
        </row>
        <row r="20">
          <cell r="C20" t="str">
            <v>17</v>
          </cell>
          <cell r="AC20">
            <v>1617.83</v>
          </cell>
        </row>
        <row r="21">
          <cell r="C21" t="str">
            <v>18</v>
          </cell>
        </row>
        <row r="22">
          <cell r="C22" t="str">
            <v>19</v>
          </cell>
          <cell r="AC22">
            <v>1462.4</v>
          </cell>
        </row>
        <row r="23">
          <cell r="C23" t="str">
            <v>20</v>
          </cell>
        </row>
        <row r="24">
          <cell r="C24" t="str">
            <v>21</v>
          </cell>
        </row>
        <row r="25">
          <cell r="C25" t="str">
            <v>22</v>
          </cell>
        </row>
        <row r="26">
          <cell r="C26" t="str">
            <v>23</v>
          </cell>
          <cell r="AC26">
            <v>2226.36</v>
          </cell>
        </row>
        <row r="27">
          <cell r="C27" t="str">
            <v>24</v>
          </cell>
          <cell r="AC27">
            <v>2226.36</v>
          </cell>
        </row>
        <row r="28">
          <cell r="C28" t="str">
            <v>25</v>
          </cell>
          <cell r="AC28">
            <v>2226.36</v>
          </cell>
        </row>
        <row r="29">
          <cell r="C29" t="str">
            <v>26</v>
          </cell>
          <cell r="AC29">
            <v>672.6</v>
          </cell>
        </row>
        <row r="30">
          <cell r="C30" t="str">
            <v>27</v>
          </cell>
          <cell r="AC30">
            <v>672.6</v>
          </cell>
        </row>
        <row r="31">
          <cell r="C31" t="str">
            <v>28</v>
          </cell>
          <cell r="AC31">
            <v>2226.36</v>
          </cell>
        </row>
        <row r="32">
          <cell r="C32" t="str">
            <v>29</v>
          </cell>
          <cell r="AC32">
            <v>672.6</v>
          </cell>
        </row>
        <row r="33">
          <cell r="C33" t="str">
            <v>30</v>
          </cell>
          <cell r="AC33">
            <v>2226.36</v>
          </cell>
        </row>
        <row r="34">
          <cell r="C34" t="str">
            <v>31</v>
          </cell>
          <cell r="AC34">
            <v>672.6</v>
          </cell>
        </row>
        <row r="35">
          <cell r="C35" t="str">
            <v>32</v>
          </cell>
        </row>
        <row r="36">
          <cell r="C36" t="str">
            <v>33</v>
          </cell>
          <cell r="AC36">
            <v>1462.4</v>
          </cell>
        </row>
        <row r="37">
          <cell r="C37" t="str">
            <v>34</v>
          </cell>
          <cell r="AC37">
            <v>672.6</v>
          </cell>
        </row>
        <row r="38">
          <cell r="C38" t="str">
            <v>35</v>
          </cell>
          <cell r="AC38">
            <v>2226.36</v>
          </cell>
        </row>
        <row r="39">
          <cell r="C39" t="str">
            <v>36</v>
          </cell>
        </row>
        <row r="40">
          <cell r="C40" t="str">
            <v>37</v>
          </cell>
          <cell r="AC40">
            <v>1617.83</v>
          </cell>
        </row>
        <row r="41">
          <cell r="C41" t="str">
            <v>38</v>
          </cell>
          <cell r="AC41">
            <v>2226.36</v>
          </cell>
        </row>
        <row r="42">
          <cell r="C42" t="str">
            <v>39</v>
          </cell>
          <cell r="AC42">
            <v>672.6</v>
          </cell>
        </row>
        <row r="43">
          <cell r="C43" t="str">
            <v>40</v>
          </cell>
          <cell r="AC43">
            <v>2226.36</v>
          </cell>
        </row>
        <row r="44">
          <cell r="C44" t="str">
            <v>41</v>
          </cell>
        </row>
        <row r="45">
          <cell r="C45" t="str">
            <v>42</v>
          </cell>
          <cell r="AC45">
            <v>2226.36</v>
          </cell>
        </row>
        <row r="46">
          <cell r="C46" t="str">
            <v>43</v>
          </cell>
          <cell r="AC46">
            <v>1462.4</v>
          </cell>
        </row>
        <row r="47">
          <cell r="C47" t="str">
            <v>44</v>
          </cell>
          <cell r="AC47">
            <v>1462.4</v>
          </cell>
        </row>
        <row r="48">
          <cell r="C48" t="str">
            <v>45</v>
          </cell>
        </row>
        <row r="49">
          <cell r="C49" t="str">
            <v>46</v>
          </cell>
        </row>
        <row r="50">
          <cell r="C50" t="str">
            <v>47</v>
          </cell>
          <cell r="AC50">
            <v>2226.36</v>
          </cell>
        </row>
        <row r="51">
          <cell r="C51" t="str">
            <v>48</v>
          </cell>
          <cell r="AC51">
            <v>672.6</v>
          </cell>
        </row>
        <row r="52">
          <cell r="C52" t="str">
            <v>49</v>
          </cell>
          <cell r="AC52">
            <v>1462.4</v>
          </cell>
        </row>
        <row r="53">
          <cell r="C53" t="str">
            <v>50</v>
          </cell>
          <cell r="AC53">
            <v>672.6</v>
          </cell>
        </row>
        <row r="54">
          <cell r="C54" t="str">
            <v>51</v>
          </cell>
          <cell r="AC54">
            <v>2226.36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0</v>
          </cell>
        </row>
      </sheetData>
      <sheetData sheetId="2">
        <row r="4">
          <cell r="C4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6F93-451C-4540-9664-6C65187BE982}">
  <dimension ref="A1:AE78"/>
  <sheetViews>
    <sheetView tabSelected="1" zoomScaleNormal="100" workbookViewId="0">
      <pane xSplit="1" ySplit="2" topLeftCell="B40" activePane="bottomRight" state="frozen"/>
      <selection pane="topRight" activeCell="C1" sqref="C1"/>
      <selection pane="bottomLeft" activeCell="A2" sqref="A2"/>
      <selection pane="bottomRight" activeCell="A2" sqref="A2:A55"/>
    </sheetView>
  </sheetViews>
  <sheetFormatPr defaultColWidth="9.15234375" defaultRowHeight="14.6" x14ac:dyDescent="0.4"/>
  <cols>
    <col min="1" max="1" width="15.4609375" style="5" bestFit="1" customWidth="1"/>
    <col min="2" max="2" width="12.69140625" style="5" bestFit="1" customWidth="1"/>
    <col min="3" max="3" width="14.4609375" style="5" bestFit="1" customWidth="1"/>
    <col min="4" max="4" width="11.69140625" style="5" customWidth="1"/>
    <col min="5" max="5" width="15.4609375" style="5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23046875" style="12" customWidth="1"/>
    <col min="15" max="15" width="10.53515625" style="12" bestFit="1" customWidth="1"/>
    <col min="16" max="16" width="16.15234375" style="12" customWidth="1"/>
    <col min="17" max="17" width="15.15234375" style="12" customWidth="1"/>
    <col min="18" max="19" width="16.15234375" style="12" customWidth="1"/>
    <col min="20" max="20" width="14.69140625" style="12" customWidth="1"/>
    <col min="21" max="23" width="17.69140625" style="12" bestFit="1" customWidth="1"/>
    <col min="24" max="24" width="18" style="12" bestFit="1" customWidth="1"/>
    <col min="25" max="25" width="17.69140625" style="12" bestFit="1" customWidth="1"/>
    <col min="26" max="26" width="15.4609375" style="12" bestFit="1" customWidth="1"/>
    <col min="27" max="27" width="14" style="12" hidden="1" customWidth="1"/>
    <col min="28" max="28" width="14" style="12" bestFit="1" customWidth="1"/>
    <col min="29" max="29" width="15.4609375" style="12" bestFit="1" customWidth="1"/>
    <col min="30" max="30" width="23.69140625" style="10" bestFit="1" customWidth="1"/>
    <col min="31" max="31" width="21" style="10" customWidth="1"/>
    <col min="32" max="16384" width="9.15234375" style="10"/>
  </cols>
  <sheetData>
    <row r="1" spans="1:29" s="5" customFormat="1" x14ac:dyDescent="0.4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  <c r="T1" s="17"/>
      <c r="U1" s="17"/>
      <c r="V1" s="6"/>
      <c r="W1" s="6"/>
      <c r="X1" s="6"/>
      <c r="Y1" s="6"/>
      <c r="AA1" s="16"/>
    </row>
    <row r="2" spans="1:29" s="7" customFormat="1" ht="92.6" x14ac:dyDescent="0.4">
      <c r="A2" s="8" t="s">
        <v>37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3" t="s">
        <v>14</v>
      </c>
      <c r="I2" s="3" t="s">
        <v>15</v>
      </c>
      <c r="J2" s="3" t="s">
        <v>16</v>
      </c>
      <c r="K2" s="3" t="s">
        <v>17</v>
      </c>
      <c r="L2" s="3" t="s">
        <v>31</v>
      </c>
      <c r="M2" s="2" t="s">
        <v>18</v>
      </c>
      <c r="N2" s="2" t="s">
        <v>35</v>
      </c>
      <c r="O2" s="2" t="s">
        <v>20</v>
      </c>
      <c r="P2" s="1" t="s">
        <v>6</v>
      </c>
      <c r="Q2" s="2" t="s">
        <v>19</v>
      </c>
      <c r="R2" s="2" t="s">
        <v>22</v>
      </c>
      <c r="S2" s="2" t="s">
        <v>23</v>
      </c>
      <c r="T2" s="3" t="s">
        <v>24</v>
      </c>
      <c r="U2" s="3" t="s">
        <v>25</v>
      </c>
      <c r="V2" s="9" t="s">
        <v>30</v>
      </c>
      <c r="W2" s="9" t="s">
        <v>26</v>
      </c>
      <c r="X2" s="3" t="s">
        <v>9</v>
      </c>
      <c r="Y2" s="9" t="s">
        <v>27</v>
      </c>
      <c r="Z2" s="9" t="s">
        <v>10</v>
      </c>
      <c r="AA2" s="9" t="s">
        <v>11</v>
      </c>
    </row>
    <row r="3" spans="1:29" x14ac:dyDescent="0.4">
      <c r="A3" s="11"/>
      <c r="B3" s="11"/>
      <c r="C3" s="11"/>
      <c r="D3" s="11"/>
      <c r="E3" s="11" t="s">
        <v>8</v>
      </c>
      <c r="F3" s="11" t="s">
        <v>8</v>
      </c>
      <c r="G3" s="11"/>
      <c r="H3" s="12">
        <v>85808.16</v>
      </c>
      <c r="I3" s="12">
        <f>21066.8+2763.21</f>
        <v>23830.01</v>
      </c>
      <c r="J3" s="12">
        <v>0</v>
      </c>
      <c r="K3" s="12">
        <v>0</v>
      </c>
      <c r="L3" s="12">
        <v>0</v>
      </c>
      <c r="M3" s="12">
        <v>0</v>
      </c>
      <c r="O3" s="12">
        <f>667.52+1535</f>
        <v>2202.52</v>
      </c>
      <c r="P3" s="12">
        <f t="shared" ref="P3:P34" si="0">SUM(H3:O3)</f>
        <v>111840.69</v>
      </c>
      <c r="Q3" s="12">
        <v>0</v>
      </c>
      <c r="R3" s="12">
        <v>19940.280000000002</v>
      </c>
      <c r="S3" s="12">
        <v>2979.6</v>
      </c>
      <c r="T3" s="12">
        <v>1098.72</v>
      </c>
      <c r="U3" s="12">
        <v>0</v>
      </c>
      <c r="V3" s="12">
        <v>459.36</v>
      </c>
      <c r="W3" s="12">
        <v>456.72</v>
      </c>
      <c r="X3" s="12">
        <v>1715.16</v>
      </c>
      <c r="Y3" s="12">
        <v>21564.36</v>
      </c>
      <c r="Z3" s="13">
        <f t="shared" ref="Z3:Z34" si="1">R3+X3+W3+V3+Y3</f>
        <v>44135.880000000005</v>
      </c>
      <c r="AA3" s="13">
        <f t="shared" ref="AA3:AA34" si="2">S3+T3+U3</f>
        <v>4078.3199999999997</v>
      </c>
      <c r="AB3" s="10"/>
      <c r="AC3" s="10"/>
    </row>
    <row r="4" spans="1:29" x14ac:dyDescent="0.4">
      <c r="A4" s="11"/>
      <c r="B4" s="11"/>
      <c r="C4" s="11"/>
      <c r="D4" s="11"/>
      <c r="E4" s="11" t="s">
        <v>8</v>
      </c>
      <c r="F4" s="11"/>
      <c r="G4" s="11" t="s">
        <v>8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O4" s="12">
        <v>0</v>
      </c>
      <c r="P4" s="12">
        <f t="shared" si="0"/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3">
        <f t="shared" si="1"/>
        <v>0</v>
      </c>
      <c r="AA4" s="13">
        <f t="shared" si="2"/>
        <v>0</v>
      </c>
      <c r="AB4" s="10"/>
      <c r="AC4" s="10"/>
    </row>
    <row r="5" spans="1:29" x14ac:dyDescent="0.4">
      <c r="A5" s="11" t="s">
        <v>8</v>
      </c>
      <c r="B5" s="11"/>
      <c r="C5" s="11"/>
      <c r="D5" s="11" t="s">
        <v>8</v>
      </c>
      <c r="E5" s="11"/>
      <c r="F5" s="11"/>
      <c r="G5" s="11" t="s">
        <v>8</v>
      </c>
      <c r="H5" s="12">
        <v>183162.47</v>
      </c>
      <c r="I5" s="12">
        <v>0</v>
      </c>
      <c r="J5" s="12">
        <v>0</v>
      </c>
      <c r="K5" s="12">
        <v>0</v>
      </c>
      <c r="L5" s="12">
        <v>0</v>
      </c>
      <c r="M5" s="12">
        <f>9551.36</f>
        <v>9551.36</v>
      </c>
      <c r="N5" s="12">
        <v>6600</v>
      </c>
      <c r="O5" s="12">
        <f>10696.32-N5</f>
        <v>4096.32</v>
      </c>
      <c r="P5" s="12">
        <f t="shared" si="0"/>
        <v>203410.15000000002</v>
      </c>
      <c r="Q5" s="42">
        <v>52650</v>
      </c>
      <c r="R5" s="12">
        <v>0</v>
      </c>
      <c r="S5" s="12">
        <v>0</v>
      </c>
      <c r="T5" s="12">
        <v>299.39999999999998</v>
      </c>
      <c r="U5" s="12">
        <v>0</v>
      </c>
      <c r="V5" s="12">
        <v>691.92</v>
      </c>
      <c r="W5" s="12">
        <v>957.48</v>
      </c>
      <c r="X5" s="12">
        <v>3663.17</v>
      </c>
      <c r="Y5" s="12">
        <v>0</v>
      </c>
      <c r="Z5" s="13">
        <f t="shared" si="1"/>
        <v>5312.57</v>
      </c>
      <c r="AA5" s="13">
        <f t="shared" si="2"/>
        <v>299.39999999999998</v>
      </c>
      <c r="AB5" s="10"/>
      <c r="AC5" s="10"/>
    </row>
    <row r="6" spans="1:29" x14ac:dyDescent="0.4">
      <c r="A6" s="11"/>
      <c r="B6" s="11"/>
      <c r="C6" s="11"/>
      <c r="D6" s="11"/>
      <c r="E6" s="11" t="s">
        <v>8</v>
      </c>
      <c r="F6" s="11"/>
      <c r="G6" s="11" t="s">
        <v>8</v>
      </c>
      <c r="H6" s="12">
        <v>0</v>
      </c>
      <c r="I6" s="12">
        <v>0</v>
      </c>
      <c r="J6" s="12">
        <v>0</v>
      </c>
      <c r="K6" s="12">
        <v>0</v>
      </c>
      <c r="M6" s="12">
        <v>0</v>
      </c>
      <c r="O6" s="12">
        <v>0</v>
      </c>
      <c r="P6" s="12">
        <f t="shared" si="0"/>
        <v>0</v>
      </c>
      <c r="Q6" s="12">
        <v>0</v>
      </c>
      <c r="R6" s="12">
        <v>0</v>
      </c>
      <c r="S6" s="12">
        <v>0</v>
      </c>
      <c r="T6" s="14">
        <v>0</v>
      </c>
      <c r="U6" s="14">
        <v>0</v>
      </c>
      <c r="V6" s="12">
        <v>0</v>
      </c>
      <c r="W6" s="12">
        <v>0</v>
      </c>
      <c r="X6" s="14">
        <v>0</v>
      </c>
      <c r="Y6" s="12">
        <v>0</v>
      </c>
      <c r="Z6" s="13">
        <f t="shared" si="1"/>
        <v>0</v>
      </c>
      <c r="AA6" s="13">
        <f t="shared" si="2"/>
        <v>0</v>
      </c>
      <c r="AB6" s="10"/>
      <c r="AC6" s="10"/>
    </row>
    <row r="7" spans="1:29" x14ac:dyDescent="0.4">
      <c r="A7" s="11"/>
      <c r="B7" s="11"/>
      <c r="C7" s="11"/>
      <c r="D7" s="11"/>
      <c r="E7" s="11" t="s">
        <v>8</v>
      </c>
      <c r="F7" s="11" t="s">
        <v>8</v>
      </c>
      <c r="G7" s="11"/>
      <c r="H7" s="12">
        <v>0</v>
      </c>
      <c r="I7" s="12">
        <v>0</v>
      </c>
      <c r="J7" s="12">
        <v>0</v>
      </c>
      <c r="K7" s="12">
        <v>0</v>
      </c>
      <c r="M7" s="12">
        <v>0</v>
      </c>
      <c r="O7" s="12">
        <v>0</v>
      </c>
      <c r="P7" s="12">
        <f t="shared" si="0"/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3">
        <f t="shared" si="1"/>
        <v>0</v>
      </c>
      <c r="AA7" s="13">
        <f t="shared" si="2"/>
        <v>0</v>
      </c>
      <c r="AB7" s="10"/>
      <c r="AC7" s="10"/>
    </row>
    <row r="8" spans="1:29" x14ac:dyDescent="0.4">
      <c r="A8" s="11"/>
      <c r="B8" s="11"/>
      <c r="C8" s="11"/>
      <c r="D8" s="11"/>
      <c r="E8" s="11" t="s">
        <v>8</v>
      </c>
      <c r="F8" s="11" t="s">
        <v>8</v>
      </c>
      <c r="G8" s="11"/>
      <c r="H8" s="12">
        <v>54333.24</v>
      </c>
      <c r="I8" s="12">
        <v>21447.21</v>
      </c>
      <c r="J8" s="12">
        <v>0</v>
      </c>
      <c r="K8" s="12">
        <v>0</v>
      </c>
      <c r="M8" s="12">
        <v>0</v>
      </c>
      <c r="O8" s="12">
        <v>2492.5</v>
      </c>
      <c r="P8" s="12">
        <f t="shared" si="0"/>
        <v>78272.95</v>
      </c>
      <c r="Q8" s="12">
        <v>0</v>
      </c>
      <c r="R8" s="12">
        <v>4557.0600000000004</v>
      </c>
      <c r="S8" s="12">
        <v>680.94</v>
      </c>
      <c r="T8" s="12">
        <v>224.58</v>
      </c>
      <c r="U8" s="12">
        <v>59.88</v>
      </c>
      <c r="V8" s="12">
        <v>262.32</v>
      </c>
      <c r="W8" s="12">
        <v>210.63</v>
      </c>
      <c r="X8" s="12">
        <v>0</v>
      </c>
      <c r="Y8" s="12">
        <v>0</v>
      </c>
      <c r="Z8" s="13">
        <f t="shared" si="1"/>
        <v>5030.01</v>
      </c>
      <c r="AA8" s="13">
        <f t="shared" si="2"/>
        <v>965.40000000000009</v>
      </c>
      <c r="AB8" s="10"/>
      <c r="AC8" s="10"/>
    </row>
    <row r="9" spans="1:29" x14ac:dyDescent="0.4">
      <c r="A9" s="11"/>
      <c r="B9" s="11"/>
      <c r="C9" s="11"/>
      <c r="D9" s="11" t="s">
        <v>8</v>
      </c>
      <c r="E9" s="11"/>
      <c r="F9" s="11"/>
      <c r="G9" s="11" t="s">
        <v>8</v>
      </c>
      <c r="H9" s="12">
        <v>40705.89</v>
      </c>
      <c r="I9" s="12">
        <v>0</v>
      </c>
      <c r="J9" s="12">
        <v>0</v>
      </c>
      <c r="K9" s="12">
        <v>0</v>
      </c>
      <c r="M9" s="12">
        <v>0</v>
      </c>
      <c r="O9" s="12">
        <v>1022.76</v>
      </c>
      <c r="P9" s="12">
        <f t="shared" si="0"/>
        <v>41728.65</v>
      </c>
      <c r="Q9" s="12">
        <v>0</v>
      </c>
      <c r="R9" s="12">
        <v>11145.6</v>
      </c>
      <c r="S9" s="12">
        <v>1238.4000000000001</v>
      </c>
      <c r="T9" s="12">
        <v>299.39999999999998</v>
      </c>
      <c r="U9" s="12">
        <v>0</v>
      </c>
      <c r="V9" s="12">
        <v>193.79999999999998</v>
      </c>
      <c r="W9" s="12">
        <v>266.15999999999997</v>
      </c>
      <c r="X9" s="12">
        <v>4884.74</v>
      </c>
      <c r="Y9" s="12">
        <v>0</v>
      </c>
      <c r="Z9" s="13">
        <f t="shared" si="1"/>
        <v>16490.3</v>
      </c>
      <c r="AA9" s="13">
        <f t="shared" si="2"/>
        <v>1537.8000000000002</v>
      </c>
      <c r="AB9" s="13"/>
      <c r="AC9" s="10"/>
    </row>
    <row r="10" spans="1:29" x14ac:dyDescent="0.4">
      <c r="A10" s="11"/>
      <c r="B10" s="11"/>
      <c r="C10" s="11"/>
      <c r="D10" s="11"/>
      <c r="E10" s="11" t="s">
        <v>8</v>
      </c>
      <c r="F10" s="11"/>
      <c r="G10" s="11" t="s">
        <v>8</v>
      </c>
      <c r="H10" s="12">
        <v>0</v>
      </c>
      <c r="I10" s="12">
        <v>0</v>
      </c>
      <c r="J10" s="12">
        <v>0</v>
      </c>
      <c r="K10" s="12">
        <v>0</v>
      </c>
      <c r="M10" s="12">
        <v>0</v>
      </c>
      <c r="O10" s="12">
        <v>0</v>
      </c>
      <c r="P10" s="12">
        <f t="shared" si="0"/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3">
        <f t="shared" si="1"/>
        <v>0</v>
      </c>
      <c r="AA10" s="13">
        <f t="shared" si="2"/>
        <v>0</v>
      </c>
      <c r="AB10" s="10"/>
      <c r="AC10" s="10"/>
    </row>
    <row r="11" spans="1:29" x14ac:dyDescent="0.4">
      <c r="A11" s="11"/>
      <c r="B11" s="11"/>
      <c r="C11" s="11"/>
      <c r="D11" s="11" t="s">
        <v>8</v>
      </c>
      <c r="E11" s="11"/>
      <c r="F11" s="11"/>
      <c r="G11" s="11" t="s">
        <v>8</v>
      </c>
      <c r="H11" s="12">
        <v>57749.58</v>
      </c>
      <c r="I11" s="12">
        <v>0</v>
      </c>
      <c r="J11" s="12">
        <v>0</v>
      </c>
      <c r="K11" s="12">
        <v>0</v>
      </c>
      <c r="M11" s="12">
        <v>0</v>
      </c>
      <c r="O11" s="12">
        <v>0</v>
      </c>
      <c r="P11" s="12">
        <f t="shared" si="0"/>
        <v>57749.58</v>
      </c>
      <c r="Q11" s="12">
        <v>0</v>
      </c>
      <c r="R11" s="12">
        <v>6285.3600000000006</v>
      </c>
      <c r="S11" s="12">
        <v>698.4</v>
      </c>
      <c r="T11" s="12">
        <v>0</v>
      </c>
      <c r="U11" s="12">
        <v>0</v>
      </c>
      <c r="V11" s="12">
        <v>220.44</v>
      </c>
      <c r="W11" s="12">
        <v>300.95999999999998</v>
      </c>
      <c r="X11" s="12">
        <v>1154.93</v>
      </c>
      <c r="Y11" s="12">
        <v>14209.199999999999</v>
      </c>
      <c r="Z11" s="13">
        <f t="shared" si="1"/>
        <v>22170.89</v>
      </c>
      <c r="AA11" s="13">
        <f t="shared" si="2"/>
        <v>698.4</v>
      </c>
      <c r="AB11" s="10"/>
      <c r="AC11" s="10"/>
    </row>
    <row r="12" spans="1:29" x14ac:dyDescent="0.4">
      <c r="A12" s="11"/>
      <c r="B12" s="11" t="s">
        <v>8</v>
      </c>
      <c r="C12" s="11"/>
      <c r="D12" s="11" t="s">
        <v>8</v>
      </c>
      <c r="E12" s="11"/>
      <c r="F12" s="11"/>
      <c r="G12" s="11" t="s">
        <v>8</v>
      </c>
      <c r="H12" s="12">
        <v>0</v>
      </c>
      <c r="I12" s="12">
        <v>0</v>
      </c>
      <c r="J12" s="12">
        <v>0</v>
      </c>
      <c r="K12" s="12">
        <v>0</v>
      </c>
      <c r="M12" s="12">
        <v>0</v>
      </c>
      <c r="O12" s="12">
        <v>0</v>
      </c>
      <c r="P12" s="12">
        <f t="shared" si="0"/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3">
        <f t="shared" si="1"/>
        <v>0</v>
      </c>
      <c r="AA12" s="13">
        <f t="shared" si="2"/>
        <v>0</v>
      </c>
      <c r="AB12" s="10"/>
      <c r="AC12" s="10"/>
    </row>
    <row r="13" spans="1:29" x14ac:dyDescent="0.4">
      <c r="A13" s="11"/>
      <c r="B13" s="11"/>
      <c r="C13" s="11"/>
      <c r="D13" s="11" t="s">
        <v>8</v>
      </c>
      <c r="E13" s="11"/>
      <c r="F13" s="11"/>
      <c r="G13" s="11" t="s">
        <v>8</v>
      </c>
      <c r="H13" s="12">
        <v>48582.81</v>
      </c>
      <c r="I13" s="12">
        <v>226.59</v>
      </c>
      <c r="J13" s="12">
        <v>0</v>
      </c>
      <c r="K13" s="12">
        <v>5000.0600000000004</v>
      </c>
      <c r="L13" s="12">
        <v>0</v>
      </c>
      <c r="M13" s="12">
        <v>0</v>
      </c>
      <c r="O13" s="12">
        <v>1302.8399999999999</v>
      </c>
      <c r="P13" s="12">
        <f t="shared" si="0"/>
        <v>55112.299999999988</v>
      </c>
      <c r="Q13" s="12">
        <v>0</v>
      </c>
      <c r="R13" s="12">
        <v>13575.960000000001</v>
      </c>
      <c r="S13" s="12">
        <v>1508.4</v>
      </c>
      <c r="T13" s="12">
        <v>674.28</v>
      </c>
      <c r="U13" s="12">
        <v>222.6</v>
      </c>
      <c r="V13" s="12">
        <v>186.35999999999999</v>
      </c>
      <c r="W13" s="12">
        <v>254.39999999999998</v>
      </c>
      <c r="X13" s="12">
        <v>5829.88</v>
      </c>
      <c r="Y13" s="12">
        <v>0</v>
      </c>
      <c r="Z13" s="13">
        <f t="shared" si="1"/>
        <v>19846.600000000002</v>
      </c>
      <c r="AA13" s="13">
        <f t="shared" si="2"/>
        <v>2405.2800000000002</v>
      </c>
      <c r="AB13" s="10"/>
      <c r="AC13" s="10"/>
    </row>
    <row r="14" spans="1:29" x14ac:dyDescent="0.4">
      <c r="A14" s="11"/>
      <c r="B14" s="11"/>
      <c r="C14" s="11"/>
      <c r="D14" s="11"/>
      <c r="E14" s="11" t="s">
        <v>8</v>
      </c>
      <c r="F14" s="11"/>
      <c r="G14" s="11" t="s">
        <v>8</v>
      </c>
      <c r="H14" s="12">
        <v>42200.049999999996</v>
      </c>
      <c r="I14" s="12">
        <v>627.27</v>
      </c>
      <c r="J14" s="12">
        <v>0</v>
      </c>
      <c r="K14" s="12">
        <v>0</v>
      </c>
      <c r="M14" s="12">
        <v>0</v>
      </c>
      <c r="O14" s="12">
        <v>0</v>
      </c>
      <c r="P14" s="12">
        <f t="shared" si="0"/>
        <v>42827.319999999992</v>
      </c>
      <c r="Q14" s="12">
        <v>0</v>
      </c>
      <c r="R14" s="12">
        <v>11376</v>
      </c>
      <c r="S14" s="12">
        <v>1264</v>
      </c>
      <c r="T14" s="12">
        <v>545.05999999999995</v>
      </c>
      <c r="U14" s="12">
        <v>0</v>
      </c>
      <c r="V14" s="12">
        <v>26.62</v>
      </c>
      <c r="W14" s="12">
        <v>219.36</v>
      </c>
      <c r="X14" s="12">
        <v>5063.9399999999996</v>
      </c>
      <c r="Y14" s="12">
        <v>0</v>
      </c>
      <c r="Z14" s="13">
        <f t="shared" si="1"/>
        <v>16685.919999999998</v>
      </c>
      <c r="AA14" s="13">
        <f t="shared" si="2"/>
        <v>1809.06</v>
      </c>
      <c r="AB14" s="10"/>
      <c r="AC14" s="10"/>
    </row>
    <row r="15" spans="1:29" x14ac:dyDescent="0.4">
      <c r="A15" s="11"/>
      <c r="B15" s="11"/>
      <c r="C15" s="11"/>
      <c r="D15" s="11"/>
      <c r="E15" s="11" t="s">
        <v>8</v>
      </c>
      <c r="F15" s="11" t="s">
        <v>8</v>
      </c>
      <c r="G15" s="11"/>
      <c r="H15" s="12">
        <v>80362.820000000007</v>
      </c>
      <c r="I15" s="12">
        <v>15761.41</v>
      </c>
      <c r="J15" s="12">
        <v>0</v>
      </c>
      <c r="K15" s="12">
        <v>0</v>
      </c>
      <c r="M15" s="12">
        <v>0</v>
      </c>
      <c r="O15" s="12">
        <f>598.08+1535</f>
        <v>2133.08</v>
      </c>
      <c r="P15" s="12">
        <f t="shared" si="0"/>
        <v>98257.310000000012</v>
      </c>
      <c r="Q15" s="12">
        <v>0</v>
      </c>
      <c r="R15" s="12">
        <v>14962.53</v>
      </c>
      <c r="S15" s="12">
        <v>2235.7800000000002</v>
      </c>
      <c r="T15" s="12">
        <v>594.12</v>
      </c>
      <c r="U15" s="12">
        <v>151.56</v>
      </c>
      <c r="V15" s="12">
        <v>296.52</v>
      </c>
      <c r="W15" s="12">
        <v>409.20000000000005</v>
      </c>
      <c r="X15" s="12">
        <v>4012.14</v>
      </c>
      <c r="Y15" s="12">
        <v>0</v>
      </c>
      <c r="Z15" s="13">
        <f t="shared" si="1"/>
        <v>19680.390000000003</v>
      </c>
      <c r="AA15" s="13">
        <f t="shared" si="2"/>
        <v>2981.46</v>
      </c>
      <c r="AB15" s="10"/>
      <c r="AC15" s="10"/>
    </row>
    <row r="16" spans="1:29" x14ac:dyDescent="0.4">
      <c r="A16" s="11"/>
      <c r="B16" s="11" t="s">
        <v>8</v>
      </c>
      <c r="C16" s="11"/>
      <c r="D16" s="11" t="s">
        <v>8</v>
      </c>
      <c r="E16" s="11"/>
      <c r="F16" s="11"/>
      <c r="G16" s="11" t="s">
        <v>8</v>
      </c>
      <c r="H16" s="14">
        <f>110552.33-L16</f>
        <v>108396.81</v>
      </c>
      <c r="I16" s="14">
        <v>6633.29</v>
      </c>
      <c r="J16" s="14">
        <v>0</v>
      </c>
      <c r="K16" s="12">
        <v>5000.0600000000004</v>
      </c>
      <c r="L16" s="12">
        <v>2155.52</v>
      </c>
      <c r="M16" s="12">
        <v>0</v>
      </c>
      <c r="O16" s="12">
        <v>2689.24</v>
      </c>
      <c r="P16" s="12">
        <f t="shared" si="0"/>
        <v>124874.92</v>
      </c>
      <c r="Q16" s="12">
        <v>0</v>
      </c>
      <c r="R16" s="12">
        <v>20627.88</v>
      </c>
      <c r="S16" s="12">
        <v>2292</v>
      </c>
      <c r="T16" s="12">
        <v>1098.72</v>
      </c>
      <c r="U16" s="14"/>
      <c r="V16" s="12">
        <v>410.64</v>
      </c>
      <c r="W16" s="12">
        <v>566.76</v>
      </c>
      <c r="X16" s="12">
        <v>2187.7199999999998</v>
      </c>
      <c r="Y16" s="12">
        <v>26764.199999999997</v>
      </c>
      <c r="Z16" s="13">
        <f t="shared" si="1"/>
        <v>50557.2</v>
      </c>
      <c r="AA16" s="13">
        <f t="shared" si="2"/>
        <v>3390.7200000000003</v>
      </c>
      <c r="AB16" s="13"/>
      <c r="AC16" s="10"/>
    </row>
    <row r="17" spans="1:29" x14ac:dyDescent="0.4">
      <c r="A17" s="11"/>
      <c r="B17" s="11"/>
      <c r="C17" s="11"/>
      <c r="D17" s="11" t="s">
        <v>8</v>
      </c>
      <c r="E17" s="11"/>
      <c r="F17" s="11"/>
      <c r="G17" s="11" t="s">
        <v>8</v>
      </c>
      <c r="H17" s="14">
        <v>58246.399999999994</v>
      </c>
      <c r="I17" s="14">
        <v>0</v>
      </c>
      <c r="J17" s="14">
        <v>1149.2</v>
      </c>
      <c r="K17" s="12">
        <v>5000.0600000000004</v>
      </c>
      <c r="M17" s="12">
        <v>0</v>
      </c>
      <c r="O17" s="12">
        <v>1302.8399999999999</v>
      </c>
      <c r="P17" s="12">
        <f t="shared" si="0"/>
        <v>65698.499999999985</v>
      </c>
      <c r="Q17" s="12">
        <v>0</v>
      </c>
      <c r="R17" s="12">
        <v>15010.559999999998</v>
      </c>
      <c r="S17" s="12">
        <v>1667.88</v>
      </c>
      <c r="T17" s="12">
        <v>594.12</v>
      </c>
      <c r="U17" s="12">
        <v>151.56</v>
      </c>
      <c r="V17" s="12">
        <v>224.39999999999998</v>
      </c>
      <c r="W17" s="12">
        <v>305.28000000000003</v>
      </c>
      <c r="X17" s="12">
        <v>1164.8499999999999</v>
      </c>
      <c r="Y17" s="12">
        <v>14415.96</v>
      </c>
      <c r="Z17" s="13">
        <f t="shared" si="1"/>
        <v>31121.05</v>
      </c>
      <c r="AA17" s="13">
        <f t="shared" si="2"/>
        <v>2413.56</v>
      </c>
      <c r="AB17" s="10"/>
      <c r="AC17" s="10"/>
    </row>
    <row r="18" spans="1:29" x14ac:dyDescent="0.4">
      <c r="A18" s="11"/>
      <c r="B18" s="11"/>
      <c r="C18" s="11"/>
      <c r="D18" s="11" t="s">
        <v>8</v>
      </c>
      <c r="E18" s="11"/>
      <c r="F18" s="11"/>
      <c r="G18" s="11" t="s">
        <v>8</v>
      </c>
      <c r="H18" s="14">
        <v>48003.18</v>
      </c>
      <c r="I18" s="14">
        <v>119.81</v>
      </c>
      <c r="J18" s="14">
        <v>0</v>
      </c>
      <c r="K18" s="12">
        <v>1730.79</v>
      </c>
      <c r="L18" s="12">
        <v>0</v>
      </c>
      <c r="M18" s="12">
        <v>0</v>
      </c>
      <c r="O18" s="12">
        <v>4648.79</v>
      </c>
      <c r="P18" s="12">
        <f t="shared" si="0"/>
        <v>54502.57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f>15.21*12</f>
        <v>182.52</v>
      </c>
      <c r="W18" s="12">
        <v>249.84</v>
      </c>
      <c r="X18" s="12">
        <v>5760.33</v>
      </c>
      <c r="Y18" s="12">
        <v>0</v>
      </c>
      <c r="Z18" s="13">
        <f t="shared" si="1"/>
        <v>6192.6900000000005</v>
      </c>
      <c r="AA18" s="13">
        <f t="shared" si="2"/>
        <v>0</v>
      </c>
      <c r="AB18" s="10"/>
      <c r="AC18" s="10"/>
    </row>
    <row r="19" spans="1:29" x14ac:dyDescent="0.4">
      <c r="A19" s="11"/>
      <c r="B19" s="11"/>
      <c r="C19" s="11" t="s">
        <v>8</v>
      </c>
      <c r="D19" s="11" t="s">
        <v>8</v>
      </c>
      <c r="E19" s="11"/>
      <c r="F19" s="11"/>
      <c r="G19" s="11" t="s">
        <v>8</v>
      </c>
      <c r="H19" s="14">
        <f>94040.22-L19</f>
        <v>93529.600000000006</v>
      </c>
      <c r="I19" s="14">
        <v>0</v>
      </c>
      <c r="J19" s="14">
        <v>0</v>
      </c>
      <c r="K19" s="12">
        <v>5000.0600000000004</v>
      </c>
      <c r="L19" s="12">
        <v>510.62</v>
      </c>
      <c r="M19" s="12">
        <v>0</v>
      </c>
      <c r="O19" s="12">
        <v>1702.84</v>
      </c>
      <c r="P19" s="12">
        <f t="shared" si="0"/>
        <v>100743.12</v>
      </c>
      <c r="Q19" s="12">
        <v>0</v>
      </c>
      <c r="R19" s="12">
        <v>15010.559999999998</v>
      </c>
      <c r="S19" s="12">
        <v>1667.88</v>
      </c>
      <c r="T19" s="12">
        <v>0</v>
      </c>
      <c r="U19" s="12">
        <v>0</v>
      </c>
      <c r="V19" s="12">
        <v>357.48</v>
      </c>
      <c r="W19" s="12">
        <v>489.72</v>
      </c>
      <c r="X19" s="12">
        <v>1870.5</v>
      </c>
      <c r="Y19" s="12">
        <v>0</v>
      </c>
      <c r="Z19" s="13">
        <f t="shared" si="1"/>
        <v>17728.259999999998</v>
      </c>
      <c r="AA19" s="13">
        <f t="shared" si="2"/>
        <v>1667.88</v>
      </c>
      <c r="AB19" s="13"/>
      <c r="AC19" s="10"/>
    </row>
    <row r="20" spans="1:29" x14ac:dyDescent="0.4">
      <c r="E20" s="5" t="s">
        <v>8</v>
      </c>
      <c r="F20" s="5" t="s">
        <v>8</v>
      </c>
      <c r="H20" s="14">
        <v>40720</v>
      </c>
      <c r="I20" s="14">
        <v>5573.55</v>
      </c>
      <c r="J20" s="14">
        <v>0</v>
      </c>
      <c r="K20" s="14">
        <v>0</v>
      </c>
      <c r="L20" s="14"/>
      <c r="M20" s="14">
        <v>0</v>
      </c>
      <c r="N20" s="14"/>
      <c r="O20" s="14">
        <f>427.56+1582.7</f>
        <v>2010.26</v>
      </c>
      <c r="P20" s="14">
        <f t="shared" si="0"/>
        <v>48303.810000000005</v>
      </c>
      <c r="Q20" s="14">
        <v>0</v>
      </c>
      <c r="R20" s="14">
        <v>3038.04</v>
      </c>
      <c r="S20" s="14">
        <v>453.96</v>
      </c>
      <c r="T20" s="14">
        <v>149.71</v>
      </c>
      <c r="U20" s="14">
        <v>39.9</v>
      </c>
      <c r="V20" s="14">
        <f>26.93*7</f>
        <v>188.51</v>
      </c>
      <c r="W20" s="14">
        <f>37.14*7</f>
        <v>259.98</v>
      </c>
      <c r="X20" s="14">
        <v>0</v>
      </c>
      <c r="Y20" s="14">
        <v>0</v>
      </c>
      <c r="Z20" s="13">
        <f t="shared" si="1"/>
        <v>3486.5299999999997</v>
      </c>
      <c r="AA20" s="13">
        <f t="shared" si="2"/>
        <v>643.56999999999994</v>
      </c>
      <c r="AB20" s="10"/>
      <c r="AC20" s="10"/>
    </row>
    <row r="21" spans="1:29" x14ac:dyDescent="0.4">
      <c r="A21" s="11"/>
      <c r="B21" s="11"/>
      <c r="C21" s="11"/>
      <c r="D21" s="11"/>
      <c r="E21" s="11" t="s">
        <v>8</v>
      </c>
      <c r="F21" s="11"/>
      <c r="G21" s="11" t="s">
        <v>8</v>
      </c>
      <c r="H21" s="14">
        <v>40734.400000000001</v>
      </c>
      <c r="I21" s="14">
        <v>721.95</v>
      </c>
      <c r="J21" s="14">
        <v>0</v>
      </c>
      <c r="K21" s="12">
        <v>0</v>
      </c>
      <c r="M21" s="12">
        <v>0</v>
      </c>
      <c r="O21" s="12">
        <v>0</v>
      </c>
      <c r="P21" s="12">
        <f t="shared" si="0"/>
        <v>41456.35</v>
      </c>
      <c r="Q21" s="12">
        <v>0</v>
      </c>
      <c r="R21" s="12">
        <v>13575.960000000001</v>
      </c>
      <c r="S21" s="12">
        <v>1508.4</v>
      </c>
      <c r="T21" s="12">
        <v>674.28</v>
      </c>
      <c r="U21" s="12">
        <v>151.56</v>
      </c>
      <c r="V21" s="12">
        <v>155.88</v>
      </c>
      <c r="W21" s="12">
        <v>210.71999999999997</v>
      </c>
      <c r="X21" s="12">
        <v>4888.13</v>
      </c>
      <c r="Y21" s="12">
        <v>0</v>
      </c>
      <c r="Z21" s="13">
        <f t="shared" si="1"/>
        <v>18830.690000000002</v>
      </c>
      <c r="AA21" s="13">
        <f t="shared" si="2"/>
        <v>2334.2400000000002</v>
      </c>
      <c r="AB21" s="10"/>
      <c r="AC21" s="10"/>
    </row>
    <row r="22" spans="1:29" x14ac:dyDescent="0.4">
      <c r="D22" s="5" t="s">
        <v>8</v>
      </c>
      <c r="G22" s="5" t="s">
        <v>8</v>
      </c>
      <c r="H22" s="14">
        <f>581.66+41942.95</f>
        <v>42524.61</v>
      </c>
      <c r="I22" s="14">
        <v>0</v>
      </c>
      <c r="J22" s="14">
        <v>0</v>
      </c>
      <c r="K22" s="14">
        <v>0</v>
      </c>
      <c r="L22" s="14"/>
      <c r="M22" s="14">
        <v>0</v>
      </c>
      <c r="N22" s="14"/>
      <c r="O22" s="14">
        <f>977.13-581.66</f>
        <v>395.47</v>
      </c>
      <c r="P22" s="14">
        <f t="shared" si="0"/>
        <v>42920.08</v>
      </c>
      <c r="Q22" s="14">
        <v>0</v>
      </c>
      <c r="R22" s="14">
        <v>6343.56</v>
      </c>
      <c r="S22" s="14">
        <v>640.20000000000005</v>
      </c>
      <c r="T22" s="14">
        <v>274.56</v>
      </c>
      <c r="U22" s="14">
        <v>73.260000000000005</v>
      </c>
      <c r="V22" s="14">
        <v>205.32</v>
      </c>
      <c r="W22" s="14">
        <v>281.88</v>
      </c>
      <c r="X22" s="14">
        <v>3693.46</v>
      </c>
      <c r="Y22" s="14">
        <v>0</v>
      </c>
      <c r="Z22" s="13">
        <f t="shared" si="1"/>
        <v>10524.22</v>
      </c>
      <c r="AA22" s="13">
        <f t="shared" si="2"/>
        <v>988.02</v>
      </c>
      <c r="AB22" s="10"/>
      <c r="AC22" s="10"/>
    </row>
    <row r="23" spans="1:29" x14ac:dyDescent="0.4">
      <c r="A23" s="11"/>
      <c r="B23" s="11"/>
      <c r="C23" s="11"/>
      <c r="D23" s="11"/>
      <c r="E23" s="11" t="s">
        <v>8</v>
      </c>
      <c r="F23" s="11"/>
      <c r="G23" s="11" t="s">
        <v>8</v>
      </c>
      <c r="H23" s="12">
        <v>43147.229999999996</v>
      </c>
      <c r="I23" s="12">
        <v>1256.3699999999999</v>
      </c>
      <c r="J23" s="12">
        <v>0</v>
      </c>
      <c r="K23" s="12">
        <v>0</v>
      </c>
      <c r="M23" s="12">
        <v>0</v>
      </c>
      <c r="O23" s="12">
        <v>0</v>
      </c>
      <c r="P23" s="12">
        <f t="shared" si="0"/>
        <v>44403.6</v>
      </c>
      <c r="Q23" s="12">
        <v>0</v>
      </c>
      <c r="R23" s="12">
        <v>6285.3600000000006</v>
      </c>
      <c r="S23" s="12">
        <v>698.4</v>
      </c>
      <c r="T23" s="12">
        <v>299.39999999999998</v>
      </c>
      <c r="U23" s="12">
        <v>79.8</v>
      </c>
      <c r="V23" s="12">
        <v>163.44</v>
      </c>
      <c r="W23" s="12">
        <v>224.88</v>
      </c>
      <c r="X23" s="12">
        <v>5177.6499999999996</v>
      </c>
      <c r="Y23" s="12">
        <v>0</v>
      </c>
      <c r="Z23" s="13">
        <f t="shared" si="1"/>
        <v>11851.33</v>
      </c>
      <c r="AA23" s="13">
        <f t="shared" si="2"/>
        <v>1077.5999999999999</v>
      </c>
      <c r="AB23" s="10"/>
      <c r="AC23" s="10"/>
    </row>
    <row r="24" spans="1:29" x14ac:dyDescent="0.4">
      <c r="A24" s="11"/>
      <c r="B24" s="11"/>
      <c r="C24" s="11"/>
      <c r="D24" s="11"/>
      <c r="E24" s="11" t="s">
        <v>8</v>
      </c>
      <c r="F24" s="11"/>
      <c r="G24" s="11" t="s">
        <v>8</v>
      </c>
      <c r="H24" s="12">
        <v>45466.68</v>
      </c>
      <c r="I24" s="12">
        <v>2328.02</v>
      </c>
      <c r="J24" s="12">
        <v>0</v>
      </c>
      <c r="K24" s="12">
        <v>0</v>
      </c>
      <c r="M24" s="12">
        <v>0</v>
      </c>
      <c r="O24" s="12">
        <v>2793.48</v>
      </c>
      <c r="P24" s="12">
        <f t="shared" si="0"/>
        <v>50588.18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f>14.57*12</f>
        <v>174.84</v>
      </c>
      <c r="W24" s="12">
        <v>238.32</v>
      </c>
      <c r="X24" s="12">
        <v>5437.69</v>
      </c>
      <c r="Y24" s="12">
        <v>0</v>
      </c>
      <c r="Z24" s="13">
        <f t="shared" si="1"/>
        <v>5850.8499999999995</v>
      </c>
      <c r="AA24" s="13">
        <f t="shared" si="2"/>
        <v>0</v>
      </c>
      <c r="AB24" s="10"/>
      <c r="AC24" s="10"/>
    </row>
    <row r="25" spans="1:29" x14ac:dyDescent="0.4">
      <c r="A25" s="11"/>
      <c r="B25" s="11"/>
      <c r="C25" s="11"/>
      <c r="D25" s="11"/>
      <c r="E25" s="11" t="s">
        <v>8</v>
      </c>
      <c r="F25" s="11" t="s">
        <v>8</v>
      </c>
      <c r="G25" s="11"/>
      <c r="H25" s="12">
        <v>66919.94</v>
      </c>
      <c r="I25" s="12">
        <v>35721.46</v>
      </c>
      <c r="J25" s="12">
        <v>0</v>
      </c>
      <c r="K25" s="12">
        <v>0</v>
      </c>
      <c r="M25" s="12">
        <v>0</v>
      </c>
      <c r="O25" s="12">
        <f>1006.5+1535</f>
        <v>2541.5</v>
      </c>
      <c r="P25" s="12">
        <f t="shared" si="0"/>
        <v>105182.9</v>
      </c>
      <c r="Q25" s="12">
        <v>0</v>
      </c>
      <c r="R25" s="12">
        <v>19940.280000000002</v>
      </c>
      <c r="S25" s="12">
        <v>2979.6</v>
      </c>
      <c r="T25" s="12">
        <v>1098.72</v>
      </c>
      <c r="U25" s="12">
        <v>222.6</v>
      </c>
      <c r="V25" s="12">
        <v>262.32</v>
      </c>
      <c r="W25" s="12">
        <v>361.08</v>
      </c>
      <c r="X25" s="12">
        <v>6692.01</v>
      </c>
      <c r="Y25" s="12">
        <v>0</v>
      </c>
      <c r="Z25" s="13">
        <f t="shared" si="1"/>
        <v>27255.690000000002</v>
      </c>
      <c r="AA25" s="13">
        <f t="shared" si="2"/>
        <v>4300.92</v>
      </c>
      <c r="AB25" s="10"/>
      <c r="AC25" s="10"/>
    </row>
    <row r="26" spans="1:29" x14ac:dyDescent="0.4">
      <c r="A26" s="11"/>
      <c r="B26" s="11"/>
      <c r="C26" s="11"/>
      <c r="D26" s="11"/>
      <c r="E26" s="11" t="s">
        <v>8</v>
      </c>
      <c r="F26" s="11" t="s">
        <v>8</v>
      </c>
      <c r="G26" s="11"/>
      <c r="H26" s="12">
        <v>83661.100000000006</v>
      </c>
      <c r="I26" s="12">
        <v>33536.300000000003</v>
      </c>
      <c r="J26" s="12">
        <v>0</v>
      </c>
      <c r="K26" s="12">
        <v>0</v>
      </c>
      <c r="M26" s="12">
        <v>0</v>
      </c>
      <c r="O26" s="12">
        <f>1140.16+1535</f>
        <v>2675.16</v>
      </c>
      <c r="P26" s="12">
        <f t="shared" si="0"/>
        <v>119872.56000000001</v>
      </c>
      <c r="Q26" s="12">
        <v>0</v>
      </c>
      <c r="R26" s="12">
        <v>19940.280000000002</v>
      </c>
      <c r="S26" s="12">
        <v>2979.6</v>
      </c>
      <c r="T26" s="12">
        <v>1098.72</v>
      </c>
      <c r="U26" s="12">
        <v>222.6</v>
      </c>
      <c r="V26" s="12">
        <v>323.15999999999997</v>
      </c>
      <c r="W26" s="12">
        <v>445.68</v>
      </c>
      <c r="X26" s="12">
        <v>8519.1200000000008</v>
      </c>
      <c r="Y26" s="12">
        <v>0</v>
      </c>
      <c r="Z26" s="13">
        <f t="shared" si="1"/>
        <v>29228.240000000002</v>
      </c>
      <c r="AA26" s="13">
        <f t="shared" si="2"/>
        <v>4300.92</v>
      </c>
      <c r="AB26" s="13"/>
      <c r="AC26" s="10"/>
    </row>
    <row r="27" spans="1:29" x14ac:dyDescent="0.4">
      <c r="A27" s="11"/>
      <c r="B27" s="11" t="s">
        <v>8</v>
      </c>
      <c r="C27" s="11"/>
      <c r="D27" s="11" t="s">
        <v>8</v>
      </c>
      <c r="E27" s="11"/>
      <c r="F27" s="11"/>
      <c r="G27" s="11" t="s">
        <v>8</v>
      </c>
      <c r="H27" s="12">
        <v>75768.72</v>
      </c>
      <c r="I27" s="12">
        <v>488.64</v>
      </c>
      <c r="J27" s="12">
        <v>0</v>
      </c>
      <c r="K27" s="12">
        <v>5000.0600000000004</v>
      </c>
      <c r="L27" s="12">
        <v>1804.33</v>
      </c>
      <c r="M27" s="12">
        <v>0</v>
      </c>
      <c r="O27" s="12">
        <v>1302.8399999999999</v>
      </c>
      <c r="P27" s="12">
        <f t="shared" si="0"/>
        <v>84364.59</v>
      </c>
      <c r="Q27" s="12">
        <v>0</v>
      </c>
      <c r="R27" s="12">
        <v>20627.88</v>
      </c>
      <c r="S27" s="12">
        <v>2292</v>
      </c>
      <c r="T27" s="12">
        <v>1098.72</v>
      </c>
      <c r="U27" s="12">
        <v>151.56</v>
      </c>
      <c r="V27" s="12">
        <v>323.15999999999997</v>
      </c>
      <c r="W27" s="12">
        <v>445.68</v>
      </c>
      <c r="X27" s="12">
        <v>9092.32</v>
      </c>
      <c r="Y27" s="12">
        <v>0</v>
      </c>
      <c r="Z27" s="13">
        <f t="shared" si="1"/>
        <v>30489.040000000001</v>
      </c>
      <c r="AA27" s="13">
        <f t="shared" si="2"/>
        <v>3542.28</v>
      </c>
      <c r="AB27" s="10"/>
      <c r="AC27" s="10"/>
    </row>
    <row r="28" spans="1:29" x14ac:dyDescent="0.4">
      <c r="A28" s="11"/>
      <c r="B28" s="11" t="s">
        <v>8</v>
      </c>
      <c r="C28" s="11"/>
      <c r="D28" s="11" t="s">
        <v>8</v>
      </c>
      <c r="E28" s="11"/>
      <c r="F28" s="11"/>
      <c r="G28" s="11" t="s">
        <v>8</v>
      </c>
      <c r="H28" s="12">
        <f>83863.36-L28</f>
        <v>83703.199999999997</v>
      </c>
      <c r="I28" s="12">
        <v>0</v>
      </c>
      <c r="J28" s="12">
        <v>1661.6</v>
      </c>
      <c r="K28" s="12">
        <v>5000.0600000000004</v>
      </c>
      <c r="L28" s="12">
        <v>160.16</v>
      </c>
      <c r="M28" s="12">
        <v>0</v>
      </c>
      <c r="O28" s="12">
        <v>1302.8399999999999</v>
      </c>
      <c r="P28" s="12">
        <f t="shared" si="0"/>
        <v>91827.86</v>
      </c>
      <c r="Q28" s="12">
        <v>0</v>
      </c>
      <c r="R28" s="12">
        <v>6285.3600000000006</v>
      </c>
      <c r="S28" s="12">
        <v>698.4</v>
      </c>
      <c r="T28" s="12">
        <v>594.12</v>
      </c>
      <c r="U28" s="12">
        <v>151.56</v>
      </c>
      <c r="V28" s="12">
        <v>319.44</v>
      </c>
      <c r="W28" s="12">
        <v>438.24</v>
      </c>
      <c r="X28" s="12">
        <v>1673.96</v>
      </c>
      <c r="Y28" s="12">
        <v>0</v>
      </c>
      <c r="Z28" s="13">
        <f t="shared" si="1"/>
        <v>8717.0000000000018</v>
      </c>
      <c r="AA28" s="13">
        <f t="shared" si="2"/>
        <v>1444.08</v>
      </c>
      <c r="AB28" s="10"/>
      <c r="AC28" s="10"/>
    </row>
    <row r="29" spans="1:29" x14ac:dyDescent="0.4">
      <c r="A29" s="11"/>
      <c r="B29" s="11"/>
      <c r="C29" s="11"/>
      <c r="D29" s="11"/>
      <c r="E29" s="11" t="s">
        <v>8</v>
      </c>
      <c r="F29" s="11"/>
      <c r="G29" s="11" t="s">
        <v>8</v>
      </c>
      <c r="H29" s="12">
        <v>55868.75</v>
      </c>
      <c r="I29" s="12">
        <v>4673.3599999999997</v>
      </c>
      <c r="J29" s="12">
        <v>0</v>
      </c>
      <c r="K29" s="12">
        <v>0</v>
      </c>
      <c r="M29" s="12">
        <v>0</v>
      </c>
      <c r="O29" s="12">
        <v>0</v>
      </c>
      <c r="P29" s="12">
        <f t="shared" si="0"/>
        <v>60542.11</v>
      </c>
      <c r="Q29" s="12">
        <v>0</v>
      </c>
      <c r="R29" s="12">
        <v>6285.3600000000006</v>
      </c>
      <c r="S29" s="12">
        <v>698.4</v>
      </c>
      <c r="T29" s="12">
        <v>594.12</v>
      </c>
      <c r="U29" s="12">
        <v>151.56</v>
      </c>
      <c r="V29" s="12">
        <v>212.88</v>
      </c>
      <c r="W29" s="12">
        <v>292.56</v>
      </c>
      <c r="X29" s="12">
        <v>6704.31</v>
      </c>
      <c r="Y29" s="12">
        <v>0</v>
      </c>
      <c r="Z29" s="13">
        <f t="shared" si="1"/>
        <v>13495.11</v>
      </c>
      <c r="AA29" s="13">
        <f t="shared" si="2"/>
        <v>1444.08</v>
      </c>
      <c r="AB29" s="10"/>
      <c r="AC29" s="10"/>
    </row>
    <row r="30" spans="1:29" x14ac:dyDescent="0.4">
      <c r="A30" s="11"/>
      <c r="B30" s="11"/>
      <c r="C30" s="11"/>
      <c r="D30" s="11"/>
      <c r="E30" s="11" t="s">
        <v>8</v>
      </c>
      <c r="F30" s="11" t="s">
        <v>8</v>
      </c>
      <c r="G30" s="11"/>
      <c r="H30" s="12">
        <v>84059.36</v>
      </c>
      <c r="I30" s="12">
        <v>44150</v>
      </c>
      <c r="J30" s="12">
        <v>0</v>
      </c>
      <c r="K30" s="12">
        <v>0</v>
      </c>
      <c r="M30" s="12">
        <v>0</v>
      </c>
      <c r="O30" s="12">
        <f>1084.72+1535</f>
        <v>2619.7200000000003</v>
      </c>
      <c r="P30" s="12">
        <f t="shared" si="0"/>
        <v>130829.08</v>
      </c>
      <c r="Q30" s="12">
        <v>0</v>
      </c>
      <c r="R30" s="12">
        <v>19940.280000000002</v>
      </c>
      <c r="S30" s="12">
        <v>2979.6</v>
      </c>
      <c r="T30" s="12">
        <v>1098.72</v>
      </c>
      <c r="U30" s="12">
        <v>0</v>
      </c>
      <c r="V30" s="12">
        <v>330.84000000000003</v>
      </c>
      <c r="W30" s="12">
        <v>456.72</v>
      </c>
      <c r="X30" s="12">
        <v>8405.94</v>
      </c>
      <c r="Y30" s="12">
        <v>0</v>
      </c>
      <c r="Z30" s="13">
        <f t="shared" si="1"/>
        <v>29133.780000000002</v>
      </c>
      <c r="AA30" s="13">
        <f t="shared" si="2"/>
        <v>4078.3199999999997</v>
      </c>
      <c r="AB30" s="10"/>
      <c r="AC30" s="10"/>
    </row>
    <row r="31" spans="1:29" x14ac:dyDescent="0.4">
      <c r="A31" s="11"/>
      <c r="B31" s="11"/>
      <c r="C31" s="11" t="s">
        <v>8</v>
      </c>
      <c r="D31" s="11" t="s">
        <v>8</v>
      </c>
      <c r="E31" s="11"/>
      <c r="F31" s="11"/>
      <c r="G31" s="11" t="s">
        <v>8</v>
      </c>
      <c r="H31" s="12">
        <v>83158.66</v>
      </c>
      <c r="I31" s="12">
        <v>0</v>
      </c>
      <c r="J31" s="12">
        <v>0</v>
      </c>
      <c r="K31" s="12">
        <v>0</v>
      </c>
      <c r="M31" s="12">
        <v>0</v>
      </c>
      <c r="O31" s="12">
        <v>1702.84</v>
      </c>
      <c r="P31" s="12">
        <f t="shared" si="0"/>
        <v>84861.5</v>
      </c>
      <c r="Q31" s="12">
        <v>0</v>
      </c>
      <c r="R31" s="12">
        <v>6285.3600000000006</v>
      </c>
      <c r="S31" s="12">
        <v>698.4</v>
      </c>
      <c r="T31" s="12">
        <v>299.39999999999998</v>
      </c>
      <c r="U31" s="12">
        <v>0</v>
      </c>
      <c r="V31" s="12">
        <v>315.60000000000002</v>
      </c>
      <c r="W31" s="12">
        <v>435.84000000000003</v>
      </c>
      <c r="X31" s="12">
        <v>1663.14</v>
      </c>
      <c r="Y31" s="12">
        <v>0</v>
      </c>
      <c r="Z31" s="13">
        <f t="shared" si="1"/>
        <v>8699.94</v>
      </c>
      <c r="AA31" s="13">
        <f t="shared" si="2"/>
        <v>997.8</v>
      </c>
      <c r="AB31" s="10"/>
      <c r="AC31" s="10"/>
    </row>
    <row r="32" spans="1:29" x14ac:dyDescent="0.4">
      <c r="A32" s="11"/>
      <c r="B32" s="11"/>
      <c r="C32" s="11"/>
      <c r="D32" s="11" t="s">
        <v>8</v>
      </c>
      <c r="E32" s="11"/>
      <c r="F32" s="11"/>
      <c r="G32" s="11" t="s">
        <v>8</v>
      </c>
      <c r="H32" s="12">
        <v>58519.200000000004</v>
      </c>
      <c r="I32" s="12">
        <v>456.94</v>
      </c>
      <c r="J32" s="12">
        <v>0</v>
      </c>
      <c r="K32" s="12">
        <v>0</v>
      </c>
      <c r="M32" s="12">
        <v>0</v>
      </c>
      <c r="O32" s="12">
        <v>0</v>
      </c>
      <c r="P32" s="12">
        <f t="shared" si="0"/>
        <v>58976.140000000007</v>
      </c>
      <c r="Q32" s="12">
        <v>0</v>
      </c>
      <c r="R32" s="12">
        <v>20627.88</v>
      </c>
      <c r="S32" s="12">
        <v>2292</v>
      </c>
      <c r="T32" s="12">
        <v>299.39999999999998</v>
      </c>
      <c r="U32" s="12">
        <v>0</v>
      </c>
      <c r="V32" s="12">
        <v>220.44</v>
      </c>
      <c r="W32" s="12">
        <v>303.12</v>
      </c>
      <c r="X32" s="12">
        <v>7022.2</v>
      </c>
      <c r="Y32" s="12">
        <v>0</v>
      </c>
      <c r="Z32" s="13">
        <f t="shared" si="1"/>
        <v>28173.64</v>
      </c>
      <c r="AA32" s="13">
        <f t="shared" si="2"/>
        <v>2591.4</v>
      </c>
      <c r="AB32" s="10"/>
      <c r="AC32" s="10"/>
    </row>
    <row r="33" spans="1:29" x14ac:dyDescent="0.4">
      <c r="A33" s="11" t="s">
        <v>8</v>
      </c>
      <c r="B33" s="11"/>
      <c r="C33" s="11"/>
      <c r="D33" s="11" t="s">
        <v>8</v>
      </c>
      <c r="E33" s="11"/>
      <c r="F33" s="11"/>
      <c r="G33" s="11" t="s">
        <v>8</v>
      </c>
      <c r="H33" s="12">
        <v>36538.520000000004</v>
      </c>
      <c r="I33" s="12">
        <v>0</v>
      </c>
      <c r="J33" s="12">
        <v>0</v>
      </c>
      <c r="K33" s="12">
        <v>0</v>
      </c>
      <c r="M33" s="12">
        <v>0</v>
      </c>
      <c r="O33" s="12">
        <v>514.78</v>
      </c>
      <c r="P33" s="12">
        <f t="shared" si="0"/>
        <v>37053.300000000003</v>
      </c>
      <c r="Q33" s="12">
        <v>0</v>
      </c>
      <c r="R33" s="12">
        <v>2095.1999999999998</v>
      </c>
      <c r="S33" s="12">
        <v>232.8</v>
      </c>
      <c r="T33" s="12">
        <v>99.8</v>
      </c>
      <c r="U33" s="12">
        <v>26.6</v>
      </c>
      <c r="V33" s="12">
        <v>126.72</v>
      </c>
      <c r="W33" s="12">
        <v>43.85</v>
      </c>
      <c r="X33" s="12">
        <v>0</v>
      </c>
      <c r="Y33" s="12">
        <v>0</v>
      </c>
      <c r="Z33" s="13">
        <f t="shared" si="1"/>
        <v>2265.7699999999995</v>
      </c>
      <c r="AA33" s="13">
        <f t="shared" si="2"/>
        <v>359.20000000000005</v>
      </c>
      <c r="AB33" s="10"/>
      <c r="AC33" s="10"/>
    </row>
    <row r="34" spans="1:29" x14ac:dyDescent="0.4">
      <c r="A34" s="11"/>
      <c r="B34" s="11"/>
      <c r="C34" s="11"/>
      <c r="D34" s="11"/>
      <c r="E34" s="11" t="s">
        <v>8</v>
      </c>
      <c r="F34" s="11"/>
      <c r="G34" s="11" t="s">
        <v>8</v>
      </c>
      <c r="H34" s="12">
        <v>0</v>
      </c>
      <c r="I34" s="12">
        <v>0</v>
      </c>
      <c r="J34" s="12">
        <v>0</v>
      </c>
      <c r="K34" s="12">
        <v>0</v>
      </c>
      <c r="M34" s="12">
        <v>0</v>
      </c>
      <c r="O34" s="12">
        <v>0</v>
      </c>
      <c r="P34" s="12">
        <f t="shared" si="0"/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3">
        <f t="shared" si="1"/>
        <v>0</v>
      </c>
      <c r="AA34" s="13">
        <f t="shared" si="2"/>
        <v>0</v>
      </c>
      <c r="AB34" s="10"/>
      <c r="AC34" s="10"/>
    </row>
    <row r="35" spans="1:29" x14ac:dyDescent="0.4">
      <c r="A35" s="11"/>
      <c r="B35" s="11"/>
      <c r="C35" s="11"/>
      <c r="D35" s="11"/>
      <c r="E35" s="11" t="s">
        <v>8</v>
      </c>
      <c r="F35" s="11" t="s">
        <v>8</v>
      </c>
      <c r="G35" s="11"/>
      <c r="H35" s="12">
        <v>85761.12</v>
      </c>
      <c r="I35" s="12">
        <v>56373.89</v>
      </c>
      <c r="J35" s="12">
        <v>0</v>
      </c>
      <c r="K35" s="12">
        <v>0</v>
      </c>
      <c r="M35" s="12">
        <v>0</v>
      </c>
      <c r="O35" s="12">
        <f>1508.34+1535</f>
        <v>3043.34</v>
      </c>
      <c r="P35" s="12">
        <f t="shared" ref="P35:P55" si="3">SUM(H35:O35)</f>
        <v>145178.35</v>
      </c>
      <c r="Q35" s="12">
        <v>0</v>
      </c>
      <c r="R35" s="12">
        <v>13123.44</v>
      </c>
      <c r="S35" s="12">
        <v>1960.92</v>
      </c>
      <c r="T35" s="12">
        <v>674.28</v>
      </c>
      <c r="U35" s="12">
        <v>222.6</v>
      </c>
      <c r="V35" s="12">
        <v>345.96</v>
      </c>
      <c r="W35" s="12">
        <v>478.56000000000006</v>
      </c>
      <c r="X35" s="12">
        <v>1750.97</v>
      </c>
      <c r="Y35" s="12">
        <v>22598.04</v>
      </c>
      <c r="Z35" s="13">
        <f t="shared" ref="Z35:Z55" si="4">R35+X35+W35+V35+Y35</f>
        <v>38296.97</v>
      </c>
      <c r="AA35" s="13">
        <f t="shared" ref="AA35:AA55" si="5">S35+T35+U35</f>
        <v>2857.7999999999997</v>
      </c>
      <c r="AB35" s="10"/>
      <c r="AC35" s="10"/>
    </row>
    <row r="36" spans="1:29" x14ac:dyDescent="0.4">
      <c r="A36" s="11"/>
      <c r="B36" s="11"/>
      <c r="C36" s="11"/>
      <c r="D36" s="11"/>
      <c r="E36" s="11" t="s">
        <v>8</v>
      </c>
      <c r="F36" s="11" t="s">
        <v>8</v>
      </c>
      <c r="G36" s="11"/>
      <c r="H36" s="12">
        <v>0</v>
      </c>
      <c r="I36" s="12">
        <v>0</v>
      </c>
      <c r="J36" s="12">
        <v>0</v>
      </c>
      <c r="K36" s="12">
        <v>0</v>
      </c>
      <c r="M36" s="12">
        <v>0</v>
      </c>
      <c r="O36" s="12">
        <v>0</v>
      </c>
      <c r="P36" s="12">
        <f t="shared" si="3"/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3">
        <f t="shared" si="4"/>
        <v>0</v>
      </c>
      <c r="AA36" s="13">
        <f t="shared" si="5"/>
        <v>0</v>
      </c>
      <c r="AB36" s="10"/>
      <c r="AC36" s="10"/>
    </row>
    <row r="37" spans="1:29" x14ac:dyDescent="0.4">
      <c r="A37" s="11"/>
      <c r="B37" s="11"/>
      <c r="C37" s="11"/>
      <c r="D37" s="11"/>
      <c r="E37" s="11" t="s">
        <v>8</v>
      </c>
      <c r="F37" s="11" t="s">
        <v>8</v>
      </c>
      <c r="G37" s="11"/>
      <c r="H37" s="12">
        <v>56933.760000000002</v>
      </c>
      <c r="I37" s="12">
        <v>25531.89</v>
      </c>
      <c r="J37" s="12">
        <v>0</v>
      </c>
      <c r="K37" s="12">
        <v>0</v>
      </c>
      <c r="M37" s="12">
        <v>0</v>
      </c>
      <c r="O37" s="12">
        <f>452.2+7852.53</f>
        <v>8304.73</v>
      </c>
      <c r="P37" s="12">
        <f t="shared" si="3"/>
        <v>90770.37999999999</v>
      </c>
      <c r="Q37" s="12">
        <v>0</v>
      </c>
      <c r="R37" s="12">
        <v>17677.73</v>
      </c>
      <c r="S37" s="12">
        <v>2641.5</v>
      </c>
      <c r="T37" s="12">
        <v>0</v>
      </c>
      <c r="U37" s="12">
        <v>0</v>
      </c>
      <c r="V37" s="12">
        <v>212.88</v>
      </c>
      <c r="W37" s="12">
        <v>291.12</v>
      </c>
      <c r="X37" s="12">
        <v>4541.17</v>
      </c>
      <c r="Y37" s="12">
        <v>0</v>
      </c>
      <c r="Z37" s="13">
        <f t="shared" si="4"/>
        <v>22722.9</v>
      </c>
      <c r="AA37" s="13">
        <f t="shared" si="5"/>
        <v>2641.5</v>
      </c>
      <c r="AB37" s="10"/>
      <c r="AC37" s="10"/>
    </row>
    <row r="38" spans="1:29" x14ac:dyDescent="0.4">
      <c r="A38" s="11"/>
      <c r="B38" s="11"/>
      <c r="C38" s="11"/>
      <c r="D38" s="11" t="s">
        <v>8</v>
      </c>
      <c r="E38" s="11"/>
      <c r="F38" s="11"/>
      <c r="G38" s="11" t="s">
        <v>8</v>
      </c>
      <c r="H38" s="12">
        <v>0</v>
      </c>
      <c r="I38" s="12">
        <v>0</v>
      </c>
      <c r="J38" s="12">
        <v>0</v>
      </c>
      <c r="K38" s="12">
        <v>0</v>
      </c>
      <c r="M38" s="12">
        <v>0</v>
      </c>
      <c r="O38" s="12">
        <v>0</v>
      </c>
      <c r="P38" s="12">
        <f t="shared" si="3"/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3">
        <f t="shared" si="4"/>
        <v>0</v>
      </c>
      <c r="AA38" s="13">
        <f t="shared" si="5"/>
        <v>0</v>
      </c>
      <c r="AB38" s="10"/>
      <c r="AC38" s="10"/>
    </row>
    <row r="39" spans="1:29" x14ac:dyDescent="0.4">
      <c r="A39" s="11"/>
      <c r="B39" s="11" t="s">
        <v>8</v>
      </c>
      <c r="C39" s="11"/>
      <c r="D39" s="11" t="s">
        <v>8</v>
      </c>
      <c r="E39" s="11"/>
      <c r="F39" s="11"/>
      <c r="G39" s="11" t="s">
        <v>8</v>
      </c>
      <c r="H39" s="12">
        <v>70317.679999999993</v>
      </c>
      <c r="I39" s="12">
        <v>0</v>
      </c>
      <c r="J39" s="12">
        <v>0</v>
      </c>
      <c r="K39" s="12">
        <v>0</v>
      </c>
      <c r="M39" s="12">
        <v>0</v>
      </c>
      <c r="O39" s="12">
        <v>1302.8399999999999</v>
      </c>
      <c r="P39" s="12">
        <f t="shared" si="3"/>
        <v>71620.51999999999</v>
      </c>
      <c r="Q39" s="12">
        <v>0</v>
      </c>
      <c r="R39" s="12">
        <v>11066.4</v>
      </c>
      <c r="S39" s="12">
        <v>1229.5999999999999</v>
      </c>
      <c r="T39" s="12">
        <v>565.91999999999996</v>
      </c>
      <c r="U39" s="12">
        <v>127.48</v>
      </c>
      <c r="V39" s="12">
        <v>266.15999999999997</v>
      </c>
      <c r="W39" s="12">
        <v>363.24</v>
      </c>
      <c r="X39" s="12">
        <v>7031.74</v>
      </c>
      <c r="Y39" s="12">
        <v>0</v>
      </c>
      <c r="Z39" s="13">
        <f t="shared" si="4"/>
        <v>18727.54</v>
      </c>
      <c r="AA39" s="13">
        <f t="shared" si="5"/>
        <v>1923</v>
      </c>
      <c r="AB39" s="10"/>
      <c r="AC39" s="10"/>
    </row>
    <row r="40" spans="1:29" x14ac:dyDescent="0.4">
      <c r="A40" s="11"/>
      <c r="B40" s="11" t="s">
        <v>8</v>
      </c>
      <c r="C40" s="11"/>
      <c r="D40" s="11" t="s">
        <v>8</v>
      </c>
      <c r="E40" s="11"/>
      <c r="F40" s="11"/>
      <c r="G40" s="11" t="s">
        <v>8</v>
      </c>
      <c r="H40" s="12">
        <f>100149.63-L40</f>
        <v>99195.99</v>
      </c>
      <c r="I40" s="12">
        <v>0</v>
      </c>
      <c r="J40" s="12">
        <v>0</v>
      </c>
      <c r="K40" s="12">
        <v>4807.75</v>
      </c>
      <c r="L40" s="12">
        <v>953.64</v>
      </c>
      <c r="M40" s="12">
        <v>0</v>
      </c>
      <c r="O40" s="12">
        <v>1625.2</v>
      </c>
      <c r="P40" s="12">
        <f t="shared" si="3"/>
        <v>106582.58</v>
      </c>
      <c r="Q40" s="12">
        <v>0</v>
      </c>
      <c r="R40" s="12">
        <v>18908.89</v>
      </c>
      <c r="S40" s="12">
        <v>2101</v>
      </c>
      <c r="T40" s="12">
        <v>1007.16</v>
      </c>
      <c r="U40" s="12">
        <v>204.05</v>
      </c>
      <c r="V40" s="12">
        <v>372.9</v>
      </c>
      <c r="W40" s="12">
        <f>46.92*8</f>
        <v>375.36</v>
      </c>
      <c r="X40" s="12">
        <v>0</v>
      </c>
      <c r="Y40" s="12">
        <v>0</v>
      </c>
      <c r="Z40" s="13">
        <f t="shared" si="4"/>
        <v>19657.150000000001</v>
      </c>
      <c r="AA40" s="13">
        <f t="shared" si="5"/>
        <v>3312.21</v>
      </c>
      <c r="AB40" s="13"/>
      <c r="AC40" s="10"/>
    </row>
    <row r="41" spans="1:29" x14ac:dyDescent="0.4">
      <c r="A41" s="11"/>
      <c r="B41" s="11"/>
      <c r="C41" s="11"/>
      <c r="D41" s="11"/>
      <c r="E41" s="11" t="s">
        <v>8</v>
      </c>
      <c r="F41" s="11" t="s">
        <v>8</v>
      </c>
      <c r="G41" s="11"/>
      <c r="H41" s="12">
        <v>69388.19</v>
      </c>
      <c r="I41" s="12">
        <v>43016.87</v>
      </c>
      <c r="J41" s="12">
        <v>0</v>
      </c>
      <c r="K41" s="12">
        <v>0</v>
      </c>
      <c r="M41" s="12">
        <v>0</v>
      </c>
      <c r="O41" s="12">
        <f>926.44+1535</f>
        <v>2461.44</v>
      </c>
      <c r="P41" s="12">
        <f t="shared" si="3"/>
        <v>114866.5</v>
      </c>
      <c r="Q41" s="12">
        <v>0</v>
      </c>
      <c r="R41" s="12">
        <v>6075.84</v>
      </c>
      <c r="S41" s="12">
        <v>907.92</v>
      </c>
      <c r="T41" s="12">
        <v>299.39999999999998</v>
      </c>
      <c r="U41" s="12">
        <v>79.8</v>
      </c>
      <c r="V41" s="12">
        <v>277.56</v>
      </c>
      <c r="W41" s="12">
        <v>382.56</v>
      </c>
      <c r="X41" s="12">
        <v>2836.81</v>
      </c>
      <c r="Y41" s="12">
        <v>0</v>
      </c>
      <c r="Z41" s="13">
        <f t="shared" si="4"/>
        <v>9572.7699999999986</v>
      </c>
      <c r="AA41" s="13">
        <f t="shared" si="5"/>
        <v>1287.1199999999999</v>
      </c>
      <c r="AB41" s="10"/>
      <c r="AC41" s="10"/>
    </row>
    <row r="42" spans="1:29" x14ac:dyDescent="0.4">
      <c r="A42" s="11"/>
      <c r="B42" s="11"/>
      <c r="C42" s="11"/>
      <c r="D42" s="11"/>
      <c r="E42" s="11" t="s">
        <v>8</v>
      </c>
      <c r="F42" s="11" t="s">
        <v>8</v>
      </c>
      <c r="G42" s="11"/>
      <c r="H42" s="12">
        <f>72760.26+8156.4+4677.74+699.52+715.84</f>
        <v>87009.76</v>
      </c>
      <c r="I42" s="12">
        <v>18016.59</v>
      </c>
      <c r="J42" s="12">
        <v>0</v>
      </c>
      <c r="K42" s="12">
        <v>0</v>
      </c>
      <c r="M42" s="12">
        <v>0</v>
      </c>
      <c r="O42" s="12">
        <f>3164.16+1535</f>
        <v>4699.16</v>
      </c>
      <c r="P42" s="12">
        <f t="shared" si="3"/>
        <v>109725.51</v>
      </c>
      <c r="Q42" s="12">
        <v>0</v>
      </c>
      <c r="R42" s="12">
        <v>16532.14</v>
      </c>
      <c r="S42" s="12">
        <v>2470.3200000000002</v>
      </c>
      <c r="T42" s="12">
        <v>886.44</v>
      </c>
      <c r="U42" s="12">
        <v>0</v>
      </c>
      <c r="V42" s="12">
        <v>345.96</v>
      </c>
      <c r="W42" s="12">
        <v>478.56000000000006</v>
      </c>
      <c r="X42" s="12">
        <v>1803.43</v>
      </c>
      <c r="Y42" s="12">
        <v>22598.04</v>
      </c>
      <c r="Z42" s="13">
        <f t="shared" si="4"/>
        <v>41758.130000000005</v>
      </c>
      <c r="AA42" s="13">
        <f t="shared" si="5"/>
        <v>3356.76</v>
      </c>
      <c r="AB42" s="10"/>
      <c r="AC42" s="10"/>
    </row>
    <row r="43" spans="1:29" x14ac:dyDescent="0.4">
      <c r="A43" s="11"/>
      <c r="B43" s="11"/>
      <c r="C43" s="11"/>
      <c r="D43" s="11"/>
      <c r="E43" s="11" t="s">
        <v>8</v>
      </c>
      <c r="F43" s="11" t="s">
        <v>8</v>
      </c>
      <c r="G43" s="11"/>
      <c r="H43" s="12">
        <v>69292.7</v>
      </c>
      <c r="I43" s="12">
        <v>4447.79</v>
      </c>
      <c r="J43" s="12">
        <v>0</v>
      </c>
      <c r="K43" s="12">
        <v>0</v>
      </c>
      <c r="M43" s="12">
        <v>0</v>
      </c>
      <c r="O43" s="12">
        <v>4328.4799999999996</v>
      </c>
      <c r="P43" s="12">
        <f t="shared" si="3"/>
        <v>78068.969999999987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f>22.18*12</f>
        <v>266.15999999999997</v>
      </c>
      <c r="W43" s="12">
        <v>363.96</v>
      </c>
      <c r="X43" s="12">
        <v>2775.71</v>
      </c>
      <c r="Y43" s="12">
        <v>0</v>
      </c>
      <c r="Z43" s="13">
        <f t="shared" si="4"/>
        <v>3405.83</v>
      </c>
      <c r="AA43" s="13">
        <f t="shared" si="5"/>
        <v>0</v>
      </c>
      <c r="AB43" s="10"/>
      <c r="AC43" s="10"/>
    </row>
    <row r="44" spans="1:29" x14ac:dyDescent="0.4">
      <c r="A44" s="11"/>
      <c r="B44" s="11"/>
      <c r="C44" s="11"/>
      <c r="D44" s="11"/>
      <c r="E44" s="11" t="s">
        <v>8</v>
      </c>
      <c r="F44" s="11"/>
      <c r="G44" s="11" t="s">
        <v>8</v>
      </c>
      <c r="H44" s="12">
        <v>44313.979999999996</v>
      </c>
      <c r="I44" s="12">
        <v>294.43</v>
      </c>
      <c r="J44" s="12">
        <v>0</v>
      </c>
      <c r="K44" s="12">
        <v>0</v>
      </c>
      <c r="M44" s="12">
        <v>0</v>
      </c>
      <c r="O44" s="12">
        <v>0</v>
      </c>
      <c r="P44" s="12">
        <f t="shared" si="3"/>
        <v>44608.409999999996</v>
      </c>
      <c r="Q44" s="12">
        <v>0</v>
      </c>
      <c r="R44" s="12">
        <v>20627.88</v>
      </c>
      <c r="S44" s="12">
        <v>2292</v>
      </c>
      <c r="T44" s="12">
        <v>674.28</v>
      </c>
      <c r="U44" s="12">
        <v>222.6</v>
      </c>
      <c r="V44" s="12">
        <v>171.12</v>
      </c>
      <c r="W44" s="12">
        <v>232.32</v>
      </c>
      <c r="X44" s="12">
        <v>5317.64</v>
      </c>
      <c r="Y44" s="12">
        <v>0</v>
      </c>
      <c r="Z44" s="13">
        <f t="shared" si="4"/>
        <v>26348.959999999999</v>
      </c>
      <c r="AA44" s="13">
        <f t="shared" si="5"/>
        <v>3188.8799999999997</v>
      </c>
      <c r="AB44" s="10"/>
      <c r="AC44" s="10"/>
    </row>
    <row r="45" spans="1:29" x14ac:dyDescent="0.4">
      <c r="A45" s="11"/>
      <c r="B45" s="11"/>
      <c r="C45" s="11"/>
      <c r="D45" s="11"/>
      <c r="E45" s="11" t="s">
        <v>8</v>
      </c>
      <c r="F45" s="11" t="s">
        <v>8</v>
      </c>
      <c r="G45" s="11"/>
      <c r="H45" s="12">
        <v>83905.4</v>
      </c>
      <c r="I45" s="12">
        <v>38962.019999999997</v>
      </c>
      <c r="J45" s="12">
        <v>0</v>
      </c>
      <c r="K45" s="12">
        <v>0</v>
      </c>
      <c r="M45" s="12">
        <v>0</v>
      </c>
      <c r="O45" s="12">
        <f>1140.16+1535</f>
        <v>2675.16</v>
      </c>
      <c r="P45" s="12">
        <f t="shared" si="3"/>
        <v>125542.57999999999</v>
      </c>
      <c r="Q45" s="12">
        <v>0</v>
      </c>
      <c r="R45" s="12">
        <v>13123.44</v>
      </c>
      <c r="S45" s="12">
        <v>1960.92</v>
      </c>
      <c r="T45" s="12">
        <v>299.39999999999998</v>
      </c>
      <c r="U45" s="12">
        <v>79.8</v>
      </c>
      <c r="V45" s="12">
        <v>296.52</v>
      </c>
      <c r="W45" s="12">
        <v>409.20000000000005</v>
      </c>
      <c r="X45" s="12">
        <v>8318.94</v>
      </c>
      <c r="Y45" s="12">
        <v>0</v>
      </c>
      <c r="Z45" s="13">
        <f t="shared" si="4"/>
        <v>22148.100000000002</v>
      </c>
      <c r="AA45" s="13">
        <f t="shared" si="5"/>
        <v>2340.1200000000003</v>
      </c>
      <c r="AB45" s="10"/>
      <c r="AC45" s="10"/>
    </row>
    <row r="46" spans="1:29" x14ac:dyDescent="0.4">
      <c r="A46" s="11"/>
      <c r="B46" s="11"/>
      <c r="C46" s="11"/>
      <c r="D46" s="11" t="s">
        <v>8</v>
      </c>
      <c r="E46" s="11"/>
      <c r="F46" s="11"/>
      <c r="G46" s="11" t="s">
        <v>8</v>
      </c>
      <c r="H46" s="12">
        <v>72433.17</v>
      </c>
      <c r="I46" s="12">
        <v>0</v>
      </c>
      <c r="J46" s="12">
        <v>0</v>
      </c>
      <c r="K46" s="12">
        <v>5000.0600000000004</v>
      </c>
      <c r="M46" s="12">
        <v>0</v>
      </c>
      <c r="O46" s="12">
        <v>1702.84</v>
      </c>
      <c r="P46" s="12">
        <f t="shared" si="3"/>
        <v>79136.069999999992</v>
      </c>
      <c r="Q46" s="12">
        <v>0</v>
      </c>
      <c r="R46" s="12">
        <v>13575.960000000001</v>
      </c>
      <c r="S46" s="12">
        <v>1508.4</v>
      </c>
      <c r="V46" s="12">
        <v>266.15999999999997</v>
      </c>
      <c r="W46" s="12">
        <v>365.52</v>
      </c>
      <c r="X46" s="12">
        <v>8692.02</v>
      </c>
      <c r="Y46" s="12">
        <v>0</v>
      </c>
      <c r="Z46" s="13">
        <f t="shared" si="4"/>
        <v>22899.660000000003</v>
      </c>
      <c r="AA46" s="13">
        <f t="shared" si="5"/>
        <v>1508.4</v>
      </c>
      <c r="AB46" s="10"/>
      <c r="AC46" s="10"/>
    </row>
    <row r="47" spans="1:29" x14ac:dyDescent="0.4">
      <c r="A47" s="5" t="s">
        <v>8</v>
      </c>
      <c r="B47" s="5" t="s">
        <v>8</v>
      </c>
      <c r="D47" s="5" t="s">
        <v>8</v>
      </c>
      <c r="G47" s="5" t="s">
        <v>8</v>
      </c>
      <c r="H47" s="14">
        <v>81445.53</v>
      </c>
      <c r="I47" s="14">
        <v>0</v>
      </c>
      <c r="J47" s="14">
        <v>0</v>
      </c>
      <c r="K47" s="14">
        <v>2953.33</v>
      </c>
      <c r="L47" s="14"/>
      <c r="M47" s="14">
        <v>0</v>
      </c>
      <c r="N47" s="14"/>
      <c r="O47" s="14">
        <v>2611.6799999999998</v>
      </c>
      <c r="P47" s="14">
        <f t="shared" si="3"/>
        <v>87010.54</v>
      </c>
      <c r="Q47" s="14">
        <v>0</v>
      </c>
      <c r="R47" s="14">
        <v>0</v>
      </c>
      <c r="S47" s="14">
        <v>0</v>
      </c>
      <c r="T47" s="14"/>
      <c r="U47" s="14"/>
      <c r="V47" s="14">
        <v>255.07999999999998</v>
      </c>
      <c r="W47" s="14">
        <v>402.56</v>
      </c>
      <c r="X47" s="14">
        <v>9773.5</v>
      </c>
      <c r="Y47" s="14">
        <v>0</v>
      </c>
      <c r="Z47" s="13">
        <f t="shared" si="4"/>
        <v>10431.14</v>
      </c>
      <c r="AA47" s="13">
        <f t="shared" si="5"/>
        <v>0</v>
      </c>
      <c r="AB47" s="10"/>
      <c r="AC47" s="10"/>
    </row>
    <row r="48" spans="1:29" x14ac:dyDescent="0.4">
      <c r="E48" s="5" t="s">
        <v>8</v>
      </c>
      <c r="G48" s="5" t="s">
        <v>8</v>
      </c>
      <c r="H48" s="14">
        <v>37631.68</v>
      </c>
      <c r="I48" s="14">
        <v>931.59</v>
      </c>
      <c r="J48" s="14">
        <v>0</v>
      </c>
      <c r="K48" s="14">
        <v>0</v>
      </c>
      <c r="L48" s="14"/>
      <c r="M48" s="14">
        <v>0</v>
      </c>
      <c r="N48" s="14"/>
      <c r="O48" s="14">
        <v>195</v>
      </c>
      <c r="P48" s="14">
        <f t="shared" si="3"/>
        <v>38758.269999999997</v>
      </c>
      <c r="Q48" s="14">
        <v>0</v>
      </c>
      <c r="R48" s="14">
        <v>3627.5</v>
      </c>
      <c r="S48" s="14">
        <v>542.04</v>
      </c>
      <c r="T48" s="14">
        <v>148.53</v>
      </c>
      <c r="U48" s="14">
        <v>37.89</v>
      </c>
      <c r="V48" s="14">
        <f>38.83*3</f>
        <v>116.49</v>
      </c>
      <c r="W48" s="14">
        <f>39.88*3</f>
        <v>119.64000000000001</v>
      </c>
      <c r="X48" s="14">
        <v>482.15</v>
      </c>
      <c r="Y48" s="14">
        <v>0</v>
      </c>
      <c r="Z48" s="13">
        <f t="shared" si="4"/>
        <v>4345.78</v>
      </c>
      <c r="AA48" s="13">
        <f t="shared" si="5"/>
        <v>728.45999999999992</v>
      </c>
      <c r="AB48" s="13"/>
      <c r="AC48" s="10"/>
    </row>
    <row r="49" spans="1:29" x14ac:dyDescent="0.4">
      <c r="E49" s="5" t="s">
        <v>8</v>
      </c>
      <c r="F49" s="5" t="s">
        <v>8</v>
      </c>
      <c r="H49" s="14">
        <v>82841.759999999995</v>
      </c>
      <c r="I49" s="14">
        <v>31881.54</v>
      </c>
      <c r="J49" s="14">
        <v>0</v>
      </c>
      <c r="K49" s="14">
        <v>0</v>
      </c>
      <c r="L49" s="14"/>
      <c r="M49" s="14">
        <v>0</v>
      </c>
      <c r="N49" s="14"/>
      <c r="O49" s="14">
        <f>1290.46+1535</f>
        <v>2825.46</v>
      </c>
      <c r="P49" s="14">
        <f t="shared" si="3"/>
        <v>117548.76</v>
      </c>
      <c r="Q49" s="14">
        <v>0</v>
      </c>
      <c r="R49" s="14">
        <v>19940.280000000002</v>
      </c>
      <c r="S49" s="14">
        <v>2979.6</v>
      </c>
      <c r="T49" s="14">
        <v>1098.72</v>
      </c>
      <c r="U49" s="14">
        <v>222.6</v>
      </c>
      <c r="V49" s="14">
        <v>330.84</v>
      </c>
      <c r="W49" s="14">
        <v>456.72</v>
      </c>
      <c r="X49" s="14">
        <v>8572.82</v>
      </c>
      <c r="Y49" s="14">
        <v>0</v>
      </c>
      <c r="Z49" s="13">
        <f t="shared" si="4"/>
        <v>29300.660000000003</v>
      </c>
      <c r="AA49" s="13">
        <f t="shared" si="5"/>
        <v>4300.92</v>
      </c>
      <c r="AB49" s="10"/>
      <c r="AC49" s="10"/>
    </row>
    <row r="50" spans="1:29" x14ac:dyDescent="0.4">
      <c r="D50" s="5" t="s">
        <v>8</v>
      </c>
      <c r="G50" s="5" t="s">
        <v>8</v>
      </c>
      <c r="H50" s="14">
        <v>0</v>
      </c>
      <c r="I50" s="14">
        <v>0</v>
      </c>
      <c r="J50" s="14">
        <v>0</v>
      </c>
      <c r="K50" s="14">
        <v>0</v>
      </c>
      <c r="L50" s="14"/>
      <c r="M50" s="14">
        <v>0</v>
      </c>
      <c r="N50" s="14"/>
      <c r="O50" s="14">
        <v>0</v>
      </c>
      <c r="P50" s="14">
        <f t="shared" si="3"/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3">
        <f t="shared" si="4"/>
        <v>0</v>
      </c>
      <c r="AA50" s="13">
        <f t="shared" si="5"/>
        <v>0</v>
      </c>
      <c r="AB50" s="10"/>
      <c r="AC50" s="10"/>
    </row>
    <row r="51" spans="1:29" x14ac:dyDescent="0.4">
      <c r="A51" s="5" t="s">
        <v>8</v>
      </c>
      <c r="D51" s="5" t="s">
        <v>8</v>
      </c>
      <c r="G51" s="5" t="s">
        <v>8</v>
      </c>
      <c r="H51" s="14">
        <v>130438.40000000001</v>
      </c>
      <c r="I51" s="14">
        <v>0</v>
      </c>
      <c r="J51" s="14">
        <v>0</v>
      </c>
      <c r="K51" s="14">
        <v>0</v>
      </c>
      <c r="L51" s="14"/>
      <c r="M51" s="14">
        <v>0</v>
      </c>
      <c r="N51" s="14"/>
      <c r="O51" s="14">
        <v>1302.8399999999999</v>
      </c>
      <c r="P51" s="14">
        <f t="shared" si="3"/>
        <v>131741.24000000002</v>
      </c>
      <c r="Q51" s="14">
        <v>0</v>
      </c>
      <c r="R51" s="14">
        <v>13575.6</v>
      </c>
      <c r="S51" s="14">
        <v>1508.4</v>
      </c>
      <c r="T51" s="14">
        <v>674.28</v>
      </c>
      <c r="U51" s="14">
        <v>222.6</v>
      </c>
      <c r="V51" s="14">
        <v>486.59999999999997</v>
      </c>
      <c r="W51" s="14">
        <v>670.31999999999994</v>
      </c>
      <c r="X51" s="14">
        <v>15652.67</v>
      </c>
      <c r="Y51" s="14">
        <v>0</v>
      </c>
      <c r="Z51" s="13">
        <f t="shared" si="4"/>
        <v>30385.19</v>
      </c>
      <c r="AA51" s="13">
        <f t="shared" si="5"/>
        <v>2405.2800000000002</v>
      </c>
      <c r="AB51" s="10"/>
      <c r="AC51" s="10"/>
    </row>
    <row r="52" spans="1:29" x14ac:dyDescent="0.4">
      <c r="E52" s="5" t="s">
        <v>8</v>
      </c>
      <c r="F52" s="5" t="s">
        <v>8</v>
      </c>
      <c r="H52" s="14">
        <v>67813.790000000008</v>
      </c>
      <c r="I52" s="14">
        <v>34868.879999999997</v>
      </c>
      <c r="J52" s="14">
        <v>0</v>
      </c>
      <c r="K52" s="14">
        <v>0</v>
      </c>
      <c r="L52" s="14"/>
      <c r="M52" s="14">
        <v>0</v>
      </c>
      <c r="N52" s="14"/>
      <c r="O52" s="14">
        <f>931.84+4658.24</f>
        <v>5590.08</v>
      </c>
      <c r="P52" s="14">
        <f t="shared" si="3"/>
        <v>108272.75000000001</v>
      </c>
      <c r="Q52" s="14">
        <v>0</v>
      </c>
      <c r="R52" s="14">
        <v>0</v>
      </c>
      <c r="S52" s="14">
        <v>0</v>
      </c>
      <c r="T52" s="14">
        <v>299.39999999999998</v>
      </c>
      <c r="U52" s="14">
        <v>79.8</v>
      </c>
      <c r="V52" s="14">
        <f>21.86*12</f>
        <v>262.32</v>
      </c>
      <c r="W52" s="14">
        <v>361.08</v>
      </c>
      <c r="X52" s="14">
        <v>5905.43</v>
      </c>
      <c r="Y52" s="14">
        <v>0</v>
      </c>
      <c r="Z52" s="13">
        <f t="shared" si="4"/>
        <v>6528.83</v>
      </c>
      <c r="AA52" s="13">
        <f t="shared" si="5"/>
        <v>379.2</v>
      </c>
      <c r="AB52" s="10"/>
      <c r="AC52" s="10"/>
    </row>
    <row r="53" spans="1:29" x14ac:dyDescent="0.4">
      <c r="D53" s="5" t="s">
        <v>8</v>
      </c>
      <c r="G53" s="5" t="s">
        <v>8</v>
      </c>
      <c r="H53" s="14">
        <f>75451.45-L53</f>
        <v>75307.209999999992</v>
      </c>
      <c r="I53" s="14">
        <v>0</v>
      </c>
      <c r="J53" s="14">
        <v>0</v>
      </c>
      <c r="K53" s="14">
        <v>5000.0600000000004</v>
      </c>
      <c r="L53" s="14">
        <v>144.24</v>
      </c>
      <c r="M53" s="14">
        <v>0</v>
      </c>
      <c r="N53" s="14"/>
      <c r="O53" s="14">
        <v>1702.84</v>
      </c>
      <c r="P53" s="14">
        <f t="shared" si="3"/>
        <v>82154.349999999991</v>
      </c>
      <c r="Q53" s="14">
        <v>0</v>
      </c>
      <c r="R53" s="14">
        <v>20627.88</v>
      </c>
      <c r="S53" s="14">
        <v>2292</v>
      </c>
      <c r="T53" s="14">
        <v>1098.72</v>
      </c>
      <c r="U53" s="14">
        <v>222.6</v>
      </c>
      <c r="V53" s="14">
        <v>288.95999999999998</v>
      </c>
      <c r="W53" s="14">
        <v>394.68</v>
      </c>
      <c r="X53" s="14">
        <v>1506.22</v>
      </c>
      <c r="Y53" s="14">
        <v>18638.760000000002</v>
      </c>
      <c r="Z53" s="13">
        <f t="shared" si="4"/>
        <v>41456.5</v>
      </c>
      <c r="AA53" s="13">
        <f t="shared" si="5"/>
        <v>3613.32</v>
      </c>
      <c r="AB53" s="10"/>
      <c r="AC53" s="10"/>
    </row>
    <row r="54" spans="1:29" x14ac:dyDescent="0.4">
      <c r="E54" s="5" t="s">
        <v>8</v>
      </c>
      <c r="G54" s="5" t="s">
        <v>8</v>
      </c>
      <c r="H54" s="14">
        <v>0</v>
      </c>
      <c r="I54" s="14">
        <v>0</v>
      </c>
      <c r="J54" s="14">
        <v>0</v>
      </c>
      <c r="K54" s="14">
        <v>0</v>
      </c>
      <c r="L54" s="14"/>
      <c r="M54" s="14">
        <v>0</v>
      </c>
      <c r="N54" s="14"/>
      <c r="O54" s="14">
        <v>0</v>
      </c>
      <c r="P54" s="14">
        <f t="shared" si="3"/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3">
        <f t="shared" si="4"/>
        <v>0</v>
      </c>
      <c r="AA54" s="13">
        <f t="shared" si="5"/>
        <v>0</v>
      </c>
      <c r="AB54" s="10"/>
      <c r="AC54" s="10"/>
    </row>
    <row r="55" spans="1:29" x14ac:dyDescent="0.4">
      <c r="E55" s="5" t="s">
        <v>8</v>
      </c>
      <c r="F55" s="5" t="s">
        <v>8</v>
      </c>
      <c r="H55" s="14">
        <v>9324.880000000001</v>
      </c>
      <c r="I55" s="14">
        <v>2840.2200000000003</v>
      </c>
      <c r="J55" s="14">
        <v>0</v>
      </c>
      <c r="K55" s="14">
        <v>0</v>
      </c>
      <c r="L55" s="14"/>
      <c r="M55" s="14">
        <v>0</v>
      </c>
      <c r="N55" s="14"/>
      <c r="O55" s="14">
        <v>160.49</v>
      </c>
      <c r="P55" s="14">
        <f t="shared" si="3"/>
        <v>12325.590000000002</v>
      </c>
      <c r="Q55" s="14">
        <v>0</v>
      </c>
      <c r="R55" s="14">
        <v>14757.54</v>
      </c>
      <c r="S55" s="14">
        <v>326.82</v>
      </c>
      <c r="T55" s="14">
        <v>112.38</v>
      </c>
      <c r="U55" s="14">
        <v>37.1</v>
      </c>
      <c r="V55" s="14">
        <v>0</v>
      </c>
      <c r="W55" s="14">
        <v>0</v>
      </c>
      <c r="X55" s="14">
        <v>0</v>
      </c>
      <c r="Y55" s="14">
        <v>0</v>
      </c>
      <c r="Z55" s="13">
        <f t="shared" si="4"/>
        <v>14757.54</v>
      </c>
      <c r="AA55" s="13">
        <f t="shared" si="5"/>
        <v>476.3</v>
      </c>
      <c r="AB55" s="10"/>
      <c r="AC55" s="10"/>
    </row>
    <row r="56" spans="1:29" x14ac:dyDescent="0.4">
      <c r="Z56" s="10"/>
      <c r="AA56" s="10"/>
      <c r="AB56" s="10"/>
      <c r="AC56" s="10"/>
    </row>
    <row r="57" spans="1:29" x14ac:dyDescent="0.4">
      <c r="Z57" s="10"/>
      <c r="AA57" s="10"/>
      <c r="AB57" s="10"/>
      <c r="AC57" s="10"/>
    </row>
    <row r="58" spans="1:29" x14ac:dyDescent="0.4">
      <c r="Z58" s="10"/>
      <c r="AA58" s="10"/>
      <c r="AB58" s="10"/>
      <c r="AC58" s="10"/>
    </row>
    <row r="59" spans="1:29" ht="92.6" x14ac:dyDescent="0.4">
      <c r="G59" s="4" t="s">
        <v>12</v>
      </c>
      <c r="H59" s="3" t="str">
        <f>H2</f>
        <v>Reg Salary/Wages Paid (includes any employee's regular rate of pay categories that are paid at regular rate i.e. holiday sick, etc.)</v>
      </c>
      <c r="I59" s="3" t="str">
        <f t="shared" ref="I59:O59" si="6">I2</f>
        <v>OT Amount (includes All Pays at OT &amp; Above Rate)</v>
      </c>
      <c r="J59" s="3" t="str">
        <f t="shared" si="6"/>
        <v>Excess Vacation Payout</v>
      </c>
      <c r="K59" s="3" t="str">
        <f t="shared" si="6"/>
        <v>Dispatch / Duty Pay</v>
      </c>
      <c r="L59" s="3" t="s">
        <v>31</v>
      </c>
      <c r="M59" s="3" t="str">
        <f t="shared" si="6"/>
        <v>Bonus &amp; Incentive Pays</v>
      </c>
      <c r="N59" s="3" t="s">
        <v>35</v>
      </c>
      <c r="O59" s="3" t="str">
        <f t="shared" si="6"/>
        <v>Other Pays Including Phone, Auto Allowance</v>
      </c>
      <c r="P59" s="1" t="s">
        <v>6</v>
      </c>
      <c r="Q59" s="3" t="str">
        <f>Q2</f>
        <v>Other Incentives, Deferred Compensation</v>
      </c>
      <c r="R59" s="2" t="s">
        <v>22</v>
      </c>
      <c r="S59" s="2" t="s">
        <v>23</v>
      </c>
      <c r="T59" s="3" t="s">
        <v>24</v>
      </c>
      <c r="U59" s="3" t="s">
        <v>25</v>
      </c>
      <c r="V59" s="3" t="s">
        <v>30</v>
      </c>
      <c r="W59" s="3" t="s">
        <v>26</v>
      </c>
      <c r="X59" s="3" t="s">
        <v>9</v>
      </c>
      <c r="Y59" s="3" t="s">
        <v>27</v>
      </c>
      <c r="Z59" s="3" t="s">
        <v>10</v>
      </c>
      <c r="AA59" s="3" t="s">
        <v>11</v>
      </c>
      <c r="AB59" s="10"/>
      <c r="AC59" s="10"/>
    </row>
    <row r="60" spans="1:29" x14ac:dyDescent="0.4">
      <c r="G60" s="5" t="s">
        <v>37</v>
      </c>
      <c r="H60" s="12">
        <f>+SUMIF($A$3:$A$55,"X",H3:H55)</f>
        <v>431584.92000000004</v>
      </c>
      <c r="I60" s="12">
        <f>+SUMIF($A$3:$A$55,"X",I3:I55)</f>
        <v>0</v>
      </c>
      <c r="J60" s="12">
        <f t="shared" ref="J60:O60" si="7">+SUMIF($A$3:$A$55,"X",J3:J55)</f>
        <v>0</v>
      </c>
      <c r="K60" s="12">
        <f t="shared" si="7"/>
        <v>2953.33</v>
      </c>
      <c r="L60" s="12">
        <f t="shared" ref="L60" si="8">+SUMIF($A$3:$A$55,"X",L3:L55)</f>
        <v>0</v>
      </c>
      <c r="M60" s="12">
        <f t="shared" si="7"/>
        <v>9551.36</v>
      </c>
      <c r="N60" s="12">
        <f t="shared" ref="N60" si="9">+SUMIF($A$3:$A$55,"X",N3:N55)</f>
        <v>6600</v>
      </c>
      <c r="O60" s="12">
        <f t="shared" si="7"/>
        <v>8525.619999999999</v>
      </c>
      <c r="P60" s="12">
        <f t="shared" ref="P60:AA60" si="10">+SUMIF($A$3:$A$55,"X",P3:P55)</f>
        <v>459215.23</v>
      </c>
      <c r="Q60" s="12">
        <f>+SUMIF($A$3:$A$55,"X",Q3:Q55)</f>
        <v>52650</v>
      </c>
      <c r="R60" s="12">
        <f t="shared" si="10"/>
        <v>15670.8</v>
      </c>
      <c r="S60" s="12">
        <f t="shared" si="10"/>
        <v>1741.2</v>
      </c>
      <c r="T60" s="12">
        <f t="shared" si="10"/>
        <v>1073.48</v>
      </c>
      <c r="U60" s="12">
        <f t="shared" si="10"/>
        <v>249.2</v>
      </c>
      <c r="V60" s="12">
        <f>+SUMIF($A$3:$A$55,"X",V3:V55)</f>
        <v>1560.32</v>
      </c>
      <c r="W60" s="12">
        <f>+SUMIF($A$3:$A$55,"X",W3:W55)</f>
        <v>2074.21</v>
      </c>
      <c r="X60" s="12">
        <f t="shared" si="10"/>
        <v>29089.34</v>
      </c>
      <c r="Y60" s="12">
        <f t="shared" si="10"/>
        <v>0</v>
      </c>
      <c r="Z60" s="12">
        <f t="shared" si="10"/>
        <v>48394.67</v>
      </c>
      <c r="AA60" s="12">
        <f t="shared" si="10"/>
        <v>3063.88</v>
      </c>
      <c r="AB60" s="10"/>
      <c r="AC60" s="10"/>
    </row>
    <row r="61" spans="1:29" x14ac:dyDescent="0.4">
      <c r="G61" s="5" t="s">
        <v>0</v>
      </c>
      <c r="H61" s="12">
        <f>+SUMIF($B$3:$B$55,"X",H3:H55)</f>
        <v>518827.92999999993</v>
      </c>
      <c r="I61" s="12">
        <f>+SUMIF($B$3:$B$55,"X",I3:I55)</f>
        <v>7121.93</v>
      </c>
      <c r="J61" s="12">
        <f t="shared" ref="J61:O61" si="11">+SUMIF($B$3:$B$55,"X",J3:J55)</f>
        <v>1661.6</v>
      </c>
      <c r="K61" s="12">
        <f t="shared" si="11"/>
        <v>22761.260000000002</v>
      </c>
      <c r="L61" s="12">
        <f t="shared" ref="L61" si="12">+SUMIF($B$3:$B$55,"X",L3:L55)</f>
        <v>5073.6500000000005</v>
      </c>
      <c r="M61" s="12">
        <f t="shared" si="11"/>
        <v>0</v>
      </c>
      <c r="N61" s="12">
        <f t="shared" ref="N61" si="13">+SUMIF($B$3:$B$55,"X",N3:N55)</f>
        <v>0</v>
      </c>
      <c r="O61" s="12">
        <f t="shared" si="11"/>
        <v>10834.640000000001</v>
      </c>
      <c r="P61" s="12">
        <f t="shared" ref="P61:AA61" si="14">+SUMIF($B$3:$B$55,"X",P3:P55)</f>
        <v>566281.01</v>
      </c>
      <c r="Q61" s="12">
        <f>+SUMIF($B$3:$B$55,"X",Q3:Q55)</f>
        <v>0</v>
      </c>
      <c r="R61" s="12">
        <f t="shared" si="14"/>
        <v>77516.41</v>
      </c>
      <c r="S61" s="12">
        <f t="shared" si="14"/>
        <v>8613</v>
      </c>
      <c r="T61" s="12">
        <f t="shared" si="14"/>
        <v>4364.6400000000003</v>
      </c>
      <c r="U61" s="12">
        <f t="shared" si="14"/>
        <v>634.65000000000009</v>
      </c>
      <c r="V61" s="12">
        <f>+SUMIF($B$3:$B$55,"X",V3:V55)</f>
        <v>1947.38</v>
      </c>
      <c r="W61" s="12">
        <f>+SUMIF($B$3:$B$55,"X",W3:W55)</f>
        <v>2591.84</v>
      </c>
      <c r="X61" s="12">
        <f t="shared" si="14"/>
        <v>29759.239999999998</v>
      </c>
      <c r="Y61" s="12">
        <f t="shared" si="14"/>
        <v>26764.199999999997</v>
      </c>
      <c r="Z61" s="12">
        <f t="shared" si="14"/>
        <v>138579.07</v>
      </c>
      <c r="AA61" s="12">
        <f t="shared" si="14"/>
        <v>13612.29</v>
      </c>
      <c r="AB61" s="10"/>
      <c r="AC61" s="10"/>
    </row>
    <row r="62" spans="1:29" ht="15" thickBot="1" x14ac:dyDescent="0.45">
      <c r="G62" s="5" t="s">
        <v>13</v>
      </c>
      <c r="H62" s="15">
        <f>+SUM(H60:H61)</f>
        <v>950412.85</v>
      </c>
      <c r="I62" s="15">
        <f t="shared" ref="I62:AA62" si="15">+SUM(I60:I61)</f>
        <v>7121.93</v>
      </c>
      <c r="J62" s="15">
        <f t="shared" ref="J62:O62" si="16">+SUM(J60:J61)</f>
        <v>1661.6</v>
      </c>
      <c r="K62" s="15">
        <f t="shared" si="16"/>
        <v>25714.590000000004</v>
      </c>
      <c r="L62" s="15">
        <f t="shared" ref="L62" si="17">+SUM(L60:L61)</f>
        <v>5073.6500000000005</v>
      </c>
      <c r="M62" s="15">
        <f t="shared" si="16"/>
        <v>9551.36</v>
      </c>
      <c r="N62" s="15">
        <f t="shared" ref="N62" si="18">+SUM(N60:N61)</f>
        <v>6600</v>
      </c>
      <c r="O62" s="15">
        <f t="shared" si="16"/>
        <v>19360.260000000002</v>
      </c>
      <c r="P62" s="15">
        <f t="shared" si="15"/>
        <v>1025496.24</v>
      </c>
      <c r="Q62" s="15">
        <f>+SUM(Q60:Q61)</f>
        <v>52650</v>
      </c>
      <c r="R62" s="15">
        <f t="shared" si="15"/>
        <v>93187.21</v>
      </c>
      <c r="S62" s="15">
        <f t="shared" si="15"/>
        <v>10354.200000000001</v>
      </c>
      <c r="T62" s="15">
        <f t="shared" si="15"/>
        <v>5438.1200000000008</v>
      </c>
      <c r="U62" s="15">
        <f t="shared" si="15"/>
        <v>883.85000000000014</v>
      </c>
      <c r="V62" s="15">
        <f>+SUM(V60:V61)</f>
        <v>3507.7</v>
      </c>
      <c r="W62" s="15">
        <f>+SUM(W60:W61)</f>
        <v>4666.05</v>
      </c>
      <c r="X62" s="15">
        <f t="shared" si="15"/>
        <v>58848.58</v>
      </c>
      <c r="Y62" s="15">
        <f t="shared" si="15"/>
        <v>26764.199999999997</v>
      </c>
      <c r="Z62" s="15">
        <f t="shared" si="15"/>
        <v>186973.74</v>
      </c>
      <c r="AA62" s="15">
        <f t="shared" si="15"/>
        <v>16676.170000000002</v>
      </c>
      <c r="AB62" s="10"/>
      <c r="AC62" s="10"/>
    </row>
    <row r="63" spans="1:29" x14ac:dyDescent="0.4">
      <c r="Z63" s="10"/>
      <c r="AA63" s="10"/>
      <c r="AB63" s="10"/>
      <c r="AC63" s="10"/>
    </row>
    <row r="64" spans="1:29" x14ac:dyDescent="0.4">
      <c r="G64" s="5" t="s">
        <v>2</v>
      </c>
      <c r="H64" s="12">
        <f>+SUMIF($D$3:$D$55,"X",H3:H55)</f>
        <v>1547727.6299999997</v>
      </c>
      <c r="I64" s="12">
        <f>+SUMIF($D$3:$D$55,"X",I3:I55)</f>
        <v>7925.27</v>
      </c>
      <c r="J64" s="12">
        <f t="shared" ref="J64:O64" si="19">+SUMIF($D$3:$D$55,"X",J3:J55)</f>
        <v>2810.8</v>
      </c>
      <c r="K64" s="12">
        <f t="shared" si="19"/>
        <v>49492.350000000006</v>
      </c>
      <c r="L64" s="12">
        <f t="shared" ref="L64" si="20">+SUMIF($D$3:$D$55,"X",L3:L55)</f>
        <v>5728.5099999999993</v>
      </c>
      <c r="M64" s="12">
        <f t="shared" si="19"/>
        <v>9551.36</v>
      </c>
      <c r="N64" s="12">
        <f t="shared" ref="N64" si="21">+SUMIF($D$3:$D$55,"X",N3:N55)</f>
        <v>6600</v>
      </c>
      <c r="O64" s="12">
        <f t="shared" si="19"/>
        <v>32232.640000000003</v>
      </c>
      <c r="P64" s="12">
        <f t="shared" ref="P64:AA64" si="22">+SUMIF($D$3:$D$55,"X",P3:P55)</f>
        <v>1662068.56</v>
      </c>
      <c r="Q64" s="12">
        <f>+SUMIF($D$3:$D$55,"X",Q3:Q55)</f>
        <v>52650</v>
      </c>
      <c r="R64" s="12">
        <f t="shared" si="22"/>
        <v>221675.89</v>
      </c>
      <c r="S64" s="12">
        <f t="shared" si="22"/>
        <v>24566.160000000003</v>
      </c>
      <c r="T64" s="12">
        <f t="shared" si="22"/>
        <v>8977.9999999999982</v>
      </c>
      <c r="U64" s="12">
        <f t="shared" si="22"/>
        <v>1553.87</v>
      </c>
      <c r="V64" s="12">
        <f>+SUMIF($D$3:$D$55,"X",V3:V55)</f>
        <v>5914.0999999999995</v>
      </c>
      <c r="W64" s="12">
        <f>+SUMIF($D$3:$D$55,"X",W3:W55)</f>
        <v>7910.89</v>
      </c>
      <c r="X64" s="12">
        <f t="shared" si="22"/>
        <v>92317.349999999991</v>
      </c>
      <c r="Y64" s="12">
        <f t="shared" si="22"/>
        <v>74028.12</v>
      </c>
      <c r="Z64" s="12">
        <f t="shared" si="22"/>
        <v>401846.35000000003</v>
      </c>
      <c r="AA64" s="12">
        <f t="shared" si="22"/>
        <v>35098.03</v>
      </c>
      <c r="AB64" s="10"/>
      <c r="AC64" s="10"/>
    </row>
    <row r="65" spans="7:31" x14ac:dyDescent="0.4">
      <c r="G65" s="5" t="s">
        <v>3</v>
      </c>
      <c r="H65" s="12">
        <f>+SUMIF($E$3:$E$55,"X",H3:H55)</f>
        <v>1417498.7499999998</v>
      </c>
      <c r="I65" s="12">
        <f>+SUMIF($E$3:$E$55,"X",I3:I55)</f>
        <v>446792.62</v>
      </c>
      <c r="J65" s="12">
        <f t="shared" ref="J65:O65" si="23">+SUMIF($E$3:$E$55,"X",J3:J55)</f>
        <v>0</v>
      </c>
      <c r="K65" s="12">
        <f t="shared" si="23"/>
        <v>0</v>
      </c>
      <c r="L65" s="12">
        <f t="shared" ref="L65" si="24">+SUMIF($E$3:$E$55,"X",L3:L55)</f>
        <v>0</v>
      </c>
      <c r="M65" s="12">
        <f t="shared" si="23"/>
        <v>0</v>
      </c>
      <c r="N65" s="12">
        <f t="shared" ref="N65" si="25">+SUMIF($E$3:$E$55,"X",N3:N55)</f>
        <v>0</v>
      </c>
      <c r="O65" s="12">
        <f t="shared" si="23"/>
        <v>53751.56</v>
      </c>
      <c r="P65" s="12">
        <f t="shared" ref="P65:AA65" si="26">+SUMIF($E$3:$E$55,"X",P3:P55)</f>
        <v>1918042.93</v>
      </c>
      <c r="Q65" s="12">
        <f>+SUMIF($E$3:$E$55,"X",Q3:Q55)</f>
        <v>0</v>
      </c>
      <c r="R65" s="12">
        <f t="shared" si="26"/>
        <v>265327.22000000003</v>
      </c>
      <c r="S65" s="12">
        <f t="shared" si="26"/>
        <v>35540.319999999992</v>
      </c>
      <c r="T65" s="12">
        <f t="shared" si="26"/>
        <v>11968.98</v>
      </c>
      <c r="U65" s="12">
        <f t="shared" si="26"/>
        <v>2061.6499999999996</v>
      </c>
      <c r="V65" s="12">
        <f>+SUMIF($E$3:$E$55,"X",V3:V55)</f>
        <v>5482.5</v>
      </c>
      <c r="W65" s="12">
        <f>+SUMIF($E$3:$E$55,"X",W3:W55)</f>
        <v>7359.5700000000015</v>
      </c>
      <c r="X65" s="12">
        <f t="shared" si="26"/>
        <v>98921.159999999974</v>
      </c>
      <c r="Y65" s="12">
        <f t="shared" si="26"/>
        <v>66760.44</v>
      </c>
      <c r="Z65" s="12">
        <f t="shared" si="26"/>
        <v>443850.89000000013</v>
      </c>
      <c r="AA65" s="12">
        <f t="shared" si="26"/>
        <v>49570.950000000004</v>
      </c>
      <c r="AB65" s="10"/>
      <c r="AC65" s="10"/>
    </row>
    <row r="66" spans="7:31" ht="15" thickBot="1" x14ac:dyDescent="0.45">
      <c r="G66" s="5" t="s">
        <v>13</v>
      </c>
      <c r="H66" s="15">
        <f>+H64+H65</f>
        <v>2965226.3799999994</v>
      </c>
      <c r="I66" s="15">
        <f t="shared" ref="I66:AA66" si="27">+I64+I65</f>
        <v>454717.89</v>
      </c>
      <c r="J66" s="15">
        <f t="shared" ref="J66:O66" si="28">+J64+J65</f>
        <v>2810.8</v>
      </c>
      <c r="K66" s="15">
        <f t="shared" si="28"/>
        <v>49492.350000000006</v>
      </c>
      <c r="L66" s="15">
        <f t="shared" ref="L66" si="29">+L64+L65</f>
        <v>5728.5099999999993</v>
      </c>
      <c r="M66" s="15">
        <f t="shared" si="28"/>
        <v>9551.36</v>
      </c>
      <c r="N66" s="15">
        <f t="shared" ref="N66" si="30">+N64+N65</f>
        <v>6600</v>
      </c>
      <c r="O66" s="15">
        <f t="shared" si="28"/>
        <v>85984.2</v>
      </c>
      <c r="P66" s="15">
        <f t="shared" si="27"/>
        <v>3580111.49</v>
      </c>
      <c r="Q66" s="15">
        <f>+Q64+Q65</f>
        <v>52650</v>
      </c>
      <c r="R66" s="15">
        <f t="shared" si="27"/>
        <v>487003.11000000004</v>
      </c>
      <c r="S66" s="15">
        <f t="shared" si="27"/>
        <v>60106.479999999996</v>
      </c>
      <c r="T66" s="15">
        <f t="shared" si="27"/>
        <v>20946.979999999996</v>
      </c>
      <c r="U66" s="15">
        <f t="shared" si="27"/>
        <v>3615.5199999999995</v>
      </c>
      <c r="V66" s="15">
        <f>+V64+V65</f>
        <v>11396.599999999999</v>
      </c>
      <c r="W66" s="15">
        <f>+W64+W65</f>
        <v>15270.460000000003</v>
      </c>
      <c r="X66" s="15">
        <f t="shared" si="27"/>
        <v>191238.50999999995</v>
      </c>
      <c r="Y66" s="15">
        <f t="shared" si="27"/>
        <v>140788.56</v>
      </c>
      <c r="Z66" s="15">
        <f t="shared" si="27"/>
        <v>845697.24000000022</v>
      </c>
      <c r="AA66" s="15">
        <f t="shared" si="27"/>
        <v>84668.98000000001</v>
      </c>
      <c r="AB66" s="10"/>
      <c r="AC66" s="10"/>
    </row>
    <row r="67" spans="7:31" x14ac:dyDescent="0.4">
      <c r="AB67" s="10"/>
      <c r="AC67" s="10"/>
    </row>
    <row r="68" spans="7:31" x14ac:dyDescent="0.4">
      <c r="G68" s="5" t="s">
        <v>4</v>
      </c>
      <c r="H68" s="12">
        <f>+SUMIF($F$3:$F$55,"X",H3:H55)</f>
        <v>1108135.9799999997</v>
      </c>
      <c r="I68" s="12">
        <f>+SUMIF($F$3:$F$55,"X",I3:I55)</f>
        <v>435959.63</v>
      </c>
      <c r="J68" s="12">
        <f t="shared" ref="J68:O68" si="31">+SUMIF($F$3:$F$55,"X",J3:J55)</f>
        <v>0</v>
      </c>
      <c r="K68" s="12">
        <f t="shared" si="31"/>
        <v>0</v>
      </c>
      <c r="L68" s="12">
        <f t="shared" ref="L68" si="32">+SUMIF($F$3:$F$55,"X",L3:L55)</f>
        <v>0</v>
      </c>
      <c r="M68" s="12">
        <f t="shared" si="31"/>
        <v>0</v>
      </c>
      <c r="N68" s="12">
        <f t="shared" ref="N68" si="33">+SUMIF($F$3:$F$55,"X",N3:N55)</f>
        <v>0</v>
      </c>
      <c r="O68" s="12">
        <f t="shared" si="31"/>
        <v>50763.08</v>
      </c>
      <c r="P68" s="12">
        <f t="shared" ref="P68:AA68" si="34">+SUMIF($F$3:$F$55,"X",P3:P55)</f>
        <v>1594858.6900000002</v>
      </c>
      <c r="Q68" s="12">
        <f>+SUMIF($F$3:$F$55,"X",Q3:Q55)</f>
        <v>0</v>
      </c>
      <c r="R68" s="12">
        <f t="shared" si="34"/>
        <v>203549.16000000003</v>
      </c>
      <c r="S68" s="12">
        <f t="shared" si="34"/>
        <v>28537.079999999994</v>
      </c>
      <c r="T68" s="12">
        <f t="shared" si="34"/>
        <v>9033.3099999999977</v>
      </c>
      <c r="U68" s="12">
        <f t="shared" si="34"/>
        <v>1418.2399999999998</v>
      </c>
      <c r="V68" s="12">
        <f>+SUMIF($F$3:$F$55,"X",V3:V55)</f>
        <v>4461.2299999999996</v>
      </c>
      <c r="W68" s="12">
        <f>+SUMIF($F$3:$F$55,"X",W3:W55)</f>
        <v>5821.77</v>
      </c>
      <c r="X68" s="12">
        <f t="shared" si="34"/>
        <v>65849.649999999994</v>
      </c>
      <c r="Y68" s="12">
        <f t="shared" si="34"/>
        <v>66760.44</v>
      </c>
      <c r="Z68" s="12">
        <f t="shared" si="34"/>
        <v>346442.25</v>
      </c>
      <c r="AA68" s="12">
        <f t="shared" si="34"/>
        <v>38988.629999999997</v>
      </c>
      <c r="AB68" s="10"/>
      <c r="AC68" s="10"/>
    </row>
    <row r="69" spans="7:31" x14ac:dyDescent="0.4">
      <c r="G69" s="5" t="s">
        <v>5</v>
      </c>
      <c r="H69" s="12">
        <f>+SUMIF($G$3:$G$55,"X",H3:H55)</f>
        <v>1857090.3999999994</v>
      </c>
      <c r="I69" s="12">
        <f>+SUMIF($G$3:$G$55,"X",I3:I55)</f>
        <v>18758.259999999998</v>
      </c>
      <c r="J69" s="12">
        <f t="shared" ref="J69:O69" si="35">+SUMIF($G$3:$G$55,"X",J3:J55)</f>
        <v>2810.8</v>
      </c>
      <c r="K69" s="12">
        <f t="shared" si="35"/>
        <v>49492.350000000006</v>
      </c>
      <c r="L69" s="12">
        <f t="shared" ref="L69" si="36">+SUMIF($G$3:$G$55,"X",L3:L55)</f>
        <v>5728.5099999999993</v>
      </c>
      <c r="M69" s="12">
        <f t="shared" si="35"/>
        <v>9551.36</v>
      </c>
      <c r="N69" s="12">
        <f t="shared" ref="N69" si="37">+SUMIF($G$3:$G$55,"X",N3:N55)</f>
        <v>6600</v>
      </c>
      <c r="O69" s="12">
        <f t="shared" si="35"/>
        <v>35221.119999999995</v>
      </c>
      <c r="P69" s="12">
        <f t="shared" ref="P69:AA69" si="38">+SUMIF($G$3:$G$55,"X",P3:P55)</f>
        <v>1985252.8000000003</v>
      </c>
      <c r="Q69" s="12">
        <f>+SUMIF($G$3:$G$55,"X",Q3:Q55)</f>
        <v>52650</v>
      </c>
      <c r="R69" s="12">
        <f t="shared" si="38"/>
        <v>283453.94999999995</v>
      </c>
      <c r="S69" s="12">
        <f t="shared" si="38"/>
        <v>31569.400000000005</v>
      </c>
      <c r="T69" s="12">
        <f t="shared" si="38"/>
        <v>11913.67</v>
      </c>
      <c r="U69" s="12">
        <f t="shared" si="38"/>
        <v>2197.2799999999997</v>
      </c>
      <c r="V69" s="12">
        <f>+SUMIF($G$3:$G$55,"X",V3:V55)</f>
        <v>6935.37</v>
      </c>
      <c r="W69" s="12">
        <f>+SUMIF($G$3:$G$55,"X",W3:W55)</f>
        <v>9448.6899999999987</v>
      </c>
      <c r="X69" s="12">
        <f t="shared" si="38"/>
        <v>125388.86</v>
      </c>
      <c r="Y69" s="12">
        <f t="shared" si="38"/>
        <v>74028.12</v>
      </c>
      <c r="Z69" s="12">
        <f t="shared" si="38"/>
        <v>499254.99000000005</v>
      </c>
      <c r="AA69" s="12">
        <f t="shared" si="38"/>
        <v>45680.35</v>
      </c>
      <c r="AB69" s="10"/>
      <c r="AC69" s="10"/>
    </row>
    <row r="70" spans="7:31" ht="15" thickBot="1" x14ac:dyDescent="0.45">
      <c r="G70" s="5" t="s">
        <v>13</v>
      </c>
      <c r="H70" s="15">
        <f>+H68+H69</f>
        <v>2965226.379999999</v>
      </c>
      <c r="I70" s="15">
        <f t="shared" ref="I70:AA70" si="39">+I68+I69</f>
        <v>454717.89</v>
      </c>
      <c r="J70" s="15">
        <f t="shared" ref="J70:O70" si="40">+J68+J69</f>
        <v>2810.8</v>
      </c>
      <c r="K70" s="15">
        <f t="shared" si="40"/>
        <v>49492.350000000006</v>
      </c>
      <c r="L70" s="15">
        <f t="shared" ref="L70" si="41">+L68+L69</f>
        <v>5728.5099999999993</v>
      </c>
      <c r="M70" s="15">
        <f t="shared" si="40"/>
        <v>9551.36</v>
      </c>
      <c r="N70" s="15">
        <f t="shared" ref="N70" si="42">+N68+N69</f>
        <v>6600</v>
      </c>
      <c r="O70" s="15">
        <f t="shared" si="40"/>
        <v>85984.2</v>
      </c>
      <c r="P70" s="15">
        <f t="shared" si="39"/>
        <v>3580111.49</v>
      </c>
      <c r="Q70" s="15">
        <f>+Q68+Q69</f>
        <v>52650</v>
      </c>
      <c r="R70" s="15">
        <f t="shared" si="39"/>
        <v>487003.11</v>
      </c>
      <c r="S70" s="15">
        <f t="shared" si="39"/>
        <v>60106.479999999996</v>
      </c>
      <c r="T70" s="15">
        <f t="shared" si="39"/>
        <v>20946.979999999996</v>
      </c>
      <c r="U70" s="15">
        <f t="shared" si="39"/>
        <v>3615.5199999999995</v>
      </c>
      <c r="V70" s="15">
        <f>+V68+V69</f>
        <v>11396.599999999999</v>
      </c>
      <c r="W70" s="15">
        <f>+W68+W69</f>
        <v>15270.46</v>
      </c>
      <c r="X70" s="15">
        <f t="shared" si="39"/>
        <v>191238.51</v>
      </c>
      <c r="Y70" s="15">
        <f t="shared" si="39"/>
        <v>140788.56</v>
      </c>
      <c r="Z70" s="15">
        <f t="shared" si="39"/>
        <v>845697.24</v>
      </c>
      <c r="AA70" s="15">
        <f t="shared" si="39"/>
        <v>84668.98</v>
      </c>
      <c r="AB70" s="10"/>
      <c r="AC70" s="10"/>
    </row>
    <row r="71" spans="7:31" x14ac:dyDescent="0.4">
      <c r="Z71" s="10"/>
      <c r="AA71" s="10"/>
      <c r="AB71" s="10"/>
      <c r="AC71" s="10"/>
    </row>
    <row r="72" spans="7:31" x14ac:dyDescent="0.4">
      <c r="Z72" s="10"/>
      <c r="AA72" s="10"/>
      <c r="AB72" s="10"/>
      <c r="AC72" s="10"/>
    </row>
    <row r="73" spans="7:31" x14ac:dyDescent="0.4">
      <c r="H73" s="33"/>
      <c r="I73" s="33"/>
      <c r="J73" s="33"/>
      <c r="K73" s="33"/>
      <c r="L73" s="33"/>
      <c r="M73" s="33"/>
      <c r="N73" s="33"/>
      <c r="O73" s="33"/>
      <c r="P73" s="33"/>
      <c r="Q73" s="33"/>
      <c r="AD73" s="12"/>
      <c r="AE73" s="12"/>
    </row>
    <row r="74" spans="7:31" x14ac:dyDescent="0.4">
      <c r="H74" s="36"/>
      <c r="I74" s="36"/>
      <c r="J74" s="36"/>
      <c r="K74" s="36"/>
      <c r="L74" s="36"/>
      <c r="M74" s="36"/>
      <c r="N74" s="36"/>
      <c r="O74" s="36"/>
      <c r="P74" s="36"/>
      <c r="Q74" s="36"/>
    </row>
    <row r="75" spans="7:31" x14ac:dyDescent="0.4">
      <c r="H75" s="36"/>
      <c r="I75" s="36"/>
      <c r="J75" s="36"/>
      <c r="K75" s="36"/>
      <c r="L75" s="36"/>
      <c r="M75" s="36"/>
      <c r="N75" s="36"/>
      <c r="O75" s="36"/>
      <c r="P75" s="36"/>
      <c r="Q75" s="36"/>
    </row>
    <row r="76" spans="7:31" x14ac:dyDescent="0.4">
      <c r="H76" s="36"/>
      <c r="I76" s="36"/>
      <c r="J76" s="34"/>
      <c r="K76" s="36"/>
      <c r="L76" s="36"/>
      <c r="M76" s="36"/>
      <c r="N76" s="36"/>
      <c r="O76" s="36"/>
      <c r="P76" s="36"/>
      <c r="Q76" s="36"/>
    </row>
    <row r="77" spans="7:31" x14ac:dyDescent="0.4">
      <c r="H77" s="36"/>
      <c r="I77" s="36"/>
      <c r="J77" s="36"/>
      <c r="K77" s="36"/>
      <c r="L77" s="36"/>
      <c r="M77" s="36"/>
      <c r="N77" s="36"/>
      <c r="O77" s="36"/>
      <c r="P77" s="36"/>
      <c r="Q77" s="36"/>
    </row>
    <row r="78" spans="7:31" x14ac:dyDescent="0.4">
      <c r="H78" s="36"/>
      <c r="I78" s="36"/>
      <c r="J78" s="36"/>
      <c r="K78" s="36"/>
      <c r="L78" s="36"/>
      <c r="M78" s="36"/>
      <c r="N78" s="36"/>
      <c r="O78" s="36"/>
      <c r="P78" s="36"/>
      <c r="Q78" s="36"/>
    </row>
  </sheetData>
  <autoFilter ref="A2:AE55" xr:uid="{713D6F93-451C-4540-9664-6C65187BE982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557C-7662-4BC8-971A-084ED44F3395}">
  <sheetPr>
    <pageSetUpPr fitToPage="1"/>
  </sheetPr>
  <dimension ref="A1:AD75"/>
  <sheetViews>
    <sheetView zoomScaleNormal="100" workbookViewId="0">
      <pane xSplit="1" ySplit="2" topLeftCell="B41" activePane="bottomRight" state="frozen"/>
      <selection pane="topRight" activeCell="C1" sqref="C1"/>
      <selection pane="bottomLeft" activeCell="A3" sqref="A3"/>
      <selection pane="bottomRight" activeCell="A2" sqref="A2:A55"/>
    </sheetView>
  </sheetViews>
  <sheetFormatPr defaultColWidth="9.15234375" defaultRowHeight="14.6" x14ac:dyDescent="0.4"/>
  <cols>
    <col min="1" max="1" width="10.84375" style="5" bestFit="1" customWidth="1"/>
    <col min="2" max="2" width="12.69140625" style="5" bestFit="1" customWidth="1"/>
    <col min="3" max="3" width="14.4609375" style="5" bestFit="1" customWidth="1"/>
    <col min="4" max="4" width="11.69140625" style="5" customWidth="1"/>
    <col min="5" max="5" width="15.4609375" style="5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23046875" style="12" customWidth="1"/>
    <col min="15" max="15" width="10.53515625" style="12" bestFit="1" customWidth="1"/>
    <col min="16" max="16" width="16.15234375" style="12" customWidth="1"/>
    <col min="17" max="17" width="16.15234375" style="12" hidden="1" customWidth="1"/>
    <col min="18" max="18" width="15.15234375" style="12" customWidth="1"/>
    <col min="19" max="20" width="16.15234375" style="12" customWidth="1"/>
    <col min="21" max="21" width="14.69140625" style="12" customWidth="1"/>
    <col min="22" max="25" width="17.69140625" style="12" bestFit="1" customWidth="1"/>
    <col min="26" max="26" width="18" style="14" bestFit="1" customWidth="1"/>
    <col min="27" max="27" width="15.4609375" style="12" bestFit="1" customWidth="1"/>
    <col min="28" max="28" width="14" style="12" hidden="1" customWidth="1"/>
    <col min="29" max="29" width="14" style="12" bestFit="1" customWidth="1"/>
    <col min="30" max="30" width="15.4609375" style="12" bestFit="1" customWidth="1"/>
    <col min="31" max="31" width="23.69140625" style="10" bestFit="1" customWidth="1"/>
    <col min="32" max="32" width="21" style="10" customWidth="1"/>
    <col min="33" max="16384" width="9.15234375" style="10"/>
  </cols>
  <sheetData>
    <row r="1" spans="1:30" s="5" customFormat="1" x14ac:dyDescent="0.4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7"/>
    </row>
    <row r="2" spans="1:30" s="7" customFormat="1" ht="102" customHeight="1" x14ac:dyDescent="0.4">
      <c r="A2" s="8" t="s">
        <v>37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3" t="s">
        <v>14</v>
      </c>
      <c r="I2" s="3" t="s">
        <v>15</v>
      </c>
      <c r="J2" s="3" t="s">
        <v>16</v>
      </c>
      <c r="K2" s="3" t="s">
        <v>17</v>
      </c>
      <c r="L2" s="3" t="s">
        <v>31</v>
      </c>
      <c r="M2" s="2" t="s">
        <v>18</v>
      </c>
      <c r="N2" s="2" t="s">
        <v>35</v>
      </c>
      <c r="O2" s="3" t="s">
        <v>36</v>
      </c>
      <c r="P2" s="1" t="s">
        <v>6</v>
      </c>
      <c r="Q2" s="2" t="s">
        <v>21</v>
      </c>
      <c r="R2" s="2" t="s">
        <v>19</v>
      </c>
      <c r="S2" s="2" t="s">
        <v>22</v>
      </c>
      <c r="T2" s="2" t="s">
        <v>23</v>
      </c>
      <c r="U2" s="3" t="s">
        <v>24</v>
      </c>
      <c r="V2" s="3" t="s">
        <v>25</v>
      </c>
      <c r="W2" s="9" t="s">
        <v>30</v>
      </c>
      <c r="X2" s="9" t="s">
        <v>26</v>
      </c>
      <c r="Y2" s="9" t="s">
        <v>27</v>
      </c>
      <c r="Z2" s="18" t="s">
        <v>29</v>
      </c>
      <c r="AA2" s="9" t="s">
        <v>10</v>
      </c>
      <c r="AB2" s="9" t="s">
        <v>28</v>
      </c>
    </row>
    <row r="3" spans="1:30" x14ac:dyDescent="0.4">
      <c r="A3" s="11"/>
      <c r="B3" s="11"/>
      <c r="C3" s="11"/>
      <c r="D3" s="11"/>
      <c r="E3" s="11" t="s">
        <v>8</v>
      </c>
      <c r="F3" s="11" t="s">
        <v>8</v>
      </c>
      <c r="G3" s="11"/>
      <c r="H3" s="12">
        <v>88484.54</v>
      </c>
      <c r="I3" s="12">
        <v>26143.14</v>
      </c>
      <c r="J3" s="12">
        <v>0</v>
      </c>
      <c r="K3" s="12">
        <v>0</v>
      </c>
      <c r="L3" s="12">
        <v>0</v>
      </c>
      <c r="M3" s="12">
        <v>0</v>
      </c>
      <c r="N3" s="26">
        <v>0</v>
      </c>
      <c r="O3" s="12">
        <v>1270</v>
      </c>
      <c r="P3" s="12">
        <f t="shared" ref="P3:P34" si="0">SUM(H3:O3)</f>
        <v>115897.68</v>
      </c>
      <c r="Q3" s="12" t="e">
        <f>_xlfn.XLOOKUP(#REF!,'[1]2022'!$C$4:$C$56,'[1]2022'!$AC$4:$AC$56)</f>
        <v>#REF!</v>
      </c>
      <c r="R3" s="12">
        <v>0</v>
      </c>
      <c r="S3" s="14">
        <v>23243.040000000001</v>
      </c>
      <c r="T3" s="14">
        <v>3473.28</v>
      </c>
      <c r="U3" s="12">
        <v>1098.72</v>
      </c>
      <c r="V3" s="12">
        <v>0</v>
      </c>
      <c r="W3" s="12">
        <v>228.08</v>
      </c>
      <c r="X3" s="12">
        <v>444.96</v>
      </c>
      <c r="Y3" s="12">
        <v>22330.76</v>
      </c>
      <c r="Z3" s="14">
        <v>2292.56</v>
      </c>
      <c r="AA3" s="13">
        <f t="shared" ref="AA3:AA34" si="1">S3+Z3+X3+W3+Y3</f>
        <v>48539.4</v>
      </c>
      <c r="AB3" s="13">
        <f t="shared" ref="AB3:AB34" si="2">T3+U3+V3</f>
        <v>4572</v>
      </c>
      <c r="AC3" s="10"/>
      <c r="AD3" s="10"/>
    </row>
    <row r="4" spans="1:30" x14ac:dyDescent="0.4">
      <c r="A4" s="11"/>
      <c r="B4" s="11"/>
      <c r="C4" s="11"/>
      <c r="D4" s="11"/>
      <c r="E4" s="11" t="s">
        <v>8</v>
      </c>
      <c r="F4" s="11"/>
      <c r="G4" s="11" t="s">
        <v>8</v>
      </c>
      <c r="H4" s="12">
        <v>7740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26">
        <v>0</v>
      </c>
      <c r="O4" s="12">
        <v>0</v>
      </c>
      <c r="P4" s="12">
        <f t="shared" si="0"/>
        <v>7740</v>
      </c>
      <c r="Q4" s="12" t="e">
        <f>_xlfn.XLOOKUP(#REF!,'[1]2022'!$C$4:$C$56,'[1]2022'!$AC$4:$AC$56)</f>
        <v>#REF!</v>
      </c>
      <c r="R4" s="12">
        <v>0</v>
      </c>
      <c r="S4" s="14">
        <v>1210.68</v>
      </c>
      <c r="T4" s="14">
        <v>134.52000000000001</v>
      </c>
      <c r="U4" s="12">
        <v>49.9</v>
      </c>
      <c r="V4" s="12">
        <v>13.3</v>
      </c>
      <c r="W4" s="12">
        <v>0</v>
      </c>
      <c r="X4" s="12">
        <v>0</v>
      </c>
      <c r="Y4" s="12">
        <v>0</v>
      </c>
      <c r="Z4" s="14">
        <v>0</v>
      </c>
      <c r="AA4" s="13">
        <f t="shared" si="1"/>
        <v>1210.68</v>
      </c>
      <c r="AB4" s="13">
        <f t="shared" si="2"/>
        <v>197.72000000000003</v>
      </c>
      <c r="AC4" s="10"/>
      <c r="AD4" s="10"/>
    </row>
    <row r="5" spans="1:30" x14ac:dyDescent="0.4">
      <c r="A5" s="11" t="s">
        <v>8</v>
      </c>
      <c r="B5" s="11"/>
      <c r="C5" s="11"/>
      <c r="D5" s="11" t="s">
        <v>8</v>
      </c>
      <c r="E5" s="11"/>
      <c r="F5" s="11"/>
      <c r="G5" s="11" t="s">
        <v>8</v>
      </c>
      <c r="H5" s="12">
        <v>191761.91999999998</v>
      </c>
      <c r="I5" s="12">
        <v>0</v>
      </c>
      <c r="J5" s="12">
        <v>0</v>
      </c>
      <c r="K5" s="12">
        <v>0</v>
      </c>
      <c r="L5" s="12">
        <v>0</v>
      </c>
      <c r="M5" s="12">
        <v>9551.36</v>
      </c>
      <c r="N5" s="12">
        <f>550*12</f>
        <v>6600</v>
      </c>
      <c r="O5" s="12">
        <f>11131.72-N5</f>
        <v>4531.7199999999993</v>
      </c>
      <c r="P5" s="12">
        <f t="shared" si="0"/>
        <v>212444.99999999997</v>
      </c>
      <c r="Q5" s="12" t="e">
        <f>_xlfn.XLOOKUP(#REF!,'[1]2022'!$C$4:$C$56,'[1]2022'!$AC$4:$AC$56)</f>
        <v>#REF!</v>
      </c>
      <c r="R5" s="26">
        <v>52650</v>
      </c>
      <c r="S5" s="14">
        <v>0</v>
      </c>
      <c r="T5" s="14">
        <v>0</v>
      </c>
      <c r="U5" s="12">
        <v>299.39999999999998</v>
      </c>
      <c r="V5" s="12">
        <v>0</v>
      </c>
      <c r="W5" s="12">
        <v>492.16</v>
      </c>
      <c r="X5" s="12">
        <v>956.04</v>
      </c>
      <c r="Y5" s="12">
        <v>0</v>
      </c>
      <c r="Z5" s="14">
        <v>3846.14</v>
      </c>
      <c r="AA5" s="13">
        <f t="shared" si="1"/>
        <v>5294.34</v>
      </c>
      <c r="AB5" s="13">
        <f t="shared" si="2"/>
        <v>299.39999999999998</v>
      </c>
      <c r="AC5" s="10"/>
      <c r="AD5" s="10"/>
    </row>
    <row r="6" spans="1:30" x14ac:dyDescent="0.4">
      <c r="A6" s="11"/>
      <c r="B6" s="11"/>
      <c r="C6" s="11"/>
      <c r="D6" s="11"/>
      <c r="E6" s="11" t="s">
        <v>8</v>
      </c>
      <c r="F6" s="11"/>
      <c r="G6" s="11" t="s">
        <v>8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26">
        <v>0</v>
      </c>
      <c r="O6" s="12">
        <v>0</v>
      </c>
      <c r="P6" s="12">
        <f t="shared" si="0"/>
        <v>0</v>
      </c>
      <c r="Q6" s="12" t="e">
        <f>_xlfn.XLOOKUP(#REF!,'[1]2022'!$C$4:$C$56,'[1]2022'!$AC$4:$AC$56)</f>
        <v>#REF!</v>
      </c>
      <c r="R6" s="12">
        <v>0</v>
      </c>
      <c r="S6" s="14">
        <v>0</v>
      </c>
      <c r="T6" s="14">
        <v>0</v>
      </c>
      <c r="U6" s="14">
        <v>0</v>
      </c>
      <c r="V6" s="14">
        <v>0</v>
      </c>
      <c r="W6" s="12">
        <v>0</v>
      </c>
      <c r="X6" s="12">
        <v>0</v>
      </c>
      <c r="Y6" s="12">
        <v>0</v>
      </c>
      <c r="Z6" s="14">
        <v>0</v>
      </c>
      <c r="AA6" s="13">
        <f t="shared" si="1"/>
        <v>0</v>
      </c>
      <c r="AB6" s="13">
        <f t="shared" si="2"/>
        <v>0</v>
      </c>
      <c r="AC6" s="10"/>
      <c r="AD6" s="10"/>
    </row>
    <row r="7" spans="1:30" x14ac:dyDescent="0.4">
      <c r="A7" s="11"/>
      <c r="B7" s="11"/>
      <c r="C7" s="11"/>
      <c r="D7" s="11"/>
      <c r="E7" s="11" t="s">
        <v>8</v>
      </c>
      <c r="F7" s="11" t="s">
        <v>8</v>
      </c>
      <c r="G7" s="11"/>
      <c r="H7" s="12">
        <v>82823.040000000008</v>
      </c>
      <c r="I7" s="12">
        <v>23617.39</v>
      </c>
      <c r="J7" s="12">
        <v>0</v>
      </c>
      <c r="K7" s="12">
        <v>0</v>
      </c>
      <c r="L7" s="12">
        <v>0</v>
      </c>
      <c r="M7" s="12">
        <v>0</v>
      </c>
      <c r="N7" s="26">
        <v>0</v>
      </c>
      <c r="O7" s="12">
        <v>2220.8000000000002</v>
      </c>
      <c r="P7" s="12">
        <f t="shared" si="0"/>
        <v>108661.23000000001</v>
      </c>
      <c r="Q7" s="12" t="e">
        <f>_xlfn.XLOOKUP(#REF!,'[1]2022'!$C$4:$C$56,'[1]2022'!$AC$4:$AC$56)</f>
        <v>#REF!</v>
      </c>
      <c r="R7" s="12">
        <v>0</v>
      </c>
      <c r="S7" s="14">
        <v>23243.040000000001</v>
      </c>
      <c r="T7" s="14">
        <v>3473.28</v>
      </c>
      <c r="U7" s="12">
        <v>1098.72</v>
      </c>
      <c r="V7" s="12">
        <v>0</v>
      </c>
      <c r="W7" s="12">
        <v>223.04</v>
      </c>
      <c r="X7" s="12">
        <f>36.21*9</f>
        <v>325.89</v>
      </c>
      <c r="Y7" s="12">
        <v>0</v>
      </c>
      <c r="Z7" s="14">
        <v>0</v>
      </c>
      <c r="AA7" s="13">
        <f t="shared" si="1"/>
        <v>23791.97</v>
      </c>
      <c r="AB7" s="13">
        <f t="shared" si="2"/>
        <v>4572</v>
      </c>
      <c r="AC7" s="10"/>
      <c r="AD7" s="10"/>
    </row>
    <row r="8" spans="1:30" x14ac:dyDescent="0.4">
      <c r="A8" s="11"/>
      <c r="B8" s="11"/>
      <c r="C8" s="11"/>
      <c r="D8" s="11"/>
      <c r="E8" s="11" t="s">
        <v>8</v>
      </c>
      <c r="F8" s="11" t="s">
        <v>8</v>
      </c>
      <c r="G8" s="11"/>
      <c r="H8" s="12">
        <v>72025.59</v>
      </c>
      <c r="I8" s="12">
        <v>21169.98</v>
      </c>
      <c r="J8" s="12">
        <v>0</v>
      </c>
      <c r="K8" s="12">
        <v>0</v>
      </c>
      <c r="L8" s="12">
        <v>0</v>
      </c>
      <c r="M8" s="12">
        <v>0</v>
      </c>
      <c r="N8" s="26">
        <v>0</v>
      </c>
      <c r="O8" s="12">
        <v>2479.27</v>
      </c>
      <c r="P8" s="12">
        <f t="shared" si="0"/>
        <v>95674.84</v>
      </c>
      <c r="Q8" s="12" t="e">
        <f>_xlfn.XLOOKUP(#REF!,'[1]2022'!$C$4:$C$56,'[1]2022'!$AC$4:$AC$56)</f>
        <v>#REF!</v>
      </c>
      <c r="R8" s="12">
        <v>0</v>
      </c>
      <c r="S8" s="14">
        <v>7022.91</v>
      </c>
      <c r="T8" s="14">
        <v>1049.4000000000001</v>
      </c>
      <c r="U8" s="12">
        <v>299.37</v>
      </c>
      <c r="V8" s="12">
        <v>79.77</v>
      </c>
      <c r="W8" s="12">
        <v>182</v>
      </c>
      <c r="X8" s="12">
        <v>351.96</v>
      </c>
      <c r="Y8" s="12">
        <v>0</v>
      </c>
      <c r="Z8" s="14">
        <v>9648.39</v>
      </c>
      <c r="AA8" s="13">
        <f t="shared" si="1"/>
        <v>17205.259999999998</v>
      </c>
      <c r="AB8" s="13">
        <f t="shared" si="2"/>
        <v>1428.54</v>
      </c>
      <c r="AC8" s="10"/>
      <c r="AD8" s="10"/>
    </row>
    <row r="9" spans="1:30" x14ac:dyDescent="0.4">
      <c r="D9" s="5" t="s">
        <v>8</v>
      </c>
      <c r="G9" s="5" t="s">
        <v>8</v>
      </c>
      <c r="H9" s="14">
        <v>39453.360000000001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25">
        <v>0</v>
      </c>
      <c r="O9" s="14">
        <v>562.32999999999993</v>
      </c>
      <c r="P9" s="14">
        <f t="shared" si="0"/>
        <v>40015.69</v>
      </c>
      <c r="Q9" s="14" t="e">
        <f>_xlfn.XLOOKUP(#REF!,'[1]2022'!$C$4:$C$56,'[1]2022'!$AC$4:$AC$56)</f>
        <v>#REF!</v>
      </c>
      <c r="R9" s="14">
        <v>0</v>
      </c>
      <c r="S9" s="14">
        <v>11845.34</v>
      </c>
      <c r="T9" s="14">
        <v>1316.26</v>
      </c>
      <c r="U9" s="14">
        <v>224.55</v>
      </c>
      <c r="V9" s="14">
        <v>0</v>
      </c>
      <c r="W9" s="14">
        <v>67.92</v>
      </c>
      <c r="X9" s="14">
        <v>183.04</v>
      </c>
      <c r="Y9" s="14">
        <v>0</v>
      </c>
      <c r="Z9" s="14">
        <v>4618.57</v>
      </c>
      <c r="AA9" s="13">
        <f t="shared" si="1"/>
        <v>16714.87</v>
      </c>
      <c r="AB9" s="13">
        <f t="shared" si="2"/>
        <v>1540.81</v>
      </c>
      <c r="AC9" s="13"/>
      <c r="AD9" s="10"/>
    </row>
    <row r="10" spans="1:30" x14ac:dyDescent="0.4">
      <c r="A10" s="11"/>
      <c r="B10" s="11"/>
      <c r="C10" s="11"/>
      <c r="D10" s="11"/>
      <c r="E10" s="11" t="s">
        <v>8</v>
      </c>
      <c r="F10" s="11"/>
      <c r="G10" s="11" t="s">
        <v>8</v>
      </c>
      <c r="H10" s="12">
        <v>19775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26">
        <v>0</v>
      </c>
      <c r="O10" s="12">
        <v>40</v>
      </c>
      <c r="P10" s="12">
        <f t="shared" si="0"/>
        <v>19815</v>
      </c>
      <c r="Q10" s="12" t="e">
        <f>_xlfn.XLOOKUP(#REF!,'[1]2022'!$C$4:$C$56,'[1]2022'!$AC$4:$AC$56)</f>
        <v>#REF!</v>
      </c>
      <c r="R10" s="12">
        <v>0</v>
      </c>
      <c r="S10" s="14">
        <v>0</v>
      </c>
      <c r="T10" s="14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4">
        <v>0</v>
      </c>
      <c r="AA10" s="13">
        <f t="shared" si="1"/>
        <v>0</v>
      </c>
      <c r="AB10" s="13">
        <f t="shared" si="2"/>
        <v>0</v>
      </c>
      <c r="AC10" s="10"/>
      <c r="AD10" s="10"/>
    </row>
    <row r="11" spans="1:30" x14ac:dyDescent="0.4">
      <c r="A11" s="11"/>
      <c r="B11" s="11"/>
      <c r="C11" s="11"/>
      <c r="D11" s="11" t="s">
        <v>8</v>
      </c>
      <c r="E11" s="11"/>
      <c r="F11" s="11"/>
      <c r="G11" s="11" t="s">
        <v>8</v>
      </c>
      <c r="H11" s="12">
        <v>59709.48</v>
      </c>
      <c r="I11" s="12">
        <v>0</v>
      </c>
      <c r="J11" s="12">
        <v>1197.8399999999999</v>
      </c>
      <c r="K11" s="12">
        <v>0</v>
      </c>
      <c r="L11" s="12">
        <v>0</v>
      </c>
      <c r="M11" s="12">
        <v>1600</v>
      </c>
      <c r="N11" s="26">
        <v>0</v>
      </c>
      <c r="O11" s="12">
        <v>43.83</v>
      </c>
      <c r="P11" s="12">
        <f t="shared" si="0"/>
        <v>62551.15</v>
      </c>
      <c r="Q11" s="12" t="e">
        <f>_xlfn.XLOOKUP(#REF!,'[1]2022'!$C$4:$C$56,'[1]2022'!$AC$4:$AC$56)</f>
        <v>#REF!</v>
      </c>
      <c r="R11" s="12">
        <v>0</v>
      </c>
      <c r="S11" s="14">
        <v>7263.9800000000005</v>
      </c>
      <c r="T11" s="14">
        <v>807.22</v>
      </c>
      <c r="U11" s="12">
        <v>0</v>
      </c>
      <c r="V11" s="12">
        <v>222.6</v>
      </c>
      <c r="W11" s="12">
        <v>153.76</v>
      </c>
      <c r="X11" s="12">
        <v>296.88</v>
      </c>
      <c r="Y11" s="12">
        <v>14840.88</v>
      </c>
      <c r="Z11" s="14">
        <v>1194.1300000000001</v>
      </c>
      <c r="AA11" s="13">
        <f t="shared" si="1"/>
        <v>23749.629999999997</v>
      </c>
      <c r="AB11" s="13">
        <f t="shared" si="2"/>
        <v>1029.82</v>
      </c>
      <c r="AC11" s="10"/>
      <c r="AD11" s="10"/>
    </row>
    <row r="12" spans="1:30" x14ac:dyDescent="0.4">
      <c r="A12" s="11"/>
      <c r="B12" s="11" t="s">
        <v>8</v>
      </c>
      <c r="C12" s="11"/>
      <c r="D12" s="11" t="s">
        <v>8</v>
      </c>
      <c r="E12" s="11"/>
      <c r="F12" s="11"/>
      <c r="G12" s="11" t="s">
        <v>8</v>
      </c>
      <c r="H12" s="12">
        <v>16442.63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26">
        <v>0</v>
      </c>
      <c r="O12" s="12">
        <v>927.06999999999994</v>
      </c>
      <c r="P12" s="12">
        <f t="shared" si="0"/>
        <v>17369.7</v>
      </c>
      <c r="Q12" s="12" t="e">
        <f>_xlfn.XLOOKUP(#REF!,'[1]2022'!$C$4:$C$56,'[1]2022'!$AC$4:$AC$56)</f>
        <v>#REF!</v>
      </c>
      <c r="R12" s="12">
        <v>0</v>
      </c>
      <c r="S12" s="14">
        <v>0</v>
      </c>
      <c r="T12" s="14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4">
        <v>0</v>
      </c>
      <c r="AA12" s="13">
        <f t="shared" si="1"/>
        <v>0</v>
      </c>
      <c r="AB12" s="13">
        <f t="shared" si="2"/>
        <v>0</v>
      </c>
      <c r="AC12" s="10"/>
      <c r="AD12" s="10"/>
    </row>
    <row r="13" spans="1:30" x14ac:dyDescent="0.4">
      <c r="A13" s="11"/>
      <c r="B13" s="11"/>
      <c r="C13" s="11"/>
      <c r="D13" s="11" t="s">
        <v>8</v>
      </c>
      <c r="E13" s="11"/>
      <c r="F13" s="11"/>
      <c r="G13" s="11" t="s">
        <v>8</v>
      </c>
      <c r="H13" s="12">
        <v>51983.630000000005</v>
      </c>
      <c r="I13" s="12">
        <v>2079.4899999999998</v>
      </c>
      <c r="J13" s="12">
        <v>0</v>
      </c>
      <c r="K13" s="12">
        <v>5000.0600000000004</v>
      </c>
      <c r="L13" s="12">
        <v>0</v>
      </c>
      <c r="M13" s="12">
        <v>0</v>
      </c>
      <c r="N13" s="26">
        <v>0</v>
      </c>
      <c r="O13" s="12">
        <v>1302.8399999999999</v>
      </c>
      <c r="P13" s="12">
        <f t="shared" si="0"/>
        <v>60366.02</v>
      </c>
      <c r="Q13" s="12" t="e">
        <f>_xlfn.XLOOKUP(#REF!,'[1]2022'!$C$4:$C$56,'[1]2022'!$AC$4:$AC$56)</f>
        <v>#REF!</v>
      </c>
      <c r="R13" s="12">
        <v>0</v>
      </c>
      <c r="S13" s="14">
        <v>15793.820000000003</v>
      </c>
      <c r="T13" s="14">
        <v>1754.98</v>
      </c>
      <c r="U13" s="12">
        <v>674.28</v>
      </c>
      <c r="V13" s="12">
        <v>222.6</v>
      </c>
      <c r="W13" s="12">
        <v>130.72</v>
      </c>
      <c r="X13" s="12">
        <v>251.04000000000002</v>
      </c>
      <c r="Y13" s="12">
        <v>0</v>
      </c>
      <c r="Z13" s="14">
        <v>6940.01</v>
      </c>
      <c r="AA13" s="13">
        <f t="shared" si="1"/>
        <v>23115.590000000004</v>
      </c>
      <c r="AB13" s="13">
        <f t="shared" si="2"/>
        <v>2651.86</v>
      </c>
      <c r="AC13" s="10"/>
      <c r="AD13" s="10"/>
    </row>
    <row r="14" spans="1:30" x14ac:dyDescent="0.4">
      <c r="E14" s="5" t="s">
        <v>8</v>
      </c>
      <c r="G14" s="5" t="s">
        <v>8</v>
      </c>
      <c r="H14" s="14">
        <v>31521.61</v>
      </c>
      <c r="I14" s="14">
        <v>98.52</v>
      </c>
      <c r="J14" s="14">
        <v>0</v>
      </c>
      <c r="K14" s="14">
        <v>0</v>
      </c>
      <c r="L14" s="14">
        <v>0</v>
      </c>
      <c r="M14" s="14">
        <v>0</v>
      </c>
      <c r="N14" s="25">
        <v>0</v>
      </c>
      <c r="O14" s="14">
        <v>0</v>
      </c>
      <c r="P14" s="14">
        <f t="shared" si="0"/>
        <v>31620.13</v>
      </c>
      <c r="Q14" s="14" t="e">
        <f>_xlfn.XLOOKUP(#REF!,'[1]2022'!$C$4:$C$56,'[1]2022'!$AC$4:$AC$56)</f>
        <v>#REF!</v>
      </c>
      <c r="R14" s="14">
        <v>0</v>
      </c>
      <c r="S14" s="14">
        <v>11648.3</v>
      </c>
      <c r="T14" s="14">
        <v>1294.3399999999999</v>
      </c>
      <c r="U14" s="14">
        <v>396.02</v>
      </c>
      <c r="V14" s="14">
        <v>101.04</v>
      </c>
      <c r="W14" s="14">
        <v>44.22</v>
      </c>
      <c r="X14" s="14">
        <v>132.93</v>
      </c>
      <c r="Y14" s="14">
        <v>0</v>
      </c>
      <c r="Z14" s="14">
        <v>3763.38</v>
      </c>
      <c r="AA14" s="13">
        <f t="shared" si="1"/>
        <v>15588.83</v>
      </c>
      <c r="AB14" s="13">
        <f t="shared" si="2"/>
        <v>1791.3999999999999</v>
      </c>
      <c r="AC14" s="10"/>
      <c r="AD14" s="10"/>
    </row>
    <row r="15" spans="1:30" x14ac:dyDescent="0.4">
      <c r="A15" s="11"/>
      <c r="B15" s="11"/>
      <c r="C15" s="11"/>
      <c r="D15" s="11"/>
      <c r="E15" s="11" t="s">
        <v>8</v>
      </c>
      <c r="F15" s="11" t="s">
        <v>8</v>
      </c>
      <c r="G15" s="11"/>
      <c r="H15" s="12">
        <v>87426.16</v>
      </c>
      <c r="I15" s="12">
        <v>25430.25</v>
      </c>
      <c r="J15" s="12">
        <v>0</v>
      </c>
      <c r="K15" s="12">
        <v>0</v>
      </c>
      <c r="L15" s="12">
        <v>0</v>
      </c>
      <c r="M15" s="12">
        <v>0</v>
      </c>
      <c r="N15" s="26">
        <v>0</v>
      </c>
      <c r="O15" s="12">
        <v>1270</v>
      </c>
      <c r="P15" s="12">
        <f t="shared" si="0"/>
        <v>114126.41</v>
      </c>
      <c r="Q15" s="12" t="e">
        <f>_xlfn.XLOOKUP(#REF!,'[1]2022'!$C$4:$C$56,'[1]2022'!$AC$4:$AC$56)</f>
        <v>#REF!</v>
      </c>
      <c r="R15" s="12">
        <v>0</v>
      </c>
      <c r="S15" s="14">
        <v>23243.040000000001</v>
      </c>
      <c r="T15" s="14">
        <v>3473.28</v>
      </c>
      <c r="U15" s="12">
        <v>594.12</v>
      </c>
      <c r="V15" s="12">
        <v>151.56</v>
      </c>
      <c r="W15" s="12">
        <v>223.04</v>
      </c>
      <c r="X15" s="12">
        <v>434.52</v>
      </c>
      <c r="Y15" s="12">
        <v>0</v>
      </c>
      <c r="Z15" s="14">
        <v>13435.11</v>
      </c>
      <c r="AA15" s="13">
        <f t="shared" si="1"/>
        <v>37335.71</v>
      </c>
      <c r="AB15" s="13">
        <f t="shared" si="2"/>
        <v>4218.96</v>
      </c>
      <c r="AC15" s="10"/>
      <c r="AD15" s="10"/>
    </row>
    <row r="16" spans="1:30" x14ac:dyDescent="0.4">
      <c r="A16" s="11"/>
      <c r="B16" s="11" t="s">
        <v>8</v>
      </c>
      <c r="C16" s="11"/>
      <c r="D16" s="11" t="s">
        <v>8</v>
      </c>
      <c r="E16" s="11"/>
      <c r="F16" s="11"/>
      <c r="G16" s="11" t="s">
        <v>8</v>
      </c>
      <c r="H16" s="12">
        <v>119377.62</v>
      </c>
      <c r="I16" s="12">
        <v>5764.95</v>
      </c>
      <c r="J16" s="12">
        <v>2437.08</v>
      </c>
      <c r="K16" s="12">
        <v>5000.0600000000004</v>
      </c>
      <c r="L16" s="12">
        <v>2720.47</v>
      </c>
      <c r="M16" s="12">
        <v>0</v>
      </c>
      <c r="N16" s="26">
        <v>0</v>
      </c>
      <c r="O16" s="12">
        <f>1302.24+650</f>
        <v>1952.24</v>
      </c>
      <c r="P16" s="12">
        <f t="shared" si="0"/>
        <v>137252.41999999998</v>
      </c>
      <c r="Q16" s="12" t="e">
        <f>_xlfn.XLOOKUP(#REF!,'[1]2022'!$C$4:$C$56,'[1]2022'!$AC$4:$AC$56)</f>
        <v>#REF!</v>
      </c>
      <c r="R16" s="12">
        <v>0</v>
      </c>
      <c r="S16" s="14">
        <v>24044.54</v>
      </c>
      <c r="T16" s="14">
        <v>2671.78</v>
      </c>
      <c r="U16" s="12">
        <v>1098.72</v>
      </c>
      <c r="V16" s="14">
        <v>222.6</v>
      </c>
      <c r="W16" s="12">
        <v>289.60000000000002</v>
      </c>
      <c r="X16" s="12">
        <v>564.84</v>
      </c>
      <c r="Y16" s="12">
        <v>28145.4</v>
      </c>
      <c r="Z16" s="14">
        <v>2657.25</v>
      </c>
      <c r="AA16" s="13">
        <f t="shared" si="1"/>
        <v>55701.630000000005</v>
      </c>
      <c r="AB16" s="13">
        <f t="shared" si="2"/>
        <v>3993.1</v>
      </c>
      <c r="AC16" s="13"/>
      <c r="AD16" s="10"/>
    </row>
    <row r="17" spans="1:30" x14ac:dyDescent="0.4">
      <c r="A17" s="11"/>
      <c r="B17" s="11"/>
      <c r="C17" s="11"/>
      <c r="D17" s="11" t="s">
        <v>8</v>
      </c>
      <c r="E17" s="11"/>
      <c r="F17" s="11"/>
      <c r="G17" s="11" t="s">
        <v>8</v>
      </c>
      <c r="H17" s="12">
        <f>60523.43-L17</f>
        <v>60070.93</v>
      </c>
      <c r="I17" s="12">
        <v>0</v>
      </c>
      <c r="J17" s="12">
        <v>1195.1600000000001</v>
      </c>
      <c r="K17" s="12">
        <v>5000.0600000000004</v>
      </c>
      <c r="L17" s="12">
        <v>452.5</v>
      </c>
      <c r="M17" s="12">
        <v>0</v>
      </c>
      <c r="N17" s="26">
        <v>0</v>
      </c>
      <c r="O17" s="12">
        <v>1302.8399999999999</v>
      </c>
      <c r="P17" s="12">
        <f t="shared" si="0"/>
        <v>68021.490000000005</v>
      </c>
      <c r="Q17" s="12" t="e">
        <f>_xlfn.XLOOKUP(#REF!,'[1]2022'!$C$4:$C$56,'[1]2022'!$AC$4:$AC$56)</f>
        <v>#REF!</v>
      </c>
      <c r="R17" s="12">
        <v>0</v>
      </c>
      <c r="S17" s="14">
        <v>17472.5</v>
      </c>
      <c r="T17" s="14">
        <v>1941.46</v>
      </c>
      <c r="U17" s="12">
        <v>594.12</v>
      </c>
      <c r="V17" s="12">
        <v>0</v>
      </c>
      <c r="W17" s="12">
        <v>153.76</v>
      </c>
      <c r="X17" s="12">
        <v>299.15999999999997</v>
      </c>
      <c r="Y17" s="12">
        <v>14984.28</v>
      </c>
      <c r="Z17" s="14">
        <v>1310.3800000000001</v>
      </c>
      <c r="AA17" s="13">
        <f t="shared" si="1"/>
        <v>34220.080000000002</v>
      </c>
      <c r="AB17" s="13">
        <f t="shared" si="2"/>
        <v>2535.58</v>
      </c>
      <c r="AC17" s="10"/>
      <c r="AD17" s="10"/>
    </row>
    <row r="18" spans="1:30" x14ac:dyDescent="0.4">
      <c r="A18" s="11"/>
      <c r="B18" s="11"/>
      <c r="C18" s="11"/>
      <c r="D18" s="11" t="s">
        <v>8</v>
      </c>
      <c r="E18" s="11"/>
      <c r="F18" s="11"/>
      <c r="G18" s="11" t="s">
        <v>8</v>
      </c>
      <c r="H18" s="12">
        <v>51728.479999999996</v>
      </c>
      <c r="I18" s="12">
        <v>371.1</v>
      </c>
      <c r="J18" s="12">
        <v>0</v>
      </c>
      <c r="K18" s="12">
        <v>5000.0600000000004</v>
      </c>
      <c r="L18" s="12">
        <v>0</v>
      </c>
      <c r="M18" s="12">
        <v>0</v>
      </c>
      <c r="N18" s="26">
        <v>0</v>
      </c>
      <c r="O18" s="12">
        <v>5350.26</v>
      </c>
      <c r="P18" s="12">
        <f t="shared" si="0"/>
        <v>62449.899999999994</v>
      </c>
      <c r="Q18" s="12" t="e">
        <f>_xlfn.XLOOKUP(#REF!,'[1]2022'!$C$4:$C$56,'[1]2022'!$AC$4:$AC$56)</f>
        <v>#REF!</v>
      </c>
      <c r="R18" s="12">
        <v>0</v>
      </c>
      <c r="S18" s="14">
        <v>0</v>
      </c>
      <c r="T18" s="14">
        <v>0</v>
      </c>
      <c r="U18" s="12">
        <v>0</v>
      </c>
      <c r="V18" s="12">
        <v>0</v>
      </c>
      <c r="W18" s="12">
        <v>133.28</v>
      </c>
      <c r="X18" s="12">
        <v>257.52</v>
      </c>
      <c r="Y18" s="12">
        <v>0</v>
      </c>
      <c r="Z18" s="14">
        <v>6721.65</v>
      </c>
      <c r="AA18" s="13">
        <f t="shared" si="1"/>
        <v>7112.45</v>
      </c>
      <c r="AB18" s="13">
        <f t="shared" si="2"/>
        <v>0</v>
      </c>
      <c r="AC18" s="10"/>
      <c r="AD18" s="10"/>
    </row>
    <row r="19" spans="1:30" x14ac:dyDescent="0.4">
      <c r="A19" s="11"/>
      <c r="B19" s="11"/>
      <c r="C19" s="11" t="s">
        <v>8</v>
      </c>
      <c r="D19" s="11" t="s">
        <v>8</v>
      </c>
      <c r="E19" s="11"/>
      <c r="F19" s="11"/>
      <c r="G19" s="11" t="s">
        <v>8</v>
      </c>
      <c r="H19" s="12">
        <v>97184.91</v>
      </c>
      <c r="I19" s="12">
        <v>0</v>
      </c>
      <c r="J19" s="12">
        <v>0</v>
      </c>
      <c r="K19" s="12">
        <v>5000.0600000000004</v>
      </c>
      <c r="L19" s="12">
        <v>1485.44</v>
      </c>
      <c r="M19" s="12">
        <v>5000</v>
      </c>
      <c r="N19" s="26">
        <v>0</v>
      </c>
      <c r="O19" s="12">
        <v>1952.84</v>
      </c>
      <c r="P19" s="12">
        <f t="shared" si="0"/>
        <v>110623.25</v>
      </c>
      <c r="Q19" s="12" t="e">
        <f>_xlfn.XLOOKUP(#REF!,'[1]2022'!$C$4:$C$56,'[1]2022'!$AC$4:$AC$56)</f>
        <v>#REF!</v>
      </c>
      <c r="R19" s="12">
        <v>0</v>
      </c>
      <c r="S19" s="14">
        <v>17472.5</v>
      </c>
      <c r="T19" s="14">
        <v>1941.46</v>
      </c>
      <c r="U19" s="12">
        <v>0</v>
      </c>
      <c r="V19" s="12">
        <v>0</v>
      </c>
      <c r="W19" s="12">
        <v>248.64</v>
      </c>
      <c r="X19" s="12">
        <v>483.24</v>
      </c>
      <c r="Y19" s="12">
        <v>0</v>
      </c>
      <c r="Z19" s="14">
        <v>2073.4299999999998</v>
      </c>
      <c r="AA19" s="13">
        <f t="shared" si="1"/>
        <v>20277.810000000001</v>
      </c>
      <c r="AB19" s="13">
        <f t="shared" si="2"/>
        <v>1941.46</v>
      </c>
      <c r="AC19" s="13"/>
      <c r="AD19" s="10"/>
    </row>
    <row r="20" spans="1:30" x14ac:dyDescent="0.4">
      <c r="E20" s="5" t="s">
        <v>8</v>
      </c>
      <c r="F20" s="5" t="s">
        <v>8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25">
        <v>0</v>
      </c>
      <c r="O20" s="14">
        <v>0</v>
      </c>
      <c r="P20" s="14">
        <f t="shared" si="0"/>
        <v>0</v>
      </c>
      <c r="Q20" s="14" t="e">
        <f>_xlfn.XLOOKUP(#REF!,'[1]2022'!$C$4:$C$56,'[1]2022'!$AC$4:$AC$56)</f>
        <v>#REF!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3">
        <f t="shared" si="1"/>
        <v>0</v>
      </c>
      <c r="AB20" s="13">
        <f t="shared" si="2"/>
        <v>0</v>
      </c>
      <c r="AC20" s="10"/>
      <c r="AD20" s="10"/>
    </row>
    <row r="21" spans="1:30" x14ac:dyDescent="0.4">
      <c r="A21" s="11"/>
      <c r="B21" s="11"/>
      <c r="C21" s="11"/>
      <c r="D21" s="11"/>
      <c r="E21" s="11" t="s">
        <v>8</v>
      </c>
      <c r="F21" s="11"/>
      <c r="G21" s="11" t="s">
        <v>8</v>
      </c>
      <c r="H21" s="12">
        <v>45434.79</v>
      </c>
      <c r="I21" s="12">
        <v>263.37</v>
      </c>
      <c r="J21" s="12">
        <v>0</v>
      </c>
      <c r="K21" s="12">
        <v>0</v>
      </c>
      <c r="L21" s="12">
        <v>0</v>
      </c>
      <c r="M21" s="12">
        <v>0</v>
      </c>
      <c r="N21" s="26">
        <v>0</v>
      </c>
      <c r="O21" s="12">
        <v>52.65</v>
      </c>
      <c r="P21" s="12">
        <f t="shared" si="0"/>
        <v>45750.810000000005</v>
      </c>
      <c r="Q21" s="12" t="e">
        <f>_xlfn.XLOOKUP(#REF!,'[1]2022'!$C$4:$C$56,'[1]2022'!$AC$4:$AC$56)</f>
        <v>#REF!</v>
      </c>
      <c r="R21" s="12">
        <v>0</v>
      </c>
      <c r="S21" s="14">
        <v>15793.820000000003</v>
      </c>
      <c r="T21" s="14">
        <v>1754.98</v>
      </c>
      <c r="U21" s="12">
        <v>674.28</v>
      </c>
      <c r="V21" s="12">
        <v>151.56</v>
      </c>
      <c r="W21" s="12">
        <v>117.92</v>
      </c>
      <c r="X21" s="12">
        <v>226.20000000000002</v>
      </c>
      <c r="Y21" s="12">
        <v>0</v>
      </c>
      <c r="Z21" s="14">
        <v>5379.52</v>
      </c>
      <c r="AA21" s="13">
        <f t="shared" si="1"/>
        <v>21517.460000000003</v>
      </c>
      <c r="AB21" s="13">
        <f t="shared" si="2"/>
        <v>2580.8200000000002</v>
      </c>
      <c r="AC21" s="10"/>
      <c r="AD21" s="10"/>
    </row>
    <row r="22" spans="1:30" x14ac:dyDescent="0.4">
      <c r="D22" s="5" t="s">
        <v>8</v>
      </c>
      <c r="G22" s="5" t="s">
        <v>8</v>
      </c>
      <c r="H22" s="14">
        <v>1442.56</v>
      </c>
      <c r="I22" s="14">
        <v>0</v>
      </c>
      <c r="J22" s="14">
        <v>0</v>
      </c>
      <c r="K22" s="14">
        <v>0</v>
      </c>
      <c r="L22" s="14"/>
      <c r="M22" s="14">
        <v>0</v>
      </c>
      <c r="N22" s="25">
        <v>0</v>
      </c>
      <c r="O22" s="14">
        <v>0</v>
      </c>
      <c r="P22" s="14">
        <f t="shared" si="0"/>
        <v>1442.56</v>
      </c>
      <c r="Q22" s="14" t="e">
        <f>_xlfn.XLOOKUP(#REF!,'[1]2022'!$C$4:$C$56,'[1]2022'!$AC$4:$AC$56)</f>
        <v>#REF!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3">
        <f t="shared" si="1"/>
        <v>0</v>
      </c>
      <c r="AB22" s="13">
        <f t="shared" si="2"/>
        <v>0</v>
      </c>
      <c r="AC22" s="10"/>
      <c r="AD22" s="10"/>
    </row>
    <row r="23" spans="1:30" x14ac:dyDescent="0.4">
      <c r="E23" s="5" t="s">
        <v>8</v>
      </c>
      <c r="G23" s="5" t="s">
        <v>8</v>
      </c>
      <c r="H23" s="14">
        <v>0</v>
      </c>
      <c r="I23" s="14">
        <v>0</v>
      </c>
      <c r="J23" s="14">
        <v>0</v>
      </c>
      <c r="K23" s="14">
        <v>0</v>
      </c>
      <c r="L23" s="14"/>
      <c r="M23" s="14">
        <v>0</v>
      </c>
      <c r="N23" s="25">
        <v>0</v>
      </c>
      <c r="O23" s="14">
        <v>0</v>
      </c>
      <c r="P23" s="14">
        <f t="shared" si="0"/>
        <v>0</v>
      </c>
      <c r="Q23" s="14" t="e">
        <f>_xlfn.XLOOKUP(#REF!,'[1]2022'!$C$4:$C$56,'[1]2022'!$AC$4:$AC$56)</f>
        <v>#REF!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3">
        <f t="shared" si="1"/>
        <v>0</v>
      </c>
      <c r="AB23" s="13">
        <f t="shared" si="2"/>
        <v>0</v>
      </c>
      <c r="AC23" s="10"/>
      <c r="AD23" s="10"/>
    </row>
    <row r="24" spans="1:30" x14ac:dyDescent="0.4">
      <c r="A24" s="11"/>
      <c r="B24" s="11"/>
      <c r="C24" s="11"/>
      <c r="D24" s="11"/>
      <c r="E24" s="11" t="s">
        <v>8</v>
      </c>
      <c r="F24" s="11"/>
      <c r="G24" s="11" t="s">
        <v>8</v>
      </c>
      <c r="H24" s="12">
        <v>47294.600000000006</v>
      </c>
      <c r="I24" s="12">
        <v>2182.67</v>
      </c>
      <c r="J24" s="12">
        <v>0</v>
      </c>
      <c r="K24" s="12">
        <v>0</v>
      </c>
      <c r="L24" s="12">
        <v>0</v>
      </c>
      <c r="M24" s="12">
        <v>0</v>
      </c>
      <c r="N24" s="26">
        <v>0</v>
      </c>
      <c r="O24" s="12">
        <v>3228.88</v>
      </c>
      <c r="P24" s="12">
        <f t="shared" si="0"/>
        <v>52706.15</v>
      </c>
      <c r="Q24" s="12" t="e">
        <f>_xlfn.XLOOKUP(#REF!,'[1]2022'!$C$4:$C$56,'[1]2022'!$AC$4:$AC$56)</f>
        <v>#REF!</v>
      </c>
      <c r="R24" s="12">
        <v>0</v>
      </c>
      <c r="S24" s="14">
        <v>0</v>
      </c>
      <c r="T24" s="14">
        <v>0</v>
      </c>
      <c r="U24" s="12">
        <v>0</v>
      </c>
      <c r="V24" s="12">
        <v>0</v>
      </c>
      <c r="W24" s="12">
        <v>120.48</v>
      </c>
      <c r="X24" s="12">
        <v>235.20000000000002</v>
      </c>
      <c r="Y24" s="12">
        <v>0</v>
      </c>
      <c r="Z24" s="14">
        <v>5937.23</v>
      </c>
      <c r="AA24" s="13">
        <f t="shared" si="1"/>
        <v>6292.9099999999989</v>
      </c>
      <c r="AB24" s="13">
        <f t="shared" si="2"/>
        <v>0</v>
      </c>
      <c r="AC24" s="10"/>
      <c r="AD24" s="10"/>
    </row>
    <row r="25" spans="1:30" x14ac:dyDescent="0.4">
      <c r="A25" s="11"/>
      <c r="B25" s="11"/>
      <c r="C25" s="11"/>
      <c r="D25" s="11"/>
      <c r="E25" s="11" t="s">
        <v>8</v>
      </c>
      <c r="F25" s="11" t="s">
        <v>8</v>
      </c>
      <c r="G25" s="11"/>
      <c r="H25" s="12">
        <v>76049.919999999998</v>
      </c>
      <c r="I25" s="12">
        <v>27686.92</v>
      </c>
      <c r="J25" s="12">
        <v>0</v>
      </c>
      <c r="K25" s="12">
        <v>0</v>
      </c>
      <c r="M25" s="12">
        <v>0</v>
      </c>
      <c r="N25" s="26">
        <v>0</v>
      </c>
      <c r="O25" s="12">
        <v>1270</v>
      </c>
      <c r="P25" s="12">
        <f t="shared" si="0"/>
        <v>105006.84</v>
      </c>
      <c r="Q25" s="12" t="e">
        <f>_xlfn.XLOOKUP(#REF!,'[1]2022'!$C$4:$C$56,'[1]2022'!$AC$4:$AC$56)</f>
        <v>#REF!</v>
      </c>
      <c r="R25" s="12">
        <v>0</v>
      </c>
      <c r="S25" s="14">
        <v>23243.040000000001</v>
      </c>
      <c r="T25" s="14">
        <v>3473.28</v>
      </c>
      <c r="U25" s="12">
        <v>1098.72</v>
      </c>
      <c r="V25" s="12">
        <v>222.6</v>
      </c>
      <c r="W25" s="12">
        <v>192.24</v>
      </c>
      <c r="X25" s="12">
        <v>372.84000000000003</v>
      </c>
      <c r="Y25" s="12">
        <v>0</v>
      </c>
      <c r="Z25" s="14">
        <v>12448.39</v>
      </c>
      <c r="AA25" s="13">
        <f t="shared" si="1"/>
        <v>36256.509999999995</v>
      </c>
      <c r="AB25" s="13">
        <f t="shared" si="2"/>
        <v>4794.6000000000004</v>
      </c>
      <c r="AC25" s="10"/>
      <c r="AD25" s="10"/>
    </row>
    <row r="26" spans="1:30" x14ac:dyDescent="0.4">
      <c r="A26" s="11"/>
      <c r="B26" s="11"/>
      <c r="C26" s="11"/>
      <c r="D26" s="11"/>
      <c r="E26" s="11" t="s">
        <v>8</v>
      </c>
      <c r="F26" s="11" t="s">
        <v>8</v>
      </c>
      <c r="G26" s="11"/>
      <c r="H26" s="12">
        <v>87051.08</v>
      </c>
      <c r="I26" s="12">
        <v>22172.37</v>
      </c>
      <c r="J26" s="12">
        <v>0</v>
      </c>
      <c r="K26" s="12">
        <v>0</v>
      </c>
      <c r="M26" s="12">
        <v>0</v>
      </c>
      <c r="N26" s="26">
        <v>0</v>
      </c>
      <c r="O26" s="12">
        <v>1270</v>
      </c>
      <c r="P26" s="12">
        <f t="shared" si="0"/>
        <v>110493.45</v>
      </c>
      <c r="Q26" s="12" t="e">
        <f>_xlfn.XLOOKUP(#REF!,'[1]2022'!$C$4:$C$56,'[1]2022'!$AC$4:$AC$56)</f>
        <v>#REF!</v>
      </c>
      <c r="R26" s="12">
        <v>0</v>
      </c>
      <c r="S26" s="14">
        <v>23243.040000000001</v>
      </c>
      <c r="T26" s="14">
        <v>3473.28</v>
      </c>
      <c r="U26" s="12">
        <v>1098.72</v>
      </c>
      <c r="V26" s="12">
        <v>222.6</v>
      </c>
      <c r="W26" s="12">
        <v>223.04</v>
      </c>
      <c r="X26" s="12">
        <v>434.52</v>
      </c>
      <c r="Y26" s="12">
        <v>0</v>
      </c>
      <c r="Z26" s="14">
        <v>12989.11</v>
      </c>
      <c r="AA26" s="13">
        <f t="shared" si="1"/>
        <v>36889.71</v>
      </c>
      <c r="AB26" s="13">
        <f t="shared" si="2"/>
        <v>4794.6000000000004</v>
      </c>
      <c r="AC26" s="13"/>
      <c r="AD26" s="10"/>
    </row>
    <row r="27" spans="1:30" x14ac:dyDescent="0.4">
      <c r="A27" s="11"/>
      <c r="B27" s="11" t="s">
        <v>8</v>
      </c>
      <c r="C27" s="11"/>
      <c r="D27" s="11" t="s">
        <v>8</v>
      </c>
      <c r="E27" s="11"/>
      <c r="F27" s="11"/>
      <c r="G27" s="11" t="s">
        <v>8</v>
      </c>
      <c r="H27" s="12">
        <f>92996.98-L27</f>
        <v>92061.39</v>
      </c>
      <c r="I27" s="12">
        <v>0</v>
      </c>
      <c r="J27" s="12">
        <v>0</v>
      </c>
      <c r="K27" s="12">
        <v>5000.0600000000004</v>
      </c>
      <c r="L27" s="12">
        <v>935.59</v>
      </c>
      <c r="M27" s="12">
        <v>0</v>
      </c>
      <c r="N27" s="26">
        <v>0</v>
      </c>
      <c r="O27" s="12">
        <v>1952.84</v>
      </c>
      <c r="P27" s="12">
        <f t="shared" si="0"/>
        <v>99949.87999999999</v>
      </c>
      <c r="Q27" s="12" t="e">
        <f>_xlfn.XLOOKUP(#REF!,'[1]2022'!$C$4:$C$56,'[1]2022'!$AC$4:$AC$56)</f>
        <v>#REF!</v>
      </c>
      <c r="R27" s="12">
        <v>0</v>
      </c>
      <c r="S27" s="14">
        <v>24044.54</v>
      </c>
      <c r="T27" s="14">
        <v>2671.78</v>
      </c>
      <c r="U27" s="12">
        <v>1098.72</v>
      </c>
      <c r="V27" s="12">
        <v>222.6</v>
      </c>
      <c r="W27" s="12">
        <v>202.48</v>
      </c>
      <c r="X27" s="12">
        <v>391.32</v>
      </c>
      <c r="Y27" s="12">
        <v>0</v>
      </c>
      <c r="Z27" s="14">
        <v>11561.55</v>
      </c>
      <c r="AA27" s="13">
        <f t="shared" si="1"/>
        <v>36199.89</v>
      </c>
      <c r="AB27" s="13">
        <f t="shared" si="2"/>
        <v>3993.1</v>
      </c>
      <c r="AC27" s="10"/>
      <c r="AD27" s="10"/>
    </row>
    <row r="28" spans="1:30" x14ac:dyDescent="0.4">
      <c r="A28" s="11"/>
      <c r="B28" s="11" t="s">
        <v>8</v>
      </c>
      <c r="C28" s="11"/>
      <c r="D28" s="11" t="s">
        <v>8</v>
      </c>
      <c r="E28" s="11"/>
      <c r="F28" s="11"/>
      <c r="G28" s="11" t="s">
        <v>8</v>
      </c>
      <c r="H28" s="12">
        <f>87508.16-L28</f>
        <v>86968.14</v>
      </c>
      <c r="I28" s="12">
        <v>0</v>
      </c>
      <c r="J28" s="12">
        <v>1744.68</v>
      </c>
      <c r="K28" s="12">
        <v>5000.0600000000004</v>
      </c>
      <c r="L28" s="12">
        <v>540.02</v>
      </c>
      <c r="M28" s="12">
        <v>2400</v>
      </c>
      <c r="N28" s="26">
        <v>0</v>
      </c>
      <c r="O28" s="12">
        <v>1342.84</v>
      </c>
      <c r="P28" s="12">
        <f t="shared" si="0"/>
        <v>97995.739999999991</v>
      </c>
      <c r="Q28" s="12" t="e">
        <f>_xlfn.XLOOKUP(#REF!,'[1]2022'!$C$4:$C$56,'[1]2022'!$AC$4:$AC$56)</f>
        <v>#REF!</v>
      </c>
      <c r="R28" s="12">
        <v>0</v>
      </c>
      <c r="S28" s="14">
        <v>7263.9800000000005</v>
      </c>
      <c r="T28" s="14">
        <v>807.22</v>
      </c>
      <c r="U28" s="12">
        <v>594.12</v>
      </c>
      <c r="V28" s="12">
        <v>151.56</v>
      </c>
      <c r="W28" s="12">
        <v>223.04</v>
      </c>
      <c r="X28" s="12">
        <v>432.36</v>
      </c>
      <c r="Y28" s="12">
        <v>0</v>
      </c>
      <c r="Z28" s="14">
        <v>1850.15</v>
      </c>
      <c r="AA28" s="13">
        <f t="shared" si="1"/>
        <v>9769.5300000000025</v>
      </c>
      <c r="AB28" s="13">
        <f t="shared" si="2"/>
        <v>1552.9</v>
      </c>
      <c r="AC28" s="10"/>
      <c r="AD28" s="10"/>
    </row>
    <row r="29" spans="1:30" x14ac:dyDescent="0.4">
      <c r="A29" s="11"/>
      <c r="B29" s="11"/>
      <c r="C29" s="11"/>
      <c r="D29" s="11"/>
      <c r="E29" s="11" t="s">
        <v>8</v>
      </c>
      <c r="F29" s="11"/>
      <c r="G29" s="11" t="s">
        <v>8</v>
      </c>
      <c r="H29" s="12">
        <v>58188.86</v>
      </c>
      <c r="I29" s="12">
        <v>314.8</v>
      </c>
      <c r="J29" s="12">
        <v>0</v>
      </c>
      <c r="K29" s="12">
        <v>0</v>
      </c>
      <c r="M29" s="12">
        <v>0</v>
      </c>
      <c r="N29" s="26">
        <v>0</v>
      </c>
      <c r="O29" s="12">
        <v>109.4</v>
      </c>
      <c r="P29" s="12">
        <f t="shared" si="0"/>
        <v>58613.060000000005</v>
      </c>
      <c r="Q29" s="12" t="e">
        <f>_xlfn.XLOOKUP(#REF!,'[1]2022'!$C$4:$C$56,'[1]2022'!$AC$4:$AC$56)</f>
        <v>#REF!</v>
      </c>
      <c r="R29" s="12">
        <v>0</v>
      </c>
      <c r="S29" s="14">
        <v>7263.9800000000005</v>
      </c>
      <c r="T29" s="14">
        <v>807.22</v>
      </c>
      <c r="U29" s="12">
        <v>594.12</v>
      </c>
      <c r="V29" s="12">
        <v>151.56</v>
      </c>
      <c r="W29" s="12">
        <v>148.63999999999999</v>
      </c>
      <c r="X29" s="12">
        <v>288.36</v>
      </c>
      <c r="Y29" s="12">
        <v>0</v>
      </c>
      <c r="Z29" s="14">
        <v>6886.65</v>
      </c>
      <c r="AA29" s="13">
        <f t="shared" si="1"/>
        <v>14587.630000000001</v>
      </c>
      <c r="AB29" s="13">
        <f t="shared" si="2"/>
        <v>1552.9</v>
      </c>
      <c r="AC29" s="10"/>
      <c r="AD29" s="10"/>
    </row>
    <row r="30" spans="1:30" x14ac:dyDescent="0.4">
      <c r="A30" s="11"/>
      <c r="B30" s="11"/>
      <c r="C30" s="11"/>
      <c r="D30" s="11"/>
      <c r="E30" s="11" t="s">
        <v>8</v>
      </c>
      <c r="F30" s="11" t="s">
        <v>8</v>
      </c>
      <c r="G30" s="11"/>
      <c r="H30" s="12">
        <v>87310.069999999992</v>
      </c>
      <c r="I30" s="12">
        <v>36567.58</v>
      </c>
      <c r="J30" s="12">
        <v>0</v>
      </c>
      <c r="K30" s="12">
        <v>0</v>
      </c>
      <c r="M30" s="12">
        <v>0</v>
      </c>
      <c r="N30" s="26">
        <v>0</v>
      </c>
      <c r="O30" s="12">
        <v>1270</v>
      </c>
      <c r="P30" s="12">
        <f t="shared" si="0"/>
        <v>125147.65</v>
      </c>
      <c r="Q30" s="12" t="e">
        <f>_xlfn.XLOOKUP(#REF!,'[1]2022'!$C$4:$C$56,'[1]2022'!$AC$4:$AC$56)</f>
        <v>#REF!</v>
      </c>
      <c r="R30" s="12">
        <v>0</v>
      </c>
      <c r="S30" s="14">
        <v>23243.040000000001</v>
      </c>
      <c r="T30" s="14">
        <v>3473.28</v>
      </c>
      <c r="U30" s="12">
        <v>1098.72</v>
      </c>
      <c r="V30" s="12">
        <v>0</v>
      </c>
      <c r="W30" s="12">
        <v>228.08</v>
      </c>
      <c r="X30" s="12">
        <v>444.96</v>
      </c>
      <c r="Y30" s="12">
        <v>0</v>
      </c>
      <c r="Z30" s="14">
        <v>14865.35</v>
      </c>
      <c r="AA30" s="13">
        <f t="shared" si="1"/>
        <v>38781.43</v>
      </c>
      <c r="AB30" s="13">
        <f t="shared" si="2"/>
        <v>4572</v>
      </c>
      <c r="AC30" s="10"/>
      <c r="AD30" s="10"/>
    </row>
    <row r="31" spans="1:30" x14ac:dyDescent="0.4">
      <c r="C31" s="5" t="s">
        <v>8</v>
      </c>
      <c r="D31" s="5" t="s">
        <v>8</v>
      </c>
      <c r="G31" s="5" t="s">
        <v>8</v>
      </c>
      <c r="H31" s="14">
        <v>38030.620000000003</v>
      </c>
      <c r="I31" s="14">
        <v>0</v>
      </c>
      <c r="J31" s="14">
        <v>0</v>
      </c>
      <c r="K31" s="14">
        <v>0</v>
      </c>
      <c r="L31" s="14"/>
      <c r="M31" s="14">
        <v>0</v>
      </c>
      <c r="N31" s="25">
        <v>0</v>
      </c>
      <c r="O31" s="14">
        <v>582.18999999999994</v>
      </c>
      <c r="P31" s="14">
        <f t="shared" si="0"/>
        <v>38612.810000000005</v>
      </c>
      <c r="Q31" s="14" t="e">
        <f>_xlfn.XLOOKUP(#REF!,'[1]2022'!$C$4:$C$56,'[1]2022'!$AC$4:$AC$56)</f>
        <v>#REF!</v>
      </c>
      <c r="R31" s="14">
        <v>0</v>
      </c>
      <c r="S31" s="14">
        <v>2421.2600000000002</v>
      </c>
      <c r="T31" s="14">
        <v>269.14</v>
      </c>
      <c r="U31" s="14">
        <v>99.8</v>
      </c>
      <c r="V31" s="14">
        <v>0</v>
      </c>
      <c r="W31" s="14">
        <v>110.24</v>
      </c>
      <c r="X31" s="14">
        <v>106.74</v>
      </c>
      <c r="Y31" s="14">
        <v>0</v>
      </c>
      <c r="Z31" s="14">
        <v>524.96</v>
      </c>
      <c r="AA31" s="13">
        <f t="shared" si="1"/>
        <v>3163.2</v>
      </c>
      <c r="AB31" s="13">
        <f t="shared" si="2"/>
        <v>368.94</v>
      </c>
      <c r="AC31" s="10"/>
      <c r="AD31" s="10"/>
    </row>
    <row r="32" spans="1:30" x14ac:dyDescent="0.4">
      <c r="A32" s="11"/>
      <c r="B32" s="11"/>
      <c r="C32" s="11"/>
      <c r="D32" s="11" t="s">
        <v>8</v>
      </c>
      <c r="E32" s="11"/>
      <c r="F32" s="11"/>
      <c r="G32" s="11" t="s">
        <v>8</v>
      </c>
      <c r="H32" s="12">
        <v>64996.399999999994</v>
      </c>
      <c r="I32" s="12">
        <v>0</v>
      </c>
      <c r="J32" s="12">
        <v>0</v>
      </c>
      <c r="K32" s="12">
        <v>0</v>
      </c>
      <c r="M32" s="12">
        <v>0</v>
      </c>
      <c r="N32" s="26">
        <v>0</v>
      </c>
      <c r="O32" s="12">
        <v>4781.72</v>
      </c>
      <c r="P32" s="12">
        <f t="shared" si="0"/>
        <v>69778.12</v>
      </c>
      <c r="Q32" s="12" t="e">
        <f>_xlfn.XLOOKUP(#REF!,'[1]2022'!$C$4:$C$56,'[1]2022'!$AC$4:$AC$56)</f>
        <v>#REF!</v>
      </c>
      <c r="R32" s="12">
        <v>0</v>
      </c>
      <c r="S32" s="14">
        <v>0</v>
      </c>
      <c r="T32" s="14">
        <v>0</v>
      </c>
      <c r="U32" s="12">
        <v>0</v>
      </c>
      <c r="V32" s="12">
        <v>0</v>
      </c>
      <c r="W32" s="12">
        <v>166.64</v>
      </c>
      <c r="X32" s="12">
        <v>322.68</v>
      </c>
      <c r="Y32" s="12">
        <v>0</v>
      </c>
      <c r="Z32" s="14">
        <v>7799.47</v>
      </c>
      <c r="AA32" s="13">
        <f t="shared" si="1"/>
        <v>8288.7900000000009</v>
      </c>
      <c r="AB32" s="13">
        <f t="shared" si="2"/>
        <v>0</v>
      </c>
      <c r="AC32" s="10"/>
      <c r="AD32" s="10"/>
    </row>
    <row r="33" spans="1:30" x14ac:dyDescent="0.4">
      <c r="A33" s="11" t="s">
        <v>8</v>
      </c>
      <c r="B33" s="11"/>
      <c r="C33" s="11"/>
      <c r="D33" s="11" t="s">
        <v>8</v>
      </c>
      <c r="E33" s="11"/>
      <c r="F33" s="11"/>
      <c r="G33" s="11" t="s">
        <v>8</v>
      </c>
      <c r="H33" s="12">
        <v>106154.41</v>
      </c>
      <c r="I33" s="12">
        <v>0</v>
      </c>
      <c r="J33" s="12">
        <v>0</v>
      </c>
      <c r="K33" s="12">
        <v>0</v>
      </c>
      <c r="M33" s="12">
        <v>0</v>
      </c>
      <c r="N33" s="26">
        <v>0</v>
      </c>
      <c r="O33" s="12">
        <v>1302.8399999999999</v>
      </c>
      <c r="P33" s="12">
        <f t="shared" si="0"/>
        <v>107457.25</v>
      </c>
      <c r="Q33" s="12" t="e">
        <f>_xlfn.XLOOKUP(#REF!,'[1]2022'!$C$4:$C$56,'[1]2022'!$AC$4:$AC$56)</f>
        <v>#REF!</v>
      </c>
      <c r="R33" s="12">
        <v>0</v>
      </c>
      <c r="S33" s="14">
        <v>7263.9800000000005</v>
      </c>
      <c r="T33" s="14">
        <v>807.22</v>
      </c>
      <c r="U33" s="12">
        <v>299.39999999999998</v>
      </c>
      <c r="V33" s="12">
        <v>79.8</v>
      </c>
      <c r="W33" s="12">
        <v>261.52</v>
      </c>
      <c r="X33" s="12">
        <v>505.56000000000006</v>
      </c>
      <c r="Y33" s="12">
        <v>0</v>
      </c>
      <c r="Z33" s="14">
        <v>4061.6</v>
      </c>
      <c r="AA33" s="13">
        <f t="shared" si="1"/>
        <v>12092.66</v>
      </c>
      <c r="AB33" s="13">
        <f t="shared" si="2"/>
        <v>1186.4199999999998</v>
      </c>
      <c r="AC33" s="10"/>
      <c r="AD33" s="10"/>
    </row>
    <row r="34" spans="1:30" x14ac:dyDescent="0.4">
      <c r="A34" s="11"/>
      <c r="B34" s="11"/>
      <c r="C34" s="11"/>
      <c r="D34" s="11"/>
      <c r="E34" s="11" t="s">
        <v>8</v>
      </c>
      <c r="F34" s="11"/>
      <c r="G34" s="11" t="s">
        <v>8</v>
      </c>
      <c r="H34" s="12">
        <v>0</v>
      </c>
      <c r="I34" s="12">
        <v>0</v>
      </c>
      <c r="J34" s="12">
        <v>0</v>
      </c>
      <c r="K34" s="12">
        <v>0</v>
      </c>
      <c r="M34" s="12">
        <v>0</v>
      </c>
      <c r="N34" s="26">
        <v>0</v>
      </c>
      <c r="O34" s="12">
        <v>0</v>
      </c>
      <c r="P34" s="12">
        <f t="shared" si="0"/>
        <v>0</v>
      </c>
      <c r="Q34" s="12" t="e">
        <f>_xlfn.XLOOKUP(#REF!,'[1]2022'!$C$4:$C$56,'[1]2022'!$AC$4:$AC$56)</f>
        <v>#REF!</v>
      </c>
      <c r="R34" s="12">
        <v>0</v>
      </c>
      <c r="S34" s="14">
        <v>0</v>
      </c>
      <c r="T34" s="14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4">
        <v>0</v>
      </c>
      <c r="AA34" s="13">
        <f t="shared" si="1"/>
        <v>0</v>
      </c>
      <c r="AB34" s="13">
        <f t="shared" si="2"/>
        <v>0</v>
      </c>
      <c r="AC34" s="10"/>
      <c r="AD34" s="10"/>
    </row>
    <row r="35" spans="1:30" x14ac:dyDescent="0.4">
      <c r="A35" s="11"/>
      <c r="B35" s="11"/>
      <c r="C35" s="11"/>
      <c r="D35" s="11"/>
      <c r="E35" s="11" t="s">
        <v>8</v>
      </c>
      <c r="F35" s="11" t="s">
        <v>8</v>
      </c>
      <c r="G35" s="11"/>
      <c r="H35" s="12">
        <v>83377.179999999993</v>
      </c>
      <c r="I35" s="12">
        <v>23555.63</v>
      </c>
      <c r="J35" s="12">
        <v>0</v>
      </c>
      <c r="K35" s="12">
        <v>0</v>
      </c>
      <c r="M35" s="12">
        <v>0</v>
      </c>
      <c r="N35" s="26">
        <v>0</v>
      </c>
      <c r="O35" s="12">
        <v>1270</v>
      </c>
      <c r="P35" s="12">
        <f t="shared" ref="P35:P55" si="3">SUM(H35:O35)</f>
        <v>108202.81</v>
      </c>
      <c r="Q35" s="12" t="e">
        <f>_xlfn.XLOOKUP(#REF!,'[1]2022'!$C$4:$C$56,'[1]2022'!$AC$4:$AC$56)</f>
        <v>#REF!</v>
      </c>
      <c r="R35" s="12">
        <v>0</v>
      </c>
      <c r="S35" s="14">
        <v>15267.340000000004</v>
      </c>
      <c r="T35" s="14">
        <v>2281.46</v>
      </c>
      <c r="U35" s="12">
        <v>674.28</v>
      </c>
      <c r="V35" s="12">
        <v>222.6</v>
      </c>
      <c r="W35" s="12">
        <v>240.96</v>
      </c>
      <c r="X35" s="12">
        <v>465.84000000000003</v>
      </c>
      <c r="Y35" s="12">
        <v>23383.88</v>
      </c>
      <c r="Z35" s="14">
        <v>2138.6799999999998</v>
      </c>
      <c r="AA35" s="13">
        <f t="shared" ref="AA35:AA55" si="4">S35+Z35+X35+W35+Y35</f>
        <v>41496.700000000004</v>
      </c>
      <c r="AB35" s="13">
        <f t="shared" ref="AB35:AB55" si="5">T35+U35+V35</f>
        <v>3178.3399999999997</v>
      </c>
      <c r="AC35" s="10"/>
      <c r="AD35" s="10"/>
    </row>
    <row r="36" spans="1:30" x14ac:dyDescent="0.4">
      <c r="A36" s="11"/>
      <c r="B36" s="11"/>
      <c r="C36" s="11"/>
      <c r="D36" s="11"/>
      <c r="E36" s="11" t="s">
        <v>8</v>
      </c>
      <c r="F36" s="11" t="s">
        <v>8</v>
      </c>
      <c r="G36" s="11"/>
      <c r="H36" s="12">
        <v>66520.570000000007</v>
      </c>
      <c r="I36" s="12">
        <f>13290.35+4242.84+2497.65</f>
        <v>20030.840000000004</v>
      </c>
      <c r="J36" s="12">
        <v>0</v>
      </c>
      <c r="K36" s="12">
        <v>0</v>
      </c>
      <c r="M36" s="12">
        <v>0</v>
      </c>
      <c r="N36" s="26">
        <v>0</v>
      </c>
      <c r="O36" s="12">
        <v>5348.88</v>
      </c>
      <c r="P36" s="12">
        <f t="shared" si="3"/>
        <v>91900.290000000008</v>
      </c>
      <c r="Q36" s="12" t="e">
        <f>_xlfn.XLOOKUP(#REF!,'[1]2022'!$C$4:$C$56,'[1]2022'!$AC$4:$AC$56)</f>
        <v>#REF!</v>
      </c>
      <c r="R36" s="12">
        <v>0</v>
      </c>
      <c r="S36" s="14">
        <v>0</v>
      </c>
      <c r="T36" s="14">
        <v>0</v>
      </c>
      <c r="U36" s="12">
        <v>0</v>
      </c>
      <c r="V36" s="12">
        <v>0</v>
      </c>
      <c r="W36" s="12">
        <v>182</v>
      </c>
      <c r="X36" s="12">
        <v>351.96</v>
      </c>
      <c r="Y36" s="12">
        <v>0</v>
      </c>
      <c r="Z36" s="14">
        <v>0</v>
      </c>
      <c r="AA36" s="13">
        <f t="shared" si="4"/>
        <v>533.96</v>
      </c>
      <c r="AB36" s="13">
        <f t="shared" si="5"/>
        <v>0</v>
      </c>
      <c r="AC36" s="10"/>
      <c r="AD36" s="10"/>
    </row>
    <row r="37" spans="1:30" x14ac:dyDescent="0.4">
      <c r="A37" s="11"/>
      <c r="B37" s="11"/>
      <c r="C37" s="11"/>
      <c r="D37" s="11"/>
      <c r="E37" s="11" t="s">
        <v>8</v>
      </c>
      <c r="F37" s="11" t="s">
        <v>8</v>
      </c>
      <c r="G37" s="11"/>
      <c r="H37" s="12">
        <v>69435.289999999994</v>
      </c>
      <c r="I37" s="12">
        <v>18430.68</v>
      </c>
      <c r="J37" s="12">
        <v>0</v>
      </c>
      <c r="K37" s="12">
        <v>0</v>
      </c>
      <c r="M37" s="12">
        <v>0</v>
      </c>
      <c r="N37" s="26">
        <v>0</v>
      </c>
      <c r="O37" s="12">
        <v>1756.75</v>
      </c>
      <c r="P37" s="12">
        <f t="shared" si="3"/>
        <v>89622.720000000001</v>
      </c>
      <c r="Q37" s="12" t="e">
        <f>_xlfn.XLOOKUP(#REF!,'[1]2022'!$C$4:$C$56,'[1]2022'!$AC$4:$AC$56)</f>
        <v>#REF!</v>
      </c>
      <c r="R37" s="12">
        <v>0</v>
      </c>
      <c r="S37" s="14">
        <v>23243.040000000001</v>
      </c>
      <c r="T37" s="14">
        <v>3473.28</v>
      </c>
      <c r="U37" s="12">
        <v>0</v>
      </c>
      <c r="V37" s="12">
        <v>0</v>
      </c>
      <c r="W37" s="12">
        <v>176.88</v>
      </c>
      <c r="X37" s="12">
        <v>341.52</v>
      </c>
      <c r="Y37" s="12">
        <v>0</v>
      </c>
      <c r="Z37" s="14">
        <v>10448.44</v>
      </c>
      <c r="AA37" s="13">
        <f t="shared" si="4"/>
        <v>34209.879999999997</v>
      </c>
      <c r="AB37" s="13">
        <f t="shared" si="5"/>
        <v>3473.28</v>
      </c>
      <c r="AC37" s="10"/>
      <c r="AD37" s="10"/>
    </row>
    <row r="38" spans="1:30" x14ac:dyDescent="0.4">
      <c r="A38" s="11"/>
      <c r="B38" s="11"/>
      <c r="C38" s="11"/>
      <c r="D38" s="11" t="s">
        <v>8</v>
      </c>
      <c r="E38" s="11"/>
      <c r="F38" s="11"/>
      <c r="G38" s="11" t="s">
        <v>8</v>
      </c>
      <c r="H38" s="12">
        <v>0</v>
      </c>
      <c r="I38" s="12">
        <v>0</v>
      </c>
      <c r="J38" s="12">
        <v>0</v>
      </c>
      <c r="K38" s="12">
        <v>0</v>
      </c>
      <c r="M38" s="12">
        <v>0</v>
      </c>
      <c r="N38" s="26">
        <v>0</v>
      </c>
      <c r="O38" s="12">
        <v>0</v>
      </c>
      <c r="P38" s="12">
        <f t="shared" si="3"/>
        <v>0</v>
      </c>
      <c r="Q38" s="12" t="e">
        <f>_xlfn.XLOOKUP(#REF!,'[1]2022'!$C$4:$C$56,'[1]2022'!$AC$4:$AC$56)</f>
        <v>#REF!</v>
      </c>
      <c r="R38" s="12">
        <v>0</v>
      </c>
      <c r="S38" s="14">
        <v>0</v>
      </c>
      <c r="T38" s="14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4">
        <v>0</v>
      </c>
      <c r="AA38" s="13">
        <f t="shared" si="4"/>
        <v>0</v>
      </c>
      <c r="AB38" s="13">
        <f t="shared" si="5"/>
        <v>0</v>
      </c>
      <c r="AC38" s="10"/>
      <c r="AD38" s="10"/>
    </row>
    <row r="39" spans="1:30" x14ac:dyDescent="0.4">
      <c r="A39" s="11"/>
      <c r="B39" s="11" t="s">
        <v>8</v>
      </c>
      <c r="C39" s="11"/>
      <c r="D39" s="11" t="s">
        <v>8</v>
      </c>
      <c r="E39" s="11"/>
      <c r="F39" s="11"/>
      <c r="G39" s="11" t="s">
        <v>8</v>
      </c>
      <c r="H39" s="12">
        <v>79446.909999999989</v>
      </c>
      <c r="I39" s="12">
        <v>0</v>
      </c>
      <c r="J39" s="12">
        <v>0</v>
      </c>
      <c r="K39" s="12">
        <v>0</v>
      </c>
      <c r="M39" s="12">
        <v>0</v>
      </c>
      <c r="N39" s="26">
        <v>0</v>
      </c>
      <c r="O39" s="12">
        <v>1552.84</v>
      </c>
      <c r="P39" s="12">
        <f t="shared" si="3"/>
        <v>80999.749999999985</v>
      </c>
      <c r="Q39" s="12" t="e">
        <f>_xlfn.XLOOKUP(#REF!,'[1]2022'!$C$4:$C$56,'[1]2022'!$AC$4:$AC$56)</f>
        <v>#REF!</v>
      </c>
      <c r="R39" s="12">
        <v>0</v>
      </c>
      <c r="S39" s="14">
        <v>17472.5</v>
      </c>
      <c r="T39" s="14">
        <v>1941.46</v>
      </c>
      <c r="U39" s="12">
        <v>1098.6400000000001</v>
      </c>
      <c r="V39" s="12">
        <v>222.52</v>
      </c>
      <c r="W39" s="12">
        <v>202.48</v>
      </c>
      <c r="X39" s="12">
        <v>393.84000000000003</v>
      </c>
      <c r="Y39" s="12">
        <v>0</v>
      </c>
      <c r="Z39" s="14">
        <v>7763.11</v>
      </c>
      <c r="AA39" s="13">
        <f t="shared" si="4"/>
        <v>25831.93</v>
      </c>
      <c r="AB39" s="13">
        <f t="shared" si="5"/>
        <v>3262.6200000000003</v>
      </c>
      <c r="AC39" s="10"/>
      <c r="AD39" s="10"/>
    </row>
    <row r="40" spans="1:30" x14ac:dyDescent="0.4">
      <c r="B40" s="5" t="s">
        <v>8</v>
      </c>
      <c r="D40" s="5" t="s">
        <v>8</v>
      </c>
      <c r="G40" s="5" t="s">
        <v>8</v>
      </c>
      <c r="H40" s="14">
        <v>25934.77</v>
      </c>
      <c r="I40" s="14">
        <v>0</v>
      </c>
      <c r="J40" s="14">
        <v>0</v>
      </c>
      <c r="K40" s="14">
        <v>961.55</v>
      </c>
      <c r="L40" s="14">
        <v>238.41</v>
      </c>
      <c r="M40" s="14">
        <v>0</v>
      </c>
      <c r="N40" s="25">
        <v>0</v>
      </c>
      <c r="O40" s="14">
        <f>217.14+650-541.66</f>
        <v>325.48</v>
      </c>
      <c r="P40" s="14">
        <f t="shared" si="3"/>
        <v>27460.21</v>
      </c>
      <c r="Q40" s="14" t="e">
        <f>_xlfn.XLOOKUP(#REF!,'[1]2022'!$C$4:$C$56,'[1]2022'!$AC$4:$AC$56)</f>
        <v>#REF!</v>
      </c>
      <c r="R40" s="14">
        <v>0</v>
      </c>
      <c r="S40" s="14">
        <v>4007.34</v>
      </c>
      <c r="T40" s="14">
        <v>445.38</v>
      </c>
      <c r="U40" s="14">
        <v>183.12</v>
      </c>
      <c r="V40" s="14">
        <v>37.1</v>
      </c>
      <c r="W40" s="14">
        <f>35.57*2</f>
        <v>71.14</v>
      </c>
      <c r="X40" s="14">
        <v>91.92</v>
      </c>
      <c r="Y40" s="14">
        <v>0</v>
      </c>
      <c r="Z40" s="14">
        <v>2194.4499999999998</v>
      </c>
      <c r="AA40" s="13">
        <f t="shared" si="4"/>
        <v>6364.85</v>
      </c>
      <c r="AB40" s="13">
        <f t="shared" si="5"/>
        <v>665.6</v>
      </c>
      <c r="AC40" s="13"/>
      <c r="AD40" s="10"/>
    </row>
    <row r="41" spans="1:30" x14ac:dyDescent="0.4">
      <c r="A41" s="11"/>
      <c r="B41" s="11"/>
      <c r="C41" s="11"/>
      <c r="D41" s="11"/>
      <c r="E41" s="11" t="s">
        <v>8</v>
      </c>
      <c r="F41" s="11" t="s">
        <v>8</v>
      </c>
      <c r="G41" s="11"/>
      <c r="H41" s="12">
        <v>81611.92</v>
      </c>
      <c r="I41" s="12">
        <v>21216.93</v>
      </c>
      <c r="J41" s="12">
        <v>0</v>
      </c>
      <c r="K41" s="12">
        <v>0</v>
      </c>
      <c r="M41" s="12">
        <v>0</v>
      </c>
      <c r="N41" s="26">
        <v>0</v>
      </c>
      <c r="O41" s="12">
        <v>2020</v>
      </c>
      <c r="P41" s="12">
        <f t="shared" si="3"/>
        <v>104848.85</v>
      </c>
      <c r="Q41" s="12" t="e">
        <f>_xlfn.XLOOKUP(#REF!,'[1]2022'!$C$4:$C$56,'[1]2022'!$AC$4:$AC$56)</f>
        <v>#REF!</v>
      </c>
      <c r="R41" s="12">
        <v>0</v>
      </c>
      <c r="S41" s="14">
        <v>7021.8000000000011</v>
      </c>
      <c r="T41" s="14">
        <v>1049.4000000000001</v>
      </c>
      <c r="U41" s="12">
        <v>299.39999999999998</v>
      </c>
      <c r="V41" s="12">
        <v>79.8</v>
      </c>
      <c r="W41" s="12">
        <v>205.04</v>
      </c>
      <c r="X41" s="12">
        <v>398.76</v>
      </c>
      <c r="Y41" s="12">
        <v>0</v>
      </c>
      <c r="Z41" s="14">
        <v>3851.87</v>
      </c>
      <c r="AA41" s="13">
        <f t="shared" si="4"/>
        <v>11477.470000000003</v>
      </c>
      <c r="AB41" s="13">
        <f t="shared" si="5"/>
        <v>1428.6000000000001</v>
      </c>
      <c r="AC41" s="10"/>
      <c r="AD41" s="10"/>
    </row>
    <row r="42" spans="1:30" x14ac:dyDescent="0.4">
      <c r="A42" s="11"/>
      <c r="B42" s="11"/>
      <c r="C42" s="11"/>
      <c r="D42" s="11"/>
      <c r="E42" s="11" t="s">
        <v>8</v>
      </c>
      <c r="F42" s="11" t="s">
        <v>8</v>
      </c>
      <c r="G42" s="11"/>
      <c r="H42" s="12">
        <v>93372</v>
      </c>
      <c r="I42" s="12">
        <v>13213.43</v>
      </c>
      <c r="J42" s="12">
        <v>0</v>
      </c>
      <c r="K42" s="12">
        <v>0</v>
      </c>
      <c r="M42" s="12">
        <v>0</v>
      </c>
      <c r="N42" s="26">
        <v>0</v>
      </c>
      <c r="O42" s="12">
        <v>1270</v>
      </c>
      <c r="P42" s="12">
        <f t="shared" si="3"/>
        <v>107855.43</v>
      </c>
      <c r="Q42" s="12" t="e">
        <f>_xlfn.XLOOKUP(#REF!,'[1]2022'!$C$4:$C$56,'[1]2022'!$AC$4:$AC$56)</f>
        <v>#REF!</v>
      </c>
      <c r="R42" s="12">
        <v>0</v>
      </c>
      <c r="S42" s="14">
        <v>23243.040000000001</v>
      </c>
      <c r="T42" s="14">
        <v>3473.28</v>
      </c>
      <c r="U42" s="12">
        <v>1098.78</v>
      </c>
      <c r="V42" s="12">
        <v>0</v>
      </c>
      <c r="W42" s="12">
        <v>240.96</v>
      </c>
      <c r="X42" s="12">
        <v>465.84000000000003</v>
      </c>
      <c r="Y42" s="12">
        <v>23383.88</v>
      </c>
      <c r="Z42" s="14">
        <v>2131.69</v>
      </c>
      <c r="AA42" s="13">
        <f t="shared" si="4"/>
        <v>49465.41</v>
      </c>
      <c r="AB42" s="13">
        <f t="shared" si="5"/>
        <v>4572.0600000000004</v>
      </c>
      <c r="AC42" s="10"/>
      <c r="AD42" s="10"/>
    </row>
    <row r="43" spans="1:30" x14ac:dyDescent="0.4">
      <c r="A43" s="11"/>
      <c r="B43" s="11"/>
      <c r="C43" s="11"/>
      <c r="D43" s="11"/>
      <c r="E43" s="11" t="s">
        <v>8</v>
      </c>
      <c r="F43" s="11" t="s">
        <v>8</v>
      </c>
      <c r="G43" s="11"/>
      <c r="H43" s="12">
        <v>71142.09</v>
      </c>
      <c r="I43" s="12">
        <v>6247.57</v>
      </c>
      <c r="J43" s="12">
        <v>0</v>
      </c>
      <c r="K43" s="12">
        <v>0</v>
      </c>
      <c r="M43" s="12">
        <v>0</v>
      </c>
      <c r="N43" s="26">
        <v>0</v>
      </c>
      <c r="O43" s="12">
        <v>4498.88</v>
      </c>
      <c r="P43" s="12">
        <f t="shared" si="3"/>
        <v>81888.540000000008</v>
      </c>
      <c r="Q43" s="12" t="e">
        <f>_xlfn.XLOOKUP(#REF!,'[1]2022'!$C$4:$C$56,'[1]2022'!$AC$4:$AC$56)</f>
        <v>#REF!</v>
      </c>
      <c r="R43" s="12">
        <v>0</v>
      </c>
      <c r="S43" s="14">
        <v>0</v>
      </c>
      <c r="T43" s="14">
        <v>0</v>
      </c>
      <c r="U43" s="12">
        <v>0</v>
      </c>
      <c r="V43" s="12">
        <v>0</v>
      </c>
      <c r="W43" s="12">
        <v>182</v>
      </c>
      <c r="X43" s="12">
        <v>354.71999999999997</v>
      </c>
      <c r="Y43" s="12">
        <v>0</v>
      </c>
      <c r="Z43" s="14">
        <v>7572.4</v>
      </c>
      <c r="AA43" s="13">
        <f t="shared" si="4"/>
        <v>8109.12</v>
      </c>
      <c r="AB43" s="13">
        <f t="shared" si="5"/>
        <v>0</v>
      </c>
      <c r="AC43" s="10"/>
      <c r="AD43" s="10"/>
    </row>
    <row r="44" spans="1:30" x14ac:dyDescent="0.4">
      <c r="A44" s="11"/>
      <c r="B44" s="11"/>
      <c r="C44" s="11"/>
      <c r="D44" s="11"/>
      <c r="E44" s="11" t="s">
        <v>8</v>
      </c>
      <c r="F44" s="11"/>
      <c r="G44" s="11" t="s">
        <v>8</v>
      </c>
      <c r="H44" s="12">
        <v>38577.279999999999</v>
      </c>
      <c r="I44" s="12">
        <v>0</v>
      </c>
      <c r="J44" s="12">
        <v>0</v>
      </c>
      <c r="K44" s="12">
        <v>0</v>
      </c>
      <c r="M44" s="12">
        <v>0</v>
      </c>
      <c r="N44" s="26">
        <v>0</v>
      </c>
      <c r="O44" s="12">
        <v>0</v>
      </c>
      <c r="P44" s="12">
        <f t="shared" si="3"/>
        <v>38577.279999999999</v>
      </c>
      <c r="Q44" s="12" t="e">
        <f>_xlfn.XLOOKUP(#REF!,'[1]2022'!$C$4:$C$56,'[1]2022'!$AC$4:$AC$56)</f>
        <v>#REF!</v>
      </c>
      <c r="R44" s="12">
        <v>0</v>
      </c>
      <c r="S44" s="14">
        <v>24044.54</v>
      </c>
      <c r="T44" s="14">
        <v>2671.78</v>
      </c>
      <c r="U44" s="12">
        <v>1098.72</v>
      </c>
      <c r="V44" s="12">
        <v>222.6</v>
      </c>
      <c r="W44" s="12">
        <v>120.48</v>
      </c>
      <c r="X44" s="12">
        <v>230.28000000000003</v>
      </c>
      <c r="Y44" s="12">
        <v>0</v>
      </c>
      <c r="Z44" s="14">
        <v>3981.58</v>
      </c>
      <c r="AA44" s="13">
        <f t="shared" si="4"/>
        <v>28376.880000000001</v>
      </c>
      <c r="AB44" s="13">
        <f t="shared" si="5"/>
        <v>3993.1</v>
      </c>
      <c r="AC44" s="10"/>
      <c r="AD44" s="10"/>
    </row>
    <row r="45" spans="1:30" x14ac:dyDescent="0.4">
      <c r="A45" s="11"/>
      <c r="B45" s="11"/>
      <c r="C45" s="11"/>
      <c r="D45" s="11"/>
      <c r="E45" s="11" t="s">
        <v>8</v>
      </c>
      <c r="F45" s="11" t="s">
        <v>8</v>
      </c>
      <c r="G45" s="11"/>
      <c r="H45" s="12">
        <v>86632.540000000008</v>
      </c>
      <c r="I45" s="12">
        <v>41587.22</v>
      </c>
      <c r="J45" s="12">
        <v>0</v>
      </c>
      <c r="K45" s="12">
        <v>0</v>
      </c>
      <c r="M45" s="12">
        <v>0</v>
      </c>
      <c r="N45" s="26">
        <v>0</v>
      </c>
      <c r="O45" s="12">
        <v>1270</v>
      </c>
      <c r="P45" s="12">
        <f t="shared" si="3"/>
        <v>129489.76000000001</v>
      </c>
      <c r="Q45" s="12" t="e">
        <f>_xlfn.XLOOKUP(#REF!,'[1]2022'!$C$4:$C$56,'[1]2022'!$AC$4:$AC$56)</f>
        <v>#REF!</v>
      </c>
      <c r="R45" s="12">
        <v>0</v>
      </c>
      <c r="S45" s="14">
        <v>15267.340000000004</v>
      </c>
      <c r="T45" s="14">
        <v>2281.46</v>
      </c>
      <c r="U45" s="12">
        <v>674.28</v>
      </c>
      <c r="V45" s="12">
        <v>79.8</v>
      </c>
      <c r="W45" s="12">
        <v>223.04</v>
      </c>
      <c r="X45" s="12">
        <v>434.52</v>
      </c>
      <c r="Y45" s="12">
        <v>0</v>
      </c>
      <c r="Z45" s="14">
        <v>15386.37</v>
      </c>
      <c r="AA45" s="13">
        <f t="shared" si="4"/>
        <v>31311.270000000008</v>
      </c>
      <c r="AB45" s="13">
        <f t="shared" si="5"/>
        <v>3035.54</v>
      </c>
      <c r="AC45" s="10"/>
      <c r="AD45" s="10"/>
    </row>
    <row r="46" spans="1:30" x14ac:dyDescent="0.4">
      <c r="A46" s="11"/>
      <c r="B46" s="11"/>
      <c r="C46" s="11"/>
      <c r="D46" s="11" t="s">
        <v>8</v>
      </c>
      <c r="E46" s="11"/>
      <c r="F46" s="11"/>
      <c r="G46" s="11" t="s">
        <v>8</v>
      </c>
      <c r="H46" s="12">
        <f>74969.69-L46</f>
        <v>74790.84</v>
      </c>
      <c r="I46" s="12">
        <v>0</v>
      </c>
      <c r="J46" s="12">
        <v>0</v>
      </c>
      <c r="K46" s="12">
        <v>5000.0600000000004</v>
      </c>
      <c r="L46" s="12">
        <v>178.85</v>
      </c>
      <c r="M46" s="12">
        <v>0</v>
      </c>
      <c r="N46" s="26">
        <v>0</v>
      </c>
      <c r="O46" s="12">
        <v>1952.84</v>
      </c>
      <c r="P46" s="12">
        <f t="shared" si="3"/>
        <v>81922.59</v>
      </c>
      <c r="Q46" s="12" t="e">
        <f>_xlfn.XLOOKUP(#REF!,'[1]2022'!$C$4:$C$56,'[1]2022'!$AC$4:$AC$56)</f>
        <v>#REF!</v>
      </c>
      <c r="R46" s="12">
        <v>0</v>
      </c>
      <c r="S46" s="14">
        <v>15793.820000000003</v>
      </c>
      <c r="T46" s="14">
        <v>1754.98</v>
      </c>
      <c r="U46" s="12">
        <v>674.28</v>
      </c>
      <c r="V46" s="12">
        <v>0</v>
      </c>
      <c r="W46" s="12">
        <v>192.24</v>
      </c>
      <c r="X46" s="12">
        <v>372.36</v>
      </c>
      <c r="Y46" s="12">
        <v>0</v>
      </c>
      <c r="Z46" s="14">
        <v>9413.15</v>
      </c>
      <c r="AA46" s="13">
        <f t="shared" si="4"/>
        <v>25771.570000000003</v>
      </c>
      <c r="AB46" s="13">
        <f t="shared" si="5"/>
        <v>2429.2600000000002</v>
      </c>
      <c r="AC46" s="10"/>
      <c r="AD46" s="10"/>
    </row>
    <row r="47" spans="1:30" x14ac:dyDescent="0.4">
      <c r="A47" s="11" t="s">
        <v>8</v>
      </c>
      <c r="B47" s="11" t="s">
        <v>8</v>
      </c>
      <c r="C47" s="11"/>
      <c r="D47" s="11" t="s">
        <v>8</v>
      </c>
      <c r="E47" s="11"/>
      <c r="F47" s="11"/>
      <c r="G47" s="11" t="s">
        <v>8</v>
      </c>
      <c r="H47" s="12">
        <v>0</v>
      </c>
      <c r="I47" s="12">
        <v>0</v>
      </c>
      <c r="J47" s="12">
        <v>0</v>
      </c>
      <c r="K47" s="12">
        <v>0</v>
      </c>
      <c r="M47" s="12">
        <v>0</v>
      </c>
      <c r="N47" s="26">
        <v>0</v>
      </c>
      <c r="O47" s="12">
        <v>0</v>
      </c>
      <c r="P47" s="12">
        <f t="shared" si="3"/>
        <v>0</v>
      </c>
      <c r="Q47" s="12" t="e">
        <f>_xlfn.XLOOKUP(#REF!,'[1]2022'!$C$4:$C$56,'[1]2022'!$AC$4:$AC$56)</f>
        <v>#REF!</v>
      </c>
      <c r="R47" s="12">
        <v>0</v>
      </c>
      <c r="S47" s="14">
        <v>0</v>
      </c>
      <c r="T47" s="14">
        <v>0</v>
      </c>
      <c r="U47" s="14">
        <v>0</v>
      </c>
      <c r="V47" s="14">
        <v>0</v>
      </c>
      <c r="W47" s="12">
        <v>0</v>
      </c>
      <c r="X47" s="12">
        <v>0</v>
      </c>
      <c r="Y47" s="12">
        <v>0</v>
      </c>
      <c r="Z47" s="14">
        <v>0</v>
      </c>
      <c r="AA47" s="13">
        <f t="shared" si="4"/>
        <v>0</v>
      </c>
      <c r="AB47" s="13">
        <f t="shared" si="5"/>
        <v>0</v>
      </c>
      <c r="AC47" s="10"/>
      <c r="AD47" s="10"/>
    </row>
    <row r="48" spans="1:30" x14ac:dyDescent="0.4">
      <c r="A48" s="11"/>
      <c r="B48" s="11"/>
      <c r="C48" s="11"/>
      <c r="D48" s="11"/>
      <c r="E48" s="11" t="s">
        <v>8</v>
      </c>
      <c r="F48" s="11"/>
      <c r="G48" s="11" t="s">
        <v>8</v>
      </c>
      <c r="H48" s="12">
        <v>43200</v>
      </c>
      <c r="I48" s="12">
        <v>324</v>
      </c>
      <c r="J48" s="12">
        <v>0</v>
      </c>
      <c r="K48" s="12">
        <v>0</v>
      </c>
      <c r="M48" s="12">
        <v>0</v>
      </c>
      <c r="N48" s="26">
        <v>0</v>
      </c>
      <c r="O48" s="12">
        <v>650</v>
      </c>
      <c r="P48" s="12">
        <f t="shared" si="3"/>
        <v>44174</v>
      </c>
      <c r="Q48" s="12" t="e">
        <f>_xlfn.XLOOKUP(#REF!,'[1]2022'!$C$4:$C$56,'[1]2022'!$AC$4:$AC$56)</f>
        <v>#REF!</v>
      </c>
      <c r="R48" s="12">
        <v>0</v>
      </c>
      <c r="S48" s="14">
        <v>0</v>
      </c>
      <c r="T48" s="14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4">
        <v>0</v>
      </c>
      <c r="AA48" s="13">
        <f t="shared" si="4"/>
        <v>0</v>
      </c>
      <c r="AB48" s="13">
        <f t="shared" si="5"/>
        <v>0</v>
      </c>
      <c r="AC48" s="13"/>
      <c r="AD48" s="10"/>
    </row>
    <row r="49" spans="1:30" x14ac:dyDescent="0.4">
      <c r="A49" s="11"/>
      <c r="B49" s="11"/>
      <c r="C49" s="11"/>
      <c r="D49" s="11"/>
      <c r="E49" s="11" t="s">
        <v>8</v>
      </c>
      <c r="F49" s="11" t="s">
        <v>8</v>
      </c>
      <c r="G49" s="11"/>
      <c r="H49" s="12">
        <v>88399.290000000008</v>
      </c>
      <c r="I49" s="12">
        <v>29171.88</v>
      </c>
      <c r="J49" s="12">
        <v>0</v>
      </c>
      <c r="K49" s="12">
        <v>0</v>
      </c>
      <c r="M49" s="12">
        <v>0</v>
      </c>
      <c r="N49" s="26">
        <v>0</v>
      </c>
      <c r="O49" s="12">
        <v>1270</v>
      </c>
      <c r="P49" s="12">
        <f t="shared" si="3"/>
        <v>118841.17000000001</v>
      </c>
      <c r="Q49" s="12" t="e">
        <f>_xlfn.XLOOKUP(#REF!,'[1]2022'!$C$4:$C$56,'[1]2022'!$AC$4:$AC$56)</f>
        <v>#REF!</v>
      </c>
      <c r="R49" s="12">
        <v>0</v>
      </c>
      <c r="S49" s="14">
        <v>23243.040000000001</v>
      </c>
      <c r="T49" s="14">
        <v>3473.28</v>
      </c>
      <c r="U49" s="12">
        <v>1098.72</v>
      </c>
      <c r="V49" s="12">
        <v>222.6</v>
      </c>
      <c r="W49" s="12">
        <v>228.08</v>
      </c>
      <c r="X49" s="12">
        <v>444.96</v>
      </c>
      <c r="Y49" s="12">
        <v>0</v>
      </c>
      <c r="Z49" s="14">
        <v>13303.31</v>
      </c>
      <c r="AA49" s="13">
        <f t="shared" si="4"/>
        <v>37219.39</v>
      </c>
      <c r="AB49" s="13">
        <f t="shared" si="5"/>
        <v>4794.6000000000004</v>
      </c>
      <c r="AC49" s="10"/>
      <c r="AD49" s="10"/>
    </row>
    <row r="50" spans="1:30" x14ac:dyDescent="0.4">
      <c r="B50" s="11" t="s">
        <v>8</v>
      </c>
      <c r="C50" s="11"/>
      <c r="D50" s="11" t="s">
        <v>8</v>
      </c>
      <c r="E50" s="11"/>
      <c r="F50" s="11"/>
      <c r="G50" s="11" t="s">
        <v>8</v>
      </c>
      <c r="H50" s="12">
        <f>68426.74-L50</f>
        <v>68268.08</v>
      </c>
      <c r="I50" s="12">
        <v>0</v>
      </c>
      <c r="J50" s="12">
        <v>0</v>
      </c>
      <c r="K50" s="12">
        <v>3076.96</v>
      </c>
      <c r="L50" s="12">
        <v>158.66</v>
      </c>
      <c r="M50" s="12">
        <v>0</v>
      </c>
      <c r="N50" s="26">
        <v>0</v>
      </c>
      <c r="O50" s="12">
        <v>1098.6399999999999</v>
      </c>
      <c r="P50" s="12">
        <f t="shared" si="3"/>
        <v>72602.340000000011</v>
      </c>
      <c r="Q50" s="12" t="e">
        <f>_xlfn.XLOOKUP(#REF!,'[1]2022'!$C$4:$C$56,'[1]2022'!$AC$4:$AC$56)</f>
        <v>#REF!</v>
      </c>
      <c r="R50" s="12">
        <v>0</v>
      </c>
      <c r="S50" s="14">
        <v>4237.38</v>
      </c>
      <c r="T50" s="14">
        <v>470.82</v>
      </c>
      <c r="U50" s="12">
        <v>174.65</v>
      </c>
      <c r="V50" s="12">
        <v>46.55</v>
      </c>
      <c r="W50" s="12">
        <v>248.99</v>
      </c>
      <c r="X50" s="12">
        <v>183.84</v>
      </c>
      <c r="Y50" s="12">
        <v>0</v>
      </c>
      <c r="Z50" s="14">
        <v>0</v>
      </c>
      <c r="AA50" s="13">
        <f t="shared" si="4"/>
        <v>4670.21</v>
      </c>
      <c r="AB50" s="13">
        <f t="shared" si="5"/>
        <v>692.02</v>
      </c>
      <c r="AC50" s="10"/>
      <c r="AD50" s="10"/>
    </row>
    <row r="51" spans="1:30" x14ac:dyDescent="0.4">
      <c r="A51" s="11" t="s">
        <v>8</v>
      </c>
      <c r="B51" s="11"/>
      <c r="C51" s="11"/>
      <c r="D51" s="11" t="s">
        <v>8</v>
      </c>
      <c r="E51" s="11"/>
      <c r="F51" s="11"/>
      <c r="G51" s="11" t="s">
        <v>8</v>
      </c>
      <c r="H51" s="12">
        <v>136471.79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26">
        <v>0</v>
      </c>
      <c r="O51" s="12">
        <v>1302.8399999999999</v>
      </c>
      <c r="P51" s="12">
        <f t="shared" si="3"/>
        <v>137774.63</v>
      </c>
      <c r="Q51" s="12" t="e">
        <f>_xlfn.XLOOKUP(#REF!,'[1]2022'!$C$4:$C$56,'[1]2022'!$AC$4:$AC$56)</f>
        <v>#REF!</v>
      </c>
      <c r="R51" s="12">
        <v>0</v>
      </c>
      <c r="S51" s="14">
        <v>15793.820000000003</v>
      </c>
      <c r="T51" s="14">
        <v>1754.98</v>
      </c>
      <c r="U51" s="12">
        <v>674.28</v>
      </c>
      <c r="V51" s="12">
        <v>222.6</v>
      </c>
      <c r="W51" s="12">
        <v>348.64</v>
      </c>
      <c r="X51" s="12">
        <v>679.56000000000006</v>
      </c>
      <c r="Y51" s="12">
        <v>0</v>
      </c>
      <c r="Z51" s="14">
        <v>16376.58</v>
      </c>
      <c r="AA51" s="13">
        <f t="shared" si="4"/>
        <v>33198.6</v>
      </c>
      <c r="AB51" s="13">
        <f t="shared" si="5"/>
        <v>2651.86</v>
      </c>
      <c r="AC51" s="10"/>
      <c r="AD51" s="10"/>
    </row>
    <row r="52" spans="1:30" x14ac:dyDescent="0.4">
      <c r="A52" s="11"/>
      <c r="B52" s="11"/>
      <c r="C52" s="11"/>
      <c r="D52" s="11"/>
      <c r="E52" s="11" t="s">
        <v>8</v>
      </c>
      <c r="F52" s="11" t="s">
        <v>8</v>
      </c>
      <c r="G52" s="11"/>
      <c r="H52" s="12">
        <v>78117.47</v>
      </c>
      <c r="I52" s="12">
        <v>18118.810000000001</v>
      </c>
      <c r="J52" s="12">
        <v>0</v>
      </c>
      <c r="K52" s="12">
        <v>0</v>
      </c>
      <c r="M52" s="12">
        <v>0</v>
      </c>
      <c r="N52" s="26">
        <v>0</v>
      </c>
      <c r="O52" s="12">
        <v>1270</v>
      </c>
      <c r="P52" s="12">
        <f t="shared" si="3"/>
        <v>97506.28</v>
      </c>
      <c r="Q52" s="12" t="e">
        <f>_xlfn.XLOOKUP(#REF!,'[1]2022'!$C$4:$C$56,'[1]2022'!$AC$4:$AC$56)</f>
        <v>#REF!</v>
      </c>
      <c r="R52" s="12">
        <v>0</v>
      </c>
      <c r="S52" s="14">
        <v>7021.8000000000011</v>
      </c>
      <c r="T52" s="14">
        <v>1049.4000000000001</v>
      </c>
      <c r="U52" s="12">
        <v>299.39999999999998</v>
      </c>
      <c r="V52" s="12">
        <v>79.8</v>
      </c>
      <c r="W52" s="12">
        <v>192.24</v>
      </c>
      <c r="X52" s="12">
        <v>372.84000000000003</v>
      </c>
      <c r="Y52" s="12">
        <v>0</v>
      </c>
      <c r="Z52" s="14">
        <v>11386.09</v>
      </c>
      <c r="AA52" s="13">
        <f t="shared" si="4"/>
        <v>18972.97</v>
      </c>
      <c r="AB52" s="13">
        <f t="shared" si="5"/>
        <v>1428.6000000000001</v>
      </c>
      <c r="AC52" s="10"/>
      <c r="AD52" s="10"/>
    </row>
    <row r="53" spans="1:30" x14ac:dyDescent="0.4">
      <c r="A53" s="11"/>
      <c r="B53" s="11"/>
      <c r="C53" s="11"/>
      <c r="D53" s="11" t="s">
        <v>8</v>
      </c>
      <c r="E53" s="11"/>
      <c r="F53" s="11"/>
      <c r="G53" s="11" t="s">
        <v>8</v>
      </c>
      <c r="H53" s="12">
        <f>77803.96-L53</f>
        <v>77655.400000000009</v>
      </c>
      <c r="I53" s="12">
        <v>0</v>
      </c>
      <c r="J53" s="12">
        <v>0</v>
      </c>
      <c r="K53" s="12">
        <v>5000.0600000000004</v>
      </c>
      <c r="L53" s="12">
        <v>148.56</v>
      </c>
      <c r="M53" s="12">
        <v>0</v>
      </c>
      <c r="N53" s="26">
        <v>0</v>
      </c>
      <c r="O53" s="12">
        <v>1952.84</v>
      </c>
      <c r="P53" s="12">
        <f t="shared" si="3"/>
        <v>84756.86</v>
      </c>
      <c r="Q53" s="12" t="e">
        <f>_xlfn.XLOOKUP(#REF!,'[1]2022'!$C$4:$C$56,'[1]2022'!$AC$4:$AC$56)</f>
        <v>#REF!</v>
      </c>
      <c r="R53" s="12">
        <v>0</v>
      </c>
      <c r="S53" s="14">
        <v>24044.54</v>
      </c>
      <c r="T53" s="14">
        <v>2671.78</v>
      </c>
      <c r="U53" s="12">
        <v>1098.72</v>
      </c>
      <c r="V53" s="12">
        <v>222.6</v>
      </c>
      <c r="W53" s="12">
        <v>199.92</v>
      </c>
      <c r="X53" s="12">
        <v>386.64</v>
      </c>
      <c r="Y53" s="12">
        <v>19371.48</v>
      </c>
      <c r="Z53" s="14">
        <v>1656.08</v>
      </c>
      <c r="AA53" s="13">
        <f t="shared" si="4"/>
        <v>45658.66</v>
      </c>
      <c r="AB53" s="13">
        <f t="shared" si="5"/>
        <v>3993.1</v>
      </c>
      <c r="AC53" s="10"/>
      <c r="AD53" s="10"/>
    </row>
    <row r="54" spans="1:30" x14ac:dyDescent="0.4">
      <c r="A54" s="11"/>
      <c r="B54" s="11"/>
      <c r="C54" s="11"/>
      <c r="D54" s="11"/>
      <c r="E54" s="11" t="s">
        <v>8</v>
      </c>
      <c r="F54" s="11"/>
      <c r="G54" s="11" t="s">
        <v>8</v>
      </c>
      <c r="H54" s="12">
        <v>6429</v>
      </c>
      <c r="I54" s="12">
        <v>0</v>
      </c>
      <c r="J54" s="12">
        <v>0</v>
      </c>
      <c r="K54" s="12">
        <v>0</v>
      </c>
      <c r="M54" s="12">
        <v>0</v>
      </c>
      <c r="N54" s="26">
        <v>0</v>
      </c>
      <c r="O54" s="12">
        <v>0</v>
      </c>
      <c r="P54" s="12">
        <f t="shared" si="3"/>
        <v>6429</v>
      </c>
      <c r="Q54" s="12" t="e">
        <f>_xlfn.XLOOKUP(#REF!,'[1]2022'!$C$4:$C$56,'[1]2022'!$AC$4:$AC$56)</f>
        <v>#REF!</v>
      </c>
      <c r="R54" s="12">
        <v>0</v>
      </c>
      <c r="S54" s="14">
        <v>0</v>
      </c>
      <c r="T54" s="14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4">
        <v>0</v>
      </c>
      <c r="AA54" s="13">
        <f t="shared" si="4"/>
        <v>0</v>
      </c>
      <c r="AB54" s="13">
        <f t="shared" si="5"/>
        <v>0</v>
      </c>
      <c r="AC54" s="10"/>
      <c r="AD54" s="10"/>
    </row>
    <row r="55" spans="1:30" x14ac:dyDescent="0.4">
      <c r="A55" s="11"/>
      <c r="B55" s="11"/>
      <c r="C55" s="11"/>
      <c r="D55" s="11"/>
      <c r="E55" s="11" t="s">
        <v>8</v>
      </c>
      <c r="F55" s="11" t="s">
        <v>8</v>
      </c>
      <c r="G55" s="11"/>
      <c r="H55" s="12">
        <v>0</v>
      </c>
      <c r="I55" s="12">
        <v>0</v>
      </c>
      <c r="J55" s="12">
        <v>0</v>
      </c>
      <c r="K55" s="12">
        <v>0</v>
      </c>
      <c r="M55" s="12">
        <v>0</v>
      </c>
      <c r="N55" s="26">
        <v>0</v>
      </c>
      <c r="O55" s="12">
        <v>0</v>
      </c>
      <c r="P55" s="12">
        <f t="shared" si="3"/>
        <v>0</v>
      </c>
      <c r="Q55" s="12" t="e">
        <f>_xlfn.XLOOKUP(#REF!,'[1]2022'!$C$4:$C$56,'[1]2022'!$AC$4:$AC$56)</f>
        <v>#REF!</v>
      </c>
      <c r="R55" s="12">
        <v>0</v>
      </c>
      <c r="S55" s="14">
        <v>0</v>
      </c>
      <c r="T55" s="14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4">
        <v>0</v>
      </c>
      <c r="AA55" s="13">
        <f t="shared" si="4"/>
        <v>0</v>
      </c>
      <c r="AB55" s="13">
        <f t="shared" si="5"/>
        <v>0</v>
      </c>
      <c r="AC55" s="10"/>
      <c r="AD55" s="10"/>
    </row>
    <row r="56" spans="1:30" x14ac:dyDescent="0.4">
      <c r="AA56" s="10"/>
      <c r="AB56" s="10"/>
      <c r="AC56" s="10"/>
      <c r="AD56" s="10"/>
    </row>
    <row r="57" spans="1:30" x14ac:dyDescent="0.4">
      <c r="AA57" s="10"/>
      <c r="AB57" s="10"/>
      <c r="AC57" s="10"/>
      <c r="AD57" s="10"/>
    </row>
    <row r="58" spans="1:30" x14ac:dyDescent="0.4">
      <c r="AA58" s="10"/>
      <c r="AB58" s="10"/>
      <c r="AC58" s="10"/>
      <c r="AD58" s="10"/>
    </row>
    <row r="59" spans="1:30" ht="92.6" x14ac:dyDescent="0.4">
      <c r="G59" s="4" t="s">
        <v>12</v>
      </c>
      <c r="H59" s="3" t="str">
        <f>H2</f>
        <v>Reg Salary/Wages Paid (includes any employee's regular rate of pay categories that are paid at regular rate i.e. holiday sick, etc.)</v>
      </c>
      <c r="I59" s="3" t="str">
        <f t="shared" ref="I59:O59" si="6">I2</f>
        <v>OT Amount (includes All Pays at OT &amp; Above Rate)</v>
      </c>
      <c r="J59" s="3" t="str">
        <f t="shared" si="6"/>
        <v>Excess Vacation Payout</v>
      </c>
      <c r="K59" s="3" t="str">
        <f t="shared" si="6"/>
        <v>Dispatch / Duty Pay</v>
      </c>
      <c r="L59" s="3"/>
      <c r="M59" s="3" t="str">
        <f t="shared" si="6"/>
        <v>Bonus &amp; Incentive Pays</v>
      </c>
      <c r="N59" s="3"/>
      <c r="O59" s="3" t="str">
        <f t="shared" si="6"/>
        <v>Other Pays Including Phone, Med Opt-Out, etc.</v>
      </c>
      <c r="P59" s="1" t="s">
        <v>6</v>
      </c>
      <c r="Q59" s="2" t="s">
        <v>7</v>
      </c>
      <c r="R59" s="3" t="str">
        <f>R2</f>
        <v>Other Incentives, Deferred Compensation</v>
      </c>
      <c r="S59" s="2" t="s">
        <v>22</v>
      </c>
      <c r="T59" s="2" t="s">
        <v>23</v>
      </c>
      <c r="U59" s="3" t="s">
        <v>24</v>
      </c>
      <c r="V59" s="3" t="s">
        <v>25</v>
      </c>
      <c r="W59" s="3" t="s">
        <v>30</v>
      </c>
      <c r="X59" s="3" t="s">
        <v>26</v>
      </c>
      <c r="Y59" s="3" t="s">
        <v>27</v>
      </c>
      <c r="Z59" s="18" t="s">
        <v>29</v>
      </c>
      <c r="AA59" s="3" t="s">
        <v>10</v>
      </c>
      <c r="AB59" s="3" t="s">
        <v>11</v>
      </c>
      <c r="AC59" s="10"/>
      <c r="AD59" s="10"/>
    </row>
    <row r="60" spans="1:30" x14ac:dyDescent="0.4">
      <c r="G60" s="5" t="s">
        <v>37</v>
      </c>
      <c r="H60" s="12">
        <f>+SUMIF($A$3:$A$55,"X",H3:H55)</f>
        <v>434388.12</v>
      </c>
      <c r="I60" s="12">
        <f>+SUMIF($A$3:$A$55,"X",I3:I55)</f>
        <v>0</v>
      </c>
      <c r="J60" s="12">
        <f t="shared" ref="J60:AB60" si="7">+SUMIF($A$3:$A$55,"X",J3:J55)</f>
        <v>0</v>
      </c>
      <c r="K60" s="12">
        <f t="shared" si="7"/>
        <v>0</v>
      </c>
      <c r="L60" s="12">
        <f t="shared" ref="L60" si="8">+SUMIF($A$3:$A$55,"X",L3:L55)</f>
        <v>0</v>
      </c>
      <c r="M60" s="12">
        <f t="shared" si="7"/>
        <v>9551.36</v>
      </c>
      <c r="N60" s="12">
        <f t="shared" ref="N60" si="9">+SUMIF($A$3:$A$55,"X",N3:N55)</f>
        <v>6600</v>
      </c>
      <c r="O60" s="12">
        <f t="shared" si="7"/>
        <v>7137.4</v>
      </c>
      <c r="P60" s="12">
        <f t="shared" si="7"/>
        <v>457676.88</v>
      </c>
      <c r="Q60" s="12" t="e">
        <f t="shared" si="7"/>
        <v>#REF!</v>
      </c>
      <c r="R60" s="12">
        <f>+SUMIF($A$3:$A$55,"X",R3:R55)</f>
        <v>52650</v>
      </c>
      <c r="S60" s="12">
        <f t="shared" si="7"/>
        <v>23057.800000000003</v>
      </c>
      <c r="T60" s="12">
        <f t="shared" si="7"/>
        <v>2562.1999999999998</v>
      </c>
      <c r="U60" s="12">
        <f t="shared" si="7"/>
        <v>1273.08</v>
      </c>
      <c r="V60" s="12">
        <f t="shared" si="7"/>
        <v>302.39999999999998</v>
      </c>
      <c r="W60" s="12">
        <f>+SUMIF($A$3:$A$55,"X",W3:W55)</f>
        <v>1102.3200000000002</v>
      </c>
      <c r="X60" s="12">
        <f>+SUMIF($A$3:$A$55,"X",X3:X55)</f>
        <v>2141.16</v>
      </c>
      <c r="Y60" s="12">
        <f>+SUMIF($A$3:$A$55,"X",Y3:Y55)</f>
        <v>0</v>
      </c>
      <c r="Z60" s="14">
        <f t="shared" si="7"/>
        <v>24284.32</v>
      </c>
      <c r="AA60" s="12">
        <f t="shared" si="7"/>
        <v>50585.599999999999</v>
      </c>
      <c r="AB60" s="12">
        <f t="shared" si="7"/>
        <v>4137.68</v>
      </c>
      <c r="AC60" s="10"/>
      <c r="AD60" s="10"/>
    </row>
    <row r="61" spans="1:30" x14ac:dyDescent="0.4">
      <c r="G61" s="5" t="s">
        <v>0</v>
      </c>
      <c r="H61" s="12">
        <f>+SUMIF($B$3:$B$55,"X",H3:H55)</f>
        <v>488499.54000000004</v>
      </c>
      <c r="I61" s="12">
        <f>+SUMIF($B$3:$B$55,"X",I3:I55)</f>
        <v>5764.95</v>
      </c>
      <c r="J61" s="12">
        <f t="shared" ref="J61:AB61" si="10">+SUMIF($B$3:$B$55,"X",J3:J55)</f>
        <v>4181.76</v>
      </c>
      <c r="K61" s="12">
        <f t="shared" si="10"/>
        <v>19038.689999999999</v>
      </c>
      <c r="L61" s="12">
        <f t="shared" ref="L61" si="11">+SUMIF($B$3:$B$55,"X",L3:L55)</f>
        <v>4593.1499999999996</v>
      </c>
      <c r="M61" s="12">
        <f t="shared" si="10"/>
        <v>2400</v>
      </c>
      <c r="N61" s="12">
        <f t="shared" ref="N61" si="12">+SUMIF($B$3:$B$55,"X",N3:N55)</f>
        <v>0</v>
      </c>
      <c r="O61" s="12">
        <f t="shared" si="10"/>
        <v>9151.9499999999989</v>
      </c>
      <c r="P61" s="12">
        <f t="shared" si="10"/>
        <v>533630.04</v>
      </c>
      <c r="Q61" s="12" t="e">
        <f t="shared" si="10"/>
        <v>#REF!</v>
      </c>
      <c r="R61" s="12">
        <f>+SUMIF($B$3:$B$55,"X",R3:R55)</f>
        <v>0</v>
      </c>
      <c r="S61" s="12">
        <f t="shared" si="10"/>
        <v>81070.28</v>
      </c>
      <c r="T61" s="12">
        <f t="shared" si="10"/>
        <v>9008.44</v>
      </c>
      <c r="U61" s="12">
        <f t="shared" si="10"/>
        <v>4247.9699999999993</v>
      </c>
      <c r="V61" s="12">
        <f t="shared" si="10"/>
        <v>902.93</v>
      </c>
      <c r="W61" s="12">
        <f>+SUMIF($B$3:$B$55,"X",W3:W55)</f>
        <v>1237.73</v>
      </c>
      <c r="X61" s="12">
        <f>+SUMIF($B$3:$B$55,"X",X3:X55)</f>
        <v>2058.1200000000003</v>
      </c>
      <c r="Y61" s="12">
        <f>+SUMIF($B$3:$B$55,"X",Y3:Y55)</f>
        <v>28145.4</v>
      </c>
      <c r="Z61" s="14">
        <f t="shared" si="10"/>
        <v>26026.51</v>
      </c>
      <c r="AA61" s="12">
        <f t="shared" si="10"/>
        <v>138538.04</v>
      </c>
      <c r="AB61" s="12">
        <f t="shared" si="10"/>
        <v>14159.340000000002</v>
      </c>
      <c r="AC61" s="10"/>
      <c r="AD61" s="10"/>
    </row>
    <row r="62" spans="1:30" ht="15" thickBot="1" x14ac:dyDescent="0.45">
      <c r="G62" s="5" t="s">
        <v>13</v>
      </c>
      <c r="H62" s="15">
        <f>+SUM(H60:H61)</f>
        <v>922887.66</v>
      </c>
      <c r="I62" s="15">
        <f t="shared" ref="I62:AB62" si="13">+SUM(I60:I61)</f>
        <v>5764.95</v>
      </c>
      <c r="J62" s="15">
        <f t="shared" ref="J62:O62" si="14">+SUM(J60:J61)</f>
        <v>4181.76</v>
      </c>
      <c r="K62" s="15">
        <f t="shared" si="14"/>
        <v>19038.689999999999</v>
      </c>
      <c r="L62" s="15">
        <f t="shared" ref="L62" si="15">+SUM(L60:L61)</f>
        <v>4593.1499999999996</v>
      </c>
      <c r="M62" s="15">
        <f t="shared" si="14"/>
        <v>11951.36</v>
      </c>
      <c r="N62" s="15">
        <f t="shared" ref="N62" si="16">+SUM(N60:N61)</f>
        <v>6600</v>
      </c>
      <c r="O62" s="15">
        <f t="shared" si="14"/>
        <v>16289.349999999999</v>
      </c>
      <c r="P62" s="15">
        <f t="shared" si="13"/>
        <v>991306.92</v>
      </c>
      <c r="Q62" s="15" t="e">
        <f t="shared" si="13"/>
        <v>#REF!</v>
      </c>
      <c r="R62" s="15">
        <f>+SUM(R60:R61)</f>
        <v>52650</v>
      </c>
      <c r="S62" s="15">
        <f t="shared" si="13"/>
        <v>104128.08</v>
      </c>
      <c r="T62" s="15">
        <f t="shared" si="13"/>
        <v>11570.64</v>
      </c>
      <c r="U62" s="15">
        <f t="shared" si="13"/>
        <v>5521.0499999999993</v>
      </c>
      <c r="V62" s="15">
        <f t="shared" si="13"/>
        <v>1205.33</v>
      </c>
      <c r="W62" s="15">
        <f>+SUM(W60:W61)</f>
        <v>2340.0500000000002</v>
      </c>
      <c r="X62" s="15">
        <f>+SUM(X60:X61)</f>
        <v>4199.2800000000007</v>
      </c>
      <c r="Y62" s="15">
        <f>+SUM(Y60:Y61)</f>
        <v>28145.4</v>
      </c>
      <c r="Z62" s="35">
        <f t="shared" si="13"/>
        <v>50310.83</v>
      </c>
      <c r="AA62" s="15">
        <f t="shared" si="13"/>
        <v>189123.64</v>
      </c>
      <c r="AB62" s="15">
        <f t="shared" si="13"/>
        <v>18297.020000000004</v>
      </c>
      <c r="AC62" s="10"/>
      <c r="AD62" s="10"/>
    </row>
    <row r="63" spans="1:30" x14ac:dyDescent="0.4">
      <c r="AA63" s="10"/>
      <c r="AB63" s="10"/>
      <c r="AC63" s="10"/>
      <c r="AD63" s="10"/>
    </row>
    <row r="64" spans="1:30" x14ac:dyDescent="0.4">
      <c r="G64" s="5" t="s">
        <v>2</v>
      </c>
      <c r="H64" s="12">
        <f>+SUMIF($D$3:$D$55,"X",H3:H55)</f>
        <v>1539934.27</v>
      </c>
      <c r="I64" s="12">
        <f>+SUMIF($D$3:$D$55,"X",I3:I55)</f>
        <v>8215.5399999999991</v>
      </c>
      <c r="J64" s="12">
        <f t="shared" ref="J64:AB64" si="17">+SUMIF($D$3:$D$55,"X",J3:J55)</f>
        <v>6574.76</v>
      </c>
      <c r="K64" s="12">
        <f t="shared" si="17"/>
        <v>49039.05</v>
      </c>
      <c r="L64" s="12">
        <f t="shared" ref="L64" si="18">+SUMIF($D$3:$D$55,"X",L3:L55)</f>
        <v>6858.5000000000009</v>
      </c>
      <c r="M64" s="12">
        <f t="shared" si="17"/>
        <v>18551.36</v>
      </c>
      <c r="N64" s="12">
        <f t="shared" ref="N64" si="19">+SUMIF($D$3:$D$55,"X",N3:N55)</f>
        <v>6600</v>
      </c>
      <c r="O64" s="12">
        <f t="shared" si="17"/>
        <v>36073.87999999999</v>
      </c>
      <c r="P64" s="12">
        <f t="shared" si="17"/>
        <v>1671847.36</v>
      </c>
      <c r="Q64" s="12" t="e">
        <f t="shared" si="17"/>
        <v>#REF!</v>
      </c>
      <c r="R64" s="12">
        <f>+SUMIF($D$3:$D$55,"X",R3:R55)</f>
        <v>52650</v>
      </c>
      <c r="S64" s="12">
        <f t="shared" si="17"/>
        <v>216235.84000000003</v>
      </c>
      <c r="T64" s="12">
        <f t="shared" si="17"/>
        <v>24027.919999999998</v>
      </c>
      <c r="U64" s="12">
        <f t="shared" si="17"/>
        <v>8886.7999999999993</v>
      </c>
      <c r="V64" s="12">
        <f t="shared" si="17"/>
        <v>1873.1299999999997</v>
      </c>
      <c r="W64" s="12">
        <f>+SUMIF($D$3:$D$55,"X",W3:W55)</f>
        <v>3897.1699999999996</v>
      </c>
      <c r="X64" s="12">
        <f>+SUMIF($D$3:$D$55,"X",X3:X55)</f>
        <v>7158.5800000000017</v>
      </c>
      <c r="Y64" s="12">
        <f>+SUMIF($D$3:$D$55,"X",Y3:Y55)</f>
        <v>77342.039999999994</v>
      </c>
      <c r="Z64" s="14">
        <f t="shared" si="17"/>
        <v>92562.66</v>
      </c>
      <c r="AA64" s="12">
        <f t="shared" si="17"/>
        <v>397196.29000000004</v>
      </c>
      <c r="AB64" s="12">
        <f t="shared" si="17"/>
        <v>34787.85</v>
      </c>
      <c r="AC64" s="10"/>
      <c r="AD64" s="10"/>
    </row>
    <row r="65" spans="7:30" x14ac:dyDescent="0.4">
      <c r="G65" s="5" t="s">
        <v>3</v>
      </c>
      <c r="H65" s="12">
        <f>+SUMIF($E$3:$E$55,"X",H3:H55)</f>
        <v>1597939.8900000001</v>
      </c>
      <c r="I65" s="12">
        <f>+SUMIF($E$3:$E$55,"X",I3:I55)</f>
        <v>377543.98000000004</v>
      </c>
      <c r="J65" s="12">
        <f t="shared" ref="J65:AB65" si="20">+SUMIF($E$3:$E$55,"X",J3:J55)</f>
        <v>0</v>
      </c>
      <c r="K65" s="12">
        <f t="shared" si="20"/>
        <v>0</v>
      </c>
      <c r="L65" s="12">
        <f t="shared" ref="L65" si="21">+SUMIF($E$3:$E$55,"X",L3:L55)</f>
        <v>0</v>
      </c>
      <c r="M65" s="12">
        <f t="shared" si="20"/>
        <v>0</v>
      </c>
      <c r="N65" s="12">
        <f t="shared" ref="N65" si="22">+SUMIF($E$3:$E$55,"X",N3:N55)</f>
        <v>0</v>
      </c>
      <c r="O65" s="12">
        <f t="shared" si="20"/>
        <v>35105.509999999995</v>
      </c>
      <c r="P65" s="12">
        <f t="shared" si="20"/>
        <v>2010589.3800000001</v>
      </c>
      <c r="Q65" s="12" t="e">
        <f t="shared" si="20"/>
        <v>#REF!</v>
      </c>
      <c r="R65" s="12">
        <f>+SUMIF($E$3:$E$55,"X",R3:R55)</f>
        <v>0</v>
      </c>
      <c r="S65" s="12">
        <f t="shared" si="20"/>
        <v>320749.87000000005</v>
      </c>
      <c r="T65" s="12">
        <f t="shared" si="20"/>
        <v>45633.479999999996</v>
      </c>
      <c r="U65" s="12">
        <f t="shared" si="20"/>
        <v>13344.99</v>
      </c>
      <c r="V65" s="12">
        <f t="shared" si="20"/>
        <v>2001.1899999999996</v>
      </c>
      <c r="W65" s="12">
        <f>+SUMIF($E$3:$E$55,"X",W3:W55)</f>
        <v>3922.46</v>
      </c>
      <c r="X65" s="12">
        <f>+SUMIF($E$3:$E$55,"X",X3:X55)</f>
        <v>7553.5800000000008</v>
      </c>
      <c r="Y65" s="12">
        <f>+SUMIF($E$3:$E$55,"X",Y3:Y55)</f>
        <v>69098.52</v>
      </c>
      <c r="Z65" s="14">
        <f t="shared" si="20"/>
        <v>157846.12</v>
      </c>
      <c r="AA65" s="12">
        <f t="shared" si="20"/>
        <v>559170.55000000005</v>
      </c>
      <c r="AB65" s="12">
        <f t="shared" si="20"/>
        <v>60979.659999999989</v>
      </c>
      <c r="AC65" s="10"/>
      <c r="AD65" s="10"/>
    </row>
    <row r="66" spans="7:30" ht="15" thickBot="1" x14ac:dyDescent="0.45">
      <c r="G66" s="5" t="s">
        <v>13</v>
      </c>
      <c r="H66" s="15">
        <f>+H64+H65</f>
        <v>3137874.16</v>
      </c>
      <c r="I66" s="15">
        <f t="shared" ref="I66:AB66" si="23">+I64+I65</f>
        <v>385759.52</v>
      </c>
      <c r="J66" s="15">
        <f t="shared" si="23"/>
        <v>6574.76</v>
      </c>
      <c r="K66" s="15">
        <f t="shared" si="23"/>
        <v>49039.05</v>
      </c>
      <c r="L66" s="15">
        <f t="shared" ref="L66" si="24">+L64+L65</f>
        <v>6858.5000000000009</v>
      </c>
      <c r="M66" s="15">
        <f t="shared" si="23"/>
        <v>18551.36</v>
      </c>
      <c r="N66" s="15">
        <f t="shared" ref="N66" si="25">+N64+N65</f>
        <v>6600</v>
      </c>
      <c r="O66" s="15">
        <f t="shared" si="23"/>
        <v>71179.389999999985</v>
      </c>
      <c r="P66" s="15">
        <f t="shared" si="23"/>
        <v>3682436.74</v>
      </c>
      <c r="Q66" s="15" t="e">
        <f t="shared" si="23"/>
        <v>#REF!</v>
      </c>
      <c r="R66" s="15">
        <f>+R64+R65</f>
        <v>52650</v>
      </c>
      <c r="S66" s="15">
        <f t="shared" si="23"/>
        <v>536985.71000000008</v>
      </c>
      <c r="T66" s="15">
        <f t="shared" si="23"/>
        <v>69661.399999999994</v>
      </c>
      <c r="U66" s="15">
        <f t="shared" si="23"/>
        <v>22231.79</v>
      </c>
      <c r="V66" s="15">
        <f t="shared" si="23"/>
        <v>3874.3199999999993</v>
      </c>
      <c r="W66" s="15">
        <f>+W64+W65</f>
        <v>7819.6299999999992</v>
      </c>
      <c r="X66" s="15">
        <f>+X64+X65</f>
        <v>14712.160000000003</v>
      </c>
      <c r="Y66" s="15">
        <f>+Y64+Y65</f>
        <v>146440.56</v>
      </c>
      <c r="Z66" s="35">
        <f t="shared" si="23"/>
        <v>250408.78</v>
      </c>
      <c r="AA66" s="15">
        <f t="shared" si="23"/>
        <v>956366.84000000008</v>
      </c>
      <c r="AB66" s="15">
        <f t="shared" si="23"/>
        <v>95767.50999999998</v>
      </c>
      <c r="AC66" s="10"/>
      <c r="AD66" s="10"/>
    </row>
    <row r="67" spans="7:30" x14ac:dyDescent="0.4">
      <c r="AC67" s="10"/>
      <c r="AD67" s="10"/>
    </row>
    <row r="68" spans="7:30" x14ac:dyDescent="0.4">
      <c r="G68" s="5" t="s">
        <v>4</v>
      </c>
      <c r="H68" s="12">
        <f>+SUMIF($F$3:$F$55,"X",H3:H55)</f>
        <v>1299778.7500000002</v>
      </c>
      <c r="I68" s="12">
        <f>+SUMIF($F$3:$F$55,"X",I3:I55)</f>
        <v>374360.62000000005</v>
      </c>
      <c r="J68" s="12">
        <f t="shared" ref="J68:AB68" si="26">+SUMIF($F$3:$F$55,"X",J3:J55)</f>
        <v>0</v>
      </c>
      <c r="K68" s="12">
        <f t="shared" si="26"/>
        <v>0</v>
      </c>
      <c r="L68" s="12">
        <f t="shared" ref="L68" si="27">+SUMIF($F$3:$F$55,"X",L3:L55)</f>
        <v>0</v>
      </c>
      <c r="M68" s="12">
        <f t="shared" si="26"/>
        <v>0</v>
      </c>
      <c r="N68" s="12">
        <f t="shared" ref="N68" si="28">+SUMIF($F$3:$F$55,"X",N3:N55)</f>
        <v>0</v>
      </c>
      <c r="O68" s="12">
        <f t="shared" si="26"/>
        <v>31024.58</v>
      </c>
      <c r="P68" s="12">
        <f t="shared" si="26"/>
        <v>1705163.95</v>
      </c>
      <c r="Q68" s="12" t="e">
        <f t="shared" si="26"/>
        <v>#REF!</v>
      </c>
      <c r="R68" s="12">
        <f>+SUMIF($F$3:$F$55,"X",R3:R55)</f>
        <v>0</v>
      </c>
      <c r="S68" s="12">
        <f t="shared" si="26"/>
        <v>260788.55000000002</v>
      </c>
      <c r="T68" s="12">
        <f t="shared" si="26"/>
        <v>38970.639999999999</v>
      </c>
      <c r="U68" s="12">
        <f t="shared" si="26"/>
        <v>10531.949999999999</v>
      </c>
      <c r="V68" s="12">
        <f t="shared" si="26"/>
        <v>1361.1299999999999</v>
      </c>
      <c r="W68" s="12">
        <f>+SUMIF($F$3:$F$55,"X",W3:W55)</f>
        <v>3370.7200000000003</v>
      </c>
      <c r="X68" s="12">
        <f>+SUMIF($F$3:$F$55,"X",X3:X55)</f>
        <v>6440.6100000000015</v>
      </c>
      <c r="Y68" s="12">
        <f>+SUMIF($F$3:$F$55,"X",Y3:Y55)</f>
        <v>69098.52</v>
      </c>
      <c r="Z68" s="14">
        <f t="shared" si="26"/>
        <v>131897.75999999998</v>
      </c>
      <c r="AA68" s="12">
        <f t="shared" si="26"/>
        <v>471596.16000000003</v>
      </c>
      <c r="AB68" s="12">
        <f t="shared" si="26"/>
        <v>50863.719999999994</v>
      </c>
      <c r="AC68" s="10"/>
      <c r="AD68" s="10"/>
    </row>
    <row r="69" spans="7:30" x14ac:dyDescent="0.4">
      <c r="G69" s="5" t="s">
        <v>5</v>
      </c>
      <c r="H69" s="12">
        <f>+SUMIF($G$3:$G$55,"X",H3:H55)</f>
        <v>1838095.4100000001</v>
      </c>
      <c r="I69" s="12">
        <f>+SUMIF($G$3:$G$55,"X",I3:I55)</f>
        <v>11398.9</v>
      </c>
      <c r="J69" s="12">
        <f t="shared" ref="J69:AB69" si="29">+SUMIF($G$3:$G$55,"X",J3:J55)</f>
        <v>6574.76</v>
      </c>
      <c r="K69" s="12">
        <f t="shared" si="29"/>
        <v>49039.05</v>
      </c>
      <c r="L69" s="12">
        <f t="shared" ref="L69" si="30">+SUMIF($G$3:$G$55,"X",L3:L55)</f>
        <v>6858.5000000000009</v>
      </c>
      <c r="M69" s="12">
        <f t="shared" si="29"/>
        <v>18551.36</v>
      </c>
      <c r="N69" s="12">
        <f t="shared" ref="N69" si="31">+SUMIF($G$3:$G$55,"X",N3:N55)</f>
        <v>6600</v>
      </c>
      <c r="O69" s="12">
        <f t="shared" si="29"/>
        <v>40154.80999999999</v>
      </c>
      <c r="P69" s="12">
        <f t="shared" si="29"/>
        <v>1977272.7900000007</v>
      </c>
      <c r="Q69" s="12" t="e">
        <f t="shared" si="29"/>
        <v>#REF!</v>
      </c>
      <c r="R69" s="12">
        <f>+SUMIF($G$3:$G$55,"X",R3:R55)</f>
        <v>52650</v>
      </c>
      <c r="S69" s="12">
        <f t="shared" si="29"/>
        <v>276197.16000000009</v>
      </c>
      <c r="T69" s="12">
        <f t="shared" si="29"/>
        <v>30690.76</v>
      </c>
      <c r="U69" s="12">
        <f t="shared" si="29"/>
        <v>11699.84</v>
      </c>
      <c r="V69" s="12">
        <f t="shared" si="29"/>
        <v>2513.1899999999996</v>
      </c>
      <c r="W69" s="12">
        <f>+SUMIF($G$3:$G$55,"X",W3:W55)</f>
        <v>4448.91</v>
      </c>
      <c r="X69" s="12">
        <f>+SUMIF($G$3:$G$55,"X",X3:X55)</f>
        <v>8271.5499999999993</v>
      </c>
      <c r="Y69" s="12">
        <f>+SUMIF($G$3:$G$55,"X",Y3:Y55)</f>
        <v>77342.039999999994</v>
      </c>
      <c r="Z69" s="14">
        <f t="shared" si="29"/>
        <v>118511.02</v>
      </c>
      <c r="AA69" s="12">
        <f t="shared" si="29"/>
        <v>484770.68000000005</v>
      </c>
      <c r="AB69" s="12">
        <f t="shared" si="29"/>
        <v>44903.789999999994</v>
      </c>
      <c r="AC69" s="10"/>
      <c r="AD69" s="10"/>
    </row>
    <row r="70" spans="7:30" ht="15" thickBot="1" x14ac:dyDescent="0.45">
      <c r="G70" s="5" t="s">
        <v>13</v>
      </c>
      <c r="H70" s="15">
        <f>+H68+H69</f>
        <v>3137874.16</v>
      </c>
      <c r="I70" s="15">
        <f t="shared" ref="I70:AB70" si="32">+I68+I69</f>
        <v>385759.52000000008</v>
      </c>
      <c r="J70" s="15">
        <f t="shared" si="32"/>
        <v>6574.76</v>
      </c>
      <c r="K70" s="15">
        <f t="shared" si="32"/>
        <v>49039.05</v>
      </c>
      <c r="L70" s="15">
        <f t="shared" ref="L70" si="33">+L68+L69</f>
        <v>6858.5000000000009</v>
      </c>
      <c r="M70" s="15">
        <f t="shared" si="32"/>
        <v>18551.36</v>
      </c>
      <c r="N70" s="15">
        <f t="shared" ref="N70" si="34">+N68+N69</f>
        <v>6600</v>
      </c>
      <c r="O70" s="15">
        <f t="shared" si="32"/>
        <v>71179.389999999985</v>
      </c>
      <c r="P70" s="15">
        <f t="shared" si="32"/>
        <v>3682436.7400000007</v>
      </c>
      <c r="Q70" s="15" t="e">
        <f t="shared" si="32"/>
        <v>#REF!</v>
      </c>
      <c r="R70" s="15">
        <f>+R68+R69</f>
        <v>52650</v>
      </c>
      <c r="S70" s="15">
        <f t="shared" si="32"/>
        <v>536985.71000000008</v>
      </c>
      <c r="T70" s="15">
        <f t="shared" si="32"/>
        <v>69661.399999999994</v>
      </c>
      <c r="U70" s="15">
        <f t="shared" si="32"/>
        <v>22231.79</v>
      </c>
      <c r="V70" s="15">
        <f t="shared" si="32"/>
        <v>3874.3199999999997</v>
      </c>
      <c r="W70" s="15">
        <f>+W68+W69</f>
        <v>7819.63</v>
      </c>
      <c r="X70" s="15">
        <f>+X68+X69</f>
        <v>14712.16</v>
      </c>
      <c r="Y70" s="15">
        <f>+Y68+Y69</f>
        <v>146440.56</v>
      </c>
      <c r="Z70" s="35">
        <f t="shared" si="32"/>
        <v>250408.77999999997</v>
      </c>
      <c r="AA70" s="15">
        <f t="shared" si="32"/>
        <v>956366.84000000008</v>
      </c>
      <c r="AB70" s="15">
        <f t="shared" si="32"/>
        <v>95767.50999999998</v>
      </c>
      <c r="AC70" s="10"/>
      <c r="AD70" s="10"/>
    </row>
    <row r="71" spans="7:30" x14ac:dyDescent="0.4">
      <c r="AA71" s="10"/>
      <c r="AB71" s="10"/>
      <c r="AC71" s="10"/>
      <c r="AD71" s="10"/>
    </row>
    <row r="72" spans="7:30" hidden="1" x14ac:dyDescent="0.4">
      <c r="G72" s="5" t="s">
        <v>39</v>
      </c>
      <c r="AA72" s="10"/>
      <c r="AB72" s="10"/>
      <c r="AC72" s="10"/>
      <c r="AD72" s="10"/>
    </row>
    <row r="73" spans="7:30" hidden="1" x14ac:dyDescent="0.4">
      <c r="G73" s="5" t="s">
        <v>37</v>
      </c>
      <c r="H73" s="37">
        <f>(H60-'2021'!H60)/'2021'!H60</f>
        <v>6.4951296259377024E-3</v>
      </c>
    </row>
    <row r="74" spans="7:30" hidden="1" x14ac:dyDescent="0.4">
      <c r="G74" s="5" t="s">
        <v>40</v>
      </c>
      <c r="H74" s="37">
        <f>(H64-'2021'!H64)/'2021'!H64</f>
        <v>-5.0353562532185576E-3</v>
      </c>
    </row>
    <row r="75" spans="7:30" hidden="1" x14ac:dyDescent="0.4">
      <c r="G75" s="5" t="s">
        <v>41</v>
      </c>
      <c r="H75" s="37">
        <f>(H65-'2021'!H65)/'2021'!H65</f>
        <v>0.12729544911415294</v>
      </c>
    </row>
  </sheetData>
  <autoFilter ref="A2:AA55" xr:uid="{2B2B557C-7662-4BC8-971A-084ED44F3395}"/>
  <pageMargins left="0.2" right="0.2" top="0.75" bottom="0.75" header="0.3" footer="0.3"/>
  <pageSetup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CBA8-38C2-4DC6-9895-AA7529EFC731}">
  <dimension ref="A1:AD75"/>
  <sheetViews>
    <sheetView zoomScaleNormal="100" workbookViewId="0">
      <pane xSplit="1" ySplit="2" topLeftCell="B36" activePane="bottomRight" state="frozen"/>
      <selection pane="topRight" activeCell="C1" sqref="C1"/>
      <selection pane="bottomLeft" activeCell="A3" sqref="A3"/>
      <selection pane="bottomRight" activeCell="A2" sqref="A2:A55"/>
    </sheetView>
  </sheetViews>
  <sheetFormatPr defaultColWidth="9.15234375" defaultRowHeight="11.6" x14ac:dyDescent="0.4"/>
  <cols>
    <col min="1" max="1" width="15.4609375" style="20" bestFit="1" customWidth="1"/>
    <col min="2" max="2" width="12.69140625" style="20" bestFit="1" customWidth="1"/>
    <col min="3" max="3" width="14.4609375" style="20" bestFit="1" customWidth="1"/>
    <col min="4" max="4" width="11.69140625" style="20" customWidth="1"/>
    <col min="5" max="5" width="15.4609375" style="20" customWidth="1"/>
    <col min="6" max="6" width="10.15234375" style="20" customWidth="1"/>
    <col min="7" max="7" width="13.84375" style="20" customWidth="1"/>
    <col min="8" max="8" width="16.15234375" style="26" customWidth="1"/>
    <col min="9" max="10" width="14.53515625" style="26" customWidth="1"/>
    <col min="11" max="12" width="14.69140625" style="26" customWidth="1"/>
    <col min="13" max="14" width="11.23046875" style="26" customWidth="1"/>
    <col min="15" max="15" width="11.53515625" style="26" bestFit="1" customWidth="1"/>
    <col min="16" max="16" width="16.15234375" style="26" customWidth="1"/>
    <col min="17" max="17" width="12.69140625" style="26" bestFit="1" customWidth="1"/>
    <col min="18" max="18" width="14.53515625" style="26" bestFit="1" customWidth="1"/>
    <col min="19" max="20" width="16.15234375" style="26" customWidth="1"/>
    <col min="21" max="21" width="14.69140625" style="26" customWidth="1"/>
    <col min="22" max="25" width="17.84375" style="26" bestFit="1" customWidth="1"/>
    <col min="26" max="26" width="18.15234375" style="25" bestFit="1" customWidth="1"/>
    <col min="27" max="27" width="15.53515625" style="26" bestFit="1" customWidth="1"/>
    <col min="28" max="28" width="14" style="26" hidden="1" customWidth="1"/>
    <col min="29" max="29" width="14" style="26" bestFit="1" customWidth="1"/>
    <col min="30" max="30" width="15.4609375" style="26" bestFit="1" customWidth="1"/>
    <col min="31" max="31" width="23.69140625" style="28" bestFit="1" customWidth="1"/>
    <col min="32" max="32" width="21" style="28" customWidth="1"/>
    <col min="33" max="16384" width="9.15234375" style="28"/>
  </cols>
  <sheetData>
    <row r="1" spans="1:30" s="20" customFormat="1" x14ac:dyDescent="0.4"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30" s="23" customFormat="1" ht="102" customHeight="1" x14ac:dyDescent="0.4">
      <c r="A2" s="8" t="s">
        <v>37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3" t="s">
        <v>33</v>
      </c>
      <c r="I2" s="3" t="s">
        <v>15</v>
      </c>
      <c r="J2" s="3" t="s">
        <v>16</v>
      </c>
      <c r="K2" s="3" t="s">
        <v>17</v>
      </c>
      <c r="L2" s="3" t="s">
        <v>31</v>
      </c>
      <c r="M2" s="3" t="s">
        <v>34</v>
      </c>
      <c r="N2" s="3" t="s">
        <v>35</v>
      </c>
      <c r="O2" s="3" t="s">
        <v>36</v>
      </c>
      <c r="P2" s="19" t="s">
        <v>6</v>
      </c>
      <c r="Q2" s="3" t="s">
        <v>19</v>
      </c>
      <c r="R2" s="3" t="s">
        <v>22</v>
      </c>
      <c r="S2" s="3" t="s">
        <v>32</v>
      </c>
      <c r="T2" s="3" t="s">
        <v>23</v>
      </c>
      <c r="U2" s="3" t="s">
        <v>24</v>
      </c>
      <c r="V2" s="3" t="s">
        <v>25</v>
      </c>
      <c r="W2" s="3" t="s">
        <v>30</v>
      </c>
      <c r="X2" s="3" t="s">
        <v>26</v>
      </c>
      <c r="Y2" s="3" t="s">
        <v>27</v>
      </c>
      <c r="Z2" s="18" t="s">
        <v>29</v>
      </c>
      <c r="AA2" s="3" t="s">
        <v>10</v>
      </c>
      <c r="AB2" s="3" t="s">
        <v>28</v>
      </c>
    </row>
    <row r="3" spans="1:30" x14ac:dyDescent="0.4">
      <c r="A3" s="24"/>
      <c r="B3" s="24"/>
      <c r="C3" s="24"/>
      <c r="D3" s="24"/>
      <c r="E3" s="24" t="s">
        <v>8</v>
      </c>
      <c r="F3" s="24" t="s">
        <v>8</v>
      </c>
      <c r="G3" s="24"/>
      <c r="H3" s="25">
        <v>91933.359999999986</v>
      </c>
      <c r="I3" s="26">
        <v>24975.56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5">
        <v>1383.5</v>
      </c>
      <c r="P3" s="25">
        <f t="shared" ref="P3:P34" si="0">SUM(H3:O3)</f>
        <v>118292.41999999998</v>
      </c>
      <c r="Q3" s="26">
        <v>0</v>
      </c>
      <c r="R3" s="26">
        <v>19442.160000000003</v>
      </c>
      <c r="S3" s="25">
        <f>26935.32-T3</f>
        <v>23433.72</v>
      </c>
      <c r="T3" s="26">
        <v>3501.6</v>
      </c>
      <c r="U3" s="26">
        <v>1153.68</v>
      </c>
      <c r="V3" s="26">
        <v>0</v>
      </c>
      <c r="W3" s="26">
        <v>349.8</v>
      </c>
      <c r="X3" s="26">
        <v>455.88</v>
      </c>
      <c r="Y3" s="26">
        <v>24438.6</v>
      </c>
      <c r="Z3" s="25">
        <v>2340.46</v>
      </c>
      <c r="AA3" s="27">
        <f t="shared" ref="AA3:AA34" si="1">R3+Z3+X3+W3+Y3</f>
        <v>47026.9</v>
      </c>
      <c r="AB3" s="27">
        <f t="shared" ref="AB3:AB34" si="2">T3+U3+V3</f>
        <v>4655.28</v>
      </c>
      <c r="AC3" s="28"/>
      <c r="AD3" s="28"/>
    </row>
    <row r="4" spans="1:30" x14ac:dyDescent="0.4">
      <c r="A4" s="24"/>
      <c r="B4" s="24"/>
      <c r="C4" s="24"/>
      <c r="D4" s="24"/>
      <c r="E4" s="24" t="s">
        <v>8</v>
      </c>
      <c r="F4" s="24"/>
      <c r="G4" s="24" t="s">
        <v>8</v>
      </c>
      <c r="H4" s="25">
        <v>47602.880000000005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5">
        <v>0</v>
      </c>
      <c r="P4" s="25">
        <f t="shared" si="0"/>
        <v>47602.880000000005</v>
      </c>
      <c r="Q4" s="26">
        <v>0</v>
      </c>
      <c r="R4" s="26">
        <v>16042.44</v>
      </c>
      <c r="S4" s="25">
        <f>8347.44-T4</f>
        <v>7512.72</v>
      </c>
      <c r="T4" s="26">
        <v>834.72</v>
      </c>
      <c r="U4" s="26">
        <v>314.39999999999998</v>
      </c>
      <c r="V4" s="26">
        <v>79.8</v>
      </c>
      <c r="W4" s="26">
        <v>171.12</v>
      </c>
      <c r="X4" s="26">
        <v>204.71</v>
      </c>
      <c r="Y4" s="26">
        <v>0</v>
      </c>
      <c r="Z4" s="25">
        <v>912.34</v>
      </c>
      <c r="AA4" s="27">
        <f t="shared" si="1"/>
        <v>17330.609999999997</v>
      </c>
      <c r="AB4" s="27">
        <f t="shared" si="2"/>
        <v>1228.9199999999998</v>
      </c>
      <c r="AC4" s="28"/>
      <c r="AD4" s="28"/>
    </row>
    <row r="5" spans="1:30" x14ac:dyDescent="0.4">
      <c r="A5" s="24" t="s">
        <v>8</v>
      </c>
      <c r="B5" s="24"/>
      <c r="C5" s="24"/>
      <c r="D5" s="24" t="s">
        <v>8</v>
      </c>
      <c r="E5" s="24"/>
      <c r="F5" s="24"/>
      <c r="G5" s="24" t="s">
        <v>8</v>
      </c>
      <c r="H5" s="25">
        <v>200578.57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f>550*12</f>
        <v>6600</v>
      </c>
      <c r="O5" s="25">
        <f>7902.84-N5</f>
        <v>1302.8400000000001</v>
      </c>
      <c r="P5" s="25">
        <f t="shared" si="0"/>
        <v>208481.41</v>
      </c>
      <c r="Q5" s="26">
        <v>52650</v>
      </c>
      <c r="R5" s="26">
        <v>0</v>
      </c>
      <c r="S5" s="25"/>
      <c r="T5" s="26">
        <v>0</v>
      </c>
      <c r="U5" s="26">
        <v>623.88</v>
      </c>
      <c r="V5" s="26">
        <v>0</v>
      </c>
      <c r="W5" s="26">
        <v>764.16</v>
      </c>
      <c r="X5" s="26">
        <v>1001.76</v>
      </c>
      <c r="Y5" s="26">
        <v>0</v>
      </c>
      <c r="Z5" s="25">
        <v>4586.4799999999996</v>
      </c>
      <c r="AA5" s="27">
        <f t="shared" si="1"/>
        <v>6352.4</v>
      </c>
      <c r="AB5" s="27">
        <f t="shared" si="2"/>
        <v>623.88</v>
      </c>
      <c r="AC5" s="28"/>
      <c r="AD5" s="28"/>
    </row>
    <row r="6" spans="1:30" x14ac:dyDescent="0.4">
      <c r="A6" s="24"/>
      <c r="B6" s="24"/>
      <c r="C6" s="24"/>
      <c r="D6" s="24"/>
      <c r="E6" s="24" t="s">
        <v>8</v>
      </c>
      <c r="F6" s="24"/>
      <c r="G6" s="24" t="s">
        <v>8</v>
      </c>
      <c r="H6" s="25">
        <v>27649.68</v>
      </c>
      <c r="I6" s="26">
        <v>51.76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5">
        <v>1669.5</v>
      </c>
      <c r="P6" s="25">
        <f t="shared" si="0"/>
        <v>29370.94</v>
      </c>
      <c r="Q6" s="26">
        <v>0</v>
      </c>
      <c r="R6" s="26">
        <v>0</v>
      </c>
      <c r="S6" s="25"/>
      <c r="T6" s="26">
        <v>0</v>
      </c>
      <c r="U6" s="25">
        <v>157.19999999999999</v>
      </c>
      <c r="V6" s="25">
        <v>39.9</v>
      </c>
      <c r="W6" s="26">
        <v>91.26</v>
      </c>
      <c r="X6" s="26">
        <v>59.73</v>
      </c>
      <c r="Y6" s="26">
        <v>0</v>
      </c>
      <c r="Z6" s="25">
        <v>0</v>
      </c>
      <c r="AA6" s="27">
        <f t="shared" si="1"/>
        <v>150.99</v>
      </c>
      <c r="AB6" s="27">
        <f t="shared" si="2"/>
        <v>197.1</v>
      </c>
      <c r="AC6" s="28"/>
      <c r="AD6" s="28"/>
    </row>
    <row r="7" spans="1:30" x14ac:dyDescent="0.4">
      <c r="A7" s="24"/>
      <c r="B7" s="24"/>
      <c r="C7" s="24"/>
      <c r="D7" s="24"/>
      <c r="E7" s="24" t="s">
        <v>8</v>
      </c>
      <c r="F7" s="24" t="s">
        <v>8</v>
      </c>
      <c r="G7" s="24"/>
      <c r="H7" s="25">
        <v>89597.15</v>
      </c>
      <c r="I7" s="26">
        <v>25333.91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5">
        <v>1270</v>
      </c>
      <c r="P7" s="25">
        <f t="shared" si="0"/>
        <v>116201.06</v>
      </c>
      <c r="Q7" s="26">
        <v>0</v>
      </c>
      <c r="R7" s="26">
        <v>19442.160000000003</v>
      </c>
      <c r="S7" s="25">
        <f>26935.32-T7</f>
        <v>23433.72</v>
      </c>
      <c r="T7" s="26">
        <v>3501.6</v>
      </c>
      <c r="U7" s="26">
        <v>1153.68</v>
      </c>
      <c r="V7" s="26">
        <v>0</v>
      </c>
      <c r="W7" s="26">
        <v>342.12</v>
      </c>
      <c r="X7" s="26">
        <v>445.44</v>
      </c>
      <c r="Y7" s="26">
        <v>0</v>
      </c>
      <c r="Z7" s="25">
        <v>13221.77</v>
      </c>
      <c r="AA7" s="27">
        <f t="shared" si="1"/>
        <v>33451.490000000005</v>
      </c>
      <c r="AB7" s="27">
        <f t="shared" si="2"/>
        <v>4655.28</v>
      </c>
      <c r="AC7" s="28"/>
      <c r="AD7" s="28"/>
    </row>
    <row r="8" spans="1:30" x14ac:dyDescent="0.4">
      <c r="A8" s="24"/>
      <c r="B8" s="24"/>
      <c r="C8" s="24"/>
      <c r="D8" s="24"/>
      <c r="E8" s="24" t="s">
        <v>8</v>
      </c>
      <c r="F8" s="24" t="s">
        <v>8</v>
      </c>
      <c r="G8" s="24"/>
      <c r="H8" s="25">
        <v>81136.19</v>
      </c>
      <c r="I8" s="26">
        <v>24320.23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5">
        <v>1270</v>
      </c>
      <c r="P8" s="25">
        <f t="shared" si="0"/>
        <v>106726.42</v>
      </c>
      <c r="Q8" s="26">
        <v>0</v>
      </c>
      <c r="R8" s="26">
        <v>21858.600000000002</v>
      </c>
      <c r="S8" s="25">
        <f>8347.44-T8</f>
        <v>7262.2800000000007</v>
      </c>
      <c r="T8" s="26">
        <v>1085.1600000000001</v>
      </c>
      <c r="U8" s="26">
        <v>314.39999999999998</v>
      </c>
      <c r="V8" s="26">
        <v>79.8</v>
      </c>
      <c r="W8" s="26">
        <v>292.8</v>
      </c>
      <c r="X8" s="26">
        <v>382.32</v>
      </c>
      <c r="Y8" s="26">
        <v>0</v>
      </c>
      <c r="Z8" s="25">
        <v>12654.78</v>
      </c>
      <c r="AA8" s="27">
        <f t="shared" si="1"/>
        <v>35188.500000000007</v>
      </c>
      <c r="AB8" s="27">
        <f t="shared" si="2"/>
        <v>1479.36</v>
      </c>
      <c r="AC8" s="28"/>
      <c r="AD8" s="28"/>
    </row>
    <row r="9" spans="1:30" x14ac:dyDescent="0.4">
      <c r="A9" s="24"/>
      <c r="B9" s="24"/>
      <c r="C9" s="24"/>
      <c r="D9" s="24" t="s">
        <v>8</v>
      </c>
      <c r="E9" s="24"/>
      <c r="F9" s="24"/>
      <c r="G9" s="24" t="s">
        <v>8</v>
      </c>
      <c r="H9" s="25">
        <v>0</v>
      </c>
      <c r="I9" s="25">
        <v>0</v>
      </c>
      <c r="J9" s="25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5">
        <f t="shared" si="0"/>
        <v>0</v>
      </c>
      <c r="Q9" s="25">
        <v>0</v>
      </c>
      <c r="R9" s="26">
        <v>0</v>
      </c>
      <c r="S9" s="25"/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5">
        <v>0</v>
      </c>
      <c r="AA9" s="27">
        <f t="shared" si="1"/>
        <v>0</v>
      </c>
      <c r="AB9" s="27">
        <f t="shared" si="2"/>
        <v>0</v>
      </c>
      <c r="AC9" s="27"/>
      <c r="AD9" s="28"/>
    </row>
    <row r="10" spans="1:30" x14ac:dyDescent="0.4">
      <c r="A10" s="24"/>
      <c r="B10" s="24"/>
      <c r="C10" s="24"/>
      <c r="D10" s="24"/>
      <c r="E10" s="24" t="s">
        <v>8</v>
      </c>
      <c r="F10" s="24"/>
      <c r="G10" s="24" t="s">
        <v>8</v>
      </c>
      <c r="H10" s="25">
        <v>17760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5">
        <v>0</v>
      </c>
      <c r="P10" s="25">
        <f t="shared" si="0"/>
        <v>17760</v>
      </c>
      <c r="Q10" s="26">
        <v>0</v>
      </c>
      <c r="R10" s="26">
        <v>0</v>
      </c>
      <c r="S10" s="25"/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5">
        <v>0</v>
      </c>
      <c r="AA10" s="27">
        <f t="shared" si="1"/>
        <v>0</v>
      </c>
      <c r="AB10" s="27">
        <f t="shared" si="2"/>
        <v>0</v>
      </c>
      <c r="AC10" s="28"/>
      <c r="AD10" s="28"/>
    </row>
    <row r="11" spans="1:30" x14ac:dyDescent="0.4">
      <c r="A11" s="24"/>
      <c r="B11" s="24"/>
      <c r="C11" s="24"/>
      <c r="D11" s="24" t="s">
        <v>8</v>
      </c>
      <c r="E11" s="24"/>
      <c r="F11" s="24"/>
      <c r="G11" s="24" t="s">
        <v>8</v>
      </c>
      <c r="H11" s="25">
        <v>62947.71</v>
      </c>
      <c r="I11" s="26">
        <v>0</v>
      </c>
      <c r="J11" s="26">
        <v>1297.8399999999999</v>
      </c>
      <c r="K11" s="26">
        <v>0</v>
      </c>
      <c r="L11" s="26">
        <v>0</v>
      </c>
      <c r="M11" s="26">
        <v>0</v>
      </c>
      <c r="N11" s="26">
        <v>0</v>
      </c>
      <c r="O11" s="25">
        <v>306.77999999999997</v>
      </c>
      <c r="P11" s="25">
        <f t="shared" si="0"/>
        <v>64552.329999999994</v>
      </c>
      <c r="Q11" s="26">
        <v>0</v>
      </c>
      <c r="R11" s="26">
        <v>6619.2</v>
      </c>
      <c r="S11" s="25">
        <f>8347.44-T11</f>
        <v>7512.72</v>
      </c>
      <c r="T11" s="26">
        <v>834.72</v>
      </c>
      <c r="U11" s="26">
        <v>0</v>
      </c>
      <c r="V11" s="26">
        <v>0</v>
      </c>
      <c r="W11" s="26">
        <v>239.52</v>
      </c>
      <c r="X11" s="26">
        <v>311.04000000000002</v>
      </c>
      <c r="Y11" s="26">
        <v>16674.48</v>
      </c>
      <c r="Z11" s="25">
        <v>1258.8599999999999</v>
      </c>
      <c r="AA11" s="27">
        <f t="shared" si="1"/>
        <v>25103.1</v>
      </c>
      <c r="AB11" s="27">
        <f t="shared" si="2"/>
        <v>834.72</v>
      </c>
      <c r="AC11" s="28"/>
      <c r="AD11" s="28"/>
    </row>
    <row r="12" spans="1:30" x14ac:dyDescent="0.4">
      <c r="A12" s="24"/>
      <c r="B12" s="24" t="s">
        <v>8</v>
      </c>
      <c r="C12" s="24"/>
      <c r="D12" s="24" t="s">
        <v>8</v>
      </c>
      <c r="E12" s="24"/>
      <c r="F12" s="24"/>
      <c r="G12" s="24" t="s">
        <v>8</v>
      </c>
      <c r="H12" s="25">
        <v>95604.62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5">
        <v>5505.09</v>
      </c>
      <c r="P12" s="25">
        <f t="shared" si="0"/>
        <v>101109.70999999999</v>
      </c>
      <c r="Q12" s="26">
        <v>0</v>
      </c>
      <c r="R12" s="26">
        <v>0</v>
      </c>
      <c r="S12" s="25"/>
      <c r="T12" s="26">
        <v>0</v>
      </c>
      <c r="U12" s="26">
        <v>0</v>
      </c>
      <c r="V12" s="26">
        <v>0</v>
      </c>
      <c r="W12" s="26">
        <v>361.2</v>
      </c>
      <c r="X12" s="26">
        <v>474.48</v>
      </c>
      <c r="Y12" s="26">
        <v>0</v>
      </c>
      <c r="Z12" s="25">
        <v>1826.22</v>
      </c>
      <c r="AA12" s="27">
        <f t="shared" si="1"/>
        <v>2661.8999999999996</v>
      </c>
      <c r="AB12" s="27">
        <f t="shared" si="2"/>
        <v>0</v>
      </c>
      <c r="AC12" s="28"/>
      <c r="AD12" s="28"/>
    </row>
    <row r="13" spans="1:30" x14ac:dyDescent="0.4">
      <c r="A13" s="24"/>
      <c r="B13" s="24"/>
      <c r="C13" s="24"/>
      <c r="D13" s="24" t="s">
        <v>8</v>
      </c>
      <c r="E13" s="24"/>
      <c r="F13" s="24"/>
      <c r="G13" s="24" t="s">
        <v>8</v>
      </c>
      <c r="H13" s="25">
        <f>61966.98-L13</f>
        <v>59927.740000000005</v>
      </c>
      <c r="I13" s="26">
        <v>0</v>
      </c>
      <c r="J13" s="26">
        <v>0</v>
      </c>
      <c r="K13" s="26">
        <v>5000.0600000000004</v>
      </c>
      <c r="L13" s="26">
        <v>2039.24</v>
      </c>
      <c r="M13" s="26">
        <v>0</v>
      </c>
      <c r="N13" s="26">
        <v>0</v>
      </c>
      <c r="O13" s="25">
        <v>1302.8399999999999</v>
      </c>
      <c r="P13" s="25">
        <f t="shared" si="0"/>
        <v>68269.88</v>
      </c>
      <c r="Q13" s="26">
        <v>0</v>
      </c>
      <c r="R13" s="26">
        <v>13548.119999999999</v>
      </c>
      <c r="S13" s="25">
        <f>17796-T13</f>
        <v>16016.4</v>
      </c>
      <c r="T13" s="26">
        <v>1779.6</v>
      </c>
      <c r="U13" s="26">
        <v>708</v>
      </c>
      <c r="V13" s="26">
        <v>222.6</v>
      </c>
      <c r="W13" s="26">
        <v>228.12</v>
      </c>
      <c r="X13" s="26">
        <v>296.27999999999997</v>
      </c>
      <c r="Y13" s="26">
        <v>0</v>
      </c>
      <c r="Z13" s="25">
        <v>8036.06</v>
      </c>
      <c r="AA13" s="27">
        <f t="shared" si="1"/>
        <v>22108.579999999998</v>
      </c>
      <c r="AB13" s="27">
        <f t="shared" si="2"/>
        <v>2710.2</v>
      </c>
      <c r="AC13" s="28"/>
      <c r="AD13" s="28"/>
    </row>
    <row r="14" spans="1:30" x14ac:dyDescent="0.4">
      <c r="A14" s="24"/>
      <c r="B14" s="24"/>
      <c r="C14" s="24"/>
      <c r="D14" s="24"/>
      <c r="E14" s="24" t="s">
        <v>8</v>
      </c>
      <c r="F14" s="24"/>
      <c r="G14" s="24" t="s">
        <v>8</v>
      </c>
      <c r="H14" s="25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5">
        <v>0</v>
      </c>
      <c r="P14" s="25">
        <f t="shared" si="0"/>
        <v>0</v>
      </c>
      <c r="Q14" s="26">
        <v>0</v>
      </c>
      <c r="R14" s="26">
        <v>0</v>
      </c>
      <c r="S14" s="25"/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5">
        <v>0</v>
      </c>
      <c r="AA14" s="27">
        <f t="shared" si="1"/>
        <v>0</v>
      </c>
      <c r="AB14" s="27">
        <f t="shared" si="2"/>
        <v>0</v>
      </c>
      <c r="AC14" s="28"/>
      <c r="AD14" s="28"/>
    </row>
    <row r="15" spans="1:30" x14ac:dyDescent="0.4">
      <c r="A15" s="24"/>
      <c r="B15" s="24"/>
      <c r="C15" s="24"/>
      <c r="D15" s="24"/>
      <c r="E15" s="24" t="s">
        <v>8</v>
      </c>
      <c r="F15" s="24" t="s">
        <v>8</v>
      </c>
      <c r="G15" s="24"/>
      <c r="H15" s="25">
        <v>89741.01</v>
      </c>
      <c r="I15" s="26">
        <v>26015.010000000002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5">
        <v>1270</v>
      </c>
      <c r="P15" s="25">
        <f t="shared" si="0"/>
        <v>117026.01999999999</v>
      </c>
      <c r="Q15" s="26">
        <v>0</v>
      </c>
      <c r="R15" s="26">
        <v>19442.160000000003</v>
      </c>
      <c r="S15" s="25">
        <f>26935.32-T15</f>
        <v>23433.72</v>
      </c>
      <c r="T15" s="26">
        <v>3501.6</v>
      </c>
      <c r="U15" s="26">
        <v>1153.68</v>
      </c>
      <c r="V15" s="26">
        <v>222.6</v>
      </c>
      <c r="W15" s="26">
        <v>342.12</v>
      </c>
      <c r="X15" s="26">
        <v>445.44</v>
      </c>
      <c r="Y15" s="26">
        <v>0</v>
      </c>
      <c r="Z15" s="25">
        <v>13890.75</v>
      </c>
      <c r="AA15" s="27">
        <f t="shared" si="1"/>
        <v>34120.470000000008</v>
      </c>
      <c r="AB15" s="27">
        <f t="shared" si="2"/>
        <v>4877.88</v>
      </c>
      <c r="AC15" s="28"/>
      <c r="AD15" s="28"/>
    </row>
    <row r="16" spans="1:30" x14ac:dyDescent="0.4">
      <c r="A16" s="24"/>
      <c r="B16" s="24" t="s">
        <v>8</v>
      </c>
      <c r="C16" s="24"/>
      <c r="D16" s="24" t="s">
        <v>8</v>
      </c>
      <c r="E16" s="24"/>
      <c r="F16" s="24"/>
      <c r="G16" s="24" t="s">
        <v>8</v>
      </c>
      <c r="H16" s="25">
        <f>132954.82-L16</f>
        <v>127532.31000000001</v>
      </c>
      <c r="I16" s="26">
        <v>0</v>
      </c>
      <c r="J16" s="26">
        <v>0</v>
      </c>
      <c r="K16" s="26">
        <v>5000.0600000000004</v>
      </c>
      <c r="L16" s="26">
        <f>5422.51</f>
        <v>5422.51</v>
      </c>
      <c r="M16" s="26">
        <v>0</v>
      </c>
      <c r="N16" s="26">
        <v>0</v>
      </c>
      <c r="O16" s="25">
        <v>1952.84</v>
      </c>
      <c r="P16" s="25">
        <f t="shared" si="0"/>
        <v>139907.72000000003</v>
      </c>
      <c r="Q16" s="26">
        <v>0</v>
      </c>
      <c r="R16" s="26">
        <v>20250.240000000002</v>
      </c>
      <c r="S16" s="25">
        <f>26935.32-T16</f>
        <v>24241.8</v>
      </c>
      <c r="T16" s="26">
        <v>2693.52</v>
      </c>
      <c r="U16" s="26">
        <v>1153.68</v>
      </c>
      <c r="V16" s="25">
        <v>222.6</v>
      </c>
      <c r="W16" s="26">
        <v>482.88</v>
      </c>
      <c r="X16" s="26">
        <v>632.88</v>
      </c>
      <c r="Y16" s="26">
        <v>33925.08</v>
      </c>
      <c r="Z16" s="25">
        <v>2759.1</v>
      </c>
      <c r="AA16" s="27">
        <f t="shared" si="1"/>
        <v>58050.180000000008</v>
      </c>
      <c r="AB16" s="27">
        <f t="shared" si="2"/>
        <v>4069.7999999999997</v>
      </c>
      <c r="AC16" s="27"/>
      <c r="AD16" s="28"/>
    </row>
    <row r="17" spans="1:30" x14ac:dyDescent="0.4">
      <c r="A17" s="24"/>
      <c r="B17" s="24"/>
      <c r="C17" s="24"/>
      <c r="D17" s="24" t="s">
        <v>8</v>
      </c>
      <c r="E17" s="24"/>
      <c r="F17" s="24"/>
      <c r="G17" s="24" t="s">
        <v>8</v>
      </c>
      <c r="H17" s="25">
        <f>63145.33-L17</f>
        <v>62622.450000000004</v>
      </c>
      <c r="I17" s="26">
        <v>0</v>
      </c>
      <c r="J17" s="26">
        <v>1267</v>
      </c>
      <c r="K17" s="26">
        <v>5000.0600000000004</v>
      </c>
      <c r="L17" s="26">
        <v>522.88</v>
      </c>
      <c r="M17" s="26">
        <v>0</v>
      </c>
      <c r="N17" s="26">
        <v>0</v>
      </c>
      <c r="O17" s="25">
        <v>1302.8399999999999</v>
      </c>
      <c r="P17" s="25">
        <f t="shared" si="0"/>
        <v>70715.23000000001</v>
      </c>
      <c r="Q17" s="26">
        <v>0</v>
      </c>
      <c r="R17" s="26">
        <v>14911.68</v>
      </c>
      <c r="S17" s="25">
        <f>19655.4-T17</f>
        <v>17689.920000000002</v>
      </c>
      <c r="T17" s="26">
        <v>1965.48</v>
      </c>
      <c r="U17" s="26">
        <v>623.88</v>
      </c>
      <c r="V17" s="26">
        <v>0</v>
      </c>
      <c r="W17" s="26">
        <v>239.52</v>
      </c>
      <c r="X17" s="26">
        <v>310.44</v>
      </c>
      <c r="Y17" s="26">
        <v>16637.04</v>
      </c>
      <c r="Z17" s="25">
        <v>1362.87</v>
      </c>
      <c r="AA17" s="27">
        <f t="shared" si="1"/>
        <v>33461.550000000003</v>
      </c>
      <c r="AB17" s="27">
        <f t="shared" si="2"/>
        <v>2589.36</v>
      </c>
      <c r="AC17" s="28"/>
      <c r="AD17" s="28"/>
    </row>
    <row r="18" spans="1:30" x14ac:dyDescent="0.4">
      <c r="A18" s="24"/>
      <c r="B18" s="24"/>
      <c r="C18" s="24"/>
      <c r="D18" s="24" t="s">
        <v>8</v>
      </c>
      <c r="E18" s="24"/>
      <c r="F18" s="24"/>
      <c r="G18" s="24" t="s">
        <v>8</v>
      </c>
      <c r="H18" s="25">
        <v>54025.57</v>
      </c>
      <c r="I18" s="26">
        <v>964.88</v>
      </c>
      <c r="J18" s="26">
        <v>0</v>
      </c>
      <c r="K18" s="26">
        <v>5000.0600000000004</v>
      </c>
      <c r="L18" s="26">
        <v>0</v>
      </c>
      <c r="M18" s="26">
        <v>0</v>
      </c>
      <c r="N18" s="26">
        <v>0</v>
      </c>
      <c r="O18" s="25">
        <v>5460.38</v>
      </c>
      <c r="P18" s="25">
        <f t="shared" si="0"/>
        <v>65450.889999999992</v>
      </c>
      <c r="Q18" s="26">
        <v>0</v>
      </c>
      <c r="R18" s="26">
        <v>0</v>
      </c>
      <c r="S18" s="25"/>
      <c r="T18" s="26">
        <v>0</v>
      </c>
      <c r="U18" s="26">
        <v>0</v>
      </c>
      <c r="V18" s="26">
        <v>0</v>
      </c>
      <c r="W18" s="26">
        <v>205.32</v>
      </c>
      <c r="X18" s="26">
        <v>267.36</v>
      </c>
      <c r="Y18" s="26">
        <v>0</v>
      </c>
      <c r="Z18" s="25">
        <v>7198.97</v>
      </c>
      <c r="AA18" s="27">
        <f t="shared" si="1"/>
        <v>7671.65</v>
      </c>
      <c r="AB18" s="27">
        <f t="shared" si="2"/>
        <v>0</v>
      </c>
      <c r="AC18" s="28"/>
      <c r="AD18" s="28"/>
    </row>
    <row r="19" spans="1:30" x14ac:dyDescent="0.4">
      <c r="A19" s="24"/>
      <c r="B19" s="24"/>
      <c r="C19" s="24" t="s">
        <v>8</v>
      </c>
      <c r="D19" s="24" t="s">
        <v>8</v>
      </c>
      <c r="E19" s="24"/>
      <c r="F19" s="24"/>
      <c r="G19" s="24" t="s">
        <v>8</v>
      </c>
      <c r="H19" s="25">
        <f>103560.03-L19</f>
        <v>102024.68</v>
      </c>
      <c r="I19" s="26">
        <v>0</v>
      </c>
      <c r="J19" s="26">
        <v>0</v>
      </c>
      <c r="K19" s="26">
        <v>5000.0600000000004</v>
      </c>
      <c r="L19" s="26">
        <v>1535.35</v>
      </c>
      <c r="M19" s="26">
        <v>0</v>
      </c>
      <c r="N19" s="26">
        <v>0</v>
      </c>
      <c r="O19" s="25">
        <v>1952.84</v>
      </c>
      <c r="P19" s="25">
        <f t="shared" si="0"/>
        <v>110512.93</v>
      </c>
      <c r="Q19" s="26">
        <v>0</v>
      </c>
      <c r="R19" s="26">
        <v>14911.68</v>
      </c>
      <c r="S19" s="25">
        <f>19655.4-T19</f>
        <v>17689.920000000002</v>
      </c>
      <c r="T19" s="26">
        <v>1965.48</v>
      </c>
      <c r="U19" s="26">
        <v>0</v>
      </c>
      <c r="V19" s="26">
        <v>0</v>
      </c>
      <c r="W19" s="26">
        <v>387.84</v>
      </c>
      <c r="X19" s="26">
        <v>506.28</v>
      </c>
      <c r="Y19" s="26">
        <v>0</v>
      </c>
      <c r="Z19" s="25">
        <v>2171.16</v>
      </c>
      <c r="AA19" s="27">
        <f t="shared" si="1"/>
        <v>17976.96</v>
      </c>
      <c r="AB19" s="27">
        <f t="shared" si="2"/>
        <v>1965.48</v>
      </c>
      <c r="AC19" s="27"/>
      <c r="AD19" s="28"/>
    </row>
    <row r="20" spans="1:30" x14ac:dyDescent="0.4">
      <c r="A20" s="24"/>
      <c r="B20" s="24"/>
      <c r="C20" s="24"/>
      <c r="D20" s="24"/>
      <c r="E20" s="24" t="s">
        <v>8</v>
      </c>
      <c r="F20" s="24" t="s">
        <v>8</v>
      </c>
      <c r="G20" s="24"/>
      <c r="H20" s="25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5">
        <v>0</v>
      </c>
      <c r="P20" s="25">
        <f t="shared" si="0"/>
        <v>0</v>
      </c>
      <c r="Q20" s="26">
        <v>0</v>
      </c>
      <c r="R20" s="26">
        <v>0</v>
      </c>
      <c r="S20" s="25"/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5">
        <v>0</v>
      </c>
      <c r="AA20" s="27">
        <f t="shared" si="1"/>
        <v>0</v>
      </c>
      <c r="AB20" s="27">
        <f t="shared" si="2"/>
        <v>0</v>
      </c>
      <c r="AC20" s="28"/>
      <c r="AD20" s="28"/>
    </row>
    <row r="21" spans="1:30" x14ac:dyDescent="0.4">
      <c r="A21" s="24"/>
      <c r="B21" s="24"/>
      <c r="C21" s="24"/>
      <c r="D21" s="24"/>
      <c r="E21" s="24" t="s">
        <v>8</v>
      </c>
      <c r="F21" s="24"/>
      <c r="G21" s="24" t="s">
        <v>8</v>
      </c>
      <c r="H21" s="25">
        <v>47285.75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5">
        <v>217.14</v>
      </c>
      <c r="P21" s="25">
        <f t="shared" si="0"/>
        <v>47502.89</v>
      </c>
      <c r="Q21" s="26">
        <v>0</v>
      </c>
      <c r="R21" s="26">
        <v>13548.119999999999</v>
      </c>
      <c r="S21" s="25">
        <f>17796-T21</f>
        <v>16016.4</v>
      </c>
      <c r="T21" s="26">
        <v>1779.6</v>
      </c>
      <c r="U21" s="26">
        <v>708</v>
      </c>
      <c r="V21" s="26">
        <v>151.56</v>
      </c>
      <c r="W21" s="26">
        <v>182.52</v>
      </c>
      <c r="X21" s="26">
        <v>234.72</v>
      </c>
      <c r="Y21" s="26">
        <v>0</v>
      </c>
      <c r="Z21" s="25">
        <v>5674.29</v>
      </c>
      <c r="AA21" s="27">
        <f t="shared" si="1"/>
        <v>19639.650000000001</v>
      </c>
      <c r="AB21" s="27">
        <f t="shared" si="2"/>
        <v>2639.16</v>
      </c>
      <c r="AC21" s="28"/>
      <c r="AD21" s="28"/>
    </row>
    <row r="22" spans="1:30" x14ac:dyDescent="0.4">
      <c r="A22" s="24"/>
      <c r="B22" s="24"/>
      <c r="C22" s="24"/>
      <c r="D22" s="24" t="s">
        <v>8</v>
      </c>
      <c r="E22" s="24"/>
      <c r="F22" s="24"/>
      <c r="G22" s="24" t="s">
        <v>8</v>
      </c>
      <c r="H22" s="25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5">
        <v>0</v>
      </c>
      <c r="P22" s="25">
        <f t="shared" si="0"/>
        <v>0</v>
      </c>
      <c r="Q22" s="26">
        <v>0</v>
      </c>
      <c r="R22" s="26">
        <v>0</v>
      </c>
      <c r="S22" s="25"/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5">
        <v>0</v>
      </c>
      <c r="AA22" s="27">
        <f t="shared" si="1"/>
        <v>0</v>
      </c>
      <c r="AB22" s="27">
        <f t="shared" si="2"/>
        <v>0</v>
      </c>
      <c r="AC22" s="28"/>
      <c r="AD22" s="28"/>
    </row>
    <row r="23" spans="1:30" x14ac:dyDescent="0.4">
      <c r="A23" s="24"/>
      <c r="B23" s="24"/>
      <c r="C23" s="24"/>
      <c r="D23" s="24"/>
      <c r="E23" s="24" t="s">
        <v>8</v>
      </c>
      <c r="F23" s="24"/>
      <c r="G23" s="24" t="s">
        <v>8</v>
      </c>
      <c r="H23" s="2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5">
        <v>0</v>
      </c>
      <c r="P23" s="25">
        <f t="shared" si="0"/>
        <v>0</v>
      </c>
      <c r="Q23" s="26">
        <v>0</v>
      </c>
      <c r="R23" s="26">
        <v>0</v>
      </c>
      <c r="S23" s="25"/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5">
        <v>0</v>
      </c>
      <c r="AA23" s="27">
        <f t="shared" si="1"/>
        <v>0</v>
      </c>
      <c r="AB23" s="27">
        <f t="shared" si="2"/>
        <v>0</v>
      </c>
      <c r="AC23" s="28"/>
      <c r="AD23" s="28"/>
    </row>
    <row r="24" spans="1:30" x14ac:dyDescent="0.4">
      <c r="A24" s="24"/>
      <c r="B24" s="24"/>
      <c r="C24" s="24"/>
      <c r="D24" s="24"/>
      <c r="E24" s="24" t="s">
        <v>8</v>
      </c>
      <c r="F24" s="24"/>
      <c r="G24" s="24" t="s">
        <v>8</v>
      </c>
      <c r="H24" s="25">
        <v>54732.639999999999</v>
      </c>
      <c r="I24" s="26">
        <v>400.28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5">
        <v>3813.51</v>
      </c>
      <c r="P24" s="25">
        <f t="shared" si="0"/>
        <v>58946.43</v>
      </c>
      <c r="Q24" s="26">
        <v>0</v>
      </c>
      <c r="R24" s="26">
        <v>0</v>
      </c>
      <c r="S24" s="25"/>
      <c r="T24" s="26">
        <v>0</v>
      </c>
      <c r="U24" s="26">
        <v>0</v>
      </c>
      <c r="V24" s="26">
        <v>0</v>
      </c>
      <c r="W24" s="26">
        <v>190.08</v>
      </c>
      <c r="X24" s="26">
        <v>246.36</v>
      </c>
      <c r="Y24" s="26">
        <v>0</v>
      </c>
      <c r="Z24" s="25">
        <v>6615.96</v>
      </c>
      <c r="AA24" s="27">
        <f t="shared" si="1"/>
        <v>7052.4</v>
      </c>
      <c r="AB24" s="27">
        <f t="shared" si="2"/>
        <v>0</v>
      </c>
      <c r="AC24" s="28"/>
      <c r="AD24" s="28"/>
    </row>
    <row r="25" spans="1:30" x14ac:dyDescent="0.4">
      <c r="A25" s="24"/>
      <c r="B25" s="24"/>
      <c r="C25" s="24"/>
      <c r="D25" s="24"/>
      <c r="E25" s="24" t="s">
        <v>8</v>
      </c>
      <c r="F25" s="24" t="s">
        <v>8</v>
      </c>
      <c r="G25" s="24"/>
      <c r="H25" s="25">
        <v>83776.320000000007</v>
      </c>
      <c r="I25" s="26">
        <v>30171.51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5">
        <v>1604.96</v>
      </c>
      <c r="P25" s="25">
        <f t="shared" si="0"/>
        <v>115552.79000000001</v>
      </c>
      <c r="Q25" s="26">
        <v>0</v>
      </c>
      <c r="R25" s="26">
        <v>19442.160000000003</v>
      </c>
      <c r="S25" s="25">
        <f>26935.32-T25</f>
        <v>23433.72</v>
      </c>
      <c r="T25" s="26">
        <v>3501.6</v>
      </c>
      <c r="U25" s="26">
        <v>1153.68</v>
      </c>
      <c r="V25" s="26">
        <v>222.6</v>
      </c>
      <c r="W25" s="26">
        <v>311.76</v>
      </c>
      <c r="X25" s="26">
        <v>408.96</v>
      </c>
      <c r="Y25" s="26">
        <v>0</v>
      </c>
      <c r="Z25" s="25">
        <v>13673.74</v>
      </c>
      <c r="AA25" s="27">
        <f t="shared" si="1"/>
        <v>33836.620000000003</v>
      </c>
      <c r="AB25" s="27">
        <f t="shared" si="2"/>
        <v>4877.88</v>
      </c>
      <c r="AC25" s="28"/>
      <c r="AD25" s="28"/>
    </row>
    <row r="26" spans="1:30" x14ac:dyDescent="0.4">
      <c r="A26" s="24"/>
      <c r="B26" s="24"/>
      <c r="C26" s="24"/>
      <c r="D26" s="24"/>
      <c r="E26" s="24" t="s">
        <v>8</v>
      </c>
      <c r="F26" s="24" t="s">
        <v>8</v>
      </c>
      <c r="G26" s="24"/>
      <c r="H26" s="25">
        <v>35359.769999999997</v>
      </c>
      <c r="I26" s="26">
        <v>13220.670000000002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5">
        <v>412.75</v>
      </c>
      <c r="P26" s="25">
        <f t="shared" si="0"/>
        <v>48993.19</v>
      </c>
      <c r="Q26" s="26">
        <v>0</v>
      </c>
      <c r="R26" s="26">
        <v>6480.72</v>
      </c>
      <c r="S26" s="25">
        <f>8978.44-T26</f>
        <v>7811.2400000000007</v>
      </c>
      <c r="T26" s="26">
        <v>1167.2</v>
      </c>
      <c r="U26" s="26">
        <v>384.56</v>
      </c>
      <c r="V26" s="26">
        <v>74.2</v>
      </c>
      <c r="W26" s="26">
        <v>114.04</v>
      </c>
      <c r="X26" s="26">
        <v>148.47999999999999</v>
      </c>
      <c r="Y26" s="26">
        <v>0</v>
      </c>
      <c r="Z26" s="25">
        <v>5829.66</v>
      </c>
      <c r="AA26" s="27">
        <f t="shared" si="1"/>
        <v>12572.900000000001</v>
      </c>
      <c r="AB26" s="27">
        <f t="shared" si="2"/>
        <v>1625.96</v>
      </c>
      <c r="AC26" s="27"/>
      <c r="AD26" s="28"/>
    </row>
    <row r="27" spans="1:30" x14ac:dyDescent="0.4">
      <c r="A27" s="24"/>
      <c r="B27" s="24" t="s">
        <v>8</v>
      </c>
      <c r="C27" s="24"/>
      <c r="D27" s="24" t="s">
        <v>8</v>
      </c>
      <c r="E27" s="24"/>
      <c r="F27" s="24"/>
      <c r="G27" s="24" t="s">
        <v>8</v>
      </c>
      <c r="H27" s="25">
        <f>102315.21-L27</f>
        <v>98169.21</v>
      </c>
      <c r="I27" s="26">
        <v>0</v>
      </c>
      <c r="J27" s="26">
        <v>0</v>
      </c>
      <c r="K27" s="26">
        <v>4807.75</v>
      </c>
      <c r="L27" s="26">
        <v>4146</v>
      </c>
      <c r="M27" s="26">
        <v>0</v>
      </c>
      <c r="N27" s="26">
        <v>0</v>
      </c>
      <c r="O27" s="25">
        <v>1733.85</v>
      </c>
      <c r="P27" s="25">
        <f t="shared" si="0"/>
        <v>108856.81000000001</v>
      </c>
      <c r="Q27" s="26">
        <v>0</v>
      </c>
      <c r="R27" s="26">
        <v>20362.47</v>
      </c>
      <c r="S27" s="25">
        <f>26935.32-T27</f>
        <v>24241.8</v>
      </c>
      <c r="T27" s="26">
        <f>2581.29+112.23</f>
        <v>2693.52</v>
      </c>
      <c r="U27" s="26">
        <v>1105.6099999999999</v>
      </c>
      <c r="V27" s="26">
        <v>213.33</v>
      </c>
      <c r="W27" s="26">
        <v>391.56</v>
      </c>
      <c r="X27" s="26">
        <v>509.76</v>
      </c>
      <c r="Y27" s="26">
        <v>0</v>
      </c>
      <c r="Z27" s="25">
        <v>12386.55</v>
      </c>
      <c r="AA27" s="27">
        <f t="shared" si="1"/>
        <v>33650.339999999997</v>
      </c>
      <c r="AB27" s="27">
        <f t="shared" si="2"/>
        <v>4012.46</v>
      </c>
      <c r="AC27" s="28"/>
      <c r="AD27" s="28"/>
    </row>
    <row r="28" spans="1:30" x14ac:dyDescent="0.4">
      <c r="A28" s="24"/>
      <c r="B28" s="24" t="s">
        <v>8</v>
      </c>
      <c r="C28" s="24"/>
      <c r="D28" s="24" t="s">
        <v>8</v>
      </c>
      <c r="E28" s="24"/>
      <c r="F28" s="24"/>
      <c r="G28" s="24" t="s">
        <v>8</v>
      </c>
      <c r="H28" s="25">
        <v>91299.14</v>
      </c>
      <c r="I28" s="26">
        <v>0</v>
      </c>
      <c r="J28" s="26">
        <v>1831.95</v>
      </c>
      <c r="K28" s="26">
        <v>5000.0600000000004</v>
      </c>
      <c r="L28" s="26">
        <v>0</v>
      </c>
      <c r="M28" s="26">
        <v>0</v>
      </c>
      <c r="N28" s="26">
        <v>0</v>
      </c>
      <c r="O28" s="25">
        <v>1744.05</v>
      </c>
      <c r="P28" s="25">
        <f t="shared" si="0"/>
        <v>99875.199999999997</v>
      </c>
      <c r="Q28" s="26">
        <v>0</v>
      </c>
      <c r="R28" s="26">
        <v>6619.2</v>
      </c>
      <c r="S28" s="25">
        <f>8347.44-T28</f>
        <v>7512.72</v>
      </c>
      <c r="T28" s="26">
        <v>834.72</v>
      </c>
      <c r="U28" s="26">
        <v>623.88</v>
      </c>
      <c r="V28" s="26">
        <v>151.56</v>
      </c>
      <c r="W28" s="26">
        <v>345.96</v>
      </c>
      <c r="X28" s="26">
        <v>453.12</v>
      </c>
      <c r="Y28" s="26">
        <v>0</v>
      </c>
      <c r="Z28" s="25">
        <v>1925.9</v>
      </c>
      <c r="AA28" s="27">
        <f t="shared" si="1"/>
        <v>9344.18</v>
      </c>
      <c r="AB28" s="27">
        <f t="shared" si="2"/>
        <v>1610.1599999999999</v>
      </c>
      <c r="AC28" s="28"/>
      <c r="AD28" s="28"/>
    </row>
    <row r="29" spans="1:30" x14ac:dyDescent="0.4">
      <c r="A29" s="24"/>
      <c r="B29" s="24"/>
      <c r="C29" s="24"/>
      <c r="D29" s="24"/>
      <c r="E29" s="24" t="s">
        <v>8</v>
      </c>
      <c r="F29" s="24"/>
      <c r="G29" s="24" t="s">
        <v>8</v>
      </c>
      <c r="H29" s="25">
        <v>62674.189999999995</v>
      </c>
      <c r="I29" s="26">
        <v>381.95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5">
        <v>247.26999999999998</v>
      </c>
      <c r="P29" s="25">
        <f t="shared" si="0"/>
        <v>63303.409999999989</v>
      </c>
      <c r="Q29" s="26">
        <v>0</v>
      </c>
      <c r="R29" s="26">
        <v>6619.2</v>
      </c>
      <c r="S29" s="25">
        <f>8347.44-T29</f>
        <v>7512.72</v>
      </c>
      <c r="T29" s="26">
        <v>834.72</v>
      </c>
      <c r="U29" s="26">
        <v>314.39999999999998</v>
      </c>
      <c r="V29" s="26">
        <v>151.56</v>
      </c>
      <c r="W29" s="26">
        <v>235.8</v>
      </c>
      <c r="X29" s="26">
        <v>309.60000000000002</v>
      </c>
      <c r="Y29" s="26">
        <v>0</v>
      </c>
      <c r="Z29" s="25">
        <v>6180.81</v>
      </c>
      <c r="AA29" s="27">
        <f t="shared" si="1"/>
        <v>13345.41</v>
      </c>
      <c r="AB29" s="27">
        <f t="shared" si="2"/>
        <v>1300.6799999999998</v>
      </c>
      <c r="AC29" s="28"/>
      <c r="AD29" s="28"/>
    </row>
    <row r="30" spans="1:30" x14ac:dyDescent="0.4">
      <c r="A30" s="24"/>
      <c r="B30" s="24"/>
      <c r="C30" s="24"/>
      <c r="D30" s="24"/>
      <c r="E30" s="24" t="s">
        <v>8</v>
      </c>
      <c r="F30" s="24" t="s">
        <v>8</v>
      </c>
      <c r="G30" s="24"/>
      <c r="H30" s="25">
        <v>91629.14</v>
      </c>
      <c r="I30" s="26">
        <v>35464.89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5">
        <v>1845.6399999999999</v>
      </c>
      <c r="P30" s="25">
        <f t="shared" si="0"/>
        <v>128939.67</v>
      </c>
      <c r="Q30" s="26">
        <v>0</v>
      </c>
      <c r="R30" s="26">
        <v>19442.160000000003</v>
      </c>
      <c r="S30" s="25">
        <f>26935.32-T30</f>
        <v>23433.72</v>
      </c>
      <c r="T30" s="26">
        <v>3501.6</v>
      </c>
      <c r="U30" s="26">
        <v>1153.68</v>
      </c>
      <c r="V30" s="26">
        <v>0</v>
      </c>
      <c r="W30" s="26">
        <v>349.8</v>
      </c>
      <c r="X30" s="26">
        <v>455.88</v>
      </c>
      <c r="Y30" s="26">
        <v>0</v>
      </c>
      <c r="Z30" s="25">
        <v>15251.3</v>
      </c>
      <c r="AA30" s="27">
        <f t="shared" si="1"/>
        <v>35499.140000000007</v>
      </c>
      <c r="AB30" s="27">
        <f t="shared" si="2"/>
        <v>4655.28</v>
      </c>
      <c r="AC30" s="28"/>
      <c r="AD30" s="28"/>
    </row>
    <row r="31" spans="1:30" x14ac:dyDescent="0.4">
      <c r="A31" s="24"/>
      <c r="B31" s="24"/>
      <c r="C31" s="24" t="s">
        <v>8</v>
      </c>
      <c r="D31" s="24" t="s">
        <v>8</v>
      </c>
      <c r="E31" s="24"/>
      <c r="F31" s="24"/>
      <c r="G31" s="24" t="s">
        <v>8</v>
      </c>
      <c r="H31" s="25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5">
        <v>0</v>
      </c>
      <c r="P31" s="25">
        <f t="shared" si="0"/>
        <v>0</v>
      </c>
      <c r="Q31" s="26">
        <v>0</v>
      </c>
      <c r="R31" s="26">
        <v>0</v>
      </c>
      <c r="S31" s="25"/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5">
        <v>0</v>
      </c>
      <c r="AA31" s="27">
        <f t="shared" si="1"/>
        <v>0</v>
      </c>
      <c r="AB31" s="27">
        <f t="shared" si="2"/>
        <v>0</v>
      </c>
      <c r="AC31" s="28"/>
      <c r="AD31" s="28"/>
    </row>
    <row r="32" spans="1:30" x14ac:dyDescent="0.4">
      <c r="A32" s="24"/>
      <c r="B32" s="24"/>
      <c r="C32" s="24"/>
      <c r="D32" s="24" t="s">
        <v>8</v>
      </c>
      <c r="E32" s="24"/>
      <c r="F32" s="24"/>
      <c r="G32" s="24" t="s">
        <v>8</v>
      </c>
      <c r="H32" s="25">
        <v>4888.0499999999993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5">
        <v>0</v>
      </c>
      <c r="P32" s="25">
        <f t="shared" si="0"/>
        <v>4888.0499999999993</v>
      </c>
      <c r="Q32" s="26">
        <v>0</v>
      </c>
      <c r="R32" s="26">
        <v>0</v>
      </c>
      <c r="S32" s="25"/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5">
        <v>586.55999999999995</v>
      </c>
      <c r="AA32" s="27">
        <f t="shared" si="1"/>
        <v>586.55999999999995</v>
      </c>
      <c r="AB32" s="27">
        <f t="shared" si="2"/>
        <v>0</v>
      </c>
      <c r="AC32" s="28"/>
      <c r="AD32" s="28"/>
    </row>
    <row r="33" spans="1:30" x14ac:dyDescent="0.4">
      <c r="A33" s="24" t="s">
        <v>8</v>
      </c>
      <c r="B33" s="24"/>
      <c r="C33" s="24"/>
      <c r="D33" s="24" t="s">
        <v>8</v>
      </c>
      <c r="E33" s="24"/>
      <c r="F33" s="24"/>
      <c r="G33" s="24" t="s">
        <v>8</v>
      </c>
      <c r="H33" s="25">
        <v>114882.17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5">
        <v>1302.8399999999999</v>
      </c>
      <c r="P33" s="25">
        <f t="shared" si="0"/>
        <v>116185.01</v>
      </c>
      <c r="Q33" s="26">
        <v>0</v>
      </c>
      <c r="R33" s="26">
        <v>6629.04</v>
      </c>
      <c r="S33" s="25">
        <f>8347.44-T33</f>
        <v>7512.72</v>
      </c>
      <c r="T33" s="26">
        <v>834.72</v>
      </c>
      <c r="U33" s="26">
        <v>314.39999999999998</v>
      </c>
      <c r="V33" s="26">
        <v>79.8</v>
      </c>
      <c r="W33" s="26">
        <v>421.92</v>
      </c>
      <c r="X33" s="26">
        <v>549.36</v>
      </c>
      <c r="Y33" s="26">
        <v>0</v>
      </c>
      <c r="Z33" s="25">
        <v>13785.95</v>
      </c>
      <c r="AA33" s="27">
        <f t="shared" si="1"/>
        <v>21386.27</v>
      </c>
      <c r="AB33" s="27">
        <f t="shared" si="2"/>
        <v>1228.9199999999998</v>
      </c>
      <c r="AC33" s="28"/>
      <c r="AD33" s="28"/>
    </row>
    <row r="34" spans="1:30" x14ac:dyDescent="0.4">
      <c r="A34" s="24"/>
      <c r="B34" s="24"/>
      <c r="C34" s="24"/>
      <c r="D34" s="24"/>
      <c r="E34" s="24" t="s">
        <v>8</v>
      </c>
      <c r="F34" s="24"/>
      <c r="G34" s="24" t="s">
        <v>8</v>
      </c>
      <c r="H34" s="25">
        <v>1025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5">
        <v>0</v>
      </c>
      <c r="P34" s="25">
        <f t="shared" si="0"/>
        <v>1025</v>
      </c>
      <c r="Q34" s="26">
        <v>0</v>
      </c>
      <c r="R34" s="26">
        <v>0</v>
      </c>
      <c r="S34" s="25"/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5">
        <v>0</v>
      </c>
      <c r="AA34" s="27">
        <f t="shared" si="1"/>
        <v>0</v>
      </c>
      <c r="AB34" s="27">
        <f t="shared" si="2"/>
        <v>0</v>
      </c>
      <c r="AC34" s="28"/>
      <c r="AD34" s="28"/>
    </row>
    <row r="35" spans="1:30" x14ac:dyDescent="0.4">
      <c r="A35" s="24"/>
      <c r="B35" s="24"/>
      <c r="C35" s="24"/>
      <c r="D35" s="24"/>
      <c r="E35" s="24" t="s">
        <v>8</v>
      </c>
      <c r="F35" s="24" t="s">
        <v>8</v>
      </c>
      <c r="G35" s="24"/>
      <c r="H35" s="25">
        <v>88400.83</v>
      </c>
      <c r="I35" s="26">
        <v>28325.489999999998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5">
        <v>1270</v>
      </c>
      <c r="P35" s="25">
        <f t="shared" ref="P35:P55" si="3">SUM(H35:O35)</f>
        <v>117996.32</v>
      </c>
      <c r="Q35" s="26">
        <v>0</v>
      </c>
      <c r="R35" s="26">
        <v>13014.24</v>
      </c>
      <c r="S35" s="25">
        <f>17796-T35</f>
        <v>15482.52</v>
      </c>
      <c r="T35" s="26">
        <v>2313.48</v>
      </c>
      <c r="U35" s="26">
        <v>708</v>
      </c>
      <c r="V35" s="26">
        <v>222.6</v>
      </c>
      <c r="W35" s="26">
        <v>364.92</v>
      </c>
      <c r="X35" s="26">
        <v>476.64</v>
      </c>
      <c r="Y35" s="26">
        <v>25552.2</v>
      </c>
      <c r="Z35" s="25">
        <v>2334.5300000000002</v>
      </c>
      <c r="AA35" s="27">
        <f t="shared" ref="AA35:AA55" si="4">R35+Z35+X35+W35+Y35</f>
        <v>41742.53</v>
      </c>
      <c r="AB35" s="27">
        <f t="shared" ref="AB35:AB55" si="5">T35+U35+V35</f>
        <v>3244.08</v>
      </c>
      <c r="AC35" s="28"/>
      <c r="AD35" s="28"/>
    </row>
    <row r="36" spans="1:30" x14ac:dyDescent="0.4">
      <c r="A36" s="24"/>
      <c r="B36" s="24"/>
      <c r="C36" s="24"/>
      <c r="D36" s="24"/>
      <c r="E36" s="24" t="s">
        <v>8</v>
      </c>
      <c r="F36" s="24" t="s">
        <v>8</v>
      </c>
      <c r="G36" s="24"/>
      <c r="H36" s="25">
        <v>76336.179999999993</v>
      </c>
      <c r="I36" s="26">
        <v>25734.17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5">
        <v>1270</v>
      </c>
      <c r="P36" s="25">
        <f t="shared" si="3"/>
        <v>103340.34999999999</v>
      </c>
      <c r="Q36" s="26">
        <v>0</v>
      </c>
      <c r="R36" s="26">
        <v>20230.86</v>
      </c>
      <c r="S36" s="25">
        <f>(1637.95*10)+(2244.61*2)-T36</f>
        <v>18155.82</v>
      </c>
      <c r="T36" s="26">
        <v>2712.9</v>
      </c>
      <c r="U36" s="26">
        <v>314.39999999999998</v>
      </c>
      <c r="V36" s="26">
        <v>79.8</v>
      </c>
      <c r="W36" s="26">
        <v>277.56</v>
      </c>
      <c r="X36" s="26">
        <v>360.84</v>
      </c>
      <c r="Y36" s="26">
        <v>0</v>
      </c>
      <c r="Z36" s="25">
        <v>11565.64</v>
      </c>
      <c r="AA36" s="27">
        <f t="shared" si="4"/>
        <v>32434.9</v>
      </c>
      <c r="AB36" s="27">
        <f t="shared" si="5"/>
        <v>3107.1000000000004</v>
      </c>
      <c r="AC36" s="28"/>
      <c r="AD36" s="28"/>
    </row>
    <row r="37" spans="1:30" x14ac:dyDescent="0.4">
      <c r="A37" s="24"/>
      <c r="B37" s="24"/>
      <c r="C37" s="24"/>
      <c r="D37" s="24"/>
      <c r="E37" s="24" t="s">
        <v>8</v>
      </c>
      <c r="F37" s="24" t="s">
        <v>8</v>
      </c>
      <c r="G37" s="24"/>
      <c r="H37" s="25">
        <v>67934.5</v>
      </c>
      <c r="I37" s="26">
        <v>21451.31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5">
        <v>1270</v>
      </c>
      <c r="P37" s="25">
        <f t="shared" si="3"/>
        <v>90655.81</v>
      </c>
      <c r="Q37" s="26">
        <v>0</v>
      </c>
      <c r="R37" s="26">
        <v>19442.160000000003</v>
      </c>
      <c r="S37" s="25">
        <f>26935.32-T37</f>
        <v>23433.72</v>
      </c>
      <c r="T37" s="26">
        <v>3501.6</v>
      </c>
      <c r="U37" s="26">
        <v>0</v>
      </c>
      <c r="V37" s="26">
        <v>0</v>
      </c>
      <c r="W37" s="26">
        <v>277.56</v>
      </c>
      <c r="X37" s="26">
        <v>360.84</v>
      </c>
      <c r="Y37" s="26">
        <v>0</v>
      </c>
      <c r="Z37" s="25">
        <v>10714.63</v>
      </c>
      <c r="AA37" s="27">
        <f t="shared" si="4"/>
        <v>30795.190000000002</v>
      </c>
      <c r="AB37" s="27">
        <f t="shared" si="5"/>
        <v>3501.6</v>
      </c>
      <c r="AC37" s="28"/>
      <c r="AD37" s="28"/>
    </row>
    <row r="38" spans="1:30" x14ac:dyDescent="0.4">
      <c r="A38" s="24"/>
      <c r="B38" s="24" t="s">
        <v>8</v>
      </c>
      <c r="C38" s="24"/>
      <c r="D38" s="24" t="s">
        <v>8</v>
      </c>
      <c r="E38" s="24"/>
      <c r="F38" s="24"/>
      <c r="G38" s="24" t="s">
        <v>8</v>
      </c>
      <c r="H38" s="25">
        <v>7211.6</v>
      </c>
      <c r="I38" s="26">
        <v>0</v>
      </c>
      <c r="J38" s="26">
        <v>0</v>
      </c>
      <c r="K38" s="26">
        <v>480.8</v>
      </c>
      <c r="L38" s="26">
        <v>0</v>
      </c>
      <c r="M38" s="26">
        <v>0</v>
      </c>
      <c r="N38" s="26">
        <v>0</v>
      </c>
      <c r="O38" s="25">
        <v>173.71</v>
      </c>
      <c r="P38" s="25">
        <f t="shared" si="3"/>
        <v>7866.1100000000006</v>
      </c>
      <c r="Q38" s="26">
        <v>0</v>
      </c>
      <c r="R38" s="26">
        <v>15179.42</v>
      </c>
      <c r="S38" s="25">
        <f>1483-T38</f>
        <v>1334.7</v>
      </c>
      <c r="T38" s="26">
        <v>148.30000000000001</v>
      </c>
      <c r="U38" s="26">
        <v>59</v>
      </c>
      <c r="V38" s="26">
        <v>18.55</v>
      </c>
      <c r="W38" s="26">
        <v>26.55</v>
      </c>
      <c r="X38" s="26">
        <v>0</v>
      </c>
      <c r="Y38" s="26">
        <v>0</v>
      </c>
      <c r="Z38" s="25">
        <v>0</v>
      </c>
      <c r="AA38" s="27">
        <f t="shared" si="4"/>
        <v>15205.97</v>
      </c>
      <c r="AB38" s="27">
        <f t="shared" si="5"/>
        <v>225.85000000000002</v>
      </c>
      <c r="AC38" s="28"/>
      <c r="AD38" s="28"/>
    </row>
    <row r="39" spans="1:30" x14ac:dyDescent="0.4">
      <c r="A39" s="24"/>
      <c r="B39" s="24" t="s">
        <v>8</v>
      </c>
      <c r="C39" s="24"/>
      <c r="D39" s="24" t="s">
        <v>8</v>
      </c>
      <c r="E39" s="24"/>
      <c r="F39" s="24"/>
      <c r="G39" s="24" t="s">
        <v>8</v>
      </c>
      <c r="H39" s="25">
        <v>85239.420000000013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5">
        <v>5291.84</v>
      </c>
      <c r="P39" s="25">
        <f t="shared" si="3"/>
        <v>90531.260000000009</v>
      </c>
      <c r="Q39" s="26">
        <v>0</v>
      </c>
      <c r="R39" s="26">
        <v>7384.36</v>
      </c>
      <c r="S39" s="25">
        <f>695.62-T39</f>
        <v>626.05999999999995</v>
      </c>
      <c r="T39" s="26">
        <v>69.56</v>
      </c>
      <c r="U39" s="26">
        <v>0</v>
      </c>
      <c r="V39" s="26">
        <v>0</v>
      </c>
      <c r="W39" s="26">
        <v>323.16000000000003</v>
      </c>
      <c r="X39" s="26">
        <v>421.92</v>
      </c>
      <c r="Y39" s="26">
        <v>0</v>
      </c>
      <c r="Z39" s="25">
        <v>8523.98</v>
      </c>
      <c r="AA39" s="27">
        <f t="shared" si="4"/>
        <v>16653.420000000002</v>
      </c>
      <c r="AB39" s="27">
        <f t="shared" si="5"/>
        <v>69.56</v>
      </c>
      <c r="AC39" s="28"/>
      <c r="AD39" s="28"/>
    </row>
    <row r="40" spans="1:30" x14ac:dyDescent="0.4">
      <c r="A40" s="24"/>
      <c r="B40" s="24"/>
      <c r="C40" s="24"/>
      <c r="D40" s="24"/>
      <c r="E40" s="24"/>
      <c r="F40" s="24"/>
      <c r="G40" s="24"/>
      <c r="H40" s="25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5">
        <v>0</v>
      </c>
      <c r="P40" s="25">
        <f t="shared" si="3"/>
        <v>0</v>
      </c>
      <c r="Q40" s="26">
        <v>0</v>
      </c>
      <c r="R40" s="26">
        <v>0</v>
      </c>
      <c r="S40" s="25"/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5">
        <v>0</v>
      </c>
      <c r="AA40" s="27">
        <f t="shared" si="4"/>
        <v>0</v>
      </c>
      <c r="AB40" s="27">
        <f t="shared" si="5"/>
        <v>0</v>
      </c>
      <c r="AC40" s="27"/>
      <c r="AD40" s="28"/>
    </row>
    <row r="41" spans="1:30" x14ac:dyDescent="0.4">
      <c r="A41" s="24"/>
      <c r="B41" s="24"/>
      <c r="C41" s="24"/>
      <c r="D41" s="24"/>
      <c r="E41" s="24" t="s">
        <v>8</v>
      </c>
      <c r="F41" s="24" t="s">
        <v>8</v>
      </c>
      <c r="G41" s="24"/>
      <c r="H41" s="25">
        <v>89573.17</v>
      </c>
      <c r="I41" s="26">
        <v>24127.910000000003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5">
        <v>1270</v>
      </c>
      <c r="P41" s="25">
        <f t="shared" si="3"/>
        <v>114971.08</v>
      </c>
      <c r="Q41" s="26">
        <v>0</v>
      </c>
      <c r="R41" s="26">
        <v>6368.76</v>
      </c>
      <c r="S41" s="25">
        <f>8347.44-T41</f>
        <v>7262.2800000000007</v>
      </c>
      <c r="T41" s="26">
        <v>1085.1600000000001</v>
      </c>
      <c r="U41" s="26">
        <v>314.39999999999998</v>
      </c>
      <c r="V41" s="26">
        <v>79.8</v>
      </c>
      <c r="W41" s="26">
        <v>342.12</v>
      </c>
      <c r="X41" s="26">
        <v>445.44</v>
      </c>
      <c r="Y41" s="26">
        <v>0</v>
      </c>
      <c r="Z41" s="25">
        <v>9326.69</v>
      </c>
      <c r="AA41" s="27">
        <f t="shared" si="4"/>
        <v>16483.010000000002</v>
      </c>
      <c r="AB41" s="27">
        <f t="shared" si="5"/>
        <v>1479.36</v>
      </c>
      <c r="AC41" s="28"/>
      <c r="AD41" s="28"/>
    </row>
    <row r="42" spans="1:30" x14ac:dyDescent="0.4">
      <c r="A42" s="24"/>
      <c r="B42" s="24"/>
      <c r="C42" s="24"/>
      <c r="D42" s="24"/>
      <c r="E42" s="24" t="s">
        <v>8</v>
      </c>
      <c r="F42" s="24" t="s">
        <v>8</v>
      </c>
      <c r="G42" s="24"/>
      <c r="H42" s="25">
        <v>95789.119999999995</v>
      </c>
      <c r="I42" s="26">
        <v>20263.23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5">
        <v>1270</v>
      </c>
      <c r="P42" s="25">
        <f t="shared" si="3"/>
        <v>117322.34999999999</v>
      </c>
      <c r="Q42" s="26">
        <v>0</v>
      </c>
      <c r="R42" s="26">
        <v>19442.160000000003</v>
      </c>
      <c r="S42" s="25">
        <f>26935.32-T42</f>
        <v>23433.72</v>
      </c>
      <c r="T42" s="26">
        <v>3501.6</v>
      </c>
      <c r="U42" s="26">
        <v>1153.68</v>
      </c>
      <c r="V42" s="26">
        <v>0</v>
      </c>
      <c r="W42" s="26">
        <v>364.92</v>
      </c>
      <c r="X42" s="26">
        <v>476.64</v>
      </c>
      <c r="Y42" s="26">
        <v>25552.2</v>
      </c>
      <c r="Z42" s="25">
        <v>2321.0100000000002</v>
      </c>
      <c r="AA42" s="27">
        <f t="shared" si="4"/>
        <v>48156.930000000008</v>
      </c>
      <c r="AB42" s="27">
        <f t="shared" si="5"/>
        <v>4655.28</v>
      </c>
      <c r="AC42" s="28"/>
      <c r="AD42" s="28"/>
    </row>
    <row r="43" spans="1:30" x14ac:dyDescent="0.4">
      <c r="A43" s="24"/>
      <c r="B43" s="24"/>
      <c r="C43" s="24"/>
      <c r="D43" s="24"/>
      <c r="E43" s="24" t="s">
        <v>8</v>
      </c>
      <c r="F43" s="24" t="s">
        <v>8</v>
      </c>
      <c r="G43" s="24"/>
      <c r="H43" s="25">
        <v>70317.2</v>
      </c>
      <c r="I43" s="26">
        <v>6583.29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5">
        <v>4609</v>
      </c>
      <c r="P43" s="25">
        <f t="shared" si="3"/>
        <v>81509.489999999991</v>
      </c>
      <c r="Q43" s="26">
        <v>0</v>
      </c>
      <c r="R43" s="26">
        <v>0</v>
      </c>
      <c r="S43" s="25"/>
      <c r="T43" s="26">
        <v>0</v>
      </c>
      <c r="U43" s="26">
        <v>0</v>
      </c>
      <c r="V43" s="26">
        <v>0</v>
      </c>
      <c r="W43" s="26">
        <v>277.56</v>
      </c>
      <c r="X43" s="26">
        <v>363.72</v>
      </c>
      <c r="Y43" s="26">
        <v>0</v>
      </c>
      <c r="Z43" s="25">
        <v>7418.02</v>
      </c>
      <c r="AA43" s="27">
        <f t="shared" si="4"/>
        <v>8059.3000000000011</v>
      </c>
      <c r="AB43" s="27">
        <f t="shared" si="5"/>
        <v>0</v>
      </c>
      <c r="AC43" s="28"/>
      <c r="AD43" s="28"/>
    </row>
    <row r="44" spans="1:30" x14ac:dyDescent="0.4">
      <c r="A44" s="24"/>
      <c r="B44" s="24"/>
      <c r="C44" s="24"/>
      <c r="D44" s="24"/>
      <c r="E44" s="24" t="s">
        <v>8</v>
      </c>
      <c r="F44" s="24"/>
      <c r="G44" s="24" t="s">
        <v>8</v>
      </c>
      <c r="H44" s="25">
        <v>33181.49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5">
        <v>181.78</v>
      </c>
      <c r="P44" s="25">
        <f t="shared" si="3"/>
        <v>33363.269999999997</v>
      </c>
      <c r="Q44" s="26">
        <v>0</v>
      </c>
      <c r="R44" s="26">
        <v>20250.240000000002</v>
      </c>
      <c r="S44" s="25">
        <f>26935.32-T44</f>
        <v>24241.8</v>
      </c>
      <c r="T44" s="26">
        <v>2693.52</v>
      </c>
      <c r="U44" s="26">
        <v>1153.68</v>
      </c>
      <c r="V44" s="26">
        <v>222.6</v>
      </c>
      <c r="W44" s="26">
        <v>178.68</v>
      </c>
      <c r="X44" s="26">
        <v>229.68</v>
      </c>
      <c r="Y44" s="26">
        <v>0</v>
      </c>
      <c r="Z44" s="25">
        <v>3801.12</v>
      </c>
      <c r="AA44" s="27">
        <f t="shared" si="4"/>
        <v>24459.72</v>
      </c>
      <c r="AB44" s="27">
        <f t="shared" si="5"/>
        <v>4069.7999999999997</v>
      </c>
      <c r="AC44" s="28"/>
      <c r="AD44" s="28"/>
    </row>
    <row r="45" spans="1:30" x14ac:dyDescent="0.4">
      <c r="A45" s="24"/>
      <c r="B45" s="24"/>
      <c r="C45" s="24"/>
      <c r="D45" s="24"/>
      <c r="E45" s="24" t="s">
        <v>8</v>
      </c>
      <c r="F45" s="24" t="s">
        <v>8</v>
      </c>
      <c r="G45" s="24"/>
      <c r="H45" s="25">
        <v>59635.460000000006</v>
      </c>
      <c r="I45" s="26">
        <v>23626.769999999997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5">
        <v>802.29000000000008</v>
      </c>
      <c r="P45" s="25">
        <f t="shared" si="3"/>
        <v>84064.52</v>
      </c>
      <c r="Q45" s="26">
        <v>0</v>
      </c>
      <c r="R45" s="26">
        <v>7884.08</v>
      </c>
      <c r="S45" s="25">
        <f>17956.88-T45</f>
        <v>15622.480000000001</v>
      </c>
      <c r="T45" s="26">
        <v>2334.4</v>
      </c>
      <c r="U45" s="26">
        <v>769.12</v>
      </c>
      <c r="V45" s="26">
        <v>53.2</v>
      </c>
      <c r="W45" s="26">
        <v>228.08</v>
      </c>
      <c r="X45" s="26">
        <v>296.95999999999998</v>
      </c>
      <c r="Y45" s="26">
        <v>0</v>
      </c>
      <c r="Z45" s="25">
        <v>8284.24</v>
      </c>
      <c r="AA45" s="27">
        <f t="shared" si="4"/>
        <v>16693.36</v>
      </c>
      <c r="AB45" s="27">
        <f t="shared" si="5"/>
        <v>3156.72</v>
      </c>
      <c r="AC45" s="28"/>
      <c r="AD45" s="28"/>
    </row>
    <row r="46" spans="1:30" x14ac:dyDescent="0.4">
      <c r="A46" s="24"/>
      <c r="B46" s="24"/>
      <c r="C46" s="24"/>
      <c r="D46" s="24" t="s">
        <v>8</v>
      </c>
      <c r="E46" s="24"/>
      <c r="F46" s="24"/>
      <c r="G46" s="24" t="s">
        <v>8</v>
      </c>
      <c r="H46" s="25">
        <f>78389.94-L46</f>
        <v>77869.13</v>
      </c>
      <c r="I46" s="26">
        <v>0</v>
      </c>
      <c r="J46" s="26">
        <v>0</v>
      </c>
      <c r="K46" s="26">
        <v>5000.0600000000004</v>
      </c>
      <c r="L46" s="26">
        <v>520.80999999999995</v>
      </c>
      <c r="M46" s="26">
        <v>0</v>
      </c>
      <c r="N46" s="26">
        <v>0</v>
      </c>
      <c r="O46" s="25">
        <v>1952.84</v>
      </c>
      <c r="P46" s="25">
        <f t="shared" si="3"/>
        <v>85342.84</v>
      </c>
      <c r="Q46" s="26">
        <v>0</v>
      </c>
      <c r="R46" s="26">
        <v>13548.119999999999</v>
      </c>
      <c r="S46" s="25">
        <f>17796-T46</f>
        <v>16016.4</v>
      </c>
      <c r="T46" s="26">
        <v>1779.6</v>
      </c>
      <c r="U46" s="26">
        <v>708</v>
      </c>
      <c r="V46" s="26">
        <v>0</v>
      </c>
      <c r="W46" s="26">
        <v>296.52</v>
      </c>
      <c r="X46" s="26">
        <v>386.4</v>
      </c>
      <c r="Y46" s="26">
        <v>0</v>
      </c>
      <c r="Z46" s="25">
        <v>10006.85</v>
      </c>
      <c r="AA46" s="27">
        <f t="shared" si="4"/>
        <v>24237.890000000003</v>
      </c>
      <c r="AB46" s="27">
        <f t="shared" si="5"/>
        <v>2487.6</v>
      </c>
      <c r="AC46" s="28"/>
      <c r="AD46" s="28"/>
    </row>
    <row r="47" spans="1:30" x14ac:dyDescent="0.4">
      <c r="A47" s="24"/>
      <c r="B47" s="24"/>
      <c r="C47" s="24"/>
      <c r="D47" s="24"/>
      <c r="E47" s="24"/>
      <c r="F47" s="24"/>
      <c r="G47" s="24"/>
      <c r="H47" s="25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5">
        <v>0</v>
      </c>
      <c r="P47" s="25">
        <f t="shared" si="3"/>
        <v>0</v>
      </c>
      <c r="Q47" s="26">
        <v>0</v>
      </c>
      <c r="R47" s="26">
        <v>0</v>
      </c>
      <c r="S47" s="25"/>
      <c r="T47" s="26">
        <v>0</v>
      </c>
      <c r="U47" s="25">
        <v>0</v>
      </c>
      <c r="V47" s="25">
        <v>0</v>
      </c>
      <c r="W47" s="26">
        <v>0</v>
      </c>
      <c r="X47" s="26">
        <v>0</v>
      </c>
      <c r="Y47" s="26">
        <v>0</v>
      </c>
      <c r="Z47" s="25">
        <v>0</v>
      </c>
      <c r="AA47" s="27">
        <f t="shared" si="4"/>
        <v>0</v>
      </c>
      <c r="AB47" s="27">
        <f t="shared" si="5"/>
        <v>0</v>
      </c>
      <c r="AC47" s="28"/>
      <c r="AD47" s="28"/>
    </row>
    <row r="48" spans="1:30" x14ac:dyDescent="0.4">
      <c r="A48" s="24"/>
      <c r="B48" s="24"/>
      <c r="C48" s="24"/>
      <c r="D48" s="24"/>
      <c r="E48" s="24" t="s">
        <v>8</v>
      </c>
      <c r="F48" s="24"/>
      <c r="G48" s="24" t="s">
        <v>8</v>
      </c>
      <c r="H48" s="25">
        <v>45270.720000000001</v>
      </c>
      <c r="I48" s="26">
        <v>1593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5">
        <v>650</v>
      </c>
      <c r="P48" s="25">
        <f t="shared" si="3"/>
        <v>47513.72</v>
      </c>
      <c r="Q48" s="26">
        <v>0</v>
      </c>
      <c r="R48" s="26">
        <v>0</v>
      </c>
      <c r="S48" s="25"/>
      <c r="T48" s="26">
        <v>0</v>
      </c>
      <c r="U48" s="26">
        <v>0</v>
      </c>
      <c r="V48" s="26">
        <v>0</v>
      </c>
      <c r="W48" s="26">
        <v>144.47999999999999</v>
      </c>
      <c r="X48" s="26">
        <v>186.96</v>
      </c>
      <c r="Y48" s="26">
        <v>0</v>
      </c>
      <c r="Z48" s="25">
        <v>0</v>
      </c>
      <c r="AA48" s="27">
        <f t="shared" si="4"/>
        <v>331.44</v>
      </c>
      <c r="AB48" s="27">
        <f t="shared" si="5"/>
        <v>0</v>
      </c>
      <c r="AC48" s="27"/>
      <c r="AD48" s="28"/>
    </row>
    <row r="49" spans="1:30" x14ac:dyDescent="0.4">
      <c r="A49" s="24"/>
      <c r="B49" s="24"/>
      <c r="C49" s="24"/>
      <c r="D49" s="24"/>
      <c r="E49" s="24" t="s">
        <v>8</v>
      </c>
      <c r="F49" s="24" t="s">
        <v>8</v>
      </c>
      <c r="G49" s="24"/>
      <c r="H49" s="25">
        <v>91645.14</v>
      </c>
      <c r="I49" s="26">
        <v>33403.119999999995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5">
        <v>1270</v>
      </c>
      <c r="P49" s="25">
        <f t="shared" si="3"/>
        <v>126318.26</v>
      </c>
      <c r="Q49" s="26">
        <v>0</v>
      </c>
      <c r="R49" s="26">
        <v>19442.160000000003</v>
      </c>
      <c r="S49" s="25">
        <f>26935.32-T49</f>
        <v>23433.72</v>
      </c>
      <c r="T49" s="26">
        <v>3501.6</v>
      </c>
      <c r="U49" s="26">
        <v>1153.68</v>
      </c>
      <c r="V49" s="26">
        <v>222.6</v>
      </c>
      <c r="W49" s="26">
        <v>349.8</v>
      </c>
      <c r="X49" s="26">
        <v>455.88</v>
      </c>
      <c r="Y49" s="26">
        <v>0</v>
      </c>
      <c r="Z49" s="25">
        <v>12288.1</v>
      </c>
      <c r="AA49" s="27">
        <f t="shared" si="4"/>
        <v>32535.940000000002</v>
      </c>
      <c r="AB49" s="27">
        <f t="shared" si="5"/>
        <v>4877.88</v>
      </c>
      <c r="AC49" s="28"/>
      <c r="AD49" s="28"/>
    </row>
    <row r="50" spans="1:30" x14ac:dyDescent="0.4">
      <c r="A50" s="24"/>
      <c r="B50" s="24" t="s">
        <v>8</v>
      </c>
      <c r="C50" s="24"/>
      <c r="D50" s="24" t="s">
        <v>8</v>
      </c>
      <c r="E50" s="24"/>
      <c r="F50" s="24"/>
      <c r="G50" s="24" t="s">
        <v>8</v>
      </c>
      <c r="H50" s="25">
        <f>118206-L50</f>
        <v>115126</v>
      </c>
      <c r="I50" s="26">
        <v>0</v>
      </c>
      <c r="J50" s="26">
        <v>0</v>
      </c>
      <c r="K50" s="26">
        <v>5000.0600000000004</v>
      </c>
      <c r="L50" s="26">
        <v>3080</v>
      </c>
      <c r="M50" s="26">
        <v>0</v>
      </c>
      <c r="N50" s="26">
        <v>0</v>
      </c>
      <c r="O50" s="25">
        <v>1952.84</v>
      </c>
      <c r="P50" s="25">
        <f t="shared" si="3"/>
        <v>125158.9</v>
      </c>
      <c r="Q50" s="26">
        <v>0</v>
      </c>
      <c r="R50" s="26">
        <v>6619.2</v>
      </c>
      <c r="S50" s="25">
        <f>8347.44-T50</f>
        <v>7512.72</v>
      </c>
      <c r="T50" s="26">
        <v>834.72</v>
      </c>
      <c r="U50" s="26">
        <v>314.39999999999998</v>
      </c>
      <c r="V50" s="26">
        <v>79.8</v>
      </c>
      <c r="W50" s="26">
        <v>437.28</v>
      </c>
      <c r="X50" s="26">
        <v>571.32000000000005</v>
      </c>
      <c r="Y50" s="26">
        <v>0</v>
      </c>
      <c r="Z50" s="25">
        <v>8442.42</v>
      </c>
      <c r="AA50" s="27">
        <f t="shared" si="4"/>
        <v>16070.22</v>
      </c>
      <c r="AB50" s="27">
        <f t="shared" si="5"/>
        <v>1228.9199999999998</v>
      </c>
      <c r="AC50" s="28"/>
      <c r="AD50" s="28"/>
    </row>
    <row r="51" spans="1:30" x14ac:dyDescent="0.4">
      <c r="A51" s="24" t="s">
        <v>8</v>
      </c>
      <c r="C51" s="24"/>
      <c r="D51" s="24" t="s">
        <v>8</v>
      </c>
      <c r="E51" s="24"/>
      <c r="F51" s="24"/>
      <c r="G51" s="24" t="s">
        <v>8</v>
      </c>
      <c r="H51" s="25">
        <v>142088.51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5">
        <v>1302.8399999999999</v>
      </c>
      <c r="P51" s="25">
        <f t="shared" si="3"/>
        <v>143391.35</v>
      </c>
      <c r="Q51" s="26">
        <v>0</v>
      </c>
      <c r="R51" s="26">
        <v>13548.119999999999</v>
      </c>
      <c r="S51" s="25">
        <f>17796-T51</f>
        <v>16016.4</v>
      </c>
      <c r="T51" s="26">
        <v>1779.6</v>
      </c>
      <c r="U51" s="26">
        <v>708</v>
      </c>
      <c r="V51" s="26">
        <v>222.6</v>
      </c>
      <c r="W51" s="26">
        <v>539.88</v>
      </c>
      <c r="X51" s="26">
        <v>705.12</v>
      </c>
      <c r="Y51" s="26">
        <v>0</v>
      </c>
      <c r="Z51" s="25">
        <v>17050.669999999998</v>
      </c>
      <c r="AA51" s="27">
        <f t="shared" si="4"/>
        <v>31843.789999999997</v>
      </c>
      <c r="AB51" s="27">
        <f t="shared" si="5"/>
        <v>2710.2</v>
      </c>
      <c r="AC51" s="28"/>
      <c r="AD51" s="28"/>
    </row>
    <row r="52" spans="1:30" x14ac:dyDescent="0.4">
      <c r="A52" s="24"/>
      <c r="B52" s="24"/>
      <c r="C52" s="24"/>
      <c r="D52" s="24"/>
      <c r="E52" s="24" t="s">
        <v>8</v>
      </c>
      <c r="F52" s="24" t="s">
        <v>8</v>
      </c>
      <c r="G52" s="24"/>
      <c r="H52" s="25">
        <v>87858.17</v>
      </c>
      <c r="I52" s="26">
        <v>23547.86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5">
        <v>1270</v>
      </c>
      <c r="P52" s="25">
        <f t="shared" si="3"/>
        <v>112676.03</v>
      </c>
      <c r="Q52" s="26">
        <v>0</v>
      </c>
      <c r="R52" s="26">
        <v>6368.76</v>
      </c>
      <c r="S52" s="25">
        <f>8347.44-T52</f>
        <v>7262.2800000000007</v>
      </c>
      <c r="T52" s="26">
        <v>1085.1600000000001</v>
      </c>
      <c r="U52" s="26">
        <v>314.39999999999998</v>
      </c>
      <c r="V52" s="26">
        <v>79.8</v>
      </c>
      <c r="W52" s="26">
        <v>311.76</v>
      </c>
      <c r="X52" s="26">
        <v>408.96</v>
      </c>
      <c r="Y52" s="26">
        <v>0</v>
      </c>
      <c r="Z52" s="25">
        <v>13368.74</v>
      </c>
      <c r="AA52" s="27">
        <f t="shared" si="4"/>
        <v>20458.219999999998</v>
      </c>
      <c r="AB52" s="27">
        <f t="shared" si="5"/>
        <v>1479.36</v>
      </c>
      <c r="AC52" s="28"/>
      <c r="AD52" s="28"/>
    </row>
    <row r="53" spans="1:30" x14ac:dyDescent="0.4">
      <c r="A53" s="24"/>
      <c r="B53" s="24"/>
      <c r="C53" s="24"/>
      <c r="D53" s="24" t="s">
        <v>8</v>
      </c>
      <c r="E53" s="24"/>
      <c r="F53" s="24"/>
      <c r="G53" s="24" t="s">
        <v>8</v>
      </c>
      <c r="H53" s="25">
        <f>82145.86-L53</f>
        <v>80851.89</v>
      </c>
      <c r="I53" s="26">
        <v>0</v>
      </c>
      <c r="J53" s="26">
        <v>0</v>
      </c>
      <c r="K53" s="26">
        <v>5000.0600000000004</v>
      </c>
      <c r="L53" s="26">
        <v>1293.97</v>
      </c>
      <c r="M53" s="26">
        <v>0</v>
      </c>
      <c r="N53" s="26">
        <v>0</v>
      </c>
      <c r="O53" s="25">
        <v>2727.84</v>
      </c>
      <c r="P53" s="25">
        <f t="shared" si="3"/>
        <v>89873.76</v>
      </c>
      <c r="Q53" s="26">
        <v>0</v>
      </c>
      <c r="R53" s="26">
        <v>20250.240000000002</v>
      </c>
      <c r="S53" s="25">
        <f>26935.32-T53</f>
        <v>24241.8</v>
      </c>
      <c r="T53" s="26">
        <v>2693.52</v>
      </c>
      <c r="U53" s="26">
        <v>1153.68</v>
      </c>
      <c r="V53" s="26">
        <v>222.6</v>
      </c>
      <c r="W53" s="26">
        <v>307.92</v>
      </c>
      <c r="X53" s="26">
        <v>401.28</v>
      </c>
      <c r="Y53" s="26">
        <v>21507.599999999999</v>
      </c>
      <c r="Z53" s="25">
        <v>1750.97</v>
      </c>
      <c r="AA53" s="27">
        <f t="shared" si="4"/>
        <v>44218.009999999995</v>
      </c>
      <c r="AB53" s="27">
        <f t="shared" si="5"/>
        <v>4069.7999999999997</v>
      </c>
      <c r="AC53" s="28"/>
      <c r="AD53" s="28"/>
    </row>
    <row r="54" spans="1:30" x14ac:dyDescent="0.4">
      <c r="A54" s="24"/>
      <c r="B54" s="24"/>
      <c r="C54" s="24"/>
      <c r="D54" s="24"/>
      <c r="E54" s="24" t="s">
        <v>8</v>
      </c>
      <c r="F54" s="24"/>
      <c r="G54" s="24" t="s">
        <v>8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25">
        <v>0</v>
      </c>
      <c r="N54" s="26">
        <v>0</v>
      </c>
      <c r="O54" s="25">
        <v>0</v>
      </c>
      <c r="P54" s="25">
        <f t="shared" si="3"/>
        <v>0</v>
      </c>
      <c r="Q54" s="25">
        <v>0</v>
      </c>
      <c r="R54" s="25">
        <v>0</v>
      </c>
      <c r="S54" s="25"/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5">
        <v>0</v>
      </c>
      <c r="AA54" s="27">
        <f t="shared" si="4"/>
        <v>0</v>
      </c>
      <c r="AB54" s="27">
        <f t="shared" si="5"/>
        <v>0</v>
      </c>
      <c r="AC54" s="28"/>
      <c r="AD54" s="28"/>
    </row>
    <row r="55" spans="1:30" x14ac:dyDescent="0.4">
      <c r="A55" s="24"/>
      <c r="B55" s="24"/>
      <c r="C55" s="24"/>
      <c r="D55" s="24"/>
      <c r="E55" s="24" t="s">
        <v>8</v>
      </c>
      <c r="F55" s="24" t="s">
        <v>8</v>
      </c>
      <c r="G55" s="24"/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25">
        <f t="shared" si="3"/>
        <v>0</v>
      </c>
      <c r="Q55" s="25">
        <v>0</v>
      </c>
      <c r="R55" s="25">
        <v>0</v>
      </c>
      <c r="S55" s="25"/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5">
        <v>0</v>
      </c>
      <c r="AA55" s="27">
        <f t="shared" si="4"/>
        <v>0</v>
      </c>
      <c r="AB55" s="27">
        <f t="shared" si="5"/>
        <v>0</v>
      </c>
      <c r="AC55" s="28"/>
      <c r="AD55" s="28"/>
    </row>
    <row r="56" spans="1:30" x14ac:dyDescent="0.4">
      <c r="AA56" s="28"/>
      <c r="AB56" s="28"/>
      <c r="AC56" s="28"/>
      <c r="AD56" s="28"/>
    </row>
    <row r="57" spans="1:30" x14ac:dyDescent="0.4">
      <c r="AA57" s="28"/>
      <c r="AB57" s="28"/>
      <c r="AC57" s="28"/>
      <c r="AD57" s="28"/>
    </row>
    <row r="58" spans="1:30" x14ac:dyDescent="0.4">
      <c r="AA58" s="28"/>
      <c r="AB58" s="28"/>
      <c r="AC58" s="28"/>
      <c r="AD58" s="28"/>
    </row>
    <row r="59" spans="1:30" ht="92.6" x14ac:dyDescent="0.4">
      <c r="G59" s="4" t="s">
        <v>12</v>
      </c>
      <c r="H59" s="3" t="str">
        <f>H2</f>
        <v>Reg Salary/Wages Paid (includes any employee's regular rate of pay categories that are paid at regular rate i.e. holiday, sick, etc.)</v>
      </c>
      <c r="I59" s="3" t="str">
        <f t="shared" ref="I59:O59" si="6">I2</f>
        <v>OT Amount (includes All Pays at OT &amp; Above Rate)</v>
      </c>
      <c r="J59" s="3" t="str">
        <f t="shared" si="6"/>
        <v>Excess Vacation Payout</v>
      </c>
      <c r="K59" s="3" t="str">
        <f t="shared" si="6"/>
        <v>Dispatch / Duty Pay</v>
      </c>
      <c r="L59" s="3"/>
      <c r="M59" s="3" t="str">
        <f t="shared" si="6"/>
        <v>Bonus Pay</v>
      </c>
      <c r="N59" s="3" t="s">
        <v>35</v>
      </c>
      <c r="O59" s="3" t="str">
        <f t="shared" si="6"/>
        <v>Other Pays Including Phone, Med Opt-Out, etc.</v>
      </c>
      <c r="P59" s="1" t="s">
        <v>6</v>
      </c>
      <c r="Q59" s="3" t="str">
        <f>Q2</f>
        <v>Other Incentives, Deferred Compensation</v>
      </c>
      <c r="R59" s="3" t="s">
        <v>22</v>
      </c>
      <c r="S59" s="3" t="s">
        <v>32</v>
      </c>
      <c r="T59" s="3" t="s">
        <v>23</v>
      </c>
      <c r="U59" s="3" t="s">
        <v>24</v>
      </c>
      <c r="V59" s="3" t="s">
        <v>25</v>
      </c>
      <c r="W59" s="3" t="s">
        <v>30</v>
      </c>
      <c r="X59" s="3" t="s">
        <v>26</v>
      </c>
      <c r="Y59" s="3" t="s">
        <v>27</v>
      </c>
      <c r="Z59" s="18" t="s">
        <v>29</v>
      </c>
      <c r="AA59" s="3" t="s">
        <v>10</v>
      </c>
      <c r="AB59" s="3" t="s">
        <v>11</v>
      </c>
      <c r="AC59" s="28"/>
      <c r="AD59" s="28"/>
    </row>
    <row r="60" spans="1:30" x14ac:dyDescent="0.4">
      <c r="G60" s="20" t="s">
        <v>37</v>
      </c>
      <c r="H60" s="26">
        <f t="shared" ref="H60:AB60" si="7">+SUMIF($A$3:$A$55,"X",H3:H55)</f>
        <v>457549.25</v>
      </c>
      <c r="I60" s="26">
        <f t="shared" si="7"/>
        <v>0</v>
      </c>
      <c r="J60" s="26">
        <f t="shared" si="7"/>
        <v>0</v>
      </c>
      <c r="K60" s="26">
        <f t="shared" si="7"/>
        <v>0</v>
      </c>
      <c r="L60" s="26">
        <f>+SUMIF($A$3:$A$55,"X",L3:L55)</f>
        <v>0</v>
      </c>
      <c r="M60" s="26">
        <f t="shared" si="7"/>
        <v>0</v>
      </c>
      <c r="N60" s="26">
        <f t="shared" ref="N60" si="8">+SUMIF($A$3:$A$55,"X",N3:N55)</f>
        <v>6600</v>
      </c>
      <c r="O60" s="26">
        <f t="shared" si="7"/>
        <v>3908.5200000000004</v>
      </c>
      <c r="P60" s="26">
        <f t="shared" si="7"/>
        <v>468057.77</v>
      </c>
      <c r="Q60" s="26">
        <f>+SUMIF($A$3:$A$55,"X",Q3:Q55)</f>
        <v>52650</v>
      </c>
      <c r="R60" s="26">
        <f t="shared" si="7"/>
        <v>20177.16</v>
      </c>
      <c r="S60" s="26">
        <f t="shared" ref="S60" si="9">+SUMIF($A$3:$A$55,"X",S3:S55)</f>
        <v>23529.119999999999</v>
      </c>
      <c r="T60" s="26">
        <f t="shared" si="7"/>
        <v>2614.3199999999997</v>
      </c>
      <c r="U60" s="26">
        <f t="shared" si="7"/>
        <v>1646.28</v>
      </c>
      <c r="V60" s="26">
        <f t="shared" si="7"/>
        <v>302.39999999999998</v>
      </c>
      <c r="W60" s="26">
        <f t="shared" si="7"/>
        <v>1725.96</v>
      </c>
      <c r="X60" s="26">
        <f t="shared" si="7"/>
        <v>2256.2399999999998</v>
      </c>
      <c r="Y60" s="26">
        <f t="shared" si="7"/>
        <v>0</v>
      </c>
      <c r="Z60" s="25">
        <f t="shared" si="7"/>
        <v>35423.1</v>
      </c>
      <c r="AA60" s="26">
        <f t="shared" si="7"/>
        <v>59582.459999999992</v>
      </c>
      <c r="AB60" s="26">
        <f t="shared" si="7"/>
        <v>4563</v>
      </c>
      <c r="AC60" s="28"/>
      <c r="AD60" s="28"/>
    </row>
    <row r="61" spans="1:30" x14ac:dyDescent="0.4">
      <c r="G61" s="20" t="s">
        <v>0</v>
      </c>
      <c r="H61" s="26">
        <f>+SUMIF($B$3:$B$55,"X",H3:H55)</f>
        <v>620182.30000000005</v>
      </c>
      <c r="I61" s="26">
        <f>+SUMIF($B$3:$B$55,"X",I3:I55)</f>
        <v>0</v>
      </c>
      <c r="J61" s="26">
        <f t="shared" ref="J61:AB61" si="10">+SUMIF($B$3:$B$55,"X",J3:J55)</f>
        <v>1831.95</v>
      </c>
      <c r="K61" s="26">
        <f t="shared" si="10"/>
        <v>20288.730000000003</v>
      </c>
      <c r="L61" s="26">
        <f t="shared" si="10"/>
        <v>12648.51</v>
      </c>
      <c r="M61" s="26">
        <f t="shared" si="10"/>
        <v>0</v>
      </c>
      <c r="N61" s="26">
        <f t="shared" ref="N61" si="11">+SUMIF($B$3:$B$55,"X",N3:N55)</f>
        <v>0</v>
      </c>
      <c r="O61" s="26">
        <f t="shared" si="10"/>
        <v>18354.219999999998</v>
      </c>
      <c r="P61" s="26">
        <f t="shared" si="10"/>
        <v>673305.71000000008</v>
      </c>
      <c r="Q61" s="26">
        <f>+SUMIF($B$3:$B$55,"X",Q3:Q55)</f>
        <v>0</v>
      </c>
      <c r="R61" s="26">
        <f t="shared" si="10"/>
        <v>76414.89</v>
      </c>
      <c r="S61" s="26">
        <f t="shared" ref="S61" si="12">+SUMIF($B$3:$B$55,"X",S3:S55)</f>
        <v>65469.799999999996</v>
      </c>
      <c r="T61" s="26">
        <f t="shared" si="10"/>
        <v>7274.3400000000011</v>
      </c>
      <c r="U61" s="26">
        <f t="shared" si="10"/>
        <v>3256.57</v>
      </c>
      <c r="V61" s="26">
        <f t="shared" si="10"/>
        <v>685.83999999999992</v>
      </c>
      <c r="W61" s="26">
        <f>+SUMIF($B$3:$B$55,"X",W3:W55)</f>
        <v>2368.59</v>
      </c>
      <c r="X61" s="26">
        <f>+SUMIF($B$3:$B$55,"X",X3:X55)</f>
        <v>3063.4800000000005</v>
      </c>
      <c r="Y61" s="26">
        <f>+SUMIF($B$3:$B$55,"X",Y3:Y55)</f>
        <v>33925.08</v>
      </c>
      <c r="Z61" s="25">
        <f t="shared" si="10"/>
        <v>35864.17</v>
      </c>
      <c r="AA61" s="26">
        <f t="shared" si="10"/>
        <v>151636.21000000002</v>
      </c>
      <c r="AB61" s="26">
        <f t="shared" si="10"/>
        <v>11216.75</v>
      </c>
      <c r="AC61" s="28"/>
      <c r="AD61" s="28"/>
    </row>
    <row r="62" spans="1:30" ht="12" thickBot="1" x14ac:dyDescent="0.45">
      <c r="G62" s="20" t="s">
        <v>13</v>
      </c>
      <c r="H62" s="29">
        <f>+SUM(H60:H61)</f>
        <v>1077731.55</v>
      </c>
      <c r="I62" s="29">
        <f t="shared" ref="I62:AB62" si="13">+SUM(I60:I61)</f>
        <v>0</v>
      </c>
      <c r="J62" s="29">
        <f t="shared" ref="J62:O62" si="14">+SUM(J60:J61)</f>
        <v>1831.95</v>
      </c>
      <c r="K62" s="29">
        <f t="shared" si="14"/>
        <v>20288.730000000003</v>
      </c>
      <c r="L62" s="29">
        <f t="shared" si="14"/>
        <v>12648.51</v>
      </c>
      <c r="M62" s="29">
        <f t="shared" si="14"/>
        <v>0</v>
      </c>
      <c r="N62" s="29">
        <f t="shared" si="14"/>
        <v>6600</v>
      </c>
      <c r="O62" s="29">
        <f t="shared" si="14"/>
        <v>22262.739999999998</v>
      </c>
      <c r="P62" s="29">
        <f t="shared" si="13"/>
        <v>1141363.48</v>
      </c>
      <c r="Q62" s="29">
        <f>+SUM(Q60:Q61)</f>
        <v>52650</v>
      </c>
      <c r="R62" s="29">
        <f t="shared" si="13"/>
        <v>96592.05</v>
      </c>
      <c r="S62" s="29">
        <f t="shared" ref="S62" si="15">+SUM(S60:S61)</f>
        <v>88998.92</v>
      </c>
      <c r="T62" s="29">
        <f t="shared" si="13"/>
        <v>9888.66</v>
      </c>
      <c r="U62" s="29">
        <f t="shared" si="13"/>
        <v>4902.8500000000004</v>
      </c>
      <c r="V62" s="29">
        <f t="shared" si="13"/>
        <v>988.2399999999999</v>
      </c>
      <c r="W62" s="29">
        <f>+SUM(W60:W61)</f>
        <v>4094.55</v>
      </c>
      <c r="X62" s="29">
        <f>+SUM(X60:X61)</f>
        <v>5319.72</v>
      </c>
      <c r="Y62" s="29">
        <f>+SUM(Y60:Y61)</f>
        <v>33925.08</v>
      </c>
      <c r="Z62" s="30">
        <f t="shared" si="13"/>
        <v>71287.26999999999</v>
      </c>
      <c r="AA62" s="29">
        <f t="shared" si="13"/>
        <v>211218.67</v>
      </c>
      <c r="AB62" s="29">
        <f t="shared" si="13"/>
        <v>15779.75</v>
      </c>
      <c r="AC62" s="28"/>
      <c r="AD62" s="28"/>
    </row>
    <row r="63" spans="1:30" x14ac:dyDescent="0.4">
      <c r="AA63" s="28"/>
      <c r="AB63" s="28"/>
      <c r="AC63" s="28"/>
      <c r="AD63" s="28"/>
    </row>
    <row r="64" spans="1:30" x14ac:dyDescent="0.4">
      <c r="G64" s="20" t="s">
        <v>2</v>
      </c>
      <c r="H64" s="26">
        <f>+SUMIF($D$3:$D$55,"X",H3:H55)</f>
        <v>1582888.77</v>
      </c>
      <c r="I64" s="26">
        <f>+SUMIF($D$3:$D$55,"X",I3:I55)</f>
        <v>964.88</v>
      </c>
      <c r="J64" s="26">
        <f t="shared" ref="J64:AB64" si="16">+SUMIF($D$3:$D$55,"X",J3:J55)</f>
        <v>4396.79</v>
      </c>
      <c r="K64" s="26">
        <f t="shared" si="16"/>
        <v>50289.09</v>
      </c>
      <c r="L64" s="26">
        <f t="shared" si="16"/>
        <v>18560.760000000002</v>
      </c>
      <c r="M64" s="26">
        <f t="shared" si="16"/>
        <v>0</v>
      </c>
      <c r="N64" s="26">
        <f t="shared" ref="N64" si="17">+SUMIF($D$3:$D$55,"X",N3:N55)</f>
        <v>6600</v>
      </c>
      <c r="O64" s="26">
        <f t="shared" si="16"/>
        <v>37269.099999999991</v>
      </c>
      <c r="P64" s="26">
        <f t="shared" si="16"/>
        <v>1700969.3900000004</v>
      </c>
      <c r="Q64" s="26">
        <f>+SUMIF($D$3:$D$55,"X",Q3:Q55)</f>
        <v>52650</v>
      </c>
      <c r="R64" s="26">
        <f t="shared" si="16"/>
        <v>180381.09</v>
      </c>
      <c r="S64" s="26">
        <f t="shared" ref="S64" si="18">+SUMIF($D$3:$D$55,"X",S3:S55)</f>
        <v>188166.08</v>
      </c>
      <c r="T64" s="26">
        <f t="shared" si="16"/>
        <v>20907.059999999998</v>
      </c>
      <c r="U64" s="26">
        <f t="shared" si="16"/>
        <v>8096.41</v>
      </c>
      <c r="V64" s="26">
        <f t="shared" si="16"/>
        <v>1433.4399999999996</v>
      </c>
      <c r="W64" s="26">
        <f>+SUMIF($D$3:$D$55,"X",W3:W55)</f>
        <v>5999.3100000000013</v>
      </c>
      <c r="X64" s="26">
        <f>+SUMIF($D$3:$D$55,"X",X3:X55)</f>
        <v>7798.7999999999993</v>
      </c>
      <c r="Y64" s="26">
        <f>+SUMIF($D$3:$D$55,"X",Y3:Y55)</f>
        <v>88744.200000000012</v>
      </c>
      <c r="Z64" s="25">
        <f t="shared" si="16"/>
        <v>103659.56999999999</v>
      </c>
      <c r="AA64" s="26">
        <f t="shared" si="16"/>
        <v>386582.97</v>
      </c>
      <c r="AB64" s="26">
        <f t="shared" si="16"/>
        <v>30436.909999999993</v>
      </c>
      <c r="AC64" s="28"/>
      <c r="AD64" s="28"/>
    </row>
    <row r="65" spans="7:30" x14ac:dyDescent="0.4">
      <c r="G65" s="20" t="s">
        <v>3</v>
      </c>
      <c r="H65" s="26">
        <f>+SUMIF($E$3:$E$55,"X",H3:H55)</f>
        <v>1627845.0599999996</v>
      </c>
      <c r="I65" s="26">
        <f>+SUMIF($E$3:$E$55,"X",I3:I55)</f>
        <v>388991.92</v>
      </c>
      <c r="J65" s="26">
        <f t="shared" ref="J65:AB65" si="19">+SUMIF($E$3:$E$55,"X",J3:J55)</f>
        <v>0</v>
      </c>
      <c r="K65" s="26">
        <f t="shared" si="19"/>
        <v>0</v>
      </c>
      <c r="L65" s="26">
        <f t="shared" si="19"/>
        <v>0</v>
      </c>
      <c r="M65" s="26">
        <f t="shared" si="19"/>
        <v>0</v>
      </c>
      <c r="N65" s="26">
        <f t="shared" ref="N65" si="20">+SUMIF($E$3:$E$55,"X",N3:N55)</f>
        <v>0</v>
      </c>
      <c r="O65" s="26">
        <f t="shared" si="19"/>
        <v>30137.34</v>
      </c>
      <c r="P65" s="26">
        <f t="shared" si="19"/>
        <v>2046974.3200000005</v>
      </c>
      <c r="Q65" s="26">
        <f>+SUMIF($E$3:$E$55,"X",Q3:Q55)</f>
        <v>0</v>
      </c>
      <c r="R65" s="26">
        <f t="shared" si="19"/>
        <v>294203.30000000005</v>
      </c>
      <c r="S65" s="26">
        <f t="shared" ref="S65" si="21">+SUMIF($E$3:$E$55,"X",S3:S55)</f>
        <v>321612.30000000005</v>
      </c>
      <c r="T65" s="26">
        <f t="shared" si="19"/>
        <v>45938.82</v>
      </c>
      <c r="U65" s="26">
        <f t="shared" si="19"/>
        <v>13842.720000000001</v>
      </c>
      <c r="V65" s="26">
        <f t="shared" si="19"/>
        <v>1982.4199999999998</v>
      </c>
      <c r="W65" s="26">
        <f>+SUMIF($E$3:$E$55,"X",W3:W55)</f>
        <v>6090.6600000000008</v>
      </c>
      <c r="X65" s="26">
        <f>+SUMIF($E$3:$E$55,"X",X3:X55)</f>
        <v>7860.0800000000008</v>
      </c>
      <c r="Y65" s="26">
        <f>+SUMIF($E$3:$E$55,"X",Y3:Y55)</f>
        <v>75543</v>
      </c>
      <c r="Z65" s="25">
        <f t="shared" si="19"/>
        <v>177668.58</v>
      </c>
      <c r="AA65" s="26">
        <f t="shared" si="19"/>
        <v>561365.62</v>
      </c>
      <c r="AB65" s="26">
        <f t="shared" si="19"/>
        <v>61763.96</v>
      </c>
      <c r="AC65" s="28"/>
      <c r="AD65" s="28"/>
    </row>
    <row r="66" spans="7:30" ht="12" thickBot="1" x14ac:dyDescent="0.45">
      <c r="G66" s="20" t="s">
        <v>13</v>
      </c>
      <c r="H66" s="29">
        <f>+H64+H65</f>
        <v>3210733.8299999996</v>
      </c>
      <c r="I66" s="29">
        <f t="shared" ref="I66:AB66" si="22">+I64+I65</f>
        <v>389956.8</v>
      </c>
      <c r="J66" s="29">
        <f t="shared" si="22"/>
        <v>4396.79</v>
      </c>
      <c r="K66" s="29">
        <f t="shared" si="22"/>
        <v>50289.09</v>
      </c>
      <c r="L66" s="29">
        <f t="shared" si="22"/>
        <v>18560.760000000002</v>
      </c>
      <c r="M66" s="29">
        <f t="shared" si="22"/>
        <v>0</v>
      </c>
      <c r="N66" s="29">
        <f t="shared" ref="N66" si="23">+N64+N65</f>
        <v>6600</v>
      </c>
      <c r="O66" s="29">
        <f t="shared" si="22"/>
        <v>67406.439999999988</v>
      </c>
      <c r="P66" s="29">
        <f t="shared" si="22"/>
        <v>3747943.7100000009</v>
      </c>
      <c r="Q66" s="29">
        <f>+Q64+Q65</f>
        <v>52650</v>
      </c>
      <c r="R66" s="29">
        <f t="shared" si="22"/>
        <v>474584.39</v>
      </c>
      <c r="S66" s="29">
        <f t="shared" ref="S66" si="24">+S64+S65</f>
        <v>509778.38</v>
      </c>
      <c r="T66" s="29">
        <f t="shared" si="22"/>
        <v>66845.88</v>
      </c>
      <c r="U66" s="29">
        <f t="shared" si="22"/>
        <v>21939.13</v>
      </c>
      <c r="V66" s="29">
        <f t="shared" si="22"/>
        <v>3415.8599999999997</v>
      </c>
      <c r="W66" s="29">
        <f>+W64+W65</f>
        <v>12089.970000000001</v>
      </c>
      <c r="X66" s="29">
        <f>+X64+X65</f>
        <v>15658.880000000001</v>
      </c>
      <c r="Y66" s="29">
        <f>+Y64+Y65</f>
        <v>164287.20000000001</v>
      </c>
      <c r="Z66" s="30">
        <f t="shared" si="22"/>
        <v>281328.14999999997</v>
      </c>
      <c r="AA66" s="29">
        <f t="shared" si="22"/>
        <v>947948.59</v>
      </c>
      <c r="AB66" s="29">
        <f t="shared" si="22"/>
        <v>92200.87</v>
      </c>
      <c r="AC66" s="28"/>
      <c r="AD66" s="28"/>
    </row>
    <row r="67" spans="7:30" x14ac:dyDescent="0.4">
      <c r="AC67" s="28"/>
      <c r="AD67" s="28"/>
    </row>
    <row r="68" spans="7:30" x14ac:dyDescent="0.4">
      <c r="G68" s="20" t="s">
        <v>4</v>
      </c>
      <c r="H68" s="26">
        <f>+SUMIF($F$3:$F$55,"X",H3:H55)</f>
        <v>1290662.7099999997</v>
      </c>
      <c r="I68" s="26">
        <f>+SUMIF($F$3:$F$55,"X",I3:I55)</f>
        <v>386564.92999999988</v>
      </c>
      <c r="J68" s="26">
        <f t="shared" ref="J68:AB68" si="25">+SUMIF($F$3:$F$55,"X",J3:J55)</f>
        <v>0</v>
      </c>
      <c r="K68" s="26">
        <f t="shared" si="25"/>
        <v>0</v>
      </c>
      <c r="L68" s="26">
        <f t="shared" si="25"/>
        <v>0</v>
      </c>
      <c r="M68" s="26">
        <f t="shared" si="25"/>
        <v>0</v>
      </c>
      <c r="N68" s="26">
        <f t="shared" ref="N68" si="26">+SUMIF($F$3:$F$55,"X",N3:N55)</f>
        <v>0</v>
      </c>
      <c r="O68" s="26">
        <f t="shared" si="25"/>
        <v>23358.14</v>
      </c>
      <c r="P68" s="26">
        <f t="shared" si="25"/>
        <v>1700585.78</v>
      </c>
      <c r="Q68" s="26">
        <f>+SUMIF($F$3:$F$55,"X",Q3:Q55)</f>
        <v>0</v>
      </c>
      <c r="R68" s="26">
        <f t="shared" si="25"/>
        <v>237743.30000000005</v>
      </c>
      <c r="S68" s="26">
        <f t="shared" ref="S68" si="27">+SUMIF($F$3:$F$55,"X",S3:S55)</f>
        <v>266328.66000000003</v>
      </c>
      <c r="T68" s="26">
        <f t="shared" si="25"/>
        <v>39796.26</v>
      </c>
      <c r="U68" s="26">
        <f t="shared" si="25"/>
        <v>11195.04</v>
      </c>
      <c r="V68" s="26">
        <f t="shared" si="25"/>
        <v>1336.9999999999998</v>
      </c>
      <c r="W68" s="26">
        <f>+SUMIF($F$3:$F$55,"X",W3:W55)</f>
        <v>4896.72</v>
      </c>
      <c r="X68" s="26">
        <f>+SUMIF($F$3:$F$55,"X",X3:X55)</f>
        <v>6388.3200000000006</v>
      </c>
      <c r="Y68" s="26">
        <f>+SUMIF($F$3:$F$55,"X",Y3:Y55)</f>
        <v>75543</v>
      </c>
      <c r="Z68" s="25">
        <f t="shared" si="25"/>
        <v>154484.06</v>
      </c>
      <c r="AA68" s="26">
        <f t="shared" si="25"/>
        <v>479055.4</v>
      </c>
      <c r="AB68" s="26">
        <f t="shared" si="25"/>
        <v>52328.299999999996</v>
      </c>
      <c r="AC68" s="28"/>
      <c r="AD68" s="28"/>
    </row>
    <row r="69" spans="7:30" x14ac:dyDescent="0.4">
      <c r="G69" s="20" t="s">
        <v>5</v>
      </c>
      <c r="H69" s="26">
        <f>+SUMIF($G$3:$G$55,"X",H3:H55)</f>
        <v>1920071.1199999999</v>
      </c>
      <c r="I69" s="26">
        <f>+SUMIF($G$3:$G$55,"X",I3:I55)</f>
        <v>3391.87</v>
      </c>
      <c r="J69" s="26">
        <f t="shared" ref="J69:AB69" si="28">+SUMIF($G$3:$G$55,"X",J3:J55)</f>
        <v>4396.79</v>
      </c>
      <c r="K69" s="26">
        <f t="shared" si="28"/>
        <v>50289.09</v>
      </c>
      <c r="L69" s="26">
        <f t="shared" si="28"/>
        <v>18560.760000000002</v>
      </c>
      <c r="M69" s="26">
        <f t="shared" si="28"/>
        <v>0</v>
      </c>
      <c r="N69" s="26">
        <f t="shared" ref="N69" si="29">+SUMIF($G$3:$G$55,"X",N3:N55)</f>
        <v>6600</v>
      </c>
      <c r="O69" s="26">
        <f t="shared" si="28"/>
        <v>44048.299999999988</v>
      </c>
      <c r="P69" s="26">
        <f t="shared" si="28"/>
        <v>2047357.9300000004</v>
      </c>
      <c r="Q69" s="26">
        <f>+SUMIF($G$3:$G$55,"X",Q3:Q55)</f>
        <v>52650</v>
      </c>
      <c r="R69" s="26">
        <f t="shared" si="28"/>
        <v>236841.08999999997</v>
      </c>
      <c r="S69" s="26">
        <f t="shared" ref="S69" si="30">+SUMIF($G$3:$G$55,"X",S3:S55)</f>
        <v>243449.71999999997</v>
      </c>
      <c r="T69" s="26">
        <f t="shared" si="28"/>
        <v>27049.62</v>
      </c>
      <c r="U69" s="26">
        <f t="shared" si="28"/>
        <v>10744.089999999998</v>
      </c>
      <c r="V69" s="26">
        <f t="shared" si="28"/>
        <v>2078.8599999999997</v>
      </c>
      <c r="W69" s="26">
        <f>+SUMIF($G$3:$G$55,"X",W3:W55)</f>
        <v>7193.25</v>
      </c>
      <c r="X69" s="26">
        <f>+SUMIF($G$3:$G$55,"X",X3:X55)</f>
        <v>9270.5600000000013</v>
      </c>
      <c r="Y69" s="26">
        <f>+SUMIF($G$3:$G$55,"X",Y3:Y55)</f>
        <v>88744.200000000012</v>
      </c>
      <c r="Z69" s="25">
        <f t="shared" si="28"/>
        <v>126844.09</v>
      </c>
      <c r="AA69" s="26">
        <f t="shared" si="28"/>
        <v>468893.18999999994</v>
      </c>
      <c r="AB69" s="26">
        <f t="shared" si="28"/>
        <v>39872.569999999992</v>
      </c>
      <c r="AC69" s="28"/>
      <c r="AD69" s="28"/>
    </row>
    <row r="70" spans="7:30" ht="12" thickBot="1" x14ac:dyDescent="0.45">
      <c r="G70" s="20" t="s">
        <v>13</v>
      </c>
      <c r="H70" s="29">
        <f>+H68+H69</f>
        <v>3210733.8299999996</v>
      </c>
      <c r="I70" s="29">
        <f t="shared" ref="I70:AB70" si="31">+I68+I69</f>
        <v>389956.79999999987</v>
      </c>
      <c r="J70" s="29">
        <f t="shared" si="31"/>
        <v>4396.79</v>
      </c>
      <c r="K70" s="29">
        <f t="shared" si="31"/>
        <v>50289.09</v>
      </c>
      <c r="L70" s="29">
        <f t="shared" si="31"/>
        <v>18560.760000000002</v>
      </c>
      <c r="M70" s="29">
        <f t="shared" si="31"/>
        <v>0</v>
      </c>
      <c r="N70" s="29">
        <f t="shared" ref="N70" si="32">+N68+N69</f>
        <v>6600</v>
      </c>
      <c r="O70" s="29">
        <f t="shared" si="31"/>
        <v>67406.439999999988</v>
      </c>
      <c r="P70" s="29">
        <f t="shared" si="31"/>
        <v>3747943.7100000004</v>
      </c>
      <c r="Q70" s="29">
        <f>+Q68+Q69</f>
        <v>52650</v>
      </c>
      <c r="R70" s="29">
        <f t="shared" si="31"/>
        <v>474584.39</v>
      </c>
      <c r="S70" s="29">
        <f t="shared" ref="S70" si="33">+S68+S69</f>
        <v>509778.38</v>
      </c>
      <c r="T70" s="29">
        <f t="shared" si="31"/>
        <v>66845.88</v>
      </c>
      <c r="U70" s="29">
        <f t="shared" si="31"/>
        <v>21939.129999999997</v>
      </c>
      <c r="V70" s="29">
        <f t="shared" si="31"/>
        <v>3415.8599999999997</v>
      </c>
      <c r="W70" s="29">
        <f>+W68+W69</f>
        <v>12089.970000000001</v>
      </c>
      <c r="X70" s="29">
        <f>+X68+X69</f>
        <v>15658.880000000001</v>
      </c>
      <c r="Y70" s="29">
        <f>+Y68+Y69</f>
        <v>164287.20000000001</v>
      </c>
      <c r="Z70" s="30">
        <f t="shared" si="31"/>
        <v>281328.15000000002</v>
      </c>
      <c r="AA70" s="29">
        <f t="shared" si="31"/>
        <v>947948.59</v>
      </c>
      <c r="AB70" s="29">
        <f t="shared" si="31"/>
        <v>92200.87</v>
      </c>
      <c r="AC70" s="28"/>
      <c r="AD70" s="28"/>
    </row>
    <row r="71" spans="7:30" x14ac:dyDescent="0.4"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2"/>
      <c r="AA71" s="31"/>
      <c r="AB71" s="31"/>
      <c r="AC71" s="28"/>
      <c r="AD71" s="28"/>
    </row>
    <row r="72" spans="7:30" ht="14.6" hidden="1" x14ac:dyDescent="0.4">
      <c r="G72" s="5" t="s">
        <v>39</v>
      </c>
    </row>
    <row r="73" spans="7:30" ht="14.6" hidden="1" x14ac:dyDescent="0.4">
      <c r="G73" s="5" t="s">
        <v>37</v>
      </c>
      <c r="H73" s="38">
        <f>(H60-'2022'!H60)/'2022'!H60</f>
        <v>5.3318976587112939E-2</v>
      </c>
    </row>
    <row r="74" spans="7:30" ht="14.6" hidden="1" x14ac:dyDescent="0.4">
      <c r="G74" s="5" t="s">
        <v>40</v>
      </c>
      <c r="H74" s="38">
        <f>(H64-'2022'!H64)/'2022'!H64</f>
        <v>2.7893723022346922E-2</v>
      </c>
    </row>
    <row r="75" spans="7:30" ht="14.6" hidden="1" x14ac:dyDescent="0.4">
      <c r="G75" s="5" t="s">
        <v>41</v>
      </c>
      <c r="H75" s="38">
        <f>(H65-'2022'!H65)/'2022'!H65</f>
        <v>1.8714827877536405E-2</v>
      </c>
    </row>
  </sheetData>
  <autoFilter ref="A2:AA55" xr:uid="{A53ACBA8-38C2-4DC6-9895-AA7529EFC731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BB9E-8143-4BB0-9015-ED7825FFA754}">
  <dimension ref="A1:AD83"/>
  <sheetViews>
    <sheetView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3" sqref="A3:A59"/>
    </sheetView>
  </sheetViews>
  <sheetFormatPr defaultColWidth="9.15234375" defaultRowHeight="11.6" x14ac:dyDescent="0.4"/>
  <cols>
    <col min="1" max="1" width="15.4609375" style="20" bestFit="1" customWidth="1"/>
    <col min="2" max="2" width="12.69140625" style="20" bestFit="1" customWidth="1"/>
    <col min="3" max="3" width="14.4609375" style="20" bestFit="1" customWidth="1"/>
    <col min="4" max="4" width="11.69140625" style="20" customWidth="1"/>
    <col min="5" max="5" width="15.4609375" style="20" customWidth="1"/>
    <col min="6" max="6" width="10.15234375" style="20" customWidth="1"/>
    <col min="7" max="7" width="13.84375" style="20" customWidth="1"/>
    <col min="8" max="8" width="16.15234375" style="26" customWidth="1"/>
    <col min="9" max="10" width="14.53515625" style="26" customWidth="1"/>
    <col min="11" max="12" width="14.69140625" style="26" customWidth="1"/>
    <col min="13" max="14" width="11.23046875" style="26" customWidth="1"/>
    <col min="15" max="15" width="11.53515625" style="26" bestFit="1" customWidth="1"/>
    <col min="16" max="16" width="16.15234375" style="26" customWidth="1"/>
    <col min="17" max="17" width="15.15234375" style="26" customWidth="1"/>
    <col min="18" max="18" width="16.15234375" style="26" hidden="1" customWidth="1"/>
    <col min="19" max="20" width="16.15234375" style="26" customWidth="1"/>
    <col min="21" max="21" width="14.69140625" style="26" customWidth="1"/>
    <col min="22" max="25" width="17.84375" style="26" bestFit="1" customWidth="1"/>
    <col min="26" max="26" width="18.15234375" style="25" bestFit="1" customWidth="1"/>
    <col min="27" max="27" width="15.53515625" style="26" bestFit="1" customWidth="1"/>
    <col min="28" max="28" width="14" style="26" hidden="1" customWidth="1"/>
    <col min="29" max="29" width="14" style="26" bestFit="1" customWidth="1"/>
    <col min="30" max="30" width="15.4609375" style="26" bestFit="1" customWidth="1"/>
    <col min="31" max="31" width="23.69140625" style="28" bestFit="1" customWidth="1"/>
    <col min="32" max="32" width="21" style="28" customWidth="1"/>
    <col min="33" max="16384" width="9.15234375" style="28"/>
  </cols>
  <sheetData>
    <row r="1" spans="1:30" s="20" customFormat="1" x14ac:dyDescent="0.4"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30" s="23" customFormat="1" ht="102" customHeight="1" x14ac:dyDescent="0.4">
      <c r="A2" s="8" t="s">
        <v>37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3" t="s">
        <v>33</v>
      </c>
      <c r="I2" s="3" t="s">
        <v>15</v>
      </c>
      <c r="J2" s="3" t="s">
        <v>16</v>
      </c>
      <c r="K2" s="3" t="s">
        <v>17</v>
      </c>
      <c r="L2" s="3" t="s">
        <v>31</v>
      </c>
      <c r="M2" s="3" t="s">
        <v>34</v>
      </c>
      <c r="N2" s="3" t="s">
        <v>35</v>
      </c>
      <c r="O2" s="3" t="s">
        <v>36</v>
      </c>
      <c r="P2" s="19" t="s">
        <v>6</v>
      </c>
      <c r="Q2" s="3" t="s">
        <v>19</v>
      </c>
      <c r="R2" s="3" t="s">
        <v>22</v>
      </c>
      <c r="S2" s="3" t="s">
        <v>38</v>
      </c>
      <c r="T2" s="3" t="s">
        <v>23</v>
      </c>
      <c r="U2" s="3" t="s">
        <v>24</v>
      </c>
      <c r="V2" s="3" t="s">
        <v>25</v>
      </c>
      <c r="W2" s="3" t="s">
        <v>30</v>
      </c>
      <c r="X2" s="3" t="s">
        <v>26</v>
      </c>
      <c r="Y2" s="3" t="s">
        <v>27</v>
      </c>
      <c r="Z2" s="18" t="s">
        <v>29</v>
      </c>
      <c r="AA2" s="3" t="s">
        <v>10</v>
      </c>
      <c r="AB2" s="3" t="s">
        <v>28</v>
      </c>
    </row>
    <row r="3" spans="1:30" x14ac:dyDescent="0.4">
      <c r="A3" s="24"/>
      <c r="B3" s="24"/>
      <c r="C3" s="24"/>
      <c r="D3" s="24"/>
      <c r="E3" s="24" t="s">
        <v>8</v>
      </c>
      <c r="F3" s="24" t="s">
        <v>8</v>
      </c>
      <c r="G3" s="24"/>
      <c r="H3" s="25">
        <v>94157.36</v>
      </c>
      <c r="I3" s="26">
        <v>27208.51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5">
        <f>250+1020</f>
        <v>1270</v>
      </c>
      <c r="P3" s="25">
        <f t="shared" ref="P3:P34" si="0">SUM(H3:O3)</f>
        <v>122635.87</v>
      </c>
      <c r="Q3" s="26">
        <v>0</v>
      </c>
      <c r="S3" s="25">
        <f>T3/0.13*0.87</f>
        <v>19961.279999999995</v>
      </c>
      <c r="T3" s="26">
        <v>2982.72</v>
      </c>
      <c r="U3" s="26">
        <v>1153.68</v>
      </c>
      <c r="V3" s="26">
        <v>0</v>
      </c>
      <c r="W3" s="26">
        <f>30.46*12</f>
        <v>365.52</v>
      </c>
      <c r="X3" s="26">
        <f>41.04*12</f>
        <v>492.48</v>
      </c>
      <c r="Y3" s="26">
        <f>2117.12*12</f>
        <v>25405.439999999999</v>
      </c>
      <c r="Z3" s="25">
        <v>2427.29</v>
      </c>
      <c r="AA3" s="27">
        <f>S3+Z3+X3+W3+Y3</f>
        <v>48652.009999999995</v>
      </c>
      <c r="AB3" s="27">
        <f t="shared" ref="AB3:AB55" si="1">T3+U3+V3</f>
        <v>4136.3999999999996</v>
      </c>
      <c r="AC3" s="28"/>
      <c r="AD3" s="28"/>
    </row>
    <row r="4" spans="1:30" x14ac:dyDescent="0.4">
      <c r="A4" s="24"/>
      <c r="B4" s="24"/>
      <c r="C4" s="24"/>
      <c r="D4" s="24"/>
      <c r="E4" s="24" t="s">
        <v>8</v>
      </c>
      <c r="F4" s="24"/>
      <c r="G4" s="24" t="s">
        <v>8</v>
      </c>
      <c r="H4" s="25">
        <v>50065.09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5">
        <v>0</v>
      </c>
      <c r="P4" s="25">
        <f t="shared" si="0"/>
        <v>50065.09</v>
      </c>
      <c r="Q4" s="26">
        <v>0</v>
      </c>
      <c r="S4" s="25">
        <f>T4/0.1*0.9</f>
        <v>9535.6799999999985</v>
      </c>
      <c r="T4" s="26">
        <v>1059.52</v>
      </c>
      <c r="U4" s="26">
        <v>391.77</v>
      </c>
      <c r="V4" s="26">
        <v>79.8</v>
      </c>
      <c r="W4" s="26">
        <f>16.2*12</f>
        <v>194.39999999999998</v>
      </c>
      <c r="X4" s="26">
        <f>21.73*12</f>
        <v>260.76</v>
      </c>
      <c r="Y4" s="26">
        <v>0</v>
      </c>
      <c r="Z4" s="25">
        <v>6007.77</v>
      </c>
      <c r="AA4" s="27">
        <f t="shared" ref="AA4:AA59" si="2">S4+Z4+X4+W4+Y4</f>
        <v>15998.609999999999</v>
      </c>
      <c r="AB4" s="27">
        <f t="shared" si="1"/>
        <v>1531.09</v>
      </c>
      <c r="AC4" s="28"/>
      <c r="AD4" s="28"/>
    </row>
    <row r="5" spans="1:30" x14ac:dyDescent="0.4">
      <c r="A5" s="24" t="s">
        <v>8</v>
      </c>
      <c r="B5" s="24"/>
      <c r="C5" s="24"/>
      <c r="D5" s="24" t="s">
        <v>8</v>
      </c>
      <c r="E5" s="24"/>
      <c r="F5" s="24"/>
      <c r="G5" s="24" t="s">
        <v>8</v>
      </c>
      <c r="H5" s="25">
        <v>219864.57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6600</v>
      </c>
      <c r="O5" s="25">
        <f>1302.84+830.68</f>
        <v>2133.52</v>
      </c>
      <c r="P5" s="25">
        <f t="shared" si="0"/>
        <v>228598.09</v>
      </c>
      <c r="Q5" s="26">
        <v>52650</v>
      </c>
      <c r="S5" s="25">
        <v>0</v>
      </c>
      <c r="T5" s="26">
        <v>0</v>
      </c>
      <c r="U5" s="26">
        <v>623.88</v>
      </c>
      <c r="V5" s="26">
        <v>0</v>
      </c>
      <c r="W5" s="26">
        <f>65.12*12</f>
        <v>781.44</v>
      </c>
      <c r="X5" s="26">
        <f>87.6*12</f>
        <v>1051.1999999999998</v>
      </c>
      <c r="Y5" s="26">
        <v>0</v>
      </c>
      <c r="AA5" s="27">
        <f t="shared" si="2"/>
        <v>1832.6399999999999</v>
      </c>
      <c r="AB5" s="27">
        <f t="shared" si="1"/>
        <v>623.88</v>
      </c>
      <c r="AC5" s="28"/>
      <c r="AD5" s="28"/>
    </row>
    <row r="6" spans="1:30" x14ac:dyDescent="0.4">
      <c r="A6" s="24"/>
      <c r="B6" s="24"/>
      <c r="C6" s="24"/>
      <c r="D6" s="24"/>
      <c r="E6" s="24" t="s">
        <v>8</v>
      </c>
      <c r="F6" s="24"/>
      <c r="G6" s="24" t="s">
        <v>8</v>
      </c>
      <c r="H6" s="25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5">
        <v>0</v>
      </c>
      <c r="P6" s="25">
        <f t="shared" si="0"/>
        <v>0</v>
      </c>
      <c r="Q6" s="26">
        <v>0</v>
      </c>
      <c r="S6" s="25">
        <v>0</v>
      </c>
      <c r="T6" s="26">
        <v>0</v>
      </c>
      <c r="U6" s="25">
        <v>0</v>
      </c>
      <c r="V6" s="25">
        <v>0</v>
      </c>
      <c r="W6" s="26">
        <v>0</v>
      </c>
      <c r="X6" s="26">
        <v>0</v>
      </c>
      <c r="Y6" s="26">
        <v>0</v>
      </c>
      <c r="Z6" s="25">
        <v>0</v>
      </c>
      <c r="AA6" s="27">
        <f t="shared" si="2"/>
        <v>0</v>
      </c>
      <c r="AB6" s="27">
        <f t="shared" si="1"/>
        <v>0</v>
      </c>
      <c r="AC6" s="28"/>
      <c r="AD6" s="28"/>
    </row>
    <row r="7" spans="1:30" x14ac:dyDescent="0.4">
      <c r="A7" s="24"/>
      <c r="B7" s="24"/>
      <c r="C7" s="24"/>
      <c r="D7" s="24"/>
      <c r="E7" s="24" t="s">
        <v>8</v>
      </c>
      <c r="F7" s="24" t="s">
        <v>8</v>
      </c>
      <c r="G7" s="24"/>
      <c r="H7" s="25">
        <v>92442.22</v>
      </c>
      <c r="I7" s="26">
        <v>27317.62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5">
        <f>157.94+250+1020</f>
        <v>1427.94</v>
      </c>
      <c r="P7" s="25">
        <f t="shared" si="0"/>
        <v>121187.78</v>
      </c>
      <c r="Q7" s="26">
        <v>0</v>
      </c>
      <c r="S7" s="25">
        <f>T7/0.13*0.87</f>
        <v>19961.279999999995</v>
      </c>
      <c r="T7" s="26">
        <v>2982.72</v>
      </c>
      <c r="U7" s="26">
        <v>1153.68</v>
      </c>
      <c r="V7" s="26">
        <v>0</v>
      </c>
      <c r="W7" s="26">
        <f>29.8*12</f>
        <v>357.6</v>
      </c>
      <c r="X7" s="26">
        <f>40.12*12</f>
        <v>481.43999999999994</v>
      </c>
      <c r="Y7" s="26">
        <v>0</v>
      </c>
      <c r="Z7" s="25">
        <v>14390.15</v>
      </c>
      <c r="AA7" s="27">
        <f t="shared" si="2"/>
        <v>35190.469999999994</v>
      </c>
      <c r="AB7" s="27">
        <f t="shared" si="1"/>
        <v>4136.3999999999996</v>
      </c>
      <c r="AC7" s="28"/>
      <c r="AD7" s="28"/>
    </row>
    <row r="8" spans="1:30" x14ac:dyDescent="0.4">
      <c r="A8" s="24"/>
      <c r="B8" s="24"/>
      <c r="C8" s="24"/>
      <c r="D8" s="24"/>
      <c r="E8" s="24" t="s">
        <v>8</v>
      </c>
      <c r="F8" s="24" t="s">
        <v>8</v>
      </c>
      <c r="G8" s="24"/>
      <c r="H8" s="25">
        <v>90485.02</v>
      </c>
      <c r="I8" s="26">
        <v>26328.400000000001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5">
        <f>250+1020</f>
        <v>1270</v>
      </c>
      <c r="P8" s="25">
        <f t="shared" si="0"/>
        <v>118083.42000000001</v>
      </c>
      <c r="Q8" s="26">
        <v>0</v>
      </c>
      <c r="S8" s="25">
        <f>T8/0.13*0.87</f>
        <v>14364.770769230769</v>
      </c>
      <c r="T8" s="26">
        <v>2146.46</v>
      </c>
      <c r="U8" s="26">
        <v>469.14</v>
      </c>
      <c r="V8" s="26">
        <v>115.68</v>
      </c>
      <c r="W8" s="26">
        <f>27.54*12</f>
        <v>330.48</v>
      </c>
      <c r="X8" s="26">
        <f>36.84*12</f>
        <v>442.08000000000004</v>
      </c>
      <c r="Y8" s="26">
        <v>0</v>
      </c>
      <c r="Z8" s="25">
        <v>14017.62</v>
      </c>
      <c r="AA8" s="27">
        <f t="shared" si="2"/>
        <v>29154.950769230771</v>
      </c>
      <c r="AB8" s="27">
        <f t="shared" si="1"/>
        <v>2731.2799999999997</v>
      </c>
      <c r="AC8" s="28"/>
      <c r="AD8" s="28"/>
    </row>
    <row r="9" spans="1:30" x14ac:dyDescent="0.4">
      <c r="A9" s="24"/>
      <c r="B9" s="24"/>
      <c r="C9" s="24"/>
      <c r="D9" s="24" t="s">
        <v>8</v>
      </c>
      <c r="E9" s="24"/>
      <c r="F9" s="24"/>
      <c r="G9" s="24" t="s">
        <v>8</v>
      </c>
      <c r="H9" s="25">
        <v>0</v>
      </c>
      <c r="I9" s="25">
        <v>0</v>
      </c>
      <c r="J9" s="25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5">
        <f t="shared" si="0"/>
        <v>0</v>
      </c>
      <c r="Q9" s="25">
        <v>0</v>
      </c>
      <c r="S9" s="25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5">
        <v>0</v>
      </c>
      <c r="AA9" s="27">
        <f t="shared" si="2"/>
        <v>0</v>
      </c>
      <c r="AB9" s="27">
        <f t="shared" si="1"/>
        <v>0</v>
      </c>
      <c r="AC9" s="27"/>
      <c r="AD9" s="28"/>
    </row>
    <row r="10" spans="1:30" x14ac:dyDescent="0.4">
      <c r="A10" s="24"/>
      <c r="B10" s="24"/>
      <c r="C10" s="24"/>
      <c r="D10" s="24"/>
      <c r="E10" s="24" t="s">
        <v>8</v>
      </c>
      <c r="F10" s="24"/>
      <c r="G10" s="24" t="s">
        <v>8</v>
      </c>
      <c r="H10" s="25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5">
        <v>0</v>
      </c>
      <c r="P10" s="25">
        <f t="shared" si="0"/>
        <v>0</v>
      </c>
      <c r="Q10" s="26">
        <v>0</v>
      </c>
      <c r="S10" s="25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5">
        <v>0</v>
      </c>
      <c r="AA10" s="27">
        <f t="shared" si="2"/>
        <v>0</v>
      </c>
      <c r="AB10" s="27">
        <f t="shared" si="1"/>
        <v>0</v>
      </c>
      <c r="AC10" s="28"/>
      <c r="AD10" s="28"/>
    </row>
    <row r="11" spans="1:30" x14ac:dyDescent="0.4">
      <c r="A11" s="24"/>
      <c r="B11" s="24"/>
      <c r="C11" s="24"/>
      <c r="D11" s="24" t="s">
        <v>8</v>
      </c>
      <c r="E11" s="24"/>
      <c r="F11" s="24"/>
      <c r="G11" s="24" t="s">
        <v>8</v>
      </c>
      <c r="H11" s="25">
        <v>69408.490000000005</v>
      </c>
      <c r="I11" s="26">
        <v>0</v>
      </c>
      <c r="J11" s="26">
        <v>1384.36</v>
      </c>
      <c r="K11" s="26">
        <v>0</v>
      </c>
      <c r="L11" s="26">
        <v>178.45</v>
      </c>
      <c r="M11" s="26">
        <v>0</v>
      </c>
      <c r="N11" s="26">
        <v>0</v>
      </c>
      <c r="O11" s="25">
        <f>60.42+73.7+21.32+1302.84</f>
        <v>1458.28</v>
      </c>
      <c r="P11" s="25">
        <f t="shared" si="0"/>
        <v>72429.58</v>
      </c>
      <c r="Q11" s="26">
        <v>0</v>
      </c>
      <c r="S11" s="25">
        <f>T11/0.1*0.9</f>
        <v>6708.9600000000009</v>
      </c>
      <c r="T11" s="26">
        <v>745.44</v>
      </c>
      <c r="U11" s="26">
        <v>0</v>
      </c>
      <c r="V11" s="26">
        <v>0</v>
      </c>
      <c r="W11" s="26">
        <f>22.03*12</f>
        <v>264.36</v>
      </c>
      <c r="X11" s="26">
        <f>29.47*12</f>
        <v>353.64</v>
      </c>
      <c r="Y11" s="26">
        <f>1520.73*12</f>
        <v>18248.760000000002</v>
      </c>
      <c r="Z11" s="25">
        <v>1392.86</v>
      </c>
      <c r="AA11" s="27">
        <f t="shared" si="2"/>
        <v>26968.58</v>
      </c>
      <c r="AB11" s="27">
        <f t="shared" si="1"/>
        <v>745.44</v>
      </c>
      <c r="AC11" s="28"/>
      <c r="AD11" s="28"/>
    </row>
    <row r="12" spans="1:30" x14ac:dyDescent="0.4">
      <c r="A12" s="24"/>
      <c r="B12" s="24" t="s">
        <v>8</v>
      </c>
      <c r="C12" s="24"/>
      <c r="D12" s="24" t="s">
        <v>8</v>
      </c>
      <c r="E12" s="24"/>
      <c r="F12" s="24"/>
      <c r="G12" s="24" t="s">
        <v>8</v>
      </c>
      <c r="H12" s="25">
        <v>100345.26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5">
        <f>55.62+212.37+1302.84+2981.52</f>
        <v>4552.3500000000004</v>
      </c>
      <c r="P12" s="25">
        <f t="shared" si="0"/>
        <v>104897.61</v>
      </c>
      <c r="Q12" s="26">
        <v>0</v>
      </c>
      <c r="S12" s="25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5">
        <v>12399.22</v>
      </c>
      <c r="AA12" s="27">
        <f t="shared" si="2"/>
        <v>12399.22</v>
      </c>
      <c r="AB12" s="27">
        <f t="shared" si="1"/>
        <v>0</v>
      </c>
      <c r="AC12" s="28"/>
      <c r="AD12" s="28"/>
    </row>
    <row r="13" spans="1:30" x14ac:dyDescent="0.4">
      <c r="A13" s="24"/>
      <c r="B13" s="24"/>
      <c r="C13" s="24"/>
      <c r="D13" s="24" t="s">
        <v>8</v>
      </c>
      <c r="E13" s="24"/>
      <c r="F13" s="24"/>
      <c r="G13" s="24" t="s">
        <v>8</v>
      </c>
      <c r="H13" s="25">
        <v>64591.63</v>
      </c>
      <c r="I13" s="26">
        <v>0</v>
      </c>
      <c r="J13" s="26">
        <v>0</v>
      </c>
      <c r="K13" s="26">
        <v>5000.0600000000004</v>
      </c>
      <c r="L13" s="26">
        <v>1509.64</v>
      </c>
      <c r="M13" s="26">
        <v>0</v>
      </c>
      <c r="N13" s="26">
        <v>0</v>
      </c>
      <c r="O13" s="25">
        <f>1302.84</f>
        <v>1302.8399999999999</v>
      </c>
      <c r="P13" s="25">
        <f t="shared" si="0"/>
        <v>72404.17</v>
      </c>
      <c r="Q13" s="26">
        <v>0</v>
      </c>
      <c r="S13" s="25">
        <f>T13/0.1*0.9</f>
        <v>13794.839999999998</v>
      </c>
      <c r="T13" s="26">
        <v>1532.76</v>
      </c>
      <c r="U13" s="26">
        <v>708</v>
      </c>
      <c r="V13" s="26">
        <v>222.6</v>
      </c>
      <c r="W13" s="26">
        <f>21.06*12</f>
        <v>252.71999999999997</v>
      </c>
      <c r="X13" s="26">
        <f>27.99*12</f>
        <v>335.88</v>
      </c>
      <c r="Y13" s="26">
        <v>0</v>
      </c>
      <c r="Z13" s="25">
        <v>8532.08</v>
      </c>
      <c r="AA13" s="27">
        <f t="shared" si="2"/>
        <v>22915.52</v>
      </c>
      <c r="AB13" s="27">
        <f t="shared" si="1"/>
        <v>2463.36</v>
      </c>
      <c r="AC13" s="28"/>
      <c r="AD13" s="28"/>
    </row>
    <row r="14" spans="1:30" x14ac:dyDescent="0.4">
      <c r="A14" s="24"/>
      <c r="B14" s="24"/>
      <c r="C14" s="24"/>
      <c r="D14" s="24"/>
      <c r="E14" s="24" t="s">
        <v>8</v>
      </c>
      <c r="F14" s="24"/>
      <c r="G14" s="24" t="s">
        <v>8</v>
      </c>
      <c r="H14" s="25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5">
        <v>0</v>
      </c>
      <c r="P14" s="25">
        <f t="shared" si="0"/>
        <v>0</v>
      </c>
      <c r="Q14" s="26">
        <v>0</v>
      </c>
      <c r="S14" s="25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5">
        <v>0</v>
      </c>
      <c r="AA14" s="27">
        <f t="shared" si="2"/>
        <v>0</v>
      </c>
      <c r="AB14" s="27">
        <f t="shared" si="1"/>
        <v>0</v>
      </c>
      <c r="AC14" s="28"/>
      <c r="AD14" s="28"/>
    </row>
    <row r="15" spans="1:30" x14ac:dyDescent="0.4">
      <c r="A15" s="24"/>
      <c r="B15" s="24"/>
      <c r="C15" s="24"/>
      <c r="D15" s="24"/>
      <c r="E15" s="24" t="s">
        <v>8</v>
      </c>
      <c r="F15" s="24" t="s">
        <v>8</v>
      </c>
      <c r="G15" s="24"/>
      <c r="H15" s="25">
        <v>89736.76</v>
      </c>
      <c r="I15" s="26">
        <v>39208.35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5">
        <f>250+1020</f>
        <v>1270</v>
      </c>
      <c r="P15" s="25">
        <f t="shared" si="0"/>
        <v>130215.10999999999</v>
      </c>
      <c r="Q15" s="26">
        <v>0</v>
      </c>
      <c r="S15" s="25">
        <f>T15/0.13*0.87</f>
        <v>19961.279999999995</v>
      </c>
      <c r="T15" s="26">
        <v>2982.72</v>
      </c>
      <c r="U15" s="26">
        <v>1153.68</v>
      </c>
      <c r="V15" s="26">
        <v>222.6</v>
      </c>
      <c r="W15" s="26">
        <f>29.8*12</f>
        <v>357.6</v>
      </c>
      <c r="X15" s="26">
        <f>40.12*12</f>
        <v>481.43999999999994</v>
      </c>
      <c r="Y15" s="26">
        <v>0</v>
      </c>
      <c r="Z15" s="25">
        <v>15473.4</v>
      </c>
      <c r="AA15" s="27">
        <f t="shared" si="2"/>
        <v>36273.719999999994</v>
      </c>
      <c r="AB15" s="27">
        <f t="shared" si="1"/>
        <v>4359</v>
      </c>
      <c r="AC15" s="28"/>
      <c r="AD15" s="28"/>
    </row>
    <row r="16" spans="1:30" x14ac:dyDescent="0.4">
      <c r="A16" s="24"/>
      <c r="B16" s="24" t="s">
        <v>8</v>
      </c>
      <c r="C16" s="24"/>
      <c r="D16" s="24" t="s">
        <v>8</v>
      </c>
      <c r="E16" s="24"/>
      <c r="F16" s="24"/>
      <c r="G16" s="24" t="s">
        <v>8</v>
      </c>
      <c r="H16" s="25">
        <v>132163.10999999999</v>
      </c>
      <c r="I16" s="26">
        <v>7580.84</v>
      </c>
      <c r="J16" s="26">
        <v>0</v>
      </c>
      <c r="K16" s="26">
        <v>5000.0600000000004</v>
      </c>
      <c r="L16" s="26">
        <v>6845.12</v>
      </c>
      <c r="M16" s="26">
        <v>0</v>
      </c>
      <c r="N16" s="26">
        <v>0</v>
      </c>
      <c r="O16" s="25">
        <f>404.05+650+119+1302.84</f>
        <v>2475.89</v>
      </c>
      <c r="P16" s="25">
        <f t="shared" si="0"/>
        <v>154065.01999999999</v>
      </c>
      <c r="Q16" s="26">
        <v>0</v>
      </c>
      <c r="S16" s="25">
        <f>T16/0.1*0.9</f>
        <v>20649.600000000002</v>
      </c>
      <c r="T16" s="26">
        <v>2294.4</v>
      </c>
      <c r="U16" s="26">
        <v>1153.68</v>
      </c>
      <c r="V16" s="25">
        <v>222.6</v>
      </c>
      <c r="W16" s="26">
        <f>43.42*12</f>
        <v>521.04</v>
      </c>
      <c r="X16" s="26">
        <f>58.12*12</f>
        <v>697.43999999999994</v>
      </c>
      <c r="Y16" s="26">
        <f>2998.38*12</f>
        <v>35980.559999999998</v>
      </c>
      <c r="Z16" s="25">
        <v>3034.13</v>
      </c>
      <c r="AA16" s="27">
        <f t="shared" si="2"/>
        <v>60882.770000000004</v>
      </c>
      <c r="AB16" s="27">
        <f t="shared" si="1"/>
        <v>3670.68</v>
      </c>
      <c r="AC16" s="27"/>
      <c r="AD16" s="28"/>
    </row>
    <row r="17" spans="1:30" x14ac:dyDescent="0.4">
      <c r="A17" s="24"/>
      <c r="B17" s="24"/>
      <c r="C17" s="24"/>
      <c r="D17" s="24" t="s">
        <v>8</v>
      </c>
      <c r="E17" s="24"/>
      <c r="F17" s="24"/>
      <c r="G17" s="24" t="s">
        <v>8</v>
      </c>
      <c r="H17" s="25">
        <v>67578.100000000006</v>
      </c>
      <c r="I17" s="26">
        <v>0</v>
      </c>
      <c r="J17" s="26">
        <v>1326.32</v>
      </c>
      <c r="K17" s="26">
        <v>5000.0600000000004</v>
      </c>
      <c r="L17" s="26">
        <v>1164.06</v>
      </c>
      <c r="M17" s="26">
        <v>0</v>
      </c>
      <c r="N17" s="26">
        <v>0</v>
      </c>
      <c r="O17" s="25">
        <f>26.82+1302.84</f>
        <v>1329.6599999999999</v>
      </c>
      <c r="P17" s="25">
        <f t="shared" si="0"/>
        <v>76398.200000000012</v>
      </c>
      <c r="Q17" s="26">
        <v>0</v>
      </c>
      <c r="S17" s="25">
        <f>T17/0.1*0.9</f>
        <v>15189.119999999999</v>
      </c>
      <c r="T17" s="26">
        <v>1687.68</v>
      </c>
      <c r="U17" s="26">
        <v>623.88</v>
      </c>
      <c r="V17" s="26">
        <v>151.56</v>
      </c>
      <c r="W17" s="26">
        <f>21.38*12</f>
        <v>256.56</v>
      </c>
      <c r="X17" s="26">
        <f>28.77*12</f>
        <v>345.24</v>
      </c>
      <c r="Y17" s="26">
        <f>1484.59*12</f>
        <v>17815.079999999998</v>
      </c>
      <c r="Z17" s="25">
        <v>1474.92</v>
      </c>
      <c r="AA17" s="27">
        <f t="shared" si="2"/>
        <v>35080.92</v>
      </c>
      <c r="AB17" s="27">
        <f t="shared" si="1"/>
        <v>2463.12</v>
      </c>
      <c r="AC17" s="28"/>
      <c r="AD17" s="28"/>
    </row>
    <row r="18" spans="1:30" x14ac:dyDescent="0.4">
      <c r="A18" s="24"/>
      <c r="B18" s="24"/>
      <c r="C18" s="24"/>
      <c r="D18" s="24" t="s">
        <v>8</v>
      </c>
      <c r="E18" s="24"/>
      <c r="F18" s="24"/>
      <c r="G18" s="24" t="s">
        <v>8</v>
      </c>
      <c r="H18" s="25">
        <v>58163.08</v>
      </c>
      <c r="I18" s="26">
        <v>0</v>
      </c>
      <c r="J18" s="26">
        <v>0</v>
      </c>
      <c r="K18" s="26">
        <v>5000.0600000000004</v>
      </c>
      <c r="L18" s="26">
        <v>347.43</v>
      </c>
      <c r="M18" s="26">
        <v>0</v>
      </c>
      <c r="N18" s="26">
        <v>0</v>
      </c>
      <c r="O18" s="25">
        <f>650+168.54+1302.84+2981.52</f>
        <v>5102.8999999999996</v>
      </c>
      <c r="P18" s="25">
        <f t="shared" si="0"/>
        <v>68613.47</v>
      </c>
      <c r="Q18" s="26">
        <v>0</v>
      </c>
      <c r="S18" s="25">
        <v>0</v>
      </c>
      <c r="T18" s="26">
        <v>0</v>
      </c>
      <c r="U18" s="26">
        <v>0</v>
      </c>
      <c r="V18" s="26">
        <v>0</v>
      </c>
      <c r="W18" s="26">
        <f>18.79*12</f>
        <v>225.48</v>
      </c>
      <c r="X18" s="26">
        <f>25*0.12*12</f>
        <v>36</v>
      </c>
      <c r="Y18" s="26">
        <v>0</v>
      </c>
      <c r="Z18" s="25">
        <v>7999.23</v>
      </c>
      <c r="AA18" s="27">
        <f t="shared" si="2"/>
        <v>8260.7099999999991</v>
      </c>
      <c r="AB18" s="27">
        <f t="shared" si="1"/>
        <v>0</v>
      </c>
      <c r="AC18" s="28"/>
      <c r="AD18" s="28"/>
    </row>
    <row r="19" spans="1:30" x14ac:dyDescent="0.4">
      <c r="C19" s="20" t="s">
        <v>8</v>
      </c>
      <c r="D19" s="20" t="s">
        <v>8</v>
      </c>
      <c r="G19" s="20" t="s">
        <v>8</v>
      </c>
      <c r="H19" s="25">
        <v>99075.97</v>
      </c>
      <c r="I19" s="25">
        <v>0</v>
      </c>
      <c r="J19" s="25">
        <v>0</v>
      </c>
      <c r="K19" s="25">
        <v>3585.24</v>
      </c>
      <c r="L19" s="25">
        <v>2418.16</v>
      </c>
      <c r="M19" s="25">
        <v>434.72</v>
      </c>
      <c r="N19" s="25">
        <v>0</v>
      </c>
      <c r="O19" s="25">
        <f>650-162.5+987.99</f>
        <v>1475.49</v>
      </c>
      <c r="P19" s="25">
        <f t="shared" si="0"/>
        <v>106989.58000000002</v>
      </c>
      <c r="Q19" s="25">
        <v>0</v>
      </c>
      <c r="R19" s="25"/>
      <c r="S19" s="25">
        <f>T19/0.1*0.9</f>
        <v>15189.119999999999</v>
      </c>
      <c r="T19" s="25">
        <v>1687.68</v>
      </c>
      <c r="U19" s="25">
        <v>0</v>
      </c>
      <c r="V19" s="25">
        <v>0</v>
      </c>
      <c r="W19" s="25">
        <f>34.66*9</f>
        <v>311.93999999999994</v>
      </c>
      <c r="X19" s="25">
        <f>46.5*9</f>
        <v>418.5</v>
      </c>
      <c r="Y19" s="25">
        <v>0</v>
      </c>
      <c r="Z19" s="25">
        <v>2101.58</v>
      </c>
      <c r="AA19" s="27">
        <f t="shared" si="2"/>
        <v>18021.139999999996</v>
      </c>
      <c r="AB19" s="27">
        <f t="shared" si="1"/>
        <v>1687.68</v>
      </c>
      <c r="AC19" s="27"/>
      <c r="AD19" s="28"/>
    </row>
    <row r="20" spans="1:30" x14ac:dyDescent="0.4">
      <c r="A20" s="24"/>
      <c r="B20" s="24"/>
      <c r="C20" s="24"/>
      <c r="D20" s="24"/>
      <c r="E20" s="24" t="s">
        <v>8</v>
      </c>
      <c r="F20" s="24" t="s">
        <v>8</v>
      </c>
      <c r="G20" s="24"/>
      <c r="H20" s="25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5">
        <v>0</v>
      </c>
      <c r="P20" s="25">
        <f t="shared" si="0"/>
        <v>0</v>
      </c>
      <c r="Q20" s="26">
        <v>0</v>
      </c>
      <c r="S20" s="25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5">
        <v>0</v>
      </c>
      <c r="AA20" s="27">
        <f t="shared" si="2"/>
        <v>0</v>
      </c>
      <c r="AB20" s="27">
        <f t="shared" si="1"/>
        <v>0</v>
      </c>
      <c r="AC20" s="28"/>
      <c r="AD20" s="28"/>
    </row>
    <row r="21" spans="1:30" x14ac:dyDescent="0.4">
      <c r="A21" s="24"/>
      <c r="B21" s="24"/>
      <c r="C21" s="24"/>
      <c r="D21" s="24"/>
      <c r="E21" s="24" t="s">
        <v>8</v>
      </c>
      <c r="F21" s="24"/>
      <c r="G21" s="24" t="s">
        <v>8</v>
      </c>
      <c r="H21" s="25">
        <v>49593.38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5">
        <f>240.69+61.64+1302.84</f>
        <v>1605.1699999999998</v>
      </c>
      <c r="P21" s="25">
        <f t="shared" si="0"/>
        <v>51198.549999999996</v>
      </c>
      <c r="Q21" s="26">
        <v>0</v>
      </c>
      <c r="S21" s="25">
        <f>T21/0.1*0.9</f>
        <v>13794.839999999998</v>
      </c>
      <c r="T21" s="26">
        <v>1532.76</v>
      </c>
      <c r="U21" s="26">
        <v>708</v>
      </c>
      <c r="V21" s="26">
        <v>151.56</v>
      </c>
      <c r="W21" s="26">
        <f>16.2*12</f>
        <v>194.39999999999998</v>
      </c>
      <c r="X21" s="26">
        <f>21.49*12</f>
        <v>257.88</v>
      </c>
      <c r="Y21" s="26">
        <v>0</v>
      </c>
      <c r="Z21" s="25">
        <v>5951.29</v>
      </c>
      <c r="AA21" s="27">
        <f t="shared" si="2"/>
        <v>20198.41</v>
      </c>
      <c r="AB21" s="27">
        <f t="shared" si="1"/>
        <v>2392.3200000000002</v>
      </c>
      <c r="AC21" s="28"/>
      <c r="AD21" s="28"/>
    </row>
    <row r="22" spans="1:30" x14ac:dyDescent="0.4">
      <c r="A22" s="24"/>
      <c r="B22" s="24"/>
      <c r="C22" s="24"/>
      <c r="D22" s="24" t="s">
        <v>8</v>
      </c>
      <c r="E22" s="24"/>
      <c r="F22" s="24"/>
      <c r="G22" s="24" t="s">
        <v>8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 t="shared" si="0"/>
        <v>0</v>
      </c>
      <c r="Q22" s="26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7">
        <f t="shared" si="2"/>
        <v>0</v>
      </c>
      <c r="AB22" s="27">
        <f t="shared" si="1"/>
        <v>0</v>
      </c>
      <c r="AC22" s="28"/>
      <c r="AD22" s="28"/>
    </row>
    <row r="23" spans="1:30" x14ac:dyDescent="0.4">
      <c r="A23" s="24"/>
      <c r="B23" s="24"/>
      <c r="C23" s="24"/>
      <c r="D23" s="24"/>
      <c r="E23" s="24" t="s">
        <v>8</v>
      </c>
      <c r="F23" s="24"/>
      <c r="G23" s="24" t="s">
        <v>8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si="0"/>
        <v>0</v>
      </c>
      <c r="Q23" s="26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7">
        <f t="shared" si="2"/>
        <v>0</v>
      </c>
      <c r="AB23" s="27">
        <f t="shared" si="1"/>
        <v>0</v>
      </c>
      <c r="AC23" s="28"/>
      <c r="AD23" s="28"/>
    </row>
    <row r="24" spans="1:30" x14ac:dyDescent="0.4">
      <c r="A24" s="24"/>
      <c r="B24" s="24"/>
      <c r="C24" s="24"/>
      <c r="D24" s="24"/>
      <c r="E24" s="24" t="s">
        <v>8</v>
      </c>
      <c r="F24" s="24"/>
      <c r="G24" s="24" t="s">
        <v>8</v>
      </c>
      <c r="H24" s="25">
        <v>57598.1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5">
        <f>50.19+375+2981.52</f>
        <v>3406.71</v>
      </c>
      <c r="P24" s="25">
        <f t="shared" si="0"/>
        <v>61004.81</v>
      </c>
      <c r="Q24" s="26">
        <v>0</v>
      </c>
      <c r="S24" s="25">
        <v>0</v>
      </c>
      <c r="T24" s="26">
        <v>0</v>
      </c>
      <c r="U24" s="26">
        <v>0</v>
      </c>
      <c r="V24" s="26">
        <v>0</v>
      </c>
      <c r="W24" s="26">
        <f>18.79*12</f>
        <v>225.48</v>
      </c>
      <c r="X24" s="26">
        <f>25.03*12</f>
        <v>300.36</v>
      </c>
      <c r="Y24" s="26">
        <v>0</v>
      </c>
      <c r="Z24" s="25">
        <v>7314.59</v>
      </c>
      <c r="AA24" s="27">
        <f t="shared" si="2"/>
        <v>7840.4299999999994</v>
      </c>
      <c r="AB24" s="27">
        <f t="shared" si="1"/>
        <v>0</v>
      </c>
      <c r="AC24" s="28"/>
      <c r="AD24" s="28"/>
    </row>
    <row r="25" spans="1:30" x14ac:dyDescent="0.4">
      <c r="A25" s="24"/>
      <c r="B25" s="24"/>
      <c r="C25" s="24"/>
      <c r="D25" s="24"/>
      <c r="E25" s="24" t="s">
        <v>8</v>
      </c>
      <c r="F25" s="24" t="s">
        <v>8</v>
      </c>
      <c r="G25" s="24"/>
      <c r="H25" s="25">
        <v>88555.27</v>
      </c>
      <c r="I25" s="26">
        <v>46672.55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5">
        <f>1020+250</f>
        <v>1270</v>
      </c>
      <c r="P25" s="25">
        <f t="shared" si="0"/>
        <v>136497.82</v>
      </c>
      <c r="Q25" s="26">
        <v>0</v>
      </c>
      <c r="S25" s="25">
        <f>T25/0.13*0.87</f>
        <v>19961.279999999995</v>
      </c>
      <c r="T25" s="26">
        <v>2982.72</v>
      </c>
      <c r="U25" s="26">
        <v>1153.68</v>
      </c>
      <c r="V25" s="26">
        <v>222.6</v>
      </c>
      <c r="W25" s="26">
        <f>29.8*12</f>
        <v>357.6</v>
      </c>
      <c r="X25" s="26">
        <f>40.12*12</f>
        <v>481.43999999999994</v>
      </c>
      <c r="Y25" s="26">
        <v>0</v>
      </c>
      <c r="Z25" s="25">
        <v>16227.32</v>
      </c>
      <c r="AA25" s="27">
        <f t="shared" si="2"/>
        <v>37027.639999999992</v>
      </c>
      <c r="AB25" s="27">
        <f t="shared" si="1"/>
        <v>4359</v>
      </c>
      <c r="AC25" s="28"/>
      <c r="AD25" s="28"/>
    </row>
    <row r="26" spans="1:30" x14ac:dyDescent="0.4">
      <c r="A26" s="24"/>
      <c r="B26" s="24"/>
      <c r="C26" s="24"/>
      <c r="D26" s="24"/>
      <c r="E26" s="24" t="s">
        <v>8</v>
      </c>
      <c r="F26" s="24" t="s">
        <v>8</v>
      </c>
      <c r="G26" s="24"/>
      <c r="H26" s="25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5">
        <v>0</v>
      </c>
      <c r="P26" s="25">
        <f t="shared" si="0"/>
        <v>0</v>
      </c>
      <c r="Q26" s="26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7">
        <f t="shared" si="2"/>
        <v>0</v>
      </c>
      <c r="AB26" s="27">
        <f t="shared" si="1"/>
        <v>0</v>
      </c>
      <c r="AC26" s="27"/>
      <c r="AD26" s="28"/>
    </row>
    <row r="27" spans="1:30" x14ac:dyDescent="0.4">
      <c r="A27" s="24"/>
      <c r="B27" s="24" t="s">
        <v>8</v>
      </c>
      <c r="C27" s="24"/>
      <c r="D27" s="24" t="s">
        <v>8</v>
      </c>
      <c r="E27" s="24"/>
      <c r="F27" s="24"/>
      <c r="G27" s="24" t="s">
        <v>8</v>
      </c>
      <c r="H27" s="25">
        <v>87061.36</v>
      </c>
      <c r="I27" s="26">
        <v>17696.439999999999</v>
      </c>
      <c r="J27" s="26">
        <v>0</v>
      </c>
      <c r="K27" s="26">
        <v>4038.51</v>
      </c>
      <c r="L27" s="26">
        <v>3168.36</v>
      </c>
      <c r="M27" s="26">
        <v>0</v>
      </c>
      <c r="N27" s="26">
        <v>0</v>
      </c>
      <c r="O27" s="25">
        <f>650+1194.27</f>
        <v>1844.27</v>
      </c>
      <c r="P27" s="25">
        <f t="shared" si="0"/>
        <v>113808.94</v>
      </c>
      <c r="Q27" s="26">
        <v>0</v>
      </c>
      <c r="S27" s="25">
        <f>T27/0.1*0.9</f>
        <v>21659.67</v>
      </c>
      <c r="T27" s="26">
        <v>2406.63</v>
      </c>
      <c r="U27" s="26">
        <v>1201.75</v>
      </c>
      <c r="V27" s="26">
        <v>231.87</v>
      </c>
      <c r="W27" s="26">
        <f>34.99*12</f>
        <v>419.88</v>
      </c>
      <c r="X27" s="26">
        <f>46.8*12</f>
        <v>561.59999999999991</v>
      </c>
      <c r="Y27" s="26">
        <v>0</v>
      </c>
      <c r="Z27" s="25">
        <v>7021.4</v>
      </c>
      <c r="AA27" s="27">
        <f t="shared" si="2"/>
        <v>29662.55</v>
      </c>
      <c r="AB27" s="27">
        <f t="shared" si="1"/>
        <v>3840.25</v>
      </c>
      <c r="AC27" s="28"/>
      <c r="AD27" s="28"/>
    </row>
    <row r="28" spans="1:30" x14ac:dyDescent="0.4">
      <c r="A28" s="24"/>
      <c r="B28" s="24" t="s">
        <v>8</v>
      </c>
      <c r="C28" s="24"/>
      <c r="D28" s="24" t="s">
        <v>8</v>
      </c>
      <c r="E28" s="24"/>
      <c r="F28" s="24"/>
      <c r="G28" s="24" t="s">
        <v>8</v>
      </c>
      <c r="H28" s="25">
        <f>2381.5+21140.36+732.77</f>
        <v>24254.63</v>
      </c>
      <c r="I28" s="26">
        <v>0</v>
      </c>
      <c r="J28" s="26">
        <v>0</v>
      </c>
      <c r="K28" s="26">
        <v>0</v>
      </c>
      <c r="L28" s="26">
        <v>45.8</v>
      </c>
      <c r="M28" s="26">
        <v>1500</v>
      </c>
      <c r="N28" s="26">
        <v>0</v>
      </c>
      <c r="O28" s="25">
        <f>52.4</f>
        <v>52.4</v>
      </c>
      <c r="P28" s="25">
        <f t="shared" si="0"/>
        <v>25852.83</v>
      </c>
      <c r="Q28" s="26">
        <v>0</v>
      </c>
      <c r="S28" s="25">
        <f>T28/0.1*0.9</f>
        <v>1677.2400000000002</v>
      </c>
      <c r="T28" s="26">
        <v>186.36</v>
      </c>
      <c r="U28" s="26">
        <v>155.97</v>
      </c>
      <c r="V28" s="26">
        <v>37.89</v>
      </c>
      <c r="W28" s="26">
        <f>24.3*12</f>
        <v>291.60000000000002</v>
      </c>
      <c r="X28" s="26">
        <f>32.76*10</f>
        <v>327.59999999999997</v>
      </c>
      <c r="Y28" s="26">
        <v>0</v>
      </c>
      <c r="Z28" s="25">
        <v>486.03</v>
      </c>
      <c r="AA28" s="27">
        <f t="shared" si="2"/>
        <v>2782.4700000000003</v>
      </c>
      <c r="AB28" s="27">
        <f t="shared" si="1"/>
        <v>380.22</v>
      </c>
      <c r="AC28" s="28"/>
      <c r="AD28" s="28"/>
    </row>
    <row r="29" spans="1:30" x14ac:dyDescent="0.4">
      <c r="A29" s="24"/>
      <c r="B29" s="24"/>
      <c r="C29" s="24"/>
      <c r="D29" s="24"/>
      <c r="E29" s="24" t="s">
        <v>8</v>
      </c>
      <c r="F29" s="24"/>
      <c r="G29" s="24" t="s">
        <v>8</v>
      </c>
      <c r="H29" s="25">
        <v>67883.42</v>
      </c>
      <c r="I29" s="26">
        <v>271.45999999999998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5">
        <f>1302.84+298.02</f>
        <v>1600.86</v>
      </c>
      <c r="P29" s="25">
        <f t="shared" si="0"/>
        <v>69755.740000000005</v>
      </c>
      <c r="Q29" s="26">
        <v>0</v>
      </c>
      <c r="S29" s="25">
        <f>T29/0.1*0.9</f>
        <v>6708.9600000000009</v>
      </c>
      <c r="T29" s="26">
        <v>745.44</v>
      </c>
      <c r="U29" s="26">
        <v>314.39999999999998</v>
      </c>
      <c r="V29" s="26">
        <v>79.8</v>
      </c>
      <c r="W29" s="26">
        <f>22.03*12</f>
        <v>264.36</v>
      </c>
      <c r="X29" s="26">
        <f>29.41*12</f>
        <v>352.92</v>
      </c>
      <c r="Y29" s="26">
        <v>0</v>
      </c>
      <c r="Z29" s="25">
        <v>6134</v>
      </c>
      <c r="AA29" s="27">
        <f t="shared" si="2"/>
        <v>13460.240000000002</v>
      </c>
      <c r="AB29" s="27">
        <f t="shared" si="1"/>
        <v>1139.6400000000001</v>
      </c>
      <c r="AC29" s="28"/>
      <c r="AD29" s="28"/>
    </row>
    <row r="30" spans="1:30" x14ac:dyDescent="0.4">
      <c r="A30" s="24"/>
      <c r="B30" s="24"/>
      <c r="C30" s="24"/>
      <c r="D30" s="24"/>
      <c r="E30" s="24" t="s">
        <v>8</v>
      </c>
      <c r="F30" s="24" t="s">
        <v>8</v>
      </c>
      <c r="G30" s="24"/>
      <c r="H30" s="25">
        <v>96001.4</v>
      </c>
      <c r="I30" s="26">
        <v>31694.52</v>
      </c>
      <c r="J30" s="26">
        <v>1860</v>
      </c>
      <c r="K30" s="26">
        <v>0</v>
      </c>
      <c r="L30" s="26">
        <v>0</v>
      </c>
      <c r="M30" s="26">
        <v>0</v>
      </c>
      <c r="N30" s="26">
        <v>0</v>
      </c>
      <c r="O30" s="25">
        <f>250+1020</f>
        <v>1270</v>
      </c>
      <c r="P30" s="25">
        <f t="shared" si="0"/>
        <v>130825.92</v>
      </c>
      <c r="Q30" s="26">
        <v>0</v>
      </c>
      <c r="S30" s="25">
        <f>T30/0.13*0.87</f>
        <v>19961.279999999995</v>
      </c>
      <c r="T30" s="26">
        <v>2982.72</v>
      </c>
      <c r="U30" s="26">
        <v>1153.68</v>
      </c>
      <c r="V30" s="26">
        <v>0</v>
      </c>
      <c r="W30" s="26">
        <f>30.46*12</f>
        <v>365.52</v>
      </c>
      <c r="X30" s="26">
        <f>41.04*12</f>
        <v>492.48</v>
      </c>
      <c r="Y30" s="26">
        <v>0</v>
      </c>
      <c r="Z30" s="25">
        <v>15323.49</v>
      </c>
      <c r="AA30" s="27">
        <f t="shared" si="2"/>
        <v>36142.769999999997</v>
      </c>
      <c r="AB30" s="27">
        <f t="shared" si="1"/>
        <v>4136.3999999999996</v>
      </c>
      <c r="AC30" s="28"/>
      <c r="AD30" s="28"/>
    </row>
    <row r="31" spans="1:30" x14ac:dyDescent="0.4">
      <c r="A31" s="24"/>
      <c r="B31" s="24"/>
      <c r="C31" s="24" t="s">
        <v>8</v>
      </c>
      <c r="D31" s="24" t="s">
        <v>8</v>
      </c>
      <c r="E31" s="24"/>
      <c r="F31" s="24"/>
      <c r="G31" s="24" t="s">
        <v>8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0"/>
        <v>0</v>
      </c>
      <c r="Q31" s="26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7">
        <f t="shared" si="2"/>
        <v>0</v>
      </c>
      <c r="AB31" s="27">
        <f t="shared" si="1"/>
        <v>0</v>
      </c>
      <c r="AC31" s="28"/>
      <c r="AD31" s="28"/>
    </row>
    <row r="32" spans="1:30" x14ac:dyDescent="0.4">
      <c r="A32" s="24"/>
      <c r="B32" s="24"/>
      <c r="C32" s="24"/>
      <c r="D32" s="24" t="s">
        <v>8</v>
      </c>
      <c r="E32" s="24"/>
      <c r="F32" s="24"/>
      <c r="G32" s="24" t="s">
        <v>8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f t="shared" si="0"/>
        <v>0</v>
      </c>
      <c r="Q32" s="26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7">
        <f t="shared" si="2"/>
        <v>0</v>
      </c>
      <c r="AB32" s="27">
        <f t="shared" si="1"/>
        <v>0</v>
      </c>
      <c r="AC32" s="28"/>
      <c r="AD32" s="28"/>
    </row>
    <row r="33" spans="1:30" x14ac:dyDescent="0.4">
      <c r="A33" s="24" t="s">
        <v>8</v>
      </c>
      <c r="B33" s="24"/>
      <c r="C33" s="24"/>
      <c r="D33" s="24" t="s">
        <v>8</v>
      </c>
      <c r="E33" s="24"/>
      <c r="F33" s="24"/>
      <c r="G33" s="24" t="s">
        <v>8</v>
      </c>
      <c r="H33" s="25">
        <v>149345.17000000001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5">
        <f>160.8+1302.84</f>
        <v>1463.6399999999999</v>
      </c>
      <c r="P33" s="25">
        <f t="shared" si="0"/>
        <v>150808.81000000003</v>
      </c>
      <c r="Q33" s="26">
        <v>0</v>
      </c>
      <c r="S33" s="25">
        <f>T33/0.1*0.9</f>
        <v>6708.9600000000009</v>
      </c>
      <c r="T33" s="26">
        <v>745.44</v>
      </c>
      <c r="U33" s="26">
        <v>314.39999999999998</v>
      </c>
      <c r="V33" s="26">
        <v>79.8</v>
      </c>
      <c r="W33" s="26">
        <f>48.28*12</f>
        <v>579.36</v>
      </c>
      <c r="X33" s="26">
        <f>64.84*12</f>
        <v>778.08</v>
      </c>
      <c r="Y33" s="26">
        <v>0</v>
      </c>
      <c r="Z33" s="25">
        <v>17921.41</v>
      </c>
      <c r="AA33" s="27">
        <f t="shared" si="2"/>
        <v>25987.810000000005</v>
      </c>
      <c r="AB33" s="27">
        <f t="shared" si="1"/>
        <v>1139.6400000000001</v>
      </c>
      <c r="AC33" s="28"/>
      <c r="AD33" s="28"/>
    </row>
    <row r="34" spans="1:30" x14ac:dyDescent="0.4">
      <c r="A34" s="24"/>
      <c r="B34" s="24"/>
      <c r="C34" s="24"/>
      <c r="D34" s="24"/>
      <c r="E34" s="24" t="s">
        <v>8</v>
      </c>
      <c r="F34" s="24"/>
      <c r="G34" s="24" t="s">
        <v>8</v>
      </c>
      <c r="H34" s="25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5">
        <v>0</v>
      </c>
      <c r="P34" s="25">
        <f t="shared" si="0"/>
        <v>0</v>
      </c>
      <c r="Q34" s="26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7">
        <f t="shared" si="2"/>
        <v>0</v>
      </c>
      <c r="AB34" s="27">
        <f t="shared" si="1"/>
        <v>0</v>
      </c>
      <c r="AC34" s="28"/>
      <c r="AD34" s="28"/>
    </row>
    <row r="35" spans="1:30" x14ac:dyDescent="0.4">
      <c r="A35" s="24"/>
      <c r="B35" s="24"/>
      <c r="C35" s="24"/>
      <c r="D35" s="24"/>
      <c r="E35" s="24" t="s">
        <v>8</v>
      </c>
      <c r="F35" s="24"/>
      <c r="G35" s="24" t="s">
        <v>8</v>
      </c>
      <c r="H35" s="25">
        <v>99631.5</v>
      </c>
      <c r="I35" s="26">
        <v>12706.47</v>
      </c>
      <c r="J35" s="26">
        <v>0</v>
      </c>
      <c r="K35" s="26">
        <v>2500.0300000000002</v>
      </c>
      <c r="L35" s="26">
        <v>1276.51</v>
      </c>
      <c r="M35" s="26">
        <v>0</v>
      </c>
      <c r="N35" s="26">
        <v>0</v>
      </c>
      <c r="O35" s="25">
        <f>250+470.33+702.09</f>
        <v>1422.42</v>
      </c>
      <c r="P35" s="25">
        <f t="shared" ref="P35:P55" si="3">SUM(H35:O35)</f>
        <v>117536.93</v>
      </c>
      <c r="Q35" s="26">
        <v>0</v>
      </c>
      <c r="S35" s="25">
        <f>6667.55+6897.42</f>
        <v>13564.970000000001</v>
      </c>
      <c r="T35" s="26">
        <v>1762.68</v>
      </c>
      <c r="U35" s="26">
        <v>708</v>
      </c>
      <c r="V35" s="26">
        <v>222.6</v>
      </c>
      <c r="W35" s="26">
        <f>32.08*12</f>
        <v>384.96</v>
      </c>
      <c r="X35" s="26">
        <f>42.85*12</f>
        <v>514.20000000000005</v>
      </c>
      <c r="Y35" s="26">
        <f>2210.84*12</f>
        <v>26530.080000000002</v>
      </c>
      <c r="Z35" s="25">
        <v>2322.29</v>
      </c>
      <c r="AA35" s="27">
        <f t="shared" si="2"/>
        <v>43316.5</v>
      </c>
      <c r="AB35" s="27">
        <f t="shared" si="1"/>
        <v>2693.28</v>
      </c>
      <c r="AC35" s="28"/>
      <c r="AD35" s="28"/>
    </row>
    <row r="36" spans="1:30" x14ac:dyDescent="0.4">
      <c r="A36" s="24"/>
      <c r="B36" s="24"/>
      <c r="C36" s="24"/>
      <c r="D36" s="24"/>
      <c r="E36" s="24" t="s">
        <v>8</v>
      </c>
      <c r="F36" s="24" t="s">
        <v>8</v>
      </c>
      <c r="G36" s="24"/>
      <c r="H36" s="25">
        <v>84293.45</v>
      </c>
      <c r="I36" s="26">
        <v>34262.089999999997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5">
        <f>250+1020</f>
        <v>1270</v>
      </c>
      <c r="P36" s="25">
        <f t="shared" si="3"/>
        <v>119825.54</v>
      </c>
      <c r="Q36" s="26">
        <v>0</v>
      </c>
      <c r="S36" s="25">
        <f>T36/0.13*0.87</f>
        <v>13335.092307692306</v>
      </c>
      <c r="T36" s="26">
        <v>1992.6</v>
      </c>
      <c r="U36" s="26">
        <v>314.39999999999998</v>
      </c>
      <c r="V36" s="26">
        <v>79.8</v>
      </c>
      <c r="W36" s="26">
        <f>25.6*12</f>
        <v>307.20000000000005</v>
      </c>
      <c r="X36" s="26">
        <f>34.44*12</f>
        <v>413.28</v>
      </c>
      <c r="Y36" s="26">
        <v>0</v>
      </c>
      <c r="Z36" s="25">
        <v>13789.93</v>
      </c>
      <c r="AA36" s="27">
        <f t="shared" si="2"/>
        <v>27845.502307692306</v>
      </c>
      <c r="AB36" s="27">
        <f t="shared" si="1"/>
        <v>2386.8000000000002</v>
      </c>
      <c r="AC36" s="28"/>
      <c r="AD36" s="28"/>
    </row>
    <row r="37" spans="1:30" x14ac:dyDescent="0.4">
      <c r="A37" s="24"/>
      <c r="B37" s="24"/>
      <c r="C37" s="24"/>
      <c r="D37" s="24"/>
      <c r="E37" s="24" t="s">
        <v>8</v>
      </c>
      <c r="F37" s="24" t="s">
        <v>8</v>
      </c>
      <c r="G37" s="24"/>
      <c r="H37" s="25">
        <v>82342.820000000007</v>
      </c>
      <c r="I37" s="26">
        <v>29293.59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5">
        <f>250+1020+1125+30.44</f>
        <v>2425.44</v>
      </c>
      <c r="P37" s="25">
        <f t="shared" si="3"/>
        <v>114061.85</v>
      </c>
      <c r="Q37" s="26">
        <v>0</v>
      </c>
      <c r="S37" s="25">
        <f>T37/0.13*0.87</f>
        <v>19961.279999999995</v>
      </c>
      <c r="T37" s="26">
        <v>2982.72</v>
      </c>
      <c r="U37" s="26">
        <v>0</v>
      </c>
      <c r="V37" s="26">
        <v>0</v>
      </c>
      <c r="W37" s="26">
        <f>25.6*12</f>
        <v>307.20000000000005</v>
      </c>
      <c r="X37" s="26">
        <f>34.44*12</f>
        <v>413.28</v>
      </c>
      <c r="Y37" s="26">
        <v>0</v>
      </c>
      <c r="Z37" s="25">
        <v>13531.39</v>
      </c>
      <c r="AA37" s="27">
        <f t="shared" si="2"/>
        <v>34213.149999999994</v>
      </c>
      <c r="AB37" s="27">
        <f t="shared" si="1"/>
        <v>2982.72</v>
      </c>
      <c r="AC37" s="28"/>
      <c r="AD37" s="28"/>
    </row>
    <row r="38" spans="1:30" x14ac:dyDescent="0.4">
      <c r="A38" s="24"/>
      <c r="B38" s="24" t="s">
        <v>8</v>
      </c>
      <c r="C38" s="24"/>
      <c r="D38" s="24" t="s">
        <v>8</v>
      </c>
      <c r="E38" s="24"/>
      <c r="F38" s="24"/>
      <c r="G38" s="24" t="s">
        <v>8</v>
      </c>
      <c r="H38" s="25">
        <v>75358.259999999995</v>
      </c>
      <c r="I38" s="26">
        <v>0</v>
      </c>
      <c r="J38" s="26">
        <v>0</v>
      </c>
      <c r="K38" s="26">
        <v>5000.0600000000004</v>
      </c>
      <c r="L38" s="26">
        <v>0</v>
      </c>
      <c r="M38" s="26">
        <v>0</v>
      </c>
      <c r="N38" s="26">
        <v>0</v>
      </c>
      <c r="O38" s="25">
        <f>797.97+375+1302.84</f>
        <v>2475.81</v>
      </c>
      <c r="P38" s="25">
        <f t="shared" si="3"/>
        <v>82834.12999999999</v>
      </c>
      <c r="Q38" s="26">
        <v>0</v>
      </c>
      <c r="S38" s="25">
        <f>T38/0.1*0.9</f>
        <v>13794.839999999998</v>
      </c>
      <c r="T38" s="26">
        <v>1532.76</v>
      </c>
      <c r="U38" s="26">
        <v>708</v>
      </c>
      <c r="V38" s="26">
        <v>222.6</v>
      </c>
      <c r="W38" s="26">
        <f>31.1*3</f>
        <v>93.300000000000011</v>
      </c>
      <c r="X38" s="26">
        <f>41.61*3</f>
        <v>124.83</v>
      </c>
      <c r="Y38" s="26">
        <v>0</v>
      </c>
      <c r="Z38" s="25">
        <v>766.16</v>
      </c>
      <c r="AA38" s="27">
        <f t="shared" si="2"/>
        <v>14779.129999999997</v>
      </c>
      <c r="AB38" s="27">
        <f t="shared" si="1"/>
        <v>2463.36</v>
      </c>
      <c r="AC38" s="28"/>
      <c r="AD38" s="28"/>
    </row>
    <row r="39" spans="1:30" x14ac:dyDescent="0.4">
      <c r="A39" s="24"/>
      <c r="B39" s="24" t="s">
        <v>8</v>
      </c>
      <c r="C39" s="24"/>
      <c r="D39" s="24" t="s">
        <v>8</v>
      </c>
      <c r="E39" s="24"/>
      <c r="F39" s="24"/>
      <c r="G39" s="24" t="s">
        <v>8</v>
      </c>
      <c r="H39" s="25">
        <v>91003.93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5">
        <f>650+150.08+1302.84-278.25</f>
        <v>1824.67</v>
      </c>
      <c r="P39" s="25">
        <f t="shared" si="3"/>
        <v>92828.599999999991</v>
      </c>
      <c r="Q39" s="26">
        <v>0</v>
      </c>
      <c r="S39" s="25">
        <f>T39/0.1*0.9</f>
        <v>6708.9600000000009</v>
      </c>
      <c r="T39" s="26">
        <v>745.44</v>
      </c>
      <c r="U39" s="26">
        <v>314.39999999999998</v>
      </c>
      <c r="V39" s="26">
        <v>79.8</v>
      </c>
      <c r="W39" s="26">
        <f>29.48*12</f>
        <v>353.76</v>
      </c>
      <c r="X39" s="26">
        <f>39.44*12</f>
        <v>473.28</v>
      </c>
      <c r="Y39" s="26">
        <v>0</v>
      </c>
      <c r="Z39" s="25">
        <v>9322.18</v>
      </c>
      <c r="AA39" s="27">
        <f t="shared" si="2"/>
        <v>16858.18</v>
      </c>
      <c r="AB39" s="27">
        <f t="shared" si="1"/>
        <v>1139.6400000000001</v>
      </c>
      <c r="AC39" s="28"/>
      <c r="AD39" s="28"/>
    </row>
    <row r="40" spans="1:30" x14ac:dyDescent="0.4">
      <c r="A40" s="24"/>
      <c r="B40" s="24"/>
      <c r="C40" s="24"/>
      <c r="D40" s="24"/>
      <c r="E40" s="24"/>
      <c r="F40" s="24"/>
      <c r="G40" s="24"/>
      <c r="H40" s="25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5">
        <v>0</v>
      </c>
      <c r="P40" s="25">
        <f t="shared" si="3"/>
        <v>0</v>
      </c>
      <c r="Q40" s="26">
        <v>0</v>
      </c>
      <c r="S40" s="25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5">
        <v>0</v>
      </c>
      <c r="AA40" s="27">
        <f t="shared" si="2"/>
        <v>0</v>
      </c>
      <c r="AB40" s="27">
        <f t="shared" si="1"/>
        <v>0</v>
      </c>
      <c r="AC40" s="27"/>
      <c r="AD40" s="28"/>
    </row>
    <row r="41" spans="1:30" x14ac:dyDescent="0.4">
      <c r="A41" s="24"/>
      <c r="B41" s="24"/>
      <c r="C41" s="24"/>
      <c r="D41" s="24"/>
      <c r="E41" s="24" t="s">
        <v>8</v>
      </c>
      <c r="F41" s="24" t="s">
        <v>8</v>
      </c>
      <c r="G41" s="24"/>
      <c r="H41" s="25">
        <v>88895.25</v>
      </c>
      <c r="I41" s="26">
        <v>39770.21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5">
        <f>250+750+1020</f>
        <v>2020</v>
      </c>
      <c r="P41" s="25">
        <f t="shared" si="3"/>
        <v>130685.45999999999</v>
      </c>
      <c r="Q41" s="26">
        <v>0</v>
      </c>
      <c r="S41" s="25">
        <f>T41/0.13*0.87</f>
        <v>6484.8461538461534</v>
      </c>
      <c r="T41" s="26">
        <v>969</v>
      </c>
      <c r="U41" s="26">
        <v>314.39999999999998</v>
      </c>
      <c r="V41" s="26">
        <v>0</v>
      </c>
      <c r="W41" s="26">
        <f>29.8*12</f>
        <v>357.6</v>
      </c>
      <c r="X41" s="26">
        <f>40.12*12</f>
        <v>481.43999999999994</v>
      </c>
      <c r="Y41" s="26">
        <v>0</v>
      </c>
      <c r="Z41" s="25">
        <v>11647.38</v>
      </c>
      <c r="AA41" s="27">
        <f t="shared" si="2"/>
        <v>18971.266153846151</v>
      </c>
      <c r="AB41" s="27">
        <f t="shared" si="1"/>
        <v>1283.4000000000001</v>
      </c>
      <c r="AC41" s="28"/>
      <c r="AD41" s="28"/>
    </row>
    <row r="42" spans="1:30" x14ac:dyDescent="0.4">
      <c r="A42" s="24"/>
      <c r="B42" s="24"/>
      <c r="C42" s="24"/>
      <c r="D42" s="24"/>
      <c r="E42" s="24" t="s">
        <v>8</v>
      </c>
      <c r="F42" s="24" t="s">
        <v>8</v>
      </c>
      <c r="G42" s="24"/>
      <c r="H42" s="25">
        <v>98278.35</v>
      </c>
      <c r="I42" s="26">
        <v>21064.560000000001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5">
        <f>250+1020</f>
        <v>1270</v>
      </c>
      <c r="P42" s="25">
        <f t="shared" si="3"/>
        <v>120612.91</v>
      </c>
      <c r="Q42" s="26">
        <v>0</v>
      </c>
      <c r="S42" s="25">
        <f>T42/0.13*0.87</f>
        <v>19961.279999999995</v>
      </c>
      <c r="T42" s="26">
        <v>2982.72</v>
      </c>
      <c r="U42" s="26">
        <v>1153.68</v>
      </c>
      <c r="V42" s="26">
        <v>0</v>
      </c>
      <c r="W42" s="26">
        <f>32.08*12</f>
        <v>384.96</v>
      </c>
      <c r="X42" s="26">
        <f>42.85*12</f>
        <v>514.20000000000005</v>
      </c>
      <c r="Y42" s="26">
        <f>2210.84*12</f>
        <v>26530.080000000002</v>
      </c>
      <c r="Z42" s="25">
        <v>2386.87</v>
      </c>
      <c r="AA42" s="27">
        <f t="shared" si="2"/>
        <v>49777.39</v>
      </c>
      <c r="AB42" s="27">
        <f t="shared" si="1"/>
        <v>4136.3999999999996</v>
      </c>
      <c r="AC42" s="28"/>
      <c r="AD42" s="28"/>
    </row>
    <row r="43" spans="1:30" x14ac:dyDescent="0.4">
      <c r="A43" s="24"/>
      <c r="B43" s="24"/>
      <c r="C43" s="24"/>
      <c r="D43" s="24"/>
      <c r="E43" s="24" t="s">
        <v>8</v>
      </c>
      <c r="F43" s="24" t="s">
        <v>8</v>
      </c>
      <c r="G43" s="24"/>
      <c r="H43" s="25">
        <v>75257.399999999994</v>
      </c>
      <c r="I43" s="26">
        <v>2621.52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5">
        <f>250+1020+2981.52</f>
        <v>4251.5200000000004</v>
      </c>
      <c r="P43" s="25">
        <f t="shared" si="3"/>
        <v>82130.44</v>
      </c>
      <c r="Q43" s="26">
        <v>0</v>
      </c>
      <c r="S43" s="25">
        <v>0</v>
      </c>
      <c r="T43" s="26">
        <v>0</v>
      </c>
      <c r="U43" s="26">
        <v>0</v>
      </c>
      <c r="V43" s="26">
        <v>0</v>
      </c>
      <c r="W43" s="26">
        <f>24.62*12</f>
        <v>295.44</v>
      </c>
      <c r="X43" s="26">
        <f>32.77*12</f>
        <v>393.24</v>
      </c>
      <c r="Y43" s="26">
        <v>0</v>
      </c>
      <c r="Z43" s="25">
        <v>7277.44</v>
      </c>
      <c r="AA43" s="27">
        <f t="shared" si="2"/>
        <v>7966.119999999999</v>
      </c>
      <c r="AB43" s="27">
        <f t="shared" si="1"/>
        <v>0</v>
      </c>
      <c r="AC43" s="28"/>
      <c r="AD43" s="28"/>
    </row>
    <row r="44" spans="1:30" x14ac:dyDescent="0.4">
      <c r="A44" s="24"/>
      <c r="B44" s="24"/>
      <c r="C44" s="24"/>
      <c r="D44" s="24"/>
      <c r="E44" s="24" t="s">
        <v>8</v>
      </c>
      <c r="F44" s="24"/>
      <c r="G44" s="24" t="s">
        <v>8</v>
      </c>
      <c r="H44" s="25">
        <v>36442.660000000003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5">
        <v>0</v>
      </c>
      <c r="P44" s="25">
        <f t="shared" si="3"/>
        <v>36442.660000000003</v>
      </c>
      <c r="Q44" s="26">
        <v>0</v>
      </c>
      <c r="S44" s="25">
        <f>T44/0.1*0.9</f>
        <v>16347.6</v>
      </c>
      <c r="T44" s="26">
        <v>1816.4</v>
      </c>
      <c r="U44" s="26">
        <v>913.33</v>
      </c>
      <c r="V44" s="26">
        <v>176.22</v>
      </c>
      <c r="W44" s="26">
        <f>12.32*12</f>
        <v>147.84</v>
      </c>
      <c r="X44" s="26">
        <f>16.3*12</f>
        <v>195.60000000000002</v>
      </c>
      <c r="Y44" s="26">
        <v>0</v>
      </c>
      <c r="Z44" s="25">
        <v>4264.03</v>
      </c>
      <c r="AA44" s="27">
        <f t="shared" si="2"/>
        <v>20955.07</v>
      </c>
      <c r="AB44" s="27">
        <f t="shared" si="1"/>
        <v>2905.95</v>
      </c>
      <c r="AC44" s="28"/>
      <c r="AD44" s="28"/>
    </row>
    <row r="45" spans="1:30" x14ac:dyDescent="0.4">
      <c r="A45" s="24"/>
      <c r="B45" s="24"/>
      <c r="C45" s="24"/>
      <c r="D45" s="24"/>
      <c r="E45" s="24" t="s">
        <v>8</v>
      </c>
      <c r="F45" s="24" t="s">
        <v>8</v>
      </c>
      <c r="G45" s="24"/>
      <c r="H45" s="25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5">
        <v>0</v>
      </c>
      <c r="P45" s="25">
        <f t="shared" si="3"/>
        <v>0</v>
      </c>
      <c r="Q45" s="26">
        <v>0</v>
      </c>
      <c r="S45" s="25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5">
        <v>0</v>
      </c>
      <c r="AA45" s="27">
        <f t="shared" si="2"/>
        <v>0</v>
      </c>
      <c r="AB45" s="27">
        <f t="shared" si="1"/>
        <v>0</v>
      </c>
      <c r="AC45" s="28"/>
      <c r="AD45" s="28"/>
    </row>
    <row r="46" spans="1:30" x14ac:dyDescent="0.4">
      <c r="A46" s="24"/>
      <c r="B46" s="24"/>
      <c r="C46" s="24"/>
      <c r="D46" s="24" t="s">
        <v>8</v>
      </c>
      <c r="E46" s="24"/>
      <c r="F46" s="24"/>
      <c r="G46" s="24" t="s">
        <v>8</v>
      </c>
      <c r="H46" s="25">
        <v>86404.800000000003</v>
      </c>
      <c r="I46" s="26">
        <v>0</v>
      </c>
      <c r="J46" s="26">
        <v>0</v>
      </c>
      <c r="K46" s="26">
        <v>5000.0600000000004</v>
      </c>
      <c r="L46" s="26">
        <v>1143.56</v>
      </c>
      <c r="M46" s="26">
        <v>0</v>
      </c>
      <c r="N46" s="26">
        <v>0</v>
      </c>
      <c r="O46" s="25">
        <f>79.06+650+1302.84</f>
        <v>2031.8999999999999</v>
      </c>
      <c r="P46" s="25">
        <f t="shared" si="3"/>
        <v>94580.319999999992</v>
      </c>
      <c r="Q46" s="26">
        <v>0</v>
      </c>
      <c r="S46" s="25">
        <f>T46/0.1*0.9</f>
        <v>13794.839999999998</v>
      </c>
      <c r="T46" s="26">
        <v>1532.76</v>
      </c>
      <c r="U46" s="26">
        <v>708</v>
      </c>
      <c r="V46" s="26">
        <v>0</v>
      </c>
      <c r="W46" s="26">
        <f>26.56*12</f>
        <v>318.71999999999997</v>
      </c>
      <c r="X46" s="26">
        <f>35.49*12</f>
        <v>425.88</v>
      </c>
      <c r="Y46" s="26">
        <v>0</v>
      </c>
      <c r="Z46" s="25">
        <v>11105.74</v>
      </c>
      <c r="AA46" s="27">
        <f t="shared" si="2"/>
        <v>25645.18</v>
      </c>
      <c r="AB46" s="27">
        <f t="shared" si="1"/>
        <v>2240.7600000000002</v>
      </c>
      <c r="AC46" s="28"/>
      <c r="AD46" s="28"/>
    </row>
    <row r="47" spans="1:30" x14ac:dyDescent="0.4">
      <c r="A47" s="24"/>
      <c r="B47" s="24"/>
      <c r="C47" s="24"/>
      <c r="D47" s="24"/>
      <c r="E47" s="24"/>
      <c r="F47" s="24"/>
      <c r="G47" s="24"/>
      <c r="H47" s="25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5">
        <v>0</v>
      </c>
      <c r="P47" s="25">
        <f t="shared" si="3"/>
        <v>0</v>
      </c>
      <c r="Q47" s="26">
        <v>0</v>
      </c>
      <c r="S47" s="25">
        <v>0</v>
      </c>
      <c r="T47" s="26">
        <v>0</v>
      </c>
      <c r="U47" s="25">
        <v>0</v>
      </c>
      <c r="V47" s="25">
        <v>0</v>
      </c>
      <c r="W47" s="26">
        <v>0</v>
      </c>
      <c r="X47" s="26">
        <v>0</v>
      </c>
      <c r="Y47" s="26">
        <v>0</v>
      </c>
      <c r="Z47" s="25">
        <v>0</v>
      </c>
      <c r="AA47" s="27">
        <f t="shared" si="2"/>
        <v>0</v>
      </c>
      <c r="AB47" s="27">
        <f t="shared" si="1"/>
        <v>0</v>
      </c>
      <c r="AC47" s="28"/>
      <c r="AD47" s="28"/>
    </row>
    <row r="48" spans="1:30" x14ac:dyDescent="0.4">
      <c r="A48" s="24"/>
      <c r="B48" s="24"/>
      <c r="C48" s="24"/>
      <c r="D48" s="24"/>
      <c r="E48" s="24" t="s">
        <v>8</v>
      </c>
      <c r="F48" s="24"/>
      <c r="G48" s="24" t="s">
        <v>8</v>
      </c>
      <c r="H48" s="25">
        <v>47009.67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5">
        <v>650</v>
      </c>
      <c r="P48" s="25">
        <f t="shared" si="3"/>
        <v>47659.67</v>
      </c>
      <c r="Q48" s="26">
        <v>0</v>
      </c>
      <c r="S48" s="25">
        <v>0</v>
      </c>
      <c r="T48" s="26">
        <v>0</v>
      </c>
      <c r="U48" s="26">
        <v>0</v>
      </c>
      <c r="V48" s="26">
        <v>0</v>
      </c>
      <c r="W48" s="26">
        <f>15.22*12</f>
        <v>182.64000000000001</v>
      </c>
      <c r="X48" s="26">
        <f>20.41*12</f>
        <v>244.92000000000002</v>
      </c>
      <c r="Y48" s="26">
        <v>0</v>
      </c>
      <c r="Z48" s="25">
        <v>0</v>
      </c>
      <c r="AA48" s="27">
        <f t="shared" si="2"/>
        <v>427.56000000000006</v>
      </c>
      <c r="AB48" s="27">
        <f t="shared" si="1"/>
        <v>0</v>
      </c>
      <c r="AC48" s="27"/>
      <c r="AD48" s="28"/>
    </row>
    <row r="49" spans="1:30" x14ac:dyDescent="0.4">
      <c r="A49" s="24"/>
      <c r="B49" s="24"/>
      <c r="C49" s="24"/>
      <c r="D49" s="24"/>
      <c r="E49" s="24" t="s">
        <v>8</v>
      </c>
      <c r="F49" s="24" t="s">
        <v>8</v>
      </c>
      <c r="G49" s="24"/>
      <c r="H49" s="25">
        <v>92568.78</v>
      </c>
      <c r="I49" s="26">
        <v>44753.95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5">
        <f>250+1020+23</f>
        <v>1293</v>
      </c>
      <c r="P49" s="25">
        <f t="shared" si="3"/>
        <v>138615.72999999998</v>
      </c>
      <c r="Q49" s="26">
        <v>0</v>
      </c>
      <c r="S49" s="25">
        <f>T49/0.13*0.87</f>
        <v>19961.279999999995</v>
      </c>
      <c r="T49" s="26">
        <v>2982.72</v>
      </c>
      <c r="U49" s="26">
        <v>1153.68</v>
      </c>
      <c r="V49" s="26">
        <v>222.6</v>
      </c>
      <c r="W49" s="26">
        <f>30.46*12</f>
        <v>365.52</v>
      </c>
      <c r="X49" s="26">
        <f>41.04*12</f>
        <v>492.48</v>
      </c>
      <c r="Y49" s="26">
        <v>0</v>
      </c>
      <c r="Z49" s="25">
        <v>12754.87</v>
      </c>
      <c r="AA49" s="27">
        <f t="shared" si="2"/>
        <v>33574.149999999994</v>
      </c>
      <c r="AB49" s="27">
        <f t="shared" si="1"/>
        <v>4359</v>
      </c>
      <c r="AC49" s="28"/>
      <c r="AD49" s="28"/>
    </row>
    <row r="50" spans="1:30" x14ac:dyDescent="0.4">
      <c r="A50" s="24"/>
      <c r="B50" s="24" t="s">
        <v>8</v>
      </c>
      <c r="C50" s="24"/>
      <c r="D50" s="24" t="s">
        <v>8</v>
      </c>
      <c r="E50" s="24"/>
      <c r="F50" s="24"/>
      <c r="G50" s="24" t="s">
        <v>8</v>
      </c>
      <c r="H50" s="25">
        <v>120836.22</v>
      </c>
      <c r="I50" s="26">
        <v>0</v>
      </c>
      <c r="J50" s="26">
        <v>0</v>
      </c>
      <c r="K50" s="26">
        <v>5000.0600000000004</v>
      </c>
      <c r="L50" s="26">
        <v>837.38</v>
      </c>
      <c r="M50" s="26">
        <v>0</v>
      </c>
      <c r="N50" s="26">
        <v>0</v>
      </c>
      <c r="O50" s="25">
        <f>650+1302.84</f>
        <v>1952.84</v>
      </c>
      <c r="P50" s="25">
        <f t="shared" si="3"/>
        <v>128626.5</v>
      </c>
      <c r="Q50" s="26">
        <v>0</v>
      </c>
      <c r="S50" s="25">
        <f>T50/0.1*0.9</f>
        <v>6708.9600000000009</v>
      </c>
      <c r="T50" s="26">
        <v>745.44</v>
      </c>
      <c r="U50" s="26">
        <v>314.39999999999998</v>
      </c>
      <c r="V50" s="26">
        <v>79.8</v>
      </c>
      <c r="W50" s="26">
        <f>39.2*12</f>
        <v>470.40000000000003</v>
      </c>
      <c r="X50" s="26">
        <f>52.46*12</f>
        <v>629.52</v>
      </c>
      <c r="Y50" s="26">
        <v>0</v>
      </c>
      <c r="Z50" s="25">
        <v>15200.89</v>
      </c>
      <c r="AA50" s="27">
        <f t="shared" si="2"/>
        <v>23009.77</v>
      </c>
      <c r="AB50" s="27">
        <f t="shared" si="1"/>
        <v>1139.6400000000001</v>
      </c>
      <c r="AC50" s="28"/>
      <c r="AD50" s="28"/>
    </row>
    <row r="51" spans="1:30" x14ac:dyDescent="0.4">
      <c r="A51" s="24" t="s">
        <v>8</v>
      </c>
      <c r="C51" s="24"/>
      <c r="D51" s="24" t="s">
        <v>8</v>
      </c>
      <c r="E51" s="24"/>
      <c r="F51" s="24"/>
      <c r="G51" s="24" t="s">
        <v>8</v>
      </c>
      <c r="H51" s="25">
        <v>149135.88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5">
        <v>1302.8399999999999</v>
      </c>
      <c r="P51" s="25">
        <f t="shared" si="3"/>
        <v>150438.72</v>
      </c>
      <c r="Q51" s="26">
        <v>0</v>
      </c>
      <c r="S51" s="25">
        <f>T51/0.1*0.9</f>
        <v>13794.839999999998</v>
      </c>
      <c r="T51" s="26">
        <v>1532.76</v>
      </c>
      <c r="U51" s="26">
        <v>708</v>
      </c>
      <c r="V51" s="26">
        <v>222.6</v>
      </c>
      <c r="W51" s="26">
        <f>48.28*12</f>
        <v>579.36</v>
      </c>
      <c r="X51" s="26">
        <f>64.75*12</f>
        <v>777</v>
      </c>
      <c r="Y51" s="26">
        <v>0</v>
      </c>
      <c r="Z51" s="25">
        <v>17896.29</v>
      </c>
      <c r="AA51" s="27">
        <f t="shared" si="2"/>
        <v>33047.49</v>
      </c>
      <c r="AB51" s="27">
        <f t="shared" si="1"/>
        <v>2463.36</v>
      </c>
      <c r="AC51" s="28"/>
      <c r="AD51" s="28"/>
    </row>
    <row r="52" spans="1:30" x14ac:dyDescent="0.4">
      <c r="A52" s="24"/>
      <c r="B52" s="24"/>
      <c r="C52" s="24"/>
      <c r="D52" s="24"/>
      <c r="E52" s="24" t="s">
        <v>8</v>
      </c>
      <c r="F52" s="24" t="s">
        <v>8</v>
      </c>
      <c r="G52" s="24"/>
      <c r="H52" s="25">
        <v>91254.28</v>
      </c>
      <c r="I52" s="26">
        <v>25552.94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5">
        <f>250+1020</f>
        <v>1270</v>
      </c>
      <c r="P52" s="25">
        <f t="shared" si="3"/>
        <v>118077.22</v>
      </c>
      <c r="Q52" s="26">
        <v>0</v>
      </c>
      <c r="S52" s="25">
        <f>T52/0.1*0.9</f>
        <v>8721</v>
      </c>
      <c r="T52" s="26">
        <v>969</v>
      </c>
      <c r="U52" s="26">
        <v>314.39999999999998</v>
      </c>
      <c r="V52" s="26">
        <v>151.56</v>
      </c>
      <c r="W52" s="26">
        <f>29.8*12</f>
        <v>357.6</v>
      </c>
      <c r="X52" s="26">
        <f>40.12*12</f>
        <v>481.43999999999994</v>
      </c>
      <c r="Y52" s="26">
        <v>0</v>
      </c>
      <c r="Z52" s="25">
        <v>14016.88</v>
      </c>
      <c r="AA52" s="27">
        <f t="shared" si="2"/>
        <v>23576.919999999995</v>
      </c>
      <c r="AB52" s="27">
        <f t="shared" si="1"/>
        <v>1434.96</v>
      </c>
      <c r="AC52" s="28"/>
      <c r="AD52" s="28"/>
    </row>
    <row r="53" spans="1:30" x14ac:dyDescent="0.4">
      <c r="A53" s="24"/>
      <c r="B53" s="24"/>
      <c r="C53" s="24"/>
      <c r="D53" s="24" t="s">
        <v>8</v>
      </c>
      <c r="E53" s="24"/>
      <c r="F53" s="24"/>
      <c r="G53" s="24" t="s">
        <v>8</v>
      </c>
      <c r="H53" s="25">
        <v>84861.55</v>
      </c>
      <c r="I53" s="26">
        <v>0</v>
      </c>
      <c r="J53" s="26">
        <v>0</v>
      </c>
      <c r="K53" s="26">
        <v>5000.0600000000004</v>
      </c>
      <c r="L53" s="26">
        <v>770.58</v>
      </c>
      <c r="M53" s="26">
        <v>0</v>
      </c>
      <c r="N53" s="26">
        <v>0</v>
      </c>
      <c r="O53" s="25">
        <f>650+1302.84</f>
        <v>1952.84</v>
      </c>
      <c r="P53" s="25">
        <f t="shared" si="3"/>
        <v>92585.03</v>
      </c>
      <c r="Q53" s="26">
        <v>0</v>
      </c>
      <c r="S53" s="25">
        <f>T53/0.1*0.9</f>
        <v>20649.600000000002</v>
      </c>
      <c r="T53" s="26">
        <v>2294.4</v>
      </c>
      <c r="U53" s="26">
        <v>1153.68</v>
      </c>
      <c r="V53" s="26">
        <v>222.6</v>
      </c>
      <c r="W53" s="26">
        <f>27.54*12</f>
        <v>330.48</v>
      </c>
      <c r="X53" s="26">
        <f>36.85*12</f>
        <v>442.20000000000005</v>
      </c>
      <c r="Y53" s="26">
        <f>1900.89*12</f>
        <v>22810.68</v>
      </c>
      <c r="Z53" s="25">
        <v>1812.68</v>
      </c>
      <c r="AA53" s="27">
        <f t="shared" si="2"/>
        <v>46045.64</v>
      </c>
      <c r="AB53" s="27">
        <f t="shared" si="1"/>
        <v>3670.68</v>
      </c>
      <c r="AC53" s="28"/>
      <c r="AD53" s="28"/>
    </row>
    <row r="54" spans="1:30" x14ac:dyDescent="0.4">
      <c r="A54" s="24"/>
      <c r="B54" s="24"/>
      <c r="C54" s="24"/>
      <c r="D54" s="24"/>
      <c r="E54" s="24" t="s">
        <v>8</v>
      </c>
      <c r="F54" s="24"/>
      <c r="G54" s="24" t="s">
        <v>8</v>
      </c>
      <c r="H54" s="25"/>
      <c r="I54" s="25"/>
      <c r="J54" s="25"/>
      <c r="K54" s="25"/>
      <c r="M54" s="25"/>
      <c r="O54" s="25"/>
      <c r="P54" s="25">
        <f t="shared" si="3"/>
        <v>0</v>
      </c>
      <c r="Q54" s="25">
        <v>0</v>
      </c>
      <c r="R54" s="25"/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7">
        <f t="shared" si="2"/>
        <v>0</v>
      </c>
      <c r="AB54" s="27">
        <f t="shared" si="1"/>
        <v>0</v>
      </c>
      <c r="AC54" s="28"/>
      <c r="AD54" s="28"/>
    </row>
    <row r="55" spans="1:30" x14ac:dyDescent="0.4">
      <c r="A55" s="24"/>
      <c r="B55" s="24"/>
      <c r="C55" s="24"/>
      <c r="D55" s="24"/>
      <c r="E55" s="24" t="s">
        <v>8</v>
      </c>
      <c r="F55" s="24" t="s">
        <v>8</v>
      </c>
      <c r="G55" s="24"/>
      <c r="H55" s="25"/>
      <c r="I55" s="25"/>
      <c r="J55" s="25"/>
      <c r="K55" s="25"/>
      <c r="M55" s="25"/>
      <c r="O55" s="25"/>
      <c r="P55" s="25">
        <f t="shared" si="3"/>
        <v>0</v>
      </c>
      <c r="Q55" s="25">
        <v>0</v>
      </c>
      <c r="R55" s="25"/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7">
        <f t="shared" si="2"/>
        <v>0</v>
      </c>
      <c r="AB55" s="27">
        <f t="shared" si="1"/>
        <v>0</v>
      </c>
      <c r="AC55" s="28"/>
      <c r="AD55" s="28"/>
    </row>
    <row r="56" spans="1:30" x14ac:dyDescent="0.4">
      <c r="A56" s="24"/>
      <c r="B56" s="24"/>
      <c r="C56" s="24"/>
      <c r="D56" s="24"/>
      <c r="E56" s="24" t="s">
        <v>8</v>
      </c>
      <c r="F56" s="24" t="s">
        <v>8</v>
      </c>
      <c r="G56" s="24"/>
      <c r="H56" s="25">
        <v>69960.27</v>
      </c>
      <c r="I56" s="25">
        <v>33231.94</v>
      </c>
      <c r="J56" s="25">
        <v>0</v>
      </c>
      <c r="K56" s="25">
        <v>0</v>
      </c>
      <c r="L56" s="26">
        <v>0</v>
      </c>
      <c r="M56" s="25">
        <v>0</v>
      </c>
      <c r="N56" s="26">
        <v>0</v>
      </c>
      <c r="O56" s="25">
        <f>124.74+750+250+822.54</f>
        <v>1947.28</v>
      </c>
      <c r="P56" s="25">
        <f t="shared" ref="P56:P59" si="4">SUM(H56:O56)</f>
        <v>105139.49</v>
      </c>
      <c r="Q56" s="25">
        <v>0</v>
      </c>
      <c r="R56" s="25"/>
      <c r="S56" s="25">
        <f>T56/0.13*0.87</f>
        <v>14970.96</v>
      </c>
      <c r="T56" s="26">
        <v>2237.04</v>
      </c>
      <c r="U56" s="26">
        <v>865.26</v>
      </c>
      <c r="V56" s="26">
        <v>166.95</v>
      </c>
      <c r="W56" s="26">
        <f>29.8*8</f>
        <v>238.4</v>
      </c>
      <c r="X56" s="26">
        <f>40.12*6</f>
        <v>240.71999999999997</v>
      </c>
      <c r="Y56" s="26">
        <v>0</v>
      </c>
      <c r="Z56" s="25">
        <v>0</v>
      </c>
      <c r="AA56" s="27">
        <f t="shared" si="2"/>
        <v>15450.079999999998</v>
      </c>
      <c r="AB56" s="27">
        <f t="shared" ref="AB56:AB59" si="5">T56+U56+V56</f>
        <v>3269.25</v>
      </c>
      <c r="AC56" s="28"/>
      <c r="AD56" s="28"/>
    </row>
    <row r="57" spans="1:30" x14ac:dyDescent="0.4">
      <c r="A57" s="24"/>
      <c r="B57" s="24"/>
      <c r="C57" s="24"/>
      <c r="D57" s="24"/>
      <c r="E57" s="24" t="s">
        <v>8</v>
      </c>
      <c r="F57" s="24"/>
      <c r="G57" s="24" t="s">
        <v>8</v>
      </c>
      <c r="H57" s="25">
        <v>18080</v>
      </c>
      <c r="I57" s="25">
        <v>0</v>
      </c>
      <c r="J57" s="25">
        <v>0</v>
      </c>
      <c r="K57" s="25">
        <v>0</v>
      </c>
      <c r="L57" s="26">
        <v>0</v>
      </c>
      <c r="M57" s="25">
        <v>0</v>
      </c>
      <c r="N57" s="26">
        <v>0</v>
      </c>
      <c r="O57" s="25">
        <v>10.46</v>
      </c>
      <c r="P57" s="25">
        <f t="shared" si="4"/>
        <v>18090.46</v>
      </c>
      <c r="Q57" s="25">
        <v>0</v>
      </c>
      <c r="R57" s="25"/>
      <c r="S57" s="25">
        <f>T57/0.1*0.9</f>
        <v>2795.4</v>
      </c>
      <c r="T57" s="26">
        <v>310.60000000000002</v>
      </c>
      <c r="U57" s="26">
        <v>131</v>
      </c>
      <c r="V57" s="26">
        <v>33.25</v>
      </c>
      <c r="W57" s="26">
        <f>13.6*5</f>
        <v>68</v>
      </c>
      <c r="X57" s="26">
        <f>18.17*2</f>
        <v>36.340000000000003</v>
      </c>
      <c r="Y57" s="26">
        <v>0</v>
      </c>
      <c r="Z57" s="25">
        <v>0</v>
      </c>
      <c r="AA57" s="27">
        <f t="shared" si="2"/>
        <v>2899.7400000000002</v>
      </c>
      <c r="AB57" s="27">
        <f t="shared" si="5"/>
        <v>474.85</v>
      </c>
      <c r="AC57" s="28"/>
      <c r="AD57" s="28"/>
    </row>
    <row r="58" spans="1:30" x14ac:dyDescent="0.4">
      <c r="A58" s="24"/>
      <c r="B58" s="24"/>
      <c r="C58" s="24"/>
      <c r="D58" s="24"/>
      <c r="E58" s="24" t="s">
        <v>8</v>
      </c>
      <c r="F58" s="24" t="s">
        <v>8</v>
      </c>
      <c r="G58" s="24"/>
      <c r="H58" s="25">
        <v>26232.12</v>
      </c>
      <c r="I58" s="25">
        <v>13882.71</v>
      </c>
      <c r="J58" s="25">
        <v>0</v>
      </c>
      <c r="K58" s="25">
        <v>0</v>
      </c>
      <c r="L58" s="26">
        <v>0</v>
      </c>
      <c r="M58" s="25">
        <v>0</v>
      </c>
      <c r="N58" s="26">
        <v>0</v>
      </c>
      <c r="O58" s="25">
        <f>750+250+394.8+993.84</f>
        <v>2388.64</v>
      </c>
      <c r="P58" s="25">
        <f t="shared" si="4"/>
        <v>42503.47</v>
      </c>
      <c r="Q58" s="25">
        <v>0</v>
      </c>
      <c r="R58" s="25"/>
      <c r="S58" s="25">
        <v>0</v>
      </c>
      <c r="T58" s="26">
        <v>0</v>
      </c>
      <c r="U58" s="26">
        <v>0</v>
      </c>
      <c r="V58" s="26">
        <v>0</v>
      </c>
      <c r="W58" s="26">
        <f>25.6*4</f>
        <v>102.4</v>
      </c>
      <c r="X58" s="26">
        <v>34.44</v>
      </c>
      <c r="Y58" s="26">
        <v>0</v>
      </c>
      <c r="Z58" s="25">
        <v>0</v>
      </c>
      <c r="AA58" s="27">
        <f t="shared" si="2"/>
        <v>136.84</v>
      </c>
      <c r="AB58" s="27">
        <f t="shared" si="5"/>
        <v>0</v>
      </c>
      <c r="AC58" s="28"/>
      <c r="AD58" s="28"/>
    </row>
    <row r="59" spans="1:30" x14ac:dyDescent="0.4">
      <c r="A59" s="24"/>
      <c r="B59" s="24"/>
      <c r="C59" s="24"/>
      <c r="D59" s="24"/>
      <c r="E59" s="24" t="s">
        <v>8</v>
      </c>
      <c r="F59" s="24"/>
      <c r="G59" s="24" t="s">
        <v>8</v>
      </c>
      <c r="H59" s="25">
        <v>6605.76</v>
      </c>
      <c r="I59" s="25">
        <v>0</v>
      </c>
      <c r="J59" s="25">
        <v>0</v>
      </c>
      <c r="K59" s="25">
        <v>0</v>
      </c>
      <c r="L59" s="26">
        <v>0</v>
      </c>
      <c r="M59" s="25">
        <v>0</v>
      </c>
      <c r="N59" s="26">
        <v>0</v>
      </c>
      <c r="O59" s="25">
        <v>0</v>
      </c>
      <c r="P59" s="25">
        <f t="shared" si="4"/>
        <v>6605.76</v>
      </c>
      <c r="Q59" s="25">
        <v>0</v>
      </c>
      <c r="R59" s="25"/>
      <c r="S59" s="25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5">
        <v>0</v>
      </c>
      <c r="AA59" s="27">
        <f t="shared" si="2"/>
        <v>0</v>
      </c>
      <c r="AB59" s="27">
        <f t="shared" si="5"/>
        <v>0</v>
      </c>
      <c r="AC59" s="28"/>
      <c r="AD59" s="28"/>
    </row>
    <row r="60" spans="1:30" x14ac:dyDescent="0.4">
      <c r="AA60" s="28"/>
      <c r="AB60" s="28"/>
      <c r="AC60" s="28"/>
      <c r="AD60" s="28"/>
    </row>
    <row r="61" spans="1:30" x14ac:dyDescent="0.4">
      <c r="AA61" s="28"/>
      <c r="AB61" s="28"/>
      <c r="AC61" s="28"/>
      <c r="AD61" s="28"/>
    </row>
    <row r="62" spans="1:30" x14ac:dyDescent="0.4">
      <c r="AA62" s="28"/>
      <c r="AB62" s="28"/>
      <c r="AC62" s="28"/>
      <c r="AD62" s="28"/>
    </row>
    <row r="63" spans="1:30" ht="92.6" x14ac:dyDescent="0.4">
      <c r="G63" s="4" t="s">
        <v>12</v>
      </c>
      <c r="H63" s="3" t="str">
        <f>H2</f>
        <v>Reg Salary/Wages Paid (includes any employee's regular rate of pay categories that are paid at regular rate i.e. holiday, sick, etc.)</v>
      </c>
      <c r="I63" s="3" t="str">
        <f t="shared" ref="I63:O63" si="6">I2</f>
        <v>OT Amount (includes All Pays at OT &amp; Above Rate)</v>
      </c>
      <c r="J63" s="3" t="str">
        <f t="shared" si="6"/>
        <v>Excess Vacation Payout</v>
      </c>
      <c r="K63" s="3" t="str">
        <f t="shared" si="6"/>
        <v>Dispatch / Duty Pay</v>
      </c>
      <c r="L63" s="3"/>
      <c r="M63" s="3" t="str">
        <f t="shared" si="6"/>
        <v>Bonus Pay</v>
      </c>
      <c r="N63" s="3" t="s">
        <v>35</v>
      </c>
      <c r="O63" s="3" t="str">
        <f t="shared" si="6"/>
        <v>Other Pays Including Phone, Med Opt-Out, etc.</v>
      </c>
      <c r="P63" s="1" t="s">
        <v>6</v>
      </c>
      <c r="Q63" s="3" t="str">
        <f>Q2</f>
        <v>Other Incentives, Deferred Compensation</v>
      </c>
      <c r="R63" s="3" t="s">
        <v>22</v>
      </c>
      <c r="S63" s="3" t="s">
        <v>32</v>
      </c>
      <c r="T63" s="3" t="s">
        <v>23</v>
      </c>
      <c r="U63" s="3" t="s">
        <v>24</v>
      </c>
      <c r="V63" s="3" t="s">
        <v>25</v>
      </c>
      <c r="W63" s="3" t="s">
        <v>30</v>
      </c>
      <c r="X63" s="3" t="s">
        <v>26</v>
      </c>
      <c r="Y63" s="3" t="s">
        <v>27</v>
      </c>
      <c r="Z63" s="18" t="s">
        <v>29</v>
      </c>
      <c r="AA63" s="3" t="s">
        <v>10</v>
      </c>
      <c r="AB63" s="3" t="s">
        <v>11</v>
      </c>
      <c r="AC63" s="28"/>
      <c r="AD63" s="28"/>
    </row>
    <row r="64" spans="1:30" x14ac:dyDescent="0.4">
      <c r="G64" s="20" t="s">
        <v>37</v>
      </c>
      <c r="H64" s="26">
        <f>+SUMIF($A$3:$A$59,"X",H3:H59)</f>
        <v>518345.62</v>
      </c>
      <c r="I64" s="26">
        <f t="shared" ref="I64:N64" si="7">+SUMIF($A$3:$A$59,"X",I3:I59)</f>
        <v>0</v>
      </c>
      <c r="J64" s="26">
        <f t="shared" si="7"/>
        <v>0</v>
      </c>
      <c r="K64" s="26">
        <f t="shared" si="7"/>
        <v>0</v>
      </c>
      <c r="L64" s="26">
        <f t="shared" si="7"/>
        <v>0</v>
      </c>
      <c r="M64" s="26">
        <f t="shared" si="7"/>
        <v>0</v>
      </c>
      <c r="N64" s="26">
        <f t="shared" si="7"/>
        <v>6600</v>
      </c>
      <c r="O64" s="26">
        <f t="shared" ref="O64:P64" si="8">+SUMIF($A$3:$A$59,"X",O3:O59)</f>
        <v>4900</v>
      </c>
      <c r="P64" s="26">
        <f t="shared" si="8"/>
        <v>529845.62</v>
      </c>
      <c r="Q64" s="26">
        <f t="shared" ref="Q64:AA64" si="9">+SUMIF($A$3:$A$59,"X",Q3:Q59)</f>
        <v>52650</v>
      </c>
      <c r="R64" s="26">
        <f t="shared" si="9"/>
        <v>0</v>
      </c>
      <c r="S64" s="26">
        <f t="shared" si="9"/>
        <v>20503.8</v>
      </c>
      <c r="T64" s="26">
        <f t="shared" si="9"/>
        <v>2278.1999999999998</v>
      </c>
      <c r="U64" s="26">
        <f t="shared" si="9"/>
        <v>1646.28</v>
      </c>
      <c r="V64" s="26">
        <f t="shared" si="9"/>
        <v>302.39999999999998</v>
      </c>
      <c r="W64" s="26">
        <f t="shared" si="9"/>
        <v>1940.1600000000003</v>
      </c>
      <c r="X64" s="26">
        <f t="shared" si="9"/>
        <v>2606.2799999999997</v>
      </c>
      <c r="Y64" s="26">
        <f t="shared" si="9"/>
        <v>0</v>
      </c>
      <c r="Z64" s="26">
        <f t="shared" si="9"/>
        <v>35817.699999999997</v>
      </c>
      <c r="AA64" s="26">
        <f t="shared" si="9"/>
        <v>60867.94</v>
      </c>
      <c r="AB64" s="26">
        <f t="shared" ref="AB64" si="10">+SUMIF($A$3:$A$55,"X",AB3:AB55)</f>
        <v>4226.88</v>
      </c>
      <c r="AC64" s="28"/>
      <c r="AD64" s="28"/>
    </row>
    <row r="65" spans="7:30" x14ac:dyDescent="0.4">
      <c r="G65" s="20" t="s">
        <v>0</v>
      </c>
      <c r="H65" s="26">
        <f>+SUMIF($B$3:$B$59,"X",H3:H59)</f>
        <v>631022.77</v>
      </c>
      <c r="I65" s="26">
        <f t="shared" ref="I65:N65" si="11">+SUMIF($B$3:$B$59,"X",I3:I59)</f>
        <v>25277.279999999999</v>
      </c>
      <c r="J65" s="26">
        <f t="shared" si="11"/>
        <v>0</v>
      </c>
      <c r="K65" s="26">
        <f t="shared" si="11"/>
        <v>19038.690000000002</v>
      </c>
      <c r="L65" s="26">
        <f t="shared" si="11"/>
        <v>10896.659999999998</v>
      </c>
      <c r="M65" s="26">
        <f t="shared" si="11"/>
        <v>1500</v>
      </c>
      <c r="N65" s="26">
        <f t="shared" si="11"/>
        <v>0</v>
      </c>
      <c r="O65" s="26">
        <f t="shared" ref="O65:P65" si="12">+SUMIF($B$3:$B$59,"X",O3:O59)</f>
        <v>15178.23</v>
      </c>
      <c r="P65" s="26">
        <f t="shared" si="12"/>
        <v>702913.63</v>
      </c>
      <c r="Q65" s="26">
        <f t="shared" ref="Q65:AA65" si="13">+SUMIF($B$3:$B$59,"X",Q3:Q59)</f>
        <v>0</v>
      </c>
      <c r="R65" s="26">
        <f t="shared" si="13"/>
        <v>0</v>
      </c>
      <c r="S65" s="26">
        <f t="shared" si="13"/>
        <v>71199.27</v>
      </c>
      <c r="T65" s="26">
        <f t="shared" si="13"/>
        <v>7911.0300000000007</v>
      </c>
      <c r="U65" s="26">
        <f t="shared" si="13"/>
        <v>3848.2000000000003</v>
      </c>
      <c r="V65" s="26">
        <f t="shared" si="13"/>
        <v>874.56</v>
      </c>
      <c r="W65" s="26">
        <f t="shared" si="13"/>
        <v>2149.98</v>
      </c>
      <c r="X65" s="26">
        <f t="shared" si="13"/>
        <v>2814.27</v>
      </c>
      <c r="Y65" s="26">
        <f t="shared" si="13"/>
        <v>35980.559999999998</v>
      </c>
      <c r="Z65" s="26">
        <f t="shared" si="13"/>
        <v>48230.009999999995</v>
      </c>
      <c r="AA65" s="26">
        <f t="shared" si="13"/>
        <v>160374.09</v>
      </c>
      <c r="AB65" s="26">
        <f t="shared" ref="AB65" si="14">+SUMIF($B$3:$B$55,"X",AB3:AB55)</f>
        <v>12633.789999999999</v>
      </c>
      <c r="AC65" s="28"/>
      <c r="AD65" s="28"/>
    </row>
    <row r="66" spans="7:30" ht="12" thickBot="1" x14ac:dyDescent="0.45">
      <c r="G66" s="20" t="s">
        <v>13</v>
      </c>
      <c r="H66" s="29">
        <f>+SUM(H64:H65)</f>
        <v>1149368.3900000001</v>
      </c>
      <c r="I66" s="29">
        <f t="shared" ref="I66:P66" si="15">+SUM(I64:I65)</f>
        <v>25277.279999999999</v>
      </c>
      <c r="J66" s="29">
        <f t="shared" si="15"/>
        <v>0</v>
      </c>
      <c r="K66" s="29">
        <f t="shared" si="15"/>
        <v>19038.690000000002</v>
      </c>
      <c r="L66" s="29">
        <f t="shared" si="15"/>
        <v>10896.659999999998</v>
      </c>
      <c r="M66" s="29">
        <f t="shared" si="15"/>
        <v>1500</v>
      </c>
      <c r="N66" s="29">
        <f t="shared" si="15"/>
        <v>6600</v>
      </c>
      <c r="O66" s="29">
        <f t="shared" si="15"/>
        <v>20078.23</v>
      </c>
      <c r="P66" s="29">
        <f t="shared" si="15"/>
        <v>1232759.25</v>
      </c>
      <c r="Q66" s="29">
        <f t="shared" ref="Q66" si="16">+SUM(Q64:Q65)</f>
        <v>52650</v>
      </c>
      <c r="R66" s="29">
        <f t="shared" ref="R66" si="17">+SUM(R64:R65)</f>
        <v>0</v>
      </c>
      <c r="S66" s="29">
        <f t="shared" ref="S66" si="18">+SUM(S64:S65)</f>
        <v>91703.07</v>
      </c>
      <c r="T66" s="29">
        <f t="shared" ref="T66" si="19">+SUM(T64:T65)</f>
        <v>10189.23</v>
      </c>
      <c r="U66" s="29">
        <f t="shared" ref="U66" si="20">+SUM(U64:U65)</f>
        <v>5494.4800000000005</v>
      </c>
      <c r="V66" s="29">
        <f t="shared" ref="V66" si="21">+SUM(V64:V65)</f>
        <v>1176.96</v>
      </c>
      <c r="W66" s="29">
        <f t="shared" ref="W66" si="22">+SUM(W64:W65)</f>
        <v>4090.1400000000003</v>
      </c>
      <c r="X66" s="29">
        <f t="shared" ref="X66" si="23">+SUM(X64:X65)</f>
        <v>5420.5499999999993</v>
      </c>
      <c r="Y66" s="29">
        <f t="shared" ref="Y66" si="24">+SUM(Y64:Y65)</f>
        <v>35980.559999999998</v>
      </c>
      <c r="Z66" s="29">
        <f t="shared" ref="Z66" si="25">+SUM(Z64:Z65)</f>
        <v>84047.709999999992</v>
      </c>
      <c r="AA66" s="29">
        <f t="shared" ref="AA66" si="26">+SUM(AA64:AA65)</f>
        <v>221242.03</v>
      </c>
      <c r="AB66" s="29">
        <f t="shared" ref="AB66" si="27">+SUM(AB64:AB65)</f>
        <v>16860.669999999998</v>
      </c>
      <c r="AC66" s="28"/>
      <c r="AD66" s="28"/>
    </row>
    <row r="67" spans="7:30" x14ac:dyDescent="0.4">
      <c r="Z67" s="26"/>
      <c r="AB67" s="28"/>
      <c r="AC67" s="28"/>
      <c r="AD67" s="28"/>
    </row>
    <row r="68" spans="7:30" x14ac:dyDescent="0.4">
      <c r="G68" s="20" t="s">
        <v>2</v>
      </c>
      <c r="H68" s="26">
        <f>+SUMIF($D$3:$D$59,"X",H3:H59)</f>
        <v>1679452.01</v>
      </c>
      <c r="I68" s="26">
        <f t="shared" ref="I68:N68" si="28">+SUMIF($D$3:$D$59,"X",I3:I59)</f>
        <v>25277.279999999999</v>
      </c>
      <c r="J68" s="26">
        <f t="shared" si="28"/>
        <v>2710.68</v>
      </c>
      <c r="K68" s="26">
        <f t="shared" si="28"/>
        <v>47624.23</v>
      </c>
      <c r="L68" s="26">
        <f t="shared" si="28"/>
        <v>18428.54</v>
      </c>
      <c r="M68" s="26">
        <f t="shared" si="28"/>
        <v>1934.72</v>
      </c>
      <c r="N68" s="26">
        <f t="shared" si="28"/>
        <v>6600</v>
      </c>
      <c r="O68" s="26">
        <f t="shared" ref="O68:P68" si="29">+SUMIF($D$3:$D$59,"X",O3:O59)</f>
        <v>34732.14</v>
      </c>
      <c r="P68" s="26">
        <f t="shared" si="29"/>
        <v>1816759.5999999999</v>
      </c>
      <c r="Q68" s="26">
        <f t="shared" ref="Q68:AA68" si="30">+SUMIF($D$3:$D$59,"X",Q3:Q59)</f>
        <v>52650</v>
      </c>
      <c r="R68" s="26">
        <f t="shared" si="30"/>
        <v>0</v>
      </c>
      <c r="S68" s="26">
        <f t="shared" si="30"/>
        <v>177029.55000000002</v>
      </c>
      <c r="T68" s="26">
        <f t="shared" si="30"/>
        <v>19669.950000000004</v>
      </c>
      <c r="U68" s="26">
        <f t="shared" si="30"/>
        <v>8688.0399999999991</v>
      </c>
      <c r="V68" s="26">
        <f t="shared" si="30"/>
        <v>1773.7199999999996</v>
      </c>
      <c r="W68" s="26">
        <f t="shared" si="30"/>
        <v>6050.4</v>
      </c>
      <c r="X68" s="26">
        <f t="shared" si="30"/>
        <v>7777.8899999999985</v>
      </c>
      <c r="Y68" s="26">
        <f t="shared" si="30"/>
        <v>94855.079999999987</v>
      </c>
      <c r="Z68" s="26">
        <f t="shared" si="30"/>
        <v>118466.80000000002</v>
      </c>
      <c r="AA68" s="26">
        <f t="shared" si="30"/>
        <v>404179.72000000003</v>
      </c>
      <c r="AB68" s="26">
        <f t="shared" ref="AB68" si="31">+SUMIF($D$3:$D$55,"X",AB3:AB55)</f>
        <v>30131.71</v>
      </c>
      <c r="AC68" s="28"/>
      <c r="AD68" s="28"/>
    </row>
    <row r="69" spans="7:30" x14ac:dyDescent="0.4">
      <c r="G69" s="20" t="s">
        <v>3</v>
      </c>
      <c r="H69" s="26">
        <f>+SUMIF($E$3:$E$59,"X",H3:H59)</f>
        <v>1693370.33</v>
      </c>
      <c r="I69" s="26">
        <f t="shared" ref="I69:N69" si="32">+SUMIF($E$3:$E$59,"X",I3:I59)</f>
        <v>455841.39000000007</v>
      </c>
      <c r="J69" s="26">
        <f t="shared" si="32"/>
        <v>1860</v>
      </c>
      <c r="K69" s="26">
        <f t="shared" si="32"/>
        <v>2500.0300000000002</v>
      </c>
      <c r="L69" s="26">
        <f t="shared" si="32"/>
        <v>1276.51</v>
      </c>
      <c r="M69" s="26">
        <f t="shared" si="32"/>
        <v>0</v>
      </c>
      <c r="N69" s="26">
        <f t="shared" si="32"/>
        <v>0</v>
      </c>
      <c r="O69" s="26">
        <f t="shared" ref="O69:P69" si="33">+SUMIF($E$3:$E$59,"X",O3:O59)</f>
        <v>34609.439999999995</v>
      </c>
      <c r="P69" s="26">
        <f t="shared" si="33"/>
        <v>2189457.7000000002</v>
      </c>
      <c r="Q69" s="26">
        <f t="shared" ref="Q69:AA69" si="34">+SUMIF($E$3:$E$59,"X",Q3:Q59)</f>
        <v>0</v>
      </c>
      <c r="R69" s="26">
        <f t="shared" si="34"/>
        <v>0</v>
      </c>
      <c r="S69" s="26">
        <f t="shared" si="34"/>
        <v>280314.35923076927</v>
      </c>
      <c r="T69" s="26">
        <f t="shared" si="34"/>
        <v>39403.26</v>
      </c>
      <c r="U69" s="26">
        <f t="shared" si="34"/>
        <v>13519.859999999999</v>
      </c>
      <c r="V69" s="26">
        <f t="shared" si="34"/>
        <v>1925.02</v>
      </c>
      <c r="W69" s="26">
        <f t="shared" si="34"/>
        <v>6512.7199999999993</v>
      </c>
      <c r="X69" s="26">
        <f t="shared" si="34"/>
        <v>8498.86</v>
      </c>
      <c r="Y69" s="26">
        <f t="shared" si="34"/>
        <v>78465.600000000006</v>
      </c>
      <c r="Z69" s="26">
        <f t="shared" si="34"/>
        <v>185257.99999999997</v>
      </c>
      <c r="AA69" s="26">
        <f t="shared" si="34"/>
        <v>559049.53923076915</v>
      </c>
      <c r="AB69" s="26">
        <f t="shared" ref="AB69" si="35">+SUMIF($E$3:$E$55,"X",AB3:AB55)</f>
        <v>51104.04</v>
      </c>
      <c r="AC69" s="28"/>
      <c r="AD69" s="28"/>
    </row>
    <row r="70" spans="7:30" ht="12" thickBot="1" x14ac:dyDescent="0.45">
      <c r="G70" s="20" t="s">
        <v>13</v>
      </c>
      <c r="H70" s="29">
        <f>+H68+H69</f>
        <v>3372822.34</v>
      </c>
      <c r="I70" s="29">
        <f t="shared" ref="I70:P70" si="36">+I68+I69</f>
        <v>481118.67000000004</v>
      </c>
      <c r="J70" s="29">
        <f t="shared" si="36"/>
        <v>4570.68</v>
      </c>
      <c r="K70" s="29">
        <f t="shared" si="36"/>
        <v>50124.26</v>
      </c>
      <c r="L70" s="29">
        <f t="shared" si="36"/>
        <v>19705.05</v>
      </c>
      <c r="M70" s="29">
        <f t="shared" si="36"/>
        <v>1934.72</v>
      </c>
      <c r="N70" s="29">
        <f t="shared" si="36"/>
        <v>6600</v>
      </c>
      <c r="O70" s="29">
        <f t="shared" si="36"/>
        <v>69341.579999999987</v>
      </c>
      <c r="P70" s="29">
        <f t="shared" si="36"/>
        <v>4006217.3</v>
      </c>
      <c r="Q70" s="29">
        <f t="shared" ref="Q70" si="37">+Q68+Q69</f>
        <v>52650</v>
      </c>
      <c r="R70" s="29">
        <f t="shared" ref="R70" si="38">+R68+R69</f>
        <v>0</v>
      </c>
      <c r="S70" s="29">
        <f t="shared" ref="S70" si="39">+S68+S69</f>
        <v>457343.90923076926</v>
      </c>
      <c r="T70" s="29">
        <f t="shared" ref="T70" si="40">+T68+T69</f>
        <v>59073.210000000006</v>
      </c>
      <c r="U70" s="29">
        <f t="shared" ref="U70" si="41">+U68+U69</f>
        <v>22207.899999999998</v>
      </c>
      <c r="V70" s="29">
        <f t="shared" ref="V70" si="42">+V68+V69</f>
        <v>3698.74</v>
      </c>
      <c r="W70" s="29">
        <f t="shared" ref="W70" si="43">+W68+W69</f>
        <v>12563.119999999999</v>
      </c>
      <c r="X70" s="29">
        <f t="shared" ref="X70" si="44">+X68+X69</f>
        <v>16276.75</v>
      </c>
      <c r="Y70" s="29">
        <f t="shared" ref="Y70" si="45">+Y68+Y69</f>
        <v>173320.68</v>
      </c>
      <c r="Z70" s="29">
        <f t="shared" ref="Z70" si="46">+Z68+Z69</f>
        <v>303724.79999999999</v>
      </c>
      <c r="AA70" s="29">
        <f t="shared" ref="AA70" si="47">+AA68+AA69</f>
        <v>963229.25923076924</v>
      </c>
      <c r="AB70" s="29">
        <f t="shared" ref="AB70" si="48">+AB68+AB69</f>
        <v>81235.75</v>
      </c>
      <c r="AC70" s="28"/>
      <c r="AD70" s="28"/>
    </row>
    <row r="71" spans="7:30" x14ac:dyDescent="0.4">
      <c r="Z71" s="26"/>
      <c r="AC71" s="28"/>
      <c r="AD71" s="28"/>
    </row>
    <row r="72" spans="7:30" x14ac:dyDescent="0.4">
      <c r="G72" s="20" t="s">
        <v>4</v>
      </c>
      <c r="H72" s="26">
        <f>+SUMIF($F$3:$F$59,"X",H3:H59)</f>
        <v>1260460.7500000002</v>
      </c>
      <c r="I72" s="26">
        <f t="shared" ref="I72:N72" si="49">+SUMIF($F$3:$F$59,"X",I3:I59)</f>
        <v>442863.46</v>
      </c>
      <c r="J72" s="26">
        <f t="shared" si="49"/>
        <v>1860</v>
      </c>
      <c r="K72" s="26">
        <f t="shared" si="49"/>
        <v>0</v>
      </c>
      <c r="L72" s="26">
        <f t="shared" si="49"/>
        <v>0</v>
      </c>
      <c r="M72" s="26">
        <f t="shared" si="49"/>
        <v>0</v>
      </c>
      <c r="N72" s="26">
        <f t="shared" si="49"/>
        <v>0</v>
      </c>
      <c r="O72" s="26">
        <f t="shared" ref="O72:P72" si="50">+SUMIF($F$3:$F$59,"X",O3:O59)</f>
        <v>25913.82</v>
      </c>
      <c r="P72" s="26">
        <f t="shared" si="50"/>
        <v>1731098.0299999998</v>
      </c>
      <c r="Q72" s="26">
        <f t="shared" ref="Q72:AA72" si="51">+SUMIF($F$3:$F$59,"X",Q3:Q59)</f>
        <v>0</v>
      </c>
      <c r="R72" s="26">
        <f t="shared" si="51"/>
        <v>0</v>
      </c>
      <c r="S72" s="26">
        <f t="shared" si="51"/>
        <v>217566.9092307692</v>
      </c>
      <c r="T72" s="26">
        <f t="shared" si="51"/>
        <v>32175.86</v>
      </c>
      <c r="U72" s="26">
        <f t="shared" si="51"/>
        <v>10353.36</v>
      </c>
      <c r="V72" s="26">
        <f t="shared" si="51"/>
        <v>1181.79</v>
      </c>
      <c r="W72" s="26">
        <f t="shared" si="51"/>
        <v>4850.6399999999994</v>
      </c>
      <c r="X72" s="26">
        <f t="shared" si="51"/>
        <v>6335.8799999999983</v>
      </c>
      <c r="Y72" s="26">
        <f t="shared" si="51"/>
        <v>51935.520000000004</v>
      </c>
      <c r="Z72" s="26">
        <f t="shared" si="51"/>
        <v>153264.03000000003</v>
      </c>
      <c r="AA72" s="26">
        <f t="shared" si="51"/>
        <v>433952.97923076927</v>
      </c>
      <c r="AB72" s="26">
        <f t="shared" ref="AB72" si="52">+SUMIF($F$3:$F$55,"X",AB3:AB55)</f>
        <v>40441.759999999995</v>
      </c>
      <c r="AC72" s="28"/>
      <c r="AD72" s="28"/>
    </row>
    <row r="73" spans="7:30" x14ac:dyDescent="0.4">
      <c r="G73" s="20" t="s">
        <v>5</v>
      </c>
      <c r="H73" s="26">
        <f>+SUMIF($G$3:$G$59,"X",H3:H59)</f>
        <v>2112361.5899999989</v>
      </c>
      <c r="I73" s="26">
        <f t="shared" ref="I73:N73" si="53">+SUMIF($G$3:$G$59,"X",I3:I59)</f>
        <v>38255.21</v>
      </c>
      <c r="J73" s="26">
        <f t="shared" si="53"/>
        <v>2710.68</v>
      </c>
      <c r="K73" s="26">
        <f t="shared" si="53"/>
        <v>50124.259999999995</v>
      </c>
      <c r="L73" s="26">
        <f t="shared" si="53"/>
        <v>19705.050000000003</v>
      </c>
      <c r="M73" s="26">
        <f t="shared" si="53"/>
        <v>1934.72</v>
      </c>
      <c r="N73" s="26">
        <f t="shared" si="53"/>
        <v>6600</v>
      </c>
      <c r="O73" s="26">
        <f t="shared" ref="O73:P73" si="54">+SUMIF($G$3:$G$59,"X",O3:O59)</f>
        <v>43427.759999999987</v>
      </c>
      <c r="P73" s="26">
        <f t="shared" si="54"/>
        <v>2275119.2699999996</v>
      </c>
      <c r="Q73" s="26">
        <f t="shared" ref="Q73:AA73" si="55">+SUMIF($G$3:$G$59,"X",Q3:Q59)</f>
        <v>52650</v>
      </c>
      <c r="R73" s="26">
        <f t="shared" si="55"/>
        <v>0</v>
      </c>
      <c r="S73" s="26">
        <f t="shared" si="55"/>
        <v>239776.99999999997</v>
      </c>
      <c r="T73" s="26">
        <f t="shared" si="55"/>
        <v>26897.35</v>
      </c>
      <c r="U73" s="26">
        <f t="shared" si="55"/>
        <v>11854.539999999999</v>
      </c>
      <c r="V73" s="26">
        <f t="shared" si="55"/>
        <v>2516.9499999999994</v>
      </c>
      <c r="W73" s="26">
        <f t="shared" si="55"/>
        <v>7712.48</v>
      </c>
      <c r="X73" s="26">
        <f t="shared" si="55"/>
        <v>9940.8700000000008</v>
      </c>
      <c r="Y73" s="26">
        <f t="shared" si="55"/>
        <v>121385.16</v>
      </c>
      <c r="Z73" s="26">
        <f t="shared" si="55"/>
        <v>150460.77000000002</v>
      </c>
      <c r="AA73" s="26">
        <f t="shared" si="55"/>
        <v>529276.27999999991</v>
      </c>
      <c r="AB73" s="26">
        <f t="shared" ref="AB73" si="56">+SUMIF($G$3:$G$55,"X",AB3:AB55)</f>
        <v>40793.99</v>
      </c>
      <c r="AC73" s="28"/>
      <c r="AD73" s="28"/>
    </row>
    <row r="74" spans="7:30" ht="12" thickBot="1" x14ac:dyDescent="0.45">
      <c r="G74" s="20" t="s">
        <v>13</v>
      </c>
      <c r="H74" s="29">
        <f>+H72+H73</f>
        <v>3372822.3399999989</v>
      </c>
      <c r="I74" s="29">
        <f t="shared" ref="I74:P74" si="57">+I72+I73</f>
        <v>481118.67000000004</v>
      </c>
      <c r="J74" s="29">
        <f t="shared" si="57"/>
        <v>4570.68</v>
      </c>
      <c r="K74" s="29">
        <f t="shared" si="57"/>
        <v>50124.259999999995</v>
      </c>
      <c r="L74" s="29">
        <f t="shared" si="57"/>
        <v>19705.050000000003</v>
      </c>
      <c r="M74" s="29">
        <f t="shared" si="57"/>
        <v>1934.72</v>
      </c>
      <c r="N74" s="29">
        <f t="shared" si="57"/>
        <v>6600</v>
      </c>
      <c r="O74" s="29">
        <f t="shared" si="57"/>
        <v>69341.579999999987</v>
      </c>
      <c r="P74" s="29">
        <f t="shared" si="57"/>
        <v>4006217.2999999993</v>
      </c>
      <c r="Q74" s="29">
        <f t="shared" ref="Q74" si="58">+Q72+Q73</f>
        <v>52650</v>
      </c>
      <c r="R74" s="29">
        <f t="shared" ref="R74" si="59">+R72+R73</f>
        <v>0</v>
      </c>
      <c r="S74" s="29">
        <f t="shared" ref="S74" si="60">+S72+S73</f>
        <v>457343.90923076915</v>
      </c>
      <c r="T74" s="29">
        <f t="shared" ref="T74" si="61">+T72+T73</f>
        <v>59073.21</v>
      </c>
      <c r="U74" s="29">
        <f t="shared" ref="U74" si="62">+U72+U73</f>
        <v>22207.9</v>
      </c>
      <c r="V74" s="29">
        <f t="shared" ref="V74" si="63">+V72+V73</f>
        <v>3698.7399999999993</v>
      </c>
      <c r="W74" s="29">
        <f t="shared" ref="W74" si="64">+W72+W73</f>
        <v>12563.119999999999</v>
      </c>
      <c r="X74" s="29">
        <f t="shared" ref="X74" si="65">+X72+X73</f>
        <v>16276.75</v>
      </c>
      <c r="Y74" s="29">
        <f t="shared" ref="Y74" si="66">+Y72+Y73</f>
        <v>173320.68</v>
      </c>
      <c r="Z74" s="29">
        <f t="shared" ref="Z74" si="67">+Z72+Z73</f>
        <v>303724.80000000005</v>
      </c>
      <c r="AA74" s="29">
        <f t="shared" ref="AA74" si="68">+AA72+AA73</f>
        <v>963229.25923076924</v>
      </c>
      <c r="AB74" s="29">
        <f t="shared" ref="AB74" si="69">+AB72+AB73</f>
        <v>81235.75</v>
      </c>
      <c r="AC74" s="28"/>
      <c r="AD74" s="28"/>
    </row>
    <row r="75" spans="7:30" x14ac:dyDescent="0.4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2"/>
      <c r="AA75" s="31"/>
      <c r="AB75" s="31"/>
      <c r="AC75" s="28"/>
      <c r="AD75" s="28"/>
    </row>
    <row r="76" spans="7:30" ht="14.6" hidden="1" x14ac:dyDescent="0.4">
      <c r="G76" s="5" t="s">
        <v>39</v>
      </c>
    </row>
    <row r="77" spans="7:30" ht="14.6" hidden="1" x14ac:dyDescent="0.4">
      <c r="G77" s="5" t="s">
        <v>37</v>
      </c>
      <c r="H77" s="39">
        <f>(H64-'2023'!H60)/'2023'!H60</f>
        <v>0.13287393652158755</v>
      </c>
      <c r="I77" s="33"/>
      <c r="J77" s="33"/>
      <c r="K77" s="33"/>
      <c r="L77" s="33"/>
      <c r="M77" s="33"/>
      <c r="N77" s="33"/>
      <c r="O77" s="33"/>
      <c r="P77" s="33"/>
    </row>
    <row r="78" spans="7:30" ht="14.6" hidden="1" x14ac:dyDescent="0.4">
      <c r="G78" s="5" t="s">
        <v>40</v>
      </c>
      <c r="H78" s="36">
        <f>(H68-'2023'!H64)/'2023'!H64</f>
        <v>6.1004438107170343E-2</v>
      </c>
      <c r="I78" s="36"/>
      <c r="J78" s="36"/>
      <c r="K78" s="36"/>
      <c r="L78" s="36"/>
      <c r="M78" s="36"/>
      <c r="N78" s="36"/>
      <c r="O78" s="36"/>
      <c r="P78" s="36"/>
    </row>
    <row r="79" spans="7:30" ht="14.6" hidden="1" x14ac:dyDescent="0.4">
      <c r="G79" s="5" t="s">
        <v>41</v>
      </c>
      <c r="H79" s="36">
        <f>(H69-'2023'!H65)/'2023'!H65</f>
        <v>4.0252768282505035E-2</v>
      </c>
      <c r="I79" s="36"/>
      <c r="J79" s="36"/>
      <c r="K79" s="36"/>
      <c r="L79" s="36"/>
      <c r="M79" s="36"/>
      <c r="N79" s="36"/>
      <c r="O79" s="36"/>
      <c r="P79" s="36"/>
    </row>
    <row r="80" spans="7:30" ht="14.6" x14ac:dyDescent="0.4">
      <c r="G80" s="5"/>
      <c r="H80" s="34"/>
      <c r="I80" s="34"/>
      <c r="J80" s="34"/>
      <c r="K80" s="36"/>
      <c r="L80" s="36"/>
      <c r="M80" s="36"/>
      <c r="N80" s="36"/>
      <c r="O80" s="36"/>
      <c r="P80" s="36"/>
    </row>
    <row r="81" spans="7:16" ht="14.6" x14ac:dyDescent="0.4">
      <c r="G81" s="5"/>
      <c r="H81" s="36"/>
      <c r="I81" s="36"/>
      <c r="J81" s="36"/>
      <c r="K81" s="36"/>
      <c r="L81" s="36"/>
      <c r="M81" s="36"/>
      <c r="N81" s="36"/>
      <c r="O81" s="36"/>
      <c r="P81" s="36"/>
    </row>
    <row r="82" spans="7:16" x14ac:dyDescent="0.4">
      <c r="H82" s="31"/>
      <c r="I82" s="31"/>
      <c r="J82" s="31"/>
      <c r="K82" s="31"/>
      <c r="L82" s="31"/>
      <c r="M82" s="31"/>
      <c r="N82" s="31"/>
      <c r="O82" s="31"/>
      <c r="P82" s="31"/>
    </row>
    <row r="83" spans="7:16" x14ac:dyDescent="0.4">
      <c r="H83" s="31"/>
      <c r="I83" s="31"/>
      <c r="J83" s="31"/>
      <c r="K83" s="31"/>
      <c r="L83" s="31"/>
      <c r="M83" s="31"/>
      <c r="N83" s="31"/>
      <c r="O83" s="31"/>
      <c r="P83" s="31"/>
    </row>
  </sheetData>
  <autoFilter ref="A2:AA59" xr:uid="{8DBCBB9E-8143-4BB0-9015-ED7825FFA754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FECE-B464-4BBC-9977-46D6F01EB7E3}">
  <dimension ref="B2:F5"/>
  <sheetViews>
    <sheetView workbookViewId="0">
      <selection activeCell="C25" sqref="C25"/>
    </sheetView>
  </sheetViews>
  <sheetFormatPr defaultRowHeight="14.6" x14ac:dyDescent="0.4"/>
  <cols>
    <col min="2" max="2" width="12.69140625" bestFit="1" customWidth="1"/>
  </cols>
  <sheetData>
    <row r="2" spans="2:6" x14ac:dyDescent="0.4">
      <c r="B2" t="s">
        <v>42</v>
      </c>
      <c r="C2" s="41">
        <v>2022</v>
      </c>
      <c r="D2" s="41">
        <v>2023</v>
      </c>
      <c r="E2" s="41">
        <v>2024</v>
      </c>
      <c r="F2" s="41" t="s">
        <v>43</v>
      </c>
    </row>
    <row r="3" spans="2:6" x14ac:dyDescent="0.4">
      <c r="B3" t="s">
        <v>37</v>
      </c>
      <c r="C3" s="40">
        <f>'2022'!H73</f>
        <v>6.4951296259377024E-3</v>
      </c>
      <c r="D3" s="40">
        <f>'2023'!H73</f>
        <v>5.3318976587112939E-2</v>
      </c>
      <c r="E3" s="40">
        <f>'2024'!H77</f>
        <v>0.13287393652158755</v>
      </c>
      <c r="F3" s="40">
        <f>AVERAGE(C3:E3)</f>
        <v>6.4229347578212734E-2</v>
      </c>
    </row>
    <row r="4" spans="2:6" x14ac:dyDescent="0.4">
      <c r="B4" t="s">
        <v>40</v>
      </c>
      <c r="C4" s="40">
        <f>'2022'!H74</f>
        <v>-5.0353562532185576E-3</v>
      </c>
      <c r="D4" s="40">
        <f>'2023'!H74</f>
        <v>2.7893723022346922E-2</v>
      </c>
      <c r="E4" s="40">
        <f>'2024'!H78</f>
        <v>6.1004438107170343E-2</v>
      </c>
      <c r="F4" s="40">
        <f>AVERAGE(C4:E4)</f>
        <v>2.7954268292099571E-2</v>
      </c>
    </row>
    <row r="5" spans="2:6" x14ac:dyDescent="0.4">
      <c r="B5" t="s">
        <v>41</v>
      </c>
      <c r="C5" s="40">
        <f>'2022'!H75</f>
        <v>0.12729544911415294</v>
      </c>
      <c r="D5" s="40">
        <f>'2023'!H75</f>
        <v>1.8714827877536405E-2</v>
      </c>
      <c r="E5" s="40">
        <f>'2024'!H79</f>
        <v>4.0252768282505035E-2</v>
      </c>
      <c r="F5" s="40">
        <f>AVERAGE(C5:E5)</f>
        <v>6.208768175806479E-2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08242-EFE6-4CE6-A17C-5EFD06C02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EB4A0-2553-43B1-90E8-726EA377780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aa59e4-26b3-4843-85f5-5d92debce9c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FC323D-422F-48AB-9BAB-38AA138BA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Heather Temple</cp:lastModifiedBy>
  <cp:lastPrinted>2024-12-16T20:17:06Z</cp:lastPrinted>
  <dcterms:created xsi:type="dcterms:W3CDTF">2024-04-25T19:24:27Z</dcterms:created>
  <dcterms:modified xsi:type="dcterms:W3CDTF">2025-01-30T17:57:21Z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