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Case 2024-00351\PSC First Data Request\DR 21\"/>
    </mc:Choice>
  </mc:AlternateContent>
  <xr:revisionPtr revIDLastSave="0" documentId="13_ncr:8001_{BC3EC043-BDA2-47C8-89BD-BF5BE9457115}" xr6:coauthVersionLast="47" xr6:coauthVersionMax="47" xr10:uidLastSave="{00000000-0000-0000-0000-000000000000}"/>
  <bookViews>
    <workbookView xWindow="28680" yWindow="-120" windowWidth="29040" windowHeight="15720" xr2:uid="{74B9436E-42DB-43EB-86D6-A303C928F116}"/>
  </bookViews>
  <sheets>
    <sheet name="1.12 Wages" sheetId="1" r:id="rId1"/>
    <sheet name="Other Pays - Hrs " sheetId="2" r:id="rId2"/>
  </sheets>
  <definedNames>
    <definedName name="_xlnm.Print_Area" localSheetId="0">'1.12 Wages'!#REF!</definedName>
    <definedName name="_xlnm.Print_Titles" localSheetId="0">'1.12 Wages'!$1:$3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C34" i="1" s="1"/>
  <c r="B33" i="1"/>
  <c r="C33" i="1" s="1"/>
  <c r="E32" i="1"/>
  <c r="D32" i="1"/>
  <c r="C32" i="1"/>
  <c r="B32" i="1"/>
  <c r="G30" i="1"/>
  <c r="F30" i="1"/>
  <c r="G29" i="1"/>
  <c r="F29" i="1"/>
  <c r="E29" i="1"/>
  <c r="D29" i="1"/>
  <c r="B29" i="1"/>
  <c r="C29" i="1" s="1"/>
  <c r="F28" i="1"/>
  <c r="G28" i="1" s="1"/>
  <c r="D28" i="1"/>
  <c r="E28" i="1" s="1"/>
  <c r="B28" i="1"/>
  <c r="C28" i="1" s="1"/>
  <c r="F27" i="1"/>
  <c r="G27" i="1" s="1"/>
  <c r="D27" i="1"/>
  <c r="E27" i="1" s="1"/>
  <c r="B27" i="1"/>
  <c r="C27" i="1" s="1"/>
  <c r="F26" i="1"/>
  <c r="G26" i="1" s="1"/>
  <c r="D26" i="1"/>
  <c r="E26" i="1" s="1"/>
  <c r="B26" i="1"/>
  <c r="C26" i="1" s="1"/>
  <c r="F23" i="1"/>
  <c r="G23" i="1" s="1"/>
  <c r="F22" i="1"/>
  <c r="G22" i="1" s="1"/>
  <c r="D22" i="1"/>
  <c r="E22" i="1" s="1"/>
  <c r="B22" i="1"/>
  <c r="C22" i="1" s="1"/>
  <c r="F21" i="1"/>
  <c r="G21" i="1" s="1"/>
  <c r="D21" i="1"/>
  <c r="E21" i="1" s="1"/>
  <c r="F20" i="1"/>
  <c r="G20" i="1" s="1"/>
  <c r="E20" i="1"/>
  <c r="D20" i="1"/>
  <c r="C20" i="1"/>
  <c r="B20" i="1"/>
  <c r="G19" i="1"/>
  <c r="F19" i="1"/>
  <c r="E19" i="1"/>
  <c r="D19" i="1"/>
  <c r="C19" i="1"/>
  <c r="B19" i="1"/>
  <c r="G17" i="1"/>
  <c r="F17" i="1"/>
  <c r="E17" i="1"/>
  <c r="D17" i="1"/>
  <c r="C17" i="1"/>
  <c r="B17" i="1"/>
  <c r="E16" i="1"/>
  <c r="D16" i="1"/>
  <c r="B16" i="1"/>
  <c r="C16" i="1"/>
  <c r="G15" i="1"/>
  <c r="F15" i="1"/>
  <c r="G14" i="1"/>
  <c r="F14" i="1"/>
  <c r="D14" i="1"/>
  <c r="E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G7" i="1"/>
  <c r="F7" i="1"/>
  <c r="E7" i="1"/>
  <c r="D7" i="1"/>
  <c r="C7" i="1"/>
  <c r="B7" i="1"/>
  <c r="G6" i="1"/>
  <c r="F6" i="1"/>
  <c r="E6" i="1"/>
  <c r="D6" i="1"/>
  <c r="C6" i="1"/>
  <c r="B6" i="1"/>
  <c r="F44" i="2" l="1"/>
  <c r="N44" i="2" s="1"/>
  <c r="F41" i="2"/>
  <c r="F40" i="2"/>
  <c r="N40" i="2" s="1"/>
  <c r="M37" i="2"/>
  <c r="N37" i="2" s="1"/>
  <c r="F36" i="2"/>
  <c r="F35" i="2"/>
  <c r="F34" i="2"/>
  <c r="F31" i="2"/>
  <c r="F30" i="2"/>
  <c r="F29" i="2"/>
  <c r="N29" i="2" s="1"/>
  <c r="F23" i="2"/>
  <c r="N23" i="2" s="1"/>
  <c r="F20" i="2"/>
  <c r="N20" i="2" s="1"/>
  <c r="F16" i="2"/>
  <c r="F13" i="2"/>
  <c r="F7" i="2"/>
  <c r="F6" i="2"/>
  <c r="F3" i="2"/>
  <c r="M28" i="2"/>
  <c r="N28" i="2" s="1"/>
  <c r="M19" i="2"/>
  <c r="M11" i="2"/>
  <c r="N45" i="2"/>
  <c r="N43" i="2"/>
  <c r="N42" i="2"/>
  <c r="N41" i="2"/>
  <c r="N39" i="2"/>
  <c r="N38" i="2"/>
  <c r="N36" i="2"/>
  <c r="N35" i="2"/>
  <c r="N34" i="2"/>
  <c r="N33" i="2"/>
  <c r="N32" i="2"/>
  <c r="N31" i="2"/>
  <c r="N30" i="2"/>
  <c r="N27" i="2"/>
  <c r="N26" i="2"/>
  <c r="N25" i="2"/>
  <c r="N24" i="2"/>
  <c r="N22" i="2"/>
  <c r="N21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46" i="2" l="1"/>
  <c r="F45" i="2"/>
  <c r="F42" i="2"/>
  <c r="F38" i="2"/>
  <c r="F33" i="2"/>
  <c r="F17" i="2"/>
  <c r="F14" i="2"/>
  <c r="J46" i="2"/>
  <c r="F46" i="2" l="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P26" i="2"/>
  <c r="P37" i="2"/>
  <c r="S4" i="2"/>
  <c r="S45" i="2"/>
  <c r="P9" i="2"/>
  <c r="P27" i="2"/>
  <c r="S3" i="2"/>
  <c r="S46" i="2" l="1"/>
  <c r="C46" i="2" l="1"/>
  <c r="D46" i="2"/>
  <c r="E46" i="2"/>
  <c r="G46" i="2"/>
  <c r="H46" i="2"/>
  <c r="K46" i="2"/>
  <c r="I46" i="2"/>
</calcChain>
</file>

<file path=xl/sharedStrings.xml><?xml version="1.0" encoding="utf-8"?>
<sst xmlns="http://schemas.openxmlformats.org/spreadsheetml/2006/main" count="153" uniqueCount="109">
  <si>
    <t>JACK BRAGG JR.</t>
  </si>
  <si>
    <t>SHELLEY DAILY</t>
  </si>
  <si>
    <t>MARY DENNIS</t>
  </si>
  <si>
    <t>JOHNNA DEWITT</t>
  </si>
  <si>
    <t>JASON GINN</t>
  </si>
  <si>
    <t>PAMELA GOETZINGER</t>
  </si>
  <si>
    <t>BARBIE GOODWIN</t>
  </si>
  <si>
    <t>DAVID GRAHAM</t>
  </si>
  <si>
    <t>MARY LANCASTER</t>
  </si>
  <si>
    <t>MICHAEL MASON</t>
  </si>
  <si>
    <t>MICHAEL MORIARTY</t>
  </si>
  <si>
    <t>WILLIAM MOORE</t>
  </si>
  <si>
    <t>PHYLLIS MCCARTY</t>
  </si>
  <si>
    <t>JENNIE PATE</t>
  </si>
  <si>
    <t>EDGAR RICHARDSON</t>
  </si>
  <si>
    <t>DYLAN STAPLES</t>
  </si>
  <si>
    <t>RANDY STEVENS</t>
  </si>
  <si>
    <t>BENTON BOHANNON</t>
  </si>
  <si>
    <t>TRACY BOHANNON</t>
  </si>
  <si>
    <t>JOSEPH CRENSHAW</t>
  </si>
  <si>
    <t>JACOB CREWS</t>
  </si>
  <si>
    <t>SHEILA CASE</t>
  </si>
  <si>
    <t>RACENE CURTSINGER</t>
  </si>
  <si>
    <t>DALLAS GIBSON</t>
  </si>
  <si>
    <t>EMILY HARTGROVE</t>
  </si>
  <si>
    <t>JEFFREY LEA</t>
  </si>
  <si>
    <t>JEAN MCLAUGHLIN</t>
  </si>
  <si>
    <t>KELLY MICHELS</t>
  </si>
  <si>
    <t>LUCAS MAKOWSKI</t>
  </si>
  <si>
    <t>MICHAEL NETHERY</t>
  </si>
  <si>
    <t>HUNTER NEW</t>
  </si>
  <si>
    <t>BLAKE NEWBY</t>
  </si>
  <si>
    <t>MICHAEL PING</t>
  </si>
  <si>
    <t>ANTHONY RAIZOR</t>
  </si>
  <si>
    <t>STEPHEN RAVENSCROFT</t>
  </si>
  <si>
    <t>EMMA REDMON</t>
  </si>
  <si>
    <t>MATTHEW REIDE</t>
  </si>
  <si>
    <t>RICHARD SHAW</t>
  </si>
  <si>
    <t>RICHARD SPOONAMORE</t>
  </si>
  <si>
    <t>COOPER WAFZIG</t>
  </si>
  <si>
    <t>DUSTIN PEACH</t>
  </si>
  <si>
    <t>GARY WARFORD</t>
  </si>
  <si>
    <t>Phone Pay</t>
  </si>
  <si>
    <t>Med Opt Pay</t>
  </si>
  <si>
    <t>Duty Pay</t>
  </si>
  <si>
    <t>Name</t>
  </si>
  <si>
    <t>Car Allowance</t>
  </si>
  <si>
    <t>Totals</t>
  </si>
  <si>
    <t>Vacation Pay Out Gross</t>
  </si>
  <si>
    <t>BROOKLYN MORRIS</t>
  </si>
  <si>
    <t>Pay Code</t>
  </si>
  <si>
    <t>17 &amp; 18</t>
  </si>
  <si>
    <t>11 &amp; 12</t>
  </si>
  <si>
    <t>10, 29, 30 &amp; 31</t>
  </si>
  <si>
    <t xml:space="preserve">Bonus Amts Pay Code </t>
  </si>
  <si>
    <t xml:space="preserve">Spec. Comp Pay Code </t>
  </si>
  <si>
    <t>Pay Stub</t>
  </si>
  <si>
    <r>
      <t xml:space="preserve">Spec. Comp </t>
    </r>
    <r>
      <rPr>
        <sz val="9"/>
        <color rgb="FFFF0000"/>
        <rFont val="Times New Roman"/>
        <family val="1"/>
      </rPr>
      <t>Hrs</t>
    </r>
    <r>
      <rPr>
        <sz val="9"/>
        <color theme="1"/>
        <rFont val="Times New Roman"/>
        <family val="1"/>
      </rPr>
      <t xml:space="preserve"> Code </t>
    </r>
  </si>
  <si>
    <r>
      <t xml:space="preserve">Vacation Pay Out </t>
    </r>
    <r>
      <rPr>
        <sz val="9"/>
        <color rgb="FFFF0000"/>
        <rFont val="Times New Roman"/>
        <family val="1"/>
      </rPr>
      <t>Hrs</t>
    </r>
  </si>
  <si>
    <t>YearlyTotal Paid</t>
  </si>
  <si>
    <t>Yearly Totals Hours</t>
  </si>
  <si>
    <t xml:space="preserve">Clothing, Glasses, &amp; Boots Allowances </t>
  </si>
  <si>
    <t>21, 22 &amp; 26</t>
  </si>
  <si>
    <t>Coop Assistance</t>
  </si>
  <si>
    <t>Adjustments</t>
  </si>
  <si>
    <t>Reimbursements</t>
  </si>
  <si>
    <t>Nov 2021 Raise $</t>
  </si>
  <si>
    <t>Nov 2021 Raise %</t>
  </si>
  <si>
    <t>Nov 2022 Raise $</t>
  </si>
  <si>
    <t>Nov 2022 Raise %</t>
  </si>
  <si>
    <t>Nov 2023 Raise $</t>
  </si>
  <si>
    <t>Nov 2023 Raise %</t>
  </si>
  <si>
    <t>Shelby Energy Cooperative, Inc.</t>
  </si>
  <si>
    <t>Case No. 2024-00351</t>
  </si>
  <si>
    <t>Non-Bargaining Employee Raise Information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</si>
  <si>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</si>
  <si>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</si>
  <si>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</si>
  <si>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</si>
  <si>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</si>
  <si>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</si>
  <si>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</si>
  <si>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</si>
  <si>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</si>
  <si>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</si>
  <si>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</si>
  <si>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</si>
  <si>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</si>
  <si>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</si>
  <si>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</si>
  <si>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</si>
  <si>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</si>
  <si>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</si>
  <si>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</si>
  <si>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</si>
  <si>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</si>
  <si>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</si>
  <si>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</si>
  <si>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</si>
  <si>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</si>
  <si>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</si>
  <si>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A.</t>
  </si>
  <si>
    <t>D.</t>
  </si>
  <si>
    <t>B.</t>
  </si>
  <si>
    <t>C.</t>
  </si>
  <si>
    <r>
      <t xml:space="preserve">C. </t>
    </r>
    <r>
      <rPr>
        <sz val="9"/>
        <rFont val="Arial"/>
        <family val="2"/>
      </rPr>
      <t>Received a 10% increase in January 2022, a 7% increase in April 2022, and 5% increase in August 2022 as part of a promotion to new position.</t>
    </r>
  </si>
  <si>
    <r>
      <t xml:space="preserve">A. </t>
    </r>
    <r>
      <rPr>
        <sz val="9"/>
        <rFont val="Arial"/>
        <family val="2"/>
      </rPr>
      <t>Received a 3% increase in January 2022, a 3% increase in April 2022, and 3% increase in August 2022 as part of a promotion to new position.</t>
    </r>
  </si>
  <si>
    <r>
      <t xml:space="preserve">B. </t>
    </r>
    <r>
      <rPr>
        <sz val="9"/>
        <rFont val="Arial"/>
        <family val="2"/>
      </rPr>
      <t>Received a 12% increase in January 2023 as part of a promotion to new position.</t>
    </r>
  </si>
  <si>
    <r>
      <t xml:space="preserve">D. </t>
    </r>
    <r>
      <rPr>
        <sz val="9"/>
        <rFont val="Arial"/>
        <family val="2"/>
      </rPr>
      <t>Received a 10% increase in May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</si>
</sst>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49" fontId="4" fillId="0" borderId="0" xfId="0" applyNumberFormat="1" applyFont="1" applyAlignment="1">
      <alignment vertical="top"/>
    </xf>
    <xf numFmtId="0" fontId="7" fillId="0" borderId="0" xfId="0" applyFont="1"/>
    <xf numFmtId="0" fontId="7" fillId="0" borderId="1" xfId="0" applyFont="1" applyBorder="1"/>
    <xf numFmtId="43" fontId="4" fillId="0" borderId="0" xfId="1" applyFont="1" applyAlignment="1">
      <alignment horizontal="right" vertical="top"/>
    </xf>
    <xf numFmtId="43" fontId="4" fillId="0" borderId="0" xfId="1" applyFont="1" applyAlignment="1">
      <alignment vertical="top"/>
    </xf>
    <xf numFmtId="43" fontId="7" fillId="0" borderId="0" xfId="1" applyFont="1"/>
    <xf numFmtId="49" fontId="4" fillId="0" borderId="1" xfId="0" applyNumberFormat="1" applyFont="1" applyBorder="1" applyAlignment="1">
      <alignment vertical="top"/>
    </xf>
    <xf numFmtId="49" fontId="6" fillId="2" borderId="0" xfId="0" applyNumberFormat="1" applyFont="1" applyFill="1" applyAlignment="1">
      <alignment horizontal="center"/>
    </xf>
    <xf numFmtId="0" fontId="7" fillId="2" borderId="0" xfId="0" applyFont="1" applyFill="1"/>
    <xf numFmtId="43" fontId="7" fillId="0" borderId="2" xfId="1" applyFont="1" applyBorder="1"/>
    <xf numFmtId="43" fontId="7" fillId="0" borderId="0" xfId="1" applyFont="1" applyBorder="1"/>
    <xf numFmtId="43" fontId="4" fillId="0" borderId="1" xfId="1" applyFont="1" applyBorder="1" applyAlignment="1">
      <alignment horizontal="right" vertical="top"/>
    </xf>
    <xf numFmtId="49" fontId="6" fillId="2" borderId="1" xfId="0" applyNumberFormat="1" applyFont="1" applyFill="1" applyBorder="1" applyAlignment="1">
      <alignment horizontal="right" vertical="top"/>
    </xf>
    <xf numFmtId="43" fontId="7" fillId="0" borderId="0" xfId="1" applyFont="1" applyFill="1" applyBorder="1"/>
    <xf numFmtId="43" fontId="7" fillId="2" borderId="0" xfId="1" applyFont="1" applyFill="1" applyBorder="1" applyAlignment="1">
      <alignment horizontal="center" wrapText="1"/>
    </xf>
    <xf numFmtId="43" fontId="7" fillId="2" borderId="2" xfId="1" applyFont="1" applyFill="1" applyBorder="1" applyAlignment="1">
      <alignment horizontal="center" wrapText="1"/>
    </xf>
    <xf numFmtId="43" fontId="7" fillId="3" borderId="2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vertical="top" wrapText="1"/>
    </xf>
    <xf numFmtId="43" fontId="7" fillId="0" borderId="0" xfId="1" applyFont="1" applyAlignment="1">
      <alignment horizontal="center"/>
    </xf>
    <xf numFmtId="43" fontId="7" fillId="0" borderId="1" xfId="1" applyFont="1" applyBorder="1"/>
    <xf numFmtId="43" fontId="7" fillId="0" borderId="3" xfId="1" applyFont="1" applyBorder="1"/>
    <xf numFmtId="43" fontId="7" fillId="2" borderId="0" xfId="1" applyFont="1" applyFill="1"/>
    <xf numFmtId="43" fontId="7" fillId="2" borderId="2" xfId="1" applyFont="1" applyFill="1" applyBorder="1"/>
    <xf numFmtId="0" fontId="7" fillId="3" borderId="0" xfId="1" applyNumberFormat="1" applyFont="1" applyFill="1" applyBorder="1" applyAlignment="1">
      <alignment horizontal="center" wrapText="1"/>
    </xf>
    <xf numFmtId="0" fontId="7" fillId="3" borderId="2" xfId="1" applyNumberFormat="1" applyFont="1" applyFill="1" applyBorder="1" applyAlignment="1">
      <alignment horizontal="center" wrapText="1"/>
    </xf>
    <xf numFmtId="0" fontId="7" fillId="2" borderId="3" xfId="1" applyNumberFormat="1" applyFont="1" applyFill="1" applyBorder="1" applyAlignment="1">
      <alignment horizontal="center" vertical="top" wrapText="1"/>
    </xf>
    <xf numFmtId="0" fontId="7" fillId="3" borderId="3" xfId="1" applyNumberFormat="1" applyFont="1" applyFill="1" applyBorder="1" applyAlignment="1">
      <alignment horizontal="center" vertical="top" wrapText="1"/>
    </xf>
    <xf numFmtId="43" fontId="7" fillId="3" borderId="0" xfId="1" applyFont="1" applyFill="1" applyAlignment="1">
      <alignment horizontal="center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3" borderId="2" xfId="1" applyFont="1" applyFill="1" applyBorder="1" applyAlignment="1">
      <alignment horizontal="center"/>
    </xf>
    <xf numFmtId="43" fontId="4" fillId="0" borderId="1" xfId="1" applyFont="1" applyBorder="1" applyAlignment="1">
      <alignment vertical="top"/>
    </xf>
    <xf numFmtId="0" fontId="7" fillId="2" borderId="1" xfId="0" applyFont="1" applyFill="1" applyBorder="1"/>
    <xf numFmtId="44" fontId="6" fillId="3" borderId="0" xfId="1" applyNumberFormat="1" applyFont="1" applyFill="1" applyBorder="1" applyAlignment="1">
      <alignment horizontal="center"/>
    </xf>
    <xf numFmtId="44" fontId="6" fillId="3" borderId="1" xfId="1" applyNumberFormat="1" applyFont="1" applyFill="1" applyBorder="1" applyAlignment="1">
      <alignment horizontal="center" vertical="top"/>
    </xf>
    <xf numFmtId="44" fontId="7" fillId="0" borderId="0" xfId="1" applyNumberFormat="1" applyFont="1" applyBorder="1" applyAlignment="1">
      <alignment horizontal="left"/>
    </xf>
    <xf numFmtId="44" fontId="4" fillId="0" borderId="1" xfId="1" applyNumberFormat="1" applyFont="1" applyBorder="1" applyAlignment="1">
      <alignment horizontal="left" vertical="top"/>
    </xf>
    <xf numFmtId="44" fontId="7" fillId="0" borderId="0" xfId="1" applyNumberFormat="1" applyFont="1"/>
    <xf numFmtId="43" fontId="7" fillId="0" borderId="4" xfId="1" applyFont="1" applyBorder="1" applyAlignment="1">
      <alignment horizontal="center"/>
    </xf>
    <xf numFmtId="43" fontId="7" fillId="0" borderId="5" xfId="1" applyFont="1" applyBorder="1" applyAlignment="1">
      <alignment horizontal="center"/>
    </xf>
    <xf numFmtId="43" fontId="7" fillId="0" borderId="6" xfId="1" applyFont="1" applyBorder="1" applyAlignment="1">
      <alignment horizontal="center"/>
    </xf>
    <xf numFmtId="43" fontId="7" fillId="3" borderId="5" xfId="1" applyFont="1" applyFill="1" applyBorder="1" applyAlignment="1">
      <alignment horizontal="center"/>
    </xf>
    <xf numFmtId="0" fontId="7" fillId="2" borderId="1" xfId="1" applyNumberFormat="1" applyFont="1" applyFill="1" applyBorder="1" applyAlignment="1">
      <alignment horizontal="center" vertical="top" wrapText="1"/>
    </xf>
    <xf numFmtId="0" fontId="7" fillId="3" borderId="1" xfId="1" applyNumberFormat="1" applyFont="1" applyFill="1" applyBorder="1" applyAlignment="1">
      <alignment horizontal="center" vertical="top" wrapText="1"/>
    </xf>
    <xf numFmtId="43" fontId="7" fillId="2" borderId="0" xfId="1" applyFont="1" applyFill="1" applyBorder="1"/>
    <xf numFmtId="43" fontId="7" fillId="0" borderId="0" xfId="1" applyFont="1" applyFill="1"/>
    <xf numFmtId="0" fontId="8" fillId="0" borderId="0" xfId="0" applyFont="1" applyAlignment="1">
      <alignment horizontal="right"/>
    </xf>
    <xf numFmtId="0" fontId="8" fillId="0" borderId="0" xfId="0" applyFont="1"/>
    <xf numFmtId="44" fontId="8" fillId="0" borderId="0" xfId="2" applyFont="1"/>
    <xf numFmtId="0" fontId="7" fillId="2" borderId="0" xfId="1" applyNumberFormat="1" applyFont="1" applyFill="1" applyBorder="1" applyAlignment="1">
      <alignment horizontal="center" vertical="top" wrapText="1"/>
    </xf>
    <xf numFmtId="43" fontId="7" fillId="0" borderId="7" xfId="1" applyFont="1" applyFill="1" applyBorder="1" applyAlignment="1">
      <alignment horizontal="center" wrapText="1"/>
    </xf>
    <xf numFmtId="0" fontId="7" fillId="0" borderId="7" xfId="1" applyNumberFormat="1" applyFont="1" applyFill="1" applyBorder="1" applyAlignment="1">
      <alignment horizontal="center" vertical="top" wrapText="1"/>
    </xf>
    <xf numFmtId="43" fontId="7" fillId="0" borderId="7" xfId="1" applyFont="1" applyFill="1" applyBorder="1"/>
    <xf numFmtId="44" fontId="4" fillId="0" borderId="0" xfId="1" applyNumberFormat="1" applyFont="1" applyBorder="1" applyAlignment="1">
      <alignment horizontal="left" vertical="top"/>
    </xf>
    <xf numFmtId="44" fontId="7" fillId="3" borderId="0" xfId="1" applyNumberFormat="1" applyFont="1" applyFill="1" applyBorder="1"/>
    <xf numFmtId="0" fontId="9" fillId="0" borderId="0" xfId="0" applyFont="1"/>
    <xf numFmtId="49" fontId="8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left"/>
    </xf>
    <xf numFmtId="10" fontId="8" fillId="0" borderId="0" xfId="3" applyNumberFormat="1" applyFont="1"/>
    <xf numFmtId="44" fontId="8" fillId="4" borderId="0" xfId="2" applyFont="1" applyFill="1"/>
    <xf numFmtId="10" fontId="8" fillId="4" borderId="0" xfId="3" applyNumberFormat="1" applyFont="1" applyFill="1"/>
    <xf numFmtId="0" fontId="9" fillId="0" borderId="1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8F939530-986C-44C7-9E2C-AA2DF7A084A3}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7F7BB-A80F-4CFE-811A-12D7BDE5F2E4}">
  <dimension ref="A1:H42"/>
  <sheetViews>
    <sheetView tabSelected="1" zoomScaleNormal="100" zoomScaleSheetLayoutView="85" workbookViewId="0">
      <selection activeCell="M12" sqref="M12"/>
    </sheetView>
  </sheetViews>
  <sheetFormatPr defaultColWidth="9.140625" defaultRowHeight="12" x14ac:dyDescent="0.2"/>
  <cols>
    <col min="1" max="1" width="3" style="49" bestFit="1" customWidth="1"/>
    <col min="2" max="7" width="18.42578125" style="50" customWidth="1"/>
    <col min="8" max="16384" width="9.140625" style="50"/>
  </cols>
  <sheetData>
    <row r="1" spans="1:8" x14ac:dyDescent="0.2">
      <c r="A1" s="60" t="s">
        <v>72</v>
      </c>
    </row>
    <row r="2" spans="1:8" x14ac:dyDescent="0.2">
      <c r="A2" s="60" t="s">
        <v>73</v>
      </c>
    </row>
    <row r="3" spans="1:8" x14ac:dyDescent="0.2">
      <c r="A3" s="60" t="s">
        <v>74</v>
      </c>
    </row>
    <row r="5" spans="1:8" x14ac:dyDescent="0.2">
      <c r="B5" s="64" t="s">
        <v>66</v>
      </c>
      <c r="C5" s="64" t="s">
        <v>67</v>
      </c>
      <c r="D5" s="64" t="s">
        <v>68</v>
      </c>
      <c r="E5" s="64" t="s">
        <v>69</v>
      </c>
      <c r="F5" s="64" t="s">
        <v>70</v>
      </c>
      <c r="G5" s="64" t="s">
        <v>71</v>
      </c>
    </row>
    <row r="6" spans="1:8" x14ac:dyDescent="0.2">
      <c r="A6" s="59" t="s">
        <v>75</v>
      </c>
      <c r="B6" s="51">
        <f>(91.84-87.47)*2080</f>
        <v>9089.6000000000095</v>
      </c>
      <c r="C6" s="61">
        <f>(91.84-87.47)/87.47</f>
        <v>4.9959986281010685E-2</v>
      </c>
      <c r="D6" s="51">
        <f>(96.432-91.84)*2080</f>
        <v>9551.3599999999969</v>
      </c>
      <c r="E6" s="61">
        <f>(96.432-91.84)/91.84</f>
        <v>4.9999999999999982E-2</v>
      </c>
      <c r="F6" s="51">
        <f>(106.075-96.432)*2080</f>
        <v>20057.440000000002</v>
      </c>
      <c r="G6" s="61">
        <f>(106.075-96.432)/96.432</f>
        <v>9.9997925999668169E-2</v>
      </c>
    </row>
    <row r="7" spans="1:8" x14ac:dyDescent="0.2">
      <c r="A7" s="59" t="s">
        <v>76</v>
      </c>
      <c r="B7" s="51">
        <f>(28.52-27.49)*2080</f>
        <v>2142.4000000000024</v>
      </c>
      <c r="C7" s="61">
        <f>(28.52-27.49)/27.49</f>
        <v>3.7468170243725035E-2</v>
      </c>
      <c r="D7" s="51">
        <f>(29.946-28.52)*2080</f>
        <v>2966.080000000004</v>
      </c>
      <c r="E7" s="61">
        <f>(29.946-28.52)/28.52</f>
        <v>5.0000000000000065E-2</v>
      </c>
      <c r="F7" s="51">
        <f>(32.446-29.946)*2080</f>
        <v>5199.9999999999927</v>
      </c>
      <c r="G7" s="61">
        <f>(32.446-29.946)/29.946</f>
        <v>8.3483603820209584E-2</v>
      </c>
    </row>
    <row r="8" spans="1:8" x14ac:dyDescent="0.2">
      <c r="A8" s="59" t="s">
        <v>77</v>
      </c>
      <c r="B8" s="62"/>
      <c r="C8" s="63"/>
      <c r="D8" s="62"/>
      <c r="E8" s="63"/>
      <c r="F8" s="51">
        <f>(47.957-45.674)*2080</f>
        <v>4748.6400000000031</v>
      </c>
      <c r="G8" s="61">
        <f>(47.957-45.674)/45.674</f>
        <v>4.9984673993957202E-2</v>
      </c>
    </row>
    <row r="9" spans="1:8" x14ac:dyDescent="0.2">
      <c r="A9" s="59" t="s">
        <v>78</v>
      </c>
      <c r="B9" s="51">
        <f>(24.11-23.24)*2080</f>
        <v>1809.6000000000022</v>
      </c>
      <c r="C9" s="61">
        <f>(24.11-23.24)/23.24</f>
        <v>3.7435456110154954E-2</v>
      </c>
      <c r="D9" s="51">
        <f>(28.521-27.163)*2080</f>
        <v>2824.6400000000012</v>
      </c>
      <c r="E9" s="61">
        <f>(28.521-27.163)/27.163</f>
        <v>4.9994477782277384E-2</v>
      </c>
      <c r="F9" s="51">
        <f>(30.809-28.521)*2080</f>
        <v>4759.0400000000009</v>
      </c>
      <c r="G9" s="61">
        <f>(30.809-28.521)/28.521</f>
        <v>8.0221591108306164E-2</v>
      </c>
    </row>
    <row r="10" spans="1:8" x14ac:dyDescent="0.2">
      <c r="A10" s="59" t="s">
        <v>79</v>
      </c>
      <c r="B10" s="51">
        <f>(54.26-51.78)*2080</f>
        <v>5158.3999999999933</v>
      </c>
      <c r="C10" s="61">
        <f>(54.26-51.78)/51.78</f>
        <v>4.7894940131324774E-2</v>
      </c>
      <c r="D10" s="51">
        <f>(60.927-58.584)*2080</f>
        <v>4873.4399999999923</v>
      </c>
      <c r="E10" s="61">
        <f>(60.927-58.584)/58.584</f>
        <v>3.9993854977468185E-2</v>
      </c>
      <c r="F10" s="51">
        <f>(63.973-60.927)*2080</f>
        <v>6335.6799999999985</v>
      </c>
      <c r="G10" s="61">
        <f>(63.973-60.927)/60.927</f>
        <v>4.9994255420421151E-2</v>
      </c>
      <c r="H10" s="58" t="s">
        <v>101</v>
      </c>
    </row>
    <row r="11" spans="1:8" x14ac:dyDescent="0.2">
      <c r="A11" s="59" t="s">
        <v>80</v>
      </c>
      <c r="B11" s="51">
        <f>(28.73-27.89)*2080</f>
        <v>1747.1999999999998</v>
      </c>
      <c r="C11" s="61">
        <f>(28.73-27.89)/27.89</f>
        <v>3.011832197920401E-2</v>
      </c>
      <c r="D11" s="51">
        <f>(29.879-28.73)*2080</f>
        <v>2389.9200000000019</v>
      </c>
      <c r="E11" s="61">
        <f>(29.879-28.73)/28.73</f>
        <v>3.9993038635572603E-2</v>
      </c>
      <c r="F11" s="51">
        <f>(31.675-29.879)*2080</f>
        <v>3735.6799999999985</v>
      </c>
      <c r="G11" s="61">
        <f>(31.675-29.879)/29.879</f>
        <v>6.0109106730479575E-2</v>
      </c>
      <c r="H11" s="58"/>
    </row>
    <row r="12" spans="1:8" x14ac:dyDescent="0.2">
      <c r="A12" s="59" t="s">
        <v>81</v>
      </c>
      <c r="B12" s="51">
        <f>(46.42-44.74)*2080</f>
        <v>3494.3999999999996</v>
      </c>
      <c r="C12" s="61">
        <f>(46.42-44.74)/44.74</f>
        <v>3.7550290567724624E-2</v>
      </c>
      <c r="D12" s="51">
        <f>(48.741-46.42)*2080</f>
        <v>4827.6799999999957</v>
      </c>
      <c r="E12" s="61">
        <f>(48.741-46.42)/46.42</f>
        <v>4.9999999999999954E-2</v>
      </c>
      <c r="F12" s="51">
        <f>(51.178-48.741)*2080</f>
        <v>5068.9599999999955</v>
      </c>
      <c r="G12" s="61">
        <f>(51.178-48.741)/48.741</f>
        <v>4.9998974169590232E-2</v>
      </c>
      <c r="H12" s="58"/>
    </row>
    <row r="13" spans="1:8" x14ac:dyDescent="0.2">
      <c r="A13" s="59" t="s">
        <v>82</v>
      </c>
      <c r="B13" s="51">
        <f>(22.59-21.77)*2080</f>
        <v>1705.6000000000006</v>
      </c>
      <c r="C13" s="61">
        <f>(22.59-21.77)/21.77</f>
        <v>3.7666513550757938E-2</v>
      </c>
      <c r="D13" s="51">
        <f>(23.72-22.59)*2080</f>
        <v>2350.3999999999978</v>
      </c>
      <c r="E13" s="61">
        <f>(23.72-22.59)/22.59</f>
        <v>5.0022133687472291E-2</v>
      </c>
      <c r="F13" s="51">
        <f>(27.56-26.5)*2080</f>
        <v>2204.7999999999975</v>
      </c>
      <c r="G13" s="61">
        <f>(27.56-26.5)/26.5</f>
        <v>3.9999999999999952E-2</v>
      </c>
      <c r="H13" s="58" t="s">
        <v>103</v>
      </c>
    </row>
    <row r="14" spans="1:8" x14ac:dyDescent="0.2">
      <c r="A14" s="59" t="s">
        <v>83</v>
      </c>
      <c r="B14" s="51">
        <f>(37.59-36.06)*2080</f>
        <v>3182.4000000000024</v>
      </c>
      <c r="C14" s="61">
        <f>(37.59-36.06)/36.06</f>
        <v>4.2429284525790381E-2</v>
      </c>
      <c r="D14" s="51">
        <f>(49.065-46.729)*2080</f>
        <v>4858.8799999999974</v>
      </c>
      <c r="E14" s="61">
        <f>(49.065-46.729)/46.729</f>
        <v>4.9990370005777968E-2</v>
      </c>
      <c r="F14" s="51">
        <f>(51.518-49.065)*2080</f>
        <v>5102.2400000000061</v>
      </c>
      <c r="G14" s="61">
        <f>(51.518-49.065)/49.065</f>
        <v>4.9994904718230981E-2</v>
      </c>
      <c r="H14" s="58" t="s">
        <v>104</v>
      </c>
    </row>
    <row r="15" spans="1:8" x14ac:dyDescent="0.2">
      <c r="A15" s="59" t="s">
        <v>84</v>
      </c>
      <c r="B15" s="62"/>
      <c r="C15" s="63"/>
      <c r="D15" s="51">
        <v>0</v>
      </c>
      <c r="E15" s="61">
        <v>0</v>
      </c>
      <c r="F15" s="51">
        <f>(71.375-52.885)*2080</f>
        <v>38459.200000000004</v>
      </c>
      <c r="G15" s="61">
        <f>(71.735-52.885)/52.885</f>
        <v>0.35643377139075355</v>
      </c>
      <c r="H15" s="58" t="s">
        <v>102</v>
      </c>
    </row>
    <row r="16" spans="1:8" x14ac:dyDescent="0.2">
      <c r="A16" s="59" t="s">
        <v>85</v>
      </c>
      <c r="B16" s="51">
        <f>(30.99-27.69)*2080</f>
        <v>6863.9999999999945</v>
      </c>
      <c r="C16" s="61">
        <f>(30.99-27.69)/27.69</f>
        <v>0.11917659804983738</v>
      </c>
      <c r="D16" s="51">
        <f>(32.965-30.99)*2080</f>
        <v>4108.00000000001</v>
      </c>
      <c r="E16" s="61">
        <f>(32.965-30.99)/30.99</f>
        <v>6.3730235559858184E-2</v>
      </c>
      <c r="F16" s="62"/>
      <c r="G16" s="63"/>
    </row>
    <row r="17" spans="1:7" x14ac:dyDescent="0.2">
      <c r="A17" s="59" t="s">
        <v>86</v>
      </c>
      <c r="B17" s="51">
        <f>(41.54-40.04)*2080</f>
        <v>3120</v>
      </c>
      <c r="C17" s="61">
        <f>(41.54-40.04)/40.04</f>
        <v>3.7462537462537464E-2</v>
      </c>
      <c r="D17" s="51">
        <f>(43.617-41.54)*2080</f>
        <v>4320.1599999999962</v>
      </c>
      <c r="E17" s="61">
        <f>(43.617-41.54)/41.54</f>
        <v>4.9999999999999954E-2</v>
      </c>
      <c r="F17" s="51">
        <f>(45.798-43.617)*2080</f>
        <v>4536.4800000000096</v>
      </c>
      <c r="G17" s="61">
        <f>(45.798-43.617)/43.617</f>
        <v>5.0003439026067922E-2</v>
      </c>
    </row>
    <row r="18" spans="1:7" x14ac:dyDescent="0.2">
      <c r="A18" s="59" t="s">
        <v>87</v>
      </c>
      <c r="B18" s="62"/>
      <c r="C18" s="63"/>
      <c r="D18" s="62"/>
      <c r="E18" s="63"/>
      <c r="F18" s="62"/>
      <c r="G18" s="63"/>
    </row>
    <row r="19" spans="1:7" x14ac:dyDescent="0.2">
      <c r="A19" s="59" t="s">
        <v>88</v>
      </c>
      <c r="B19" s="51">
        <f>(37.83-33.18)*2080</f>
        <v>9671.9999999999964</v>
      </c>
      <c r="C19" s="61">
        <f>(37.83-33.18)/33.18</f>
        <v>0.14014466546112112</v>
      </c>
      <c r="D19" s="51">
        <f>(40.626-37.83)*2080</f>
        <v>5815.6799999999985</v>
      </c>
      <c r="E19" s="61">
        <f>(40.626-37.83)/37.83</f>
        <v>7.3909595559080082E-2</v>
      </c>
      <c r="F19" s="51">
        <f>(43.419-40.626)*2080</f>
        <v>5809.4399999999987</v>
      </c>
      <c r="G19" s="61">
        <f>(43.419-40.626)/40.626</f>
        <v>6.8749076945798238E-2</v>
      </c>
    </row>
    <row r="20" spans="1:7" x14ac:dyDescent="0.2">
      <c r="A20" s="59" t="s">
        <v>89</v>
      </c>
      <c r="B20" s="51">
        <f>(35.77-34.73)*2080</f>
        <v>2163.200000000013</v>
      </c>
      <c r="C20" s="61">
        <f>(35.77-34.73)/34.73</f>
        <v>2.9945292254535166E-2</v>
      </c>
      <c r="D20" s="51">
        <f>(37.201-35.77)*2080</f>
        <v>2976.4799999999946</v>
      </c>
      <c r="E20" s="61">
        <f>(37.201-35.77)/35.77</f>
        <v>4.0005591277606854E-2</v>
      </c>
      <c r="F20" s="51">
        <f>(39.061-37.201)*2080</f>
        <v>3868.7999999999988</v>
      </c>
      <c r="G20" s="61">
        <f>F20/77378.08</f>
        <v>4.9998655950108849E-2</v>
      </c>
    </row>
    <row r="21" spans="1:7" x14ac:dyDescent="0.2">
      <c r="A21" s="59" t="s">
        <v>90</v>
      </c>
      <c r="B21" s="62"/>
      <c r="C21" s="63"/>
      <c r="D21" s="51">
        <f>(55-52.885)*2080</f>
        <v>4399.2000000000044</v>
      </c>
      <c r="E21" s="61">
        <f>D21/110000.8</f>
        <v>3.9992436418644264E-2</v>
      </c>
      <c r="F21" s="51">
        <f>(57.75-55)*2080</f>
        <v>5720</v>
      </c>
      <c r="G21" s="61">
        <f>F21/114400</f>
        <v>0.05</v>
      </c>
    </row>
    <row r="22" spans="1:7" x14ac:dyDescent="0.2">
      <c r="A22" s="59" t="s">
        <v>91</v>
      </c>
      <c r="B22" s="51">
        <f>(65.27-62.91)*2080</f>
        <v>4908.7999999999993</v>
      </c>
      <c r="C22" s="61">
        <f>B22/130852.8</f>
        <v>3.7513908758543948E-2</v>
      </c>
      <c r="D22" s="51">
        <f>(67.881-65.27)*2080</f>
        <v>5430.8800000000083</v>
      </c>
      <c r="E22" s="61">
        <f>D22/135761.6</f>
        <v>4.0003064194882851E-2</v>
      </c>
      <c r="F22" s="51">
        <f>(71.275-67.881)*2080</f>
        <v>7059.5200000000114</v>
      </c>
      <c r="G22" s="61">
        <f>F22/141192.48</f>
        <v>4.9999263416861936E-2</v>
      </c>
    </row>
    <row r="23" spans="1:7" x14ac:dyDescent="0.2">
      <c r="A23" s="59" t="s">
        <v>92</v>
      </c>
      <c r="B23" s="62"/>
      <c r="C23" s="63"/>
      <c r="D23" s="62"/>
      <c r="E23" s="63"/>
      <c r="F23" s="51">
        <f>(23.92-23)*2080</f>
        <v>1913.6000000000035</v>
      </c>
      <c r="G23" s="61">
        <f>F23/47840</f>
        <v>4.0000000000000077E-2</v>
      </c>
    </row>
    <row r="24" spans="1:7" x14ac:dyDescent="0.2">
      <c r="A24" s="59" t="s">
        <v>93</v>
      </c>
      <c r="B24" s="62"/>
      <c r="C24" s="63"/>
      <c r="D24" s="62"/>
      <c r="E24" s="63"/>
      <c r="F24" s="62"/>
      <c r="G24" s="63"/>
    </row>
    <row r="25" spans="1:7" x14ac:dyDescent="0.2">
      <c r="A25" s="59" t="s">
        <v>94</v>
      </c>
      <c r="B25" s="62"/>
      <c r="C25" s="63"/>
      <c r="D25" s="62"/>
      <c r="E25" s="63"/>
      <c r="F25" s="62"/>
      <c r="G25" s="63"/>
    </row>
    <row r="26" spans="1:7" x14ac:dyDescent="0.2">
      <c r="A26" s="59" t="s">
        <v>95</v>
      </c>
      <c r="B26" s="51">
        <f>(24.74-22.82)*2080</f>
        <v>3993.5999999999963</v>
      </c>
      <c r="C26" s="61">
        <f>B26/47465.6</f>
        <v>8.4136722173531908E-2</v>
      </c>
      <c r="D26" s="51">
        <f>(25.73-24.74)*2080</f>
        <v>2059.2000000000044</v>
      </c>
      <c r="E26" s="61">
        <f>D26/51459.2</f>
        <v>4.0016168148747054E-2</v>
      </c>
      <c r="F26" s="51">
        <f>(27.651-25.73)*2080</f>
        <v>3995.6799999999985</v>
      </c>
      <c r="G26" s="61">
        <f>F26/53518.4</f>
        <v>7.4659930042751621E-2</v>
      </c>
    </row>
    <row r="27" spans="1:7" x14ac:dyDescent="0.2">
      <c r="A27" s="59" t="s">
        <v>96</v>
      </c>
      <c r="B27" s="51">
        <f>(21.73-19.25)*2080</f>
        <v>5158.4000000000005</v>
      </c>
      <c r="C27" s="61">
        <f>B27/40040</f>
        <v>0.12883116883116885</v>
      </c>
      <c r="D27" s="51">
        <f>47005.92-45198.4</f>
        <v>1807.5199999999968</v>
      </c>
      <c r="E27" s="61">
        <f>D27/45198.4</f>
        <v>3.9990796134376366E-2</v>
      </c>
      <c r="F27" s="51">
        <f>49210.72-47005.92</f>
        <v>2204.8000000000029</v>
      </c>
      <c r="G27" s="61">
        <f>F27/47005.92</f>
        <v>4.6904730297800852E-2</v>
      </c>
    </row>
    <row r="28" spans="1:7" x14ac:dyDescent="0.2">
      <c r="A28" s="59" t="s">
        <v>97</v>
      </c>
      <c r="B28" s="51">
        <f>57616-55598.4</f>
        <v>2017.5999999999985</v>
      </c>
      <c r="C28" s="61">
        <f>B28/55598.4</f>
        <v>3.6288814066591818E-2</v>
      </c>
      <c r="D28" s="51">
        <f>61996.48-57616</f>
        <v>4380.4800000000032</v>
      </c>
      <c r="E28" s="61">
        <f>D28/57616</f>
        <v>7.6028880866426049E-2</v>
      </c>
      <c r="F28" s="51">
        <f>67335.84-61996.48</f>
        <v>5339.3599999999933</v>
      </c>
      <c r="G28" s="61">
        <f>F28/61996.48</f>
        <v>8.6123599275313586E-2</v>
      </c>
    </row>
    <row r="29" spans="1:7" x14ac:dyDescent="0.2">
      <c r="A29" s="59" t="s">
        <v>98</v>
      </c>
      <c r="B29" s="51">
        <f>46009.6-44137.6</f>
        <v>1872</v>
      </c>
      <c r="C29" s="61">
        <f>B29/44137.6</f>
        <v>4.2412818096135722E-2</v>
      </c>
      <c r="D29" s="51">
        <f>(23-22.12)*2080</f>
        <v>1830.3999999999978</v>
      </c>
      <c r="E29" s="61">
        <f>(23-22.12)/22.12</f>
        <v>3.9783001808318216E-2</v>
      </c>
      <c r="F29" s="51">
        <f>(23.92-23)*2080</f>
        <v>1913.6000000000035</v>
      </c>
      <c r="G29" s="61">
        <f>0.92/23</f>
        <v>0.04</v>
      </c>
    </row>
    <row r="30" spans="1:7" x14ac:dyDescent="0.2">
      <c r="A30" s="59" t="s">
        <v>99</v>
      </c>
      <c r="B30" s="62"/>
      <c r="C30" s="63"/>
      <c r="D30" s="62"/>
      <c r="E30" s="63"/>
      <c r="F30" s="51">
        <f>(37.44-36)*2080</f>
        <v>2995.1999999999953</v>
      </c>
      <c r="G30" s="61">
        <f>(37.44-36)/36</f>
        <v>3.9999999999999938E-2</v>
      </c>
    </row>
    <row r="31" spans="1:7" x14ac:dyDescent="0.2">
      <c r="A31" s="59" t="s">
        <v>100</v>
      </c>
      <c r="B31" s="62"/>
      <c r="C31" s="63"/>
      <c r="D31" s="62"/>
      <c r="E31" s="63"/>
      <c r="F31" s="62"/>
      <c r="G31" s="63"/>
    </row>
    <row r="32" spans="1:7" x14ac:dyDescent="0.2">
      <c r="A32" s="49">
        <v>27</v>
      </c>
      <c r="B32" s="51">
        <f>52457.6-50564.8</f>
        <v>1892.7999999999956</v>
      </c>
      <c r="C32" s="61">
        <f>B32/50564.8</f>
        <v>3.7433155080213817E-2</v>
      </c>
      <c r="D32" s="51">
        <f>57699.2-52457.6</f>
        <v>5241.5999999999985</v>
      </c>
      <c r="E32" s="61">
        <f>D32/52457.6</f>
        <v>9.9920697858842167E-2</v>
      </c>
      <c r="F32" s="62"/>
      <c r="G32" s="63"/>
    </row>
    <row r="33" spans="1:7" x14ac:dyDescent="0.2">
      <c r="A33" s="49">
        <v>28</v>
      </c>
      <c r="B33" s="51">
        <f>45531.2-41683.2</f>
        <v>3848</v>
      </c>
      <c r="C33" s="61">
        <f>B33/41683.2</f>
        <v>9.2315369261477057E-2</v>
      </c>
      <c r="D33" s="62"/>
      <c r="E33" s="63"/>
      <c r="F33" s="62"/>
      <c r="G33" s="63"/>
    </row>
    <row r="34" spans="1:7" x14ac:dyDescent="0.2">
      <c r="A34" s="49">
        <v>29</v>
      </c>
      <c r="B34" s="51">
        <f>110198.4-106995.2</f>
        <v>3203.1999999999971</v>
      </c>
      <c r="C34" s="61">
        <f>B34/106995.2</f>
        <v>2.9937791601866225E-2</v>
      </c>
      <c r="D34" s="62"/>
      <c r="E34" s="63"/>
      <c r="F34" s="62"/>
      <c r="G34" s="63"/>
    </row>
    <row r="36" spans="1:7" x14ac:dyDescent="0.2">
      <c r="A36" s="60" t="s">
        <v>106</v>
      </c>
      <c r="B36" s="49"/>
    </row>
    <row r="37" spans="1:7" x14ac:dyDescent="0.2">
      <c r="B37" s="49"/>
    </row>
    <row r="38" spans="1:7" x14ac:dyDescent="0.2">
      <c r="A38" s="60" t="s">
        <v>107</v>
      </c>
      <c r="B38" s="49"/>
    </row>
    <row r="39" spans="1:7" x14ac:dyDescent="0.2">
      <c r="B39" s="49"/>
    </row>
    <row r="40" spans="1:7" x14ac:dyDescent="0.2">
      <c r="A40" s="60" t="s">
        <v>105</v>
      </c>
      <c r="B40" s="49"/>
    </row>
    <row r="41" spans="1:7" x14ac:dyDescent="0.2">
      <c r="B41" s="49"/>
    </row>
    <row r="42" spans="1:7" x14ac:dyDescent="0.2">
      <c r="A42" s="60" t="s">
        <v>108</v>
      </c>
      <c r="B42" s="49"/>
    </row>
  </sheetData>
  <phoneticPr fontId="3" type="noConversion"/>
  <printOptions horizontalCentered="1"/>
  <pageMargins left="0.25" right="0.25" top="0.5" bottom="0.5" header="0.25" footer="0.25"/>
  <pageSetup scale="71" fitToHeight="3" orientation="landscape" r:id="rId1"/>
  <headerFooter alignWithMargins="0">
    <oddFooter>&amp;RExhibit JW-2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04A00-6C67-48E7-8D40-837CA2370A82}">
  <dimension ref="A1:S4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:F6"/>
    </sheetView>
  </sheetViews>
  <sheetFormatPr defaultColWidth="9.140625" defaultRowHeight="12" x14ac:dyDescent="0.2"/>
  <cols>
    <col min="1" max="1" width="5.42578125" style="2" bestFit="1" customWidth="1"/>
    <col min="2" max="2" width="21.85546875" style="2" bestFit="1" customWidth="1"/>
    <col min="3" max="5" width="9" style="6" bestFit="1" customWidth="1"/>
    <col min="6" max="6" width="10.7109375" style="6" customWidth="1"/>
    <col min="7" max="8" width="8.7109375" style="6" customWidth="1"/>
    <col min="9" max="9" width="12" style="6" bestFit="1" customWidth="1"/>
    <col min="10" max="12" width="10.7109375" style="6" customWidth="1"/>
    <col min="13" max="13" width="11.85546875" style="6" customWidth="1"/>
    <col min="14" max="14" width="10.7109375" style="6" customWidth="1"/>
    <col min="15" max="15" width="1.5703125" style="11" customWidth="1"/>
    <col min="16" max="16" width="21.85546875" style="40" bestFit="1" customWidth="1"/>
    <col min="17" max="19" width="9.28515625" style="19" bestFit="1" customWidth="1"/>
    <col min="20" max="16384" width="9.140625" style="2"/>
  </cols>
  <sheetData>
    <row r="1" spans="1:19" ht="48" x14ac:dyDescent="0.2">
      <c r="A1" s="9"/>
      <c r="B1" s="8" t="s">
        <v>45</v>
      </c>
      <c r="C1" s="15" t="s">
        <v>42</v>
      </c>
      <c r="D1" s="15" t="s">
        <v>43</v>
      </c>
      <c r="E1" s="15" t="s">
        <v>44</v>
      </c>
      <c r="F1" s="15" t="s">
        <v>61</v>
      </c>
      <c r="G1" s="15" t="s">
        <v>46</v>
      </c>
      <c r="H1" s="15" t="s">
        <v>54</v>
      </c>
      <c r="I1" s="15" t="s">
        <v>55</v>
      </c>
      <c r="J1" s="15" t="s">
        <v>63</v>
      </c>
      <c r="K1" s="15" t="s">
        <v>48</v>
      </c>
      <c r="L1" s="16" t="s">
        <v>64</v>
      </c>
      <c r="M1" s="15" t="s">
        <v>65</v>
      </c>
      <c r="N1" s="15" t="s">
        <v>59</v>
      </c>
      <c r="O1" s="53"/>
      <c r="P1" s="36" t="s">
        <v>45</v>
      </c>
      <c r="Q1" s="24" t="s">
        <v>57</v>
      </c>
      <c r="R1" s="25" t="s">
        <v>58</v>
      </c>
      <c r="S1" s="17" t="s">
        <v>60</v>
      </c>
    </row>
    <row r="2" spans="1:19" ht="13.5" customHeight="1" x14ac:dyDescent="0.2">
      <c r="A2" s="35"/>
      <c r="B2" s="13" t="s">
        <v>50</v>
      </c>
      <c r="C2" s="18" t="s">
        <v>51</v>
      </c>
      <c r="D2" s="45">
        <v>9</v>
      </c>
      <c r="E2" s="45">
        <v>8</v>
      </c>
      <c r="F2" s="45" t="s">
        <v>62</v>
      </c>
      <c r="G2" s="45">
        <v>19</v>
      </c>
      <c r="H2" s="45" t="s">
        <v>52</v>
      </c>
      <c r="I2" s="45" t="s">
        <v>53</v>
      </c>
      <c r="J2" s="45">
        <v>23</v>
      </c>
      <c r="K2" s="52" t="s">
        <v>56</v>
      </c>
      <c r="L2" s="26">
        <v>24</v>
      </c>
      <c r="M2" s="45"/>
      <c r="N2" s="45"/>
      <c r="O2" s="54"/>
      <c r="P2" s="37" t="s">
        <v>50</v>
      </c>
      <c r="Q2" s="46" t="s">
        <v>53</v>
      </c>
      <c r="R2" s="27" t="s">
        <v>56</v>
      </c>
      <c r="S2" s="27"/>
    </row>
    <row r="3" spans="1:19" x14ac:dyDescent="0.2">
      <c r="A3" s="2">
        <v>210</v>
      </c>
      <c r="B3" s="1" t="s">
        <v>17</v>
      </c>
      <c r="C3" s="4">
        <v>1020</v>
      </c>
      <c r="D3" s="4"/>
      <c r="E3" s="5"/>
      <c r="F3" s="48">
        <f>2*250</f>
        <v>500</v>
      </c>
      <c r="K3" s="11"/>
      <c r="L3" s="10">
        <v>113.5</v>
      </c>
      <c r="M3" s="11"/>
      <c r="N3" s="11">
        <f>SUM(C3:M3)</f>
        <v>1633.5</v>
      </c>
      <c r="O3" s="55"/>
      <c r="P3" s="56" t="s">
        <v>17</v>
      </c>
      <c r="R3" s="31"/>
      <c r="S3" s="41">
        <f>SUM(Q3:R3)</f>
        <v>0</v>
      </c>
    </row>
    <row r="4" spans="1:19" x14ac:dyDescent="0.2">
      <c r="A4" s="2">
        <v>212</v>
      </c>
      <c r="B4" s="1" t="s">
        <v>18</v>
      </c>
      <c r="C4" s="4"/>
      <c r="D4" s="4"/>
      <c r="E4" s="5"/>
      <c r="F4" s="48"/>
      <c r="K4" s="11"/>
      <c r="L4" s="10"/>
      <c r="M4" s="11"/>
      <c r="N4" s="11">
        <f t="shared" ref="N4:N45" si="0">SUM(C4:M4)</f>
        <v>0</v>
      </c>
      <c r="O4" s="55"/>
      <c r="P4" s="56" t="s">
        <v>18</v>
      </c>
      <c r="R4" s="31"/>
      <c r="S4" s="42">
        <f>SUM(Q4:R4)</f>
        <v>0</v>
      </c>
    </row>
    <row r="5" spans="1:19" x14ac:dyDescent="0.2">
      <c r="A5" s="2">
        <v>215</v>
      </c>
      <c r="B5" s="1" t="s">
        <v>0</v>
      </c>
      <c r="C5" s="4">
        <v>1302.8399999999999</v>
      </c>
      <c r="D5" s="4"/>
      <c r="E5" s="5"/>
      <c r="F5" s="48"/>
      <c r="G5" s="6">
        <v>6600</v>
      </c>
      <c r="K5" s="11"/>
      <c r="L5" s="10"/>
      <c r="M5" s="11"/>
      <c r="N5" s="11">
        <f t="shared" si="0"/>
        <v>7902.84</v>
      </c>
      <c r="O5" s="55"/>
      <c r="P5" s="56" t="s">
        <v>0</v>
      </c>
      <c r="R5" s="31"/>
      <c r="S5" s="42">
        <f t="shared" ref="S5:S44" si="1">SUM(Q5:R5)</f>
        <v>0</v>
      </c>
    </row>
    <row r="6" spans="1:19" x14ac:dyDescent="0.2">
      <c r="A6" s="2">
        <v>315</v>
      </c>
      <c r="B6" s="1" t="s">
        <v>19</v>
      </c>
      <c r="C6" s="4">
        <v>1020</v>
      </c>
      <c r="D6" s="4"/>
      <c r="E6" s="5"/>
      <c r="F6" s="48">
        <f>2*250</f>
        <v>500</v>
      </c>
      <c r="K6" s="11"/>
      <c r="L6" s="10"/>
      <c r="M6" s="11">
        <v>157.94</v>
      </c>
      <c r="N6" s="11">
        <f t="shared" si="0"/>
        <v>1677.94</v>
      </c>
      <c r="O6" s="55"/>
      <c r="P6" s="56" t="s">
        <v>19</v>
      </c>
      <c r="R6" s="31"/>
      <c r="S6" s="42">
        <f t="shared" si="1"/>
        <v>0</v>
      </c>
    </row>
    <row r="7" spans="1:19" x14ac:dyDescent="0.2">
      <c r="A7" s="2">
        <v>317</v>
      </c>
      <c r="B7" s="1" t="s">
        <v>20</v>
      </c>
      <c r="C7" s="4">
        <v>1020</v>
      </c>
      <c r="D7" s="4"/>
      <c r="E7" s="5"/>
      <c r="F7" s="48">
        <f>2*250</f>
        <v>500</v>
      </c>
      <c r="K7" s="11"/>
      <c r="L7" s="10"/>
      <c r="M7" s="11"/>
      <c r="N7" s="11">
        <f t="shared" si="0"/>
        <v>1520</v>
      </c>
      <c r="O7" s="55"/>
      <c r="P7" s="56" t="s">
        <v>20</v>
      </c>
      <c r="R7" s="31"/>
      <c r="S7" s="42">
        <f t="shared" si="1"/>
        <v>0</v>
      </c>
    </row>
    <row r="8" spans="1:19" x14ac:dyDescent="0.2">
      <c r="A8" s="2">
        <v>333</v>
      </c>
      <c r="B8" s="1" t="s">
        <v>21</v>
      </c>
      <c r="C8" s="4"/>
      <c r="D8" s="4">
        <v>1669.5</v>
      </c>
      <c r="E8" s="5"/>
      <c r="F8" s="48"/>
      <c r="K8" s="11"/>
      <c r="L8" s="10"/>
      <c r="M8" s="11"/>
      <c r="N8" s="11">
        <f t="shared" si="0"/>
        <v>1669.5</v>
      </c>
      <c r="O8" s="55"/>
      <c r="P8" s="56" t="s">
        <v>21</v>
      </c>
      <c r="R8" s="31"/>
      <c r="S8" s="42">
        <f t="shared" si="1"/>
        <v>0</v>
      </c>
    </row>
    <row r="9" spans="1:19" x14ac:dyDescent="0.2">
      <c r="A9" s="2">
        <v>345</v>
      </c>
      <c r="B9" s="1" t="s">
        <v>22</v>
      </c>
      <c r="C9" s="4"/>
      <c r="D9" s="4"/>
      <c r="E9" s="5"/>
      <c r="F9" s="48"/>
      <c r="K9" s="11"/>
      <c r="L9" s="10"/>
      <c r="M9" s="11"/>
      <c r="N9" s="11">
        <f t="shared" si="0"/>
        <v>0</v>
      </c>
      <c r="O9" s="55"/>
      <c r="P9" s="56" t="str">
        <f>B9</f>
        <v>RACENE CURTSINGER</v>
      </c>
      <c r="R9" s="31"/>
      <c r="S9" s="42">
        <f t="shared" si="1"/>
        <v>0</v>
      </c>
    </row>
    <row r="10" spans="1:19" x14ac:dyDescent="0.2">
      <c r="A10" s="2">
        <v>403</v>
      </c>
      <c r="B10" s="1" t="s">
        <v>1</v>
      </c>
      <c r="C10" s="4">
        <v>217.14</v>
      </c>
      <c r="D10" s="4"/>
      <c r="E10" s="5"/>
      <c r="F10" s="48"/>
      <c r="K10" s="11">
        <v>1297.8399999999999</v>
      </c>
      <c r="L10" s="10"/>
      <c r="M10" s="11">
        <v>65.260000000000005</v>
      </c>
      <c r="N10" s="11">
        <f t="shared" si="0"/>
        <v>1580.24</v>
      </c>
      <c r="O10" s="55"/>
      <c r="P10" s="56" t="s">
        <v>1</v>
      </c>
      <c r="R10" s="31">
        <v>40</v>
      </c>
      <c r="S10" s="42">
        <f t="shared" si="1"/>
        <v>40</v>
      </c>
    </row>
    <row r="11" spans="1:19" x14ac:dyDescent="0.2">
      <c r="A11" s="2">
        <v>404</v>
      </c>
      <c r="B11" s="1" t="s">
        <v>2</v>
      </c>
      <c r="C11" s="4">
        <v>1302.8399999999999</v>
      </c>
      <c r="D11" s="4">
        <v>3339</v>
      </c>
      <c r="E11" s="5"/>
      <c r="F11" s="48"/>
      <c r="K11" s="11"/>
      <c r="L11" s="10"/>
      <c r="M11" s="11">
        <f>730.8+132.45</f>
        <v>863.25</v>
      </c>
      <c r="N11" s="11">
        <f t="shared" si="0"/>
        <v>5505.09</v>
      </c>
      <c r="O11" s="55"/>
      <c r="P11" s="56" t="s">
        <v>2</v>
      </c>
      <c r="R11" s="31"/>
      <c r="S11" s="42">
        <f t="shared" si="1"/>
        <v>0</v>
      </c>
    </row>
    <row r="12" spans="1:19" x14ac:dyDescent="0.2">
      <c r="A12" s="2">
        <v>406</v>
      </c>
      <c r="B12" s="1" t="s">
        <v>3</v>
      </c>
      <c r="C12" s="4">
        <v>1302.8399999999999</v>
      </c>
      <c r="D12" s="4"/>
      <c r="E12" s="5">
        <v>5192.37</v>
      </c>
      <c r="F12" s="48"/>
      <c r="I12" s="6">
        <v>1668.47</v>
      </c>
      <c r="K12" s="11"/>
      <c r="L12" s="10"/>
      <c r="M12" s="11"/>
      <c r="N12" s="11">
        <f t="shared" si="0"/>
        <v>8163.68</v>
      </c>
      <c r="O12" s="55"/>
      <c r="P12" s="56" t="s">
        <v>3</v>
      </c>
      <c r="Q12" s="19">
        <v>58.5</v>
      </c>
      <c r="R12" s="31"/>
      <c r="S12" s="42">
        <f t="shared" si="1"/>
        <v>58.5</v>
      </c>
    </row>
    <row r="13" spans="1:19" x14ac:dyDescent="0.2">
      <c r="A13" s="2">
        <v>704</v>
      </c>
      <c r="B13" s="1" t="s">
        <v>23</v>
      </c>
      <c r="C13" s="4">
        <v>1020</v>
      </c>
      <c r="D13" s="4"/>
      <c r="E13" s="5"/>
      <c r="F13" s="48">
        <f>2*250</f>
        <v>500</v>
      </c>
      <c r="K13" s="11"/>
      <c r="L13" s="10"/>
      <c r="M13" s="11"/>
      <c r="N13" s="11">
        <f t="shared" si="0"/>
        <v>1520</v>
      </c>
      <c r="O13" s="55"/>
      <c r="P13" s="56" t="s">
        <v>23</v>
      </c>
      <c r="R13" s="31"/>
      <c r="S13" s="42">
        <f t="shared" si="1"/>
        <v>0</v>
      </c>
    </row>
    <row r="14" spans="1:19" x14ac:dyDescent="0.2">
      <c r="A14" s="2">
        <v>706</v>
      </c>
      <c r="B14" s="1" t="s">
        <v>4</v>
      </c>
      <c r="C14" s="4">
        <v>1302.8399999999999</v>
      </c>
      <c r="D14" s="4"/>
      <c r="E14" s="5">
        <v>5192.37</v>
      </c>
      <c r="F14" s="48">
        <f>2*650</f>
        <v>1300</v>
      </c>
      <c r="I14" s="6">
        <v>5422.51</v>
      </c>
      <c r="K14" s="11"/>
      <c r="L14" s="10"/>
      <c r="M14" s="11"/>
      <c r="N14" s="11">
        <f t="shared" si="0"/>
        <v>13217.720000000001</v>
      </c>
      <c r="O14" s="55"/>
      <c r="P14" s="56" t="s">
        <v>4</v>
      </c>
      <c r="Q14" s="19">
        <v>89</v>
      </c>
      <c r="R14" s="31"/>
      <c r="S14" s="42">
        <f t="shared" si="1"/>
        <v>89</v>
      </c>
    </row>
    <row r="15" spans="1:19" x14ac:dyDescent="0.2">
      <c r="A15" s="2">
        <v>708</v>
      </c>
      <c r="B15" s="1" t="s">
        <v>5</v>
      </c>
      <c r="C15" s="4">
        <v>1302.8399999999999</v>
      </c>
      <c r="D15" s="4"/>
      <c r="E15" s="5">
        <v>5192.37</v>
      </c>
      <c r="F15" s="48"/>
      <c r="I15" s="6">
        <v>522.88</v>
      </c>
      <c r="K15" s="11">
        <v>1267</v>
      </c>
      <c r="L15" s="10"/>
      <c r="M15" s="11"/>
      <c r="N15" s="11">
        <f t="shared" si="0"/>
        <v>8285.09</v>
      </c>
      <c r="O15" s="55"/>
      <c r="P15" s="56" t="s">
        <v>5</v>
      </c>
      <c r="Q15" s="19">
        <v>17.5</v>
      </c>
      <c r="R15" s="31">
        <v>40</v>
      </c>
      <c r="S15" s="42">
        <f t="shared" si="1"/>
        <v>57.5</v>
      </c>
    </row>
    <row r="16" spans="1:19" x14ac:dyDescent="0.2">
      <c r="A16" s="2">
        <v>709</v>
      </c>
      <c r="B16" s="1" t="s">
        <v>6</v>
      </c>
      <c r="C16" s="4">
        <v>1302.8399999999999</v>
      </c>
      <c r="D16" s="4">
        <v>3339</v>
      </c>
      <c r="E16" s="5">
        <v>5192.37</v>
      </c>
      <c r="F16" s="48">
        <f>2*650</f>
        <v>1300</v>
      </c>
      <c r="K16" s="11"/>
      <c r="L16" s="10"/>
      <c r="M16" s="11">
        <v>168.54</v>
      </c>
      <c r="N16" s="11">
        <f t="shared" si="0"/>
        <v>11302.75</v>
      </c>
      <c r="O16" s="55"/>
      <c r="P16" s="56" t="s">
        <v>6</v>
      </c>
      <c r="R16" s="31"/>
      <c r="S16" s="42">
        <f t="shared" si="1"/>
        <v>0</v>
      </c>
    </row>
    <row r="17" spans="1:19" x14ac:dyDescent="0.2">
      <c r="A17" s="2">
        <v>710</v>
      </c>
      <c r="B17" s="1" t="s">
        <v>7</v>
      </c>
      <c r="C17" s="4">
        <v>1302.8399999999999</v>
      </c>
      <c r="D17" s="4"/>
      <c r="E17" s="5">
        <v>5192.37</v>
      </c>
      <c r="F17" s="48">
        <f>2*650</f>
        <v>1300</v>
      </c>
      <c r="I17" s="6">
        <v>1535.35</v>
      </c>
      <c r="K17" s="11"/>
      <c r="L17" s="10"/>
      <c r="M17" s="11"/>
      <c r="N17" s="11">
        <f t="shared" si="0"/>
        <v>9330.56</v>
      </c>
      <c r="O17" s="55"/>
      <c r="P17" s="56" t="s">
        <v>7</v>
      </c>
      <c r="Q17" s="19">
        <v>31.5</v>
      </c>
      <c r="R17" s="31"/>
      <c r="S17" s="42">
        <f t="shared" si="1"/>
        <v>31.5</v>
      </c>
    </row>
    <row r="18" spans="1:19" x14ac:dyDescent="0.2">
      <c r="A18" s="2">
        <v>804</v>
      </c>
      <c r="B18" s="1" t="s">
        <v>24</v>
      </c>
      <c r="C18" s="4">
        <v>217.14</v>
      </c>
      <c r="D18" s="4"/>
      <c r="E18" s="5"/>
      <c r="F18" s="48"/>
      <c r="K18" s="11"/>
      <c r="L18" s="10"/>
      <c r="M18" s="11"/>
      <c r="N18" s="11">
        <f t="shared" si="0"/>
        <v>217.14</v>
      </c>
      <c r="O18" s="55"/>
      <c r="P18" s="56" t="s">
        <v>24</v>
      </c>
      <c r="R18" s="31"/>
      <c r="S18" s="42">
        <f t="shared" si="1"/>
        <v>0</v>
      </c>
    </row>
    <row r="19" spans="1:19" x14ac:dyDescent="0.2">
      <c r="A19" s="2">
        <v>1201</v>
      </c>
      <c r="B19" s="1" t="s">
        <v>8</v>
      </c>
      <c r="C19" s="4"/>
      <c r="D19" s="4">
        <v>3339</v>
      </c>
      <c r="E19" s="5"/>
      <c r="F19" s="48"/>
      <c r="K19" s="11"/>
      <c r="L19" s="10"/>
      <c r="M19" s="11">
        <f>296.34+180.79</f>
        <v>477.13</v>
      </c>
      <c r="N19" s="11">
        <f t="shared" si="0"/>
        <v>3816.13</v>
      </c>
      <c r="O19" s="55"/>
      <c r="P19" s="56" t="s">
        <v>8</v>
      </c>
      <c r="R19" s="31"/>
      <c r="S19" s="42">
        <f t="shared" si="1"/>
        <v>0</v>
      </c>
    </row>
    <row r="20" spans="1:19" x14ac:dyDescent="0.2">
      <c r="A20" s="2">
        <v>1203</v>
      </c>
      <c r="B20" s="1" t="s">
        <v>25</v>
      </c>
      <c r="C20" s="4">
        <v>1020</v>
      </c>
      <c r="D20" s="4"/>
      <c r="E20" s="5"/>
      <c r="F20" s="48">
        <f>2*250</f>
        <v>500</v>
      </c>
      <c r="K20" s="11"/>
      <c r="L20" s="10"/>
      <c r="M20" s="11">
        <v>334.96</v>
      </c>
      <c r="N20" s="11">
        <f t="shared" si="0"/>
        <v>1854.96</v>
      </c>
      <c r="O20" s="55"/>
      <c r="P20" s="56" t="s">
        <v>25</v>
      </c>
      <c r="R20" s="31"/>
      <c r="S20" s="42">
        <f t="shared" si="1"/>
        <v>0</v>
      </c>
    </row>
    <row r="21" spans="1:19" x14ac:dyDescent="0.2">
      <c r="A21" s="2">
        <v>1302</v>
      </c>
      <c r="B21" s="1" t="s">
        <v>9</v>
      </c>
      <c r="C21" s="4">
        <v>1194.27</v>
      </c>
      <c r="D21" s="4"/>
      <c r="E21" s="5">
        <v>4807.75</v>
      </c>
      <c r="F21" s="48">
        <v>650</v>
      </c>
      <c r="I21" s="6">
        <v>3164.7</v>
      </c>
      <c r="K21" s="11"/>
      <c r="L21" s="10"/>
      <c r="M21" s="11">
        <v>-110.42</v>
      </c>
      <c r="N21" s="11">
        <f t="shared" si="0"/>
        <v>9706.3000000000011</v>
      </c>
      <c r="O21" s="55"/>
      <c r="P21" s="56" t="s">
        <v>9</v>
      </c>
      <c r="Q21" s="19">
        <v>64.5</v>
      </c>
      <c r="R21" s="31"/>
      <c r="S21" s="42">
        <f t="shared" si="1"/>
        <v>64.5</v>
      </c>
    </row>
    <row r="22" spans="1:19" x14ac:dyDescent="0.2">
      <c r="A22" s="2">
        <v>1308</v>
      </c>
      <c r="B22" s="1" t="s">
        <v>26</v>
      </c>
      <c r="C22" s="4">
        <v>217.14</v>
      </c>
      <c r="D22" s="4"/>
      <c r="E22" s="5"/>
      <c r="F22" s="48"/>
      <c r="K22" s="11"/>
      <c r="L22" s="10"/>
      <c r="M22" s="11">
        <v>30.13</v>
      </c>
      <c r="N22" s="11">
        <f t="shared" si="0"/>
        <v>247.26999999999998</v>
      </c>
      <c r="O22" s="55"/>
      <c r="P22" s="56" t="s">
        <v>26</v>
      </c>
      <c r="R22" s="31"/>
      <c r="S22" s="42">
        <f t="shared" si="1"/>
        <v>0</v>
      </c>
    </row>
    <row r="23" spans="1:19" x14ac:dyDescent="0.2">
      <c r="A23" s="2">
        <v>1310</v>
      </c>
      <c r="B23" s="1" t="s">
        <v>27</v>
      </c>
      <c r="C23" s="4">
        <v>1020</v>
      </c>
      <c r="D23" s="4"/>
      <c r="E23" s="5"/>
      <c r="F23" s="48">
        <f>250*2</f>
        <v>500</v>
      </c>
      <c r="K23" s="11"/>
      <c r="L23" s="10"/>
      <c r="M23" s="11">
        <v>575.64</v>
      </c>
      <c r="N23" s="11">
        <f t="shared" si="0"/>
        <v>2095.64</v>
      </c>
      <c r="O23" s="55"/>
      <c r="P23" s="56" t="s">
        <v>27</v>
      </c>
      <c r="R23" s="31"/>
      <c r="S23" s="42">
        <f t="shared" si="1"/>
        <v>0</v>
      </c>
    </row>
    <row r="24" spans="1:19" x14ac:dyDescent="0.2">
      <c r="A24" s="2">
        <v>1312</v>
      </c>
      <c r="B24" s="1" t="s">
        <v>10</v>
      </c>
      <c r="C24" s="4">
        <v>1302.8399999999999</v>
      </c>
      <c r="D24" s="4"/>
      <c r="E24" s="5"/>
      <c r="F24" s="48"/>
      <c r="K24" s="11"/>
      <c r="L24" s="10"/>
      <c r="M24" s="11"/>
      <c r="N24" s="11">
        <f t="shared" si="0"/>
        <v>1302.8399999999999</v>
      </c>
      <c r="O24" s="55"/>
      <c r="P24" s="56" t="s">
        <v>10</v>
      </c>
      <c r="R24" s="31"/>
      <c r="S24" s="42">
        <f t="shared" si="1"/>
        <v>0</v>
      </c>
    </row>
    <row r="25" spans="1:19" x14ac:dyDescent="0.2">
      <c r="A25" s="2">
        <v>1331</v>
      </c>
      <c r="B25" s="1" t="s">
        <v>28</v>
      </c>
      <c r="C25" s="4">
        <v>331.5</v>
      </c>
      <c r="D25" s="4"/>
      <c r="E25" s="5"/>
      <c r="F25" s="48">
        <v>81.25</v>
      </c>
      <c r="K25" s="11"/>
      <c r="L25" s="10"/>
      <c r="M25" s="11"/>
      <c r="N25" s="11">
        <f t="shared" si="0"/>
        <v>412.75</v>
      </c>
      <c r="O25" s="55"/>
      <c r="P25" s="56" t="s">
        <v>28</v>
      </c>
      <c r="R25" s="31"/>
      <c r="S25" s="42">
        <f t="shared" si="1"/>
        <v>0</v>
      </c>
    </row>
    <row r="26" spans="1:19" x14ac:dyDescent="0.2">
      <c r="A26" s="2">
        <v>1333</v>
      </c>
      <c r="B26" s="1" t="s">
        <v>49</v>
      </c>
      <c r="C26" s="4"/>
      <c r="D26" s="4"/>
      <c r="E26" s="5"/>
      <c r="F26" s="48"/>
      <c r="K26" s="11"/>
      <c r="L26" s="10"/>
      <c r="M26" s="11"/>
      <c r="N26" s="11">
        <f t="shared" si="0"/>
        <v>0</v>
      </c>
      <c r="O26" s="55"/>
      <c r="P26" s="56" t="str">
        <f>B26</f>
        <v>BROOKLYN MORRIS</v>
      </c>
      <c r="R26" s="31"/>
      <c r="S26" s="42">
        <f t="shared" si="1"/>
        <v>0</v>
      </c>
    </row>
    <row r="27" spans="1:19" x14ac:dyDescent="0.2">
      <c r="A27" s="2">
        <v>1342</v>
      </c>
      <c r="B27" s="2" t="s">
        <v>11</v>
      </c>
      <c r="C27" s="11"/>
      <c r="D27" s="11"/>
      <c r="E27" s="11"/>
      <c r="F27" s="14"/>
      <c r="G27" s="11"/>
      <c r="H27" s="11"/>
      <c r="I27" s="11"/>
      <c r="J27" s="11"/>
      <c r="K27" s="11"/>
      <c r="L27" s="10"/>
      <c r="M27" s="11"/>
      <c r="N27" s="11">
        <f t="shared" si="0"/>
        <v>0</v>
      </c>
      <c r="O27" s="55"/>
      <c r="P27" s="38" t="str">
        <f>B27</f>
        <v>WILLIAM MOORE</v>
      </c>
      <c r="Q27" s="30"/>
      <c r="R27" s="31"/>
      <c r="S27" s="42">
        <f t="shared" si="1"/>
        <v>0</v>
      </c>
    </row>
    <row r="28" spans="1:19" x14ac:dyDescent="0.2">
      <c r="A28" s="2">
        <v>1343</v>
      </c>
      <c r="B28" s="1" t="s">
        <v>12</v>
      </c>
      <c r="C28" s="4">
        <v>1302.8399999999999</v>
      </c>
      <c r="D28" s="4"/>
      <c r="E28" s="5">
        <v>5000.0600000000004</v>
      </c>
      <c r="F28" s="48"/>
      <c r="H28" s="6">
        <v>1500</v>
      </c>
      <c r="K28" s="11">
        <v>1831.92</v>
      </c>
      <c r="L28" s="10"/>
      <c r="M28" s="11">
        <f>441.21</f>
        <v>441.21</v>
      </c>
      <c r="N28" s="11">
        <f t="shared" si="0"/>
        <v>10076.029999999999</v>
      </c>
      <c r="O28" s="55"/>
      <c r="P28" s="56" t="s">
        <v>12</v>
      </c>
      <c r="R28" s="31">
        <v>40</v>
      </c>
      <c r="S28" s="42">
        <f t="shared" si="1"/>
        <v>40</v>
      </c>
    </row>
    <row r="29" spans="1:19" x14ac:dyDescent="0.2">
      <c r="A29" s="2">
        <v>1403</v>
      </c>
      <c r="B29" s="1" t="s">
        <v>29</v>
      </c>
      <c r="C29" s="4">
        <v>1020</v>
      </c>
      <c r="D29" s="4"/>
      <c r="E29" s="5"/>
      <c r="F29" s="48">
        <f>250*2</f>
        <v>500</v>
      </c>
      <c r="K29" s="11"/>
      <c r="L29" s="10"/>
      <c r="M29" s="11"/>
      <c r="N29" s="11">
        <f t="shared" si="0"/>
        <v>1520</v>
      </c>
      <c r="O29" s="55"/>
      <c r="P29" s="56" t="s">
        <v>29</v>
      </c>
      <c r="R29" s="31"/>
      <c r="S29" s="42">
        <f t="shared" si="1"/>
        <v>0</v>
      </c>
    </row>
    <row r="30" spans="1:19" x14ac:dyDescent="0.2">
      <c r="A30" s="2">
        <v>1408</v>
      </c>
      <c r="B30" s="1" t="s">
        <v>30</v>
      </c>
      <c r="C30" s="4">
        <v>1020</v>
      </c>
      <c r="D30" s="4"/>
      <c r="E30" s="5"/>
      <c r="F30" s="48">
        <f>250*2</f>
        <v>500</v>
      </c>
      <c r="K30" s="11"/>
      <c r="L30" s="10"/>
      <c r="M30" s="11"/>
      <c r="N30" s="11">
        <f t="shared" si="0"/>
        <v>1520</v>
      </c>
      <c r="O30" s="55"/>
      <c r="P30" s="56" t="s">
        <v>30</v>
      </c>
      <c r="R30" s="31"/>
      <c r="S30" s="42">
        <f t="shared" si="1"/>
        <v>0</v>
      </c>
    </row>
    <row r="31" spans="1:19" x14ac:dyDescent="0.2">
      <c r="A31" s="2">
        <v>1410</v>
      </c>
      <c r="B31" s="1" t="s">
        <v>31</v>
      </c>
      <c r="C31" s="4">
        <v>1020</v>
      </c>
      <c r="D31" s="4"/>
      <c r="E31" s="5"/>
      <c r="F31" s="48">
        <f>250*2</f>
        <v>500</v>
      </c>
      <c r="K31" s="11"/>
      <c r="L31" s="10"/>
      <c r="M31" s="11"/>
      <c r="N31" s="11">
        <f t="shared" si="0"/>
        <v>1520</v>
      </c>
      <c r="O31" s="55"/>
      <c r="P31" s="56" t="s">
        <v>31</v>
      </c>
      <c r="R31" s="31"/>
      <c r="S31" s="42">
        <f t="shared" si="1"/>
        <v>0</v>
      </c>
    </row>
    <row r="32" spans="1:19" x14ac:dyDescent="0.2">
      <c r="A32" s="2">
        <v>1602</v>
      </c>
      <c r="B32" s="1" t="s">
        <v>13</v>
      </c>
      <c r="C32" s="4">
        <v>173.71</v>
      </c>
      <c r="D32" s="4"/>
      <c r="E32" s="5">
        <v>673.11</v>
      </c>
      <c r="F32" s="48"/>
      <c r="K32" s="11"/>
      <c r="L32" s="10"/>
      <c r="M32" s="11"/>
      <c r="N32" s="11">
        <f t="shared" si="0"/>
        <v>846.82</v>
      </c>
      <c r="O32" s="55"/>
      <c r="P32" s="56" t="s">
        <v>13</v>
      </c>
      <c r="R32" s="31"/>
      <c r="S32" s="42">
        <f t="shared" si="1"/>
        <v>0</v>
      </c>
    </row>
    <row r="33" spans="1:19" x14ac:dyDescent="0.2">
      <c r="A33" s="2">
        <v>1604</v>
      </c>
      <c r="B33" s="1" t="s">
        <v>40</v>
      </c>
      <c r="C33" s="4">
        <v>1302.8399999999999</v>
      </c>
      <c r="D33" s="4">
        <v>3060.75</v>
      </c>
      <c r="E33" s="5"/>
      <c r="F33" s="48">
        <f>2*650</f>
        <v>1300</v>
      </c>
      <c r="K33" s="11"/>
      <c r="L33" s="10"/>
      <c r="M33" s="11"/>
      <c r="N33" s="11">
        <f t="shared" si="0"/>
        <v>5663.59</v>
      </c>
      <c r="O33" s="55"/>
      <c r="P33" s="56" t="s">
        <v>40</v>
      </c>
      <c r="R33" s="31"/>
      <c r="S33" s="42">
        <f t="shared" si="1"/>
        <v>0</v>
      </c>
    </row>
    <row r="34" spans="1:19" x14ac:dyDescent="0.2">
      <c r="A34" s="2">
        <v>1606</v>
      </c>
      <c r="B34" s="1" t="s">
        <v>32</v>
      </c>
      <c r="C34" s="4">
        <v>1020</v>
      </c>
      <c r="D34" s="4"/>
      <c r="E34" s="5"/>
      <c r="F34" s="48">
        <f>250*2</f>
        <v>500</v>
      </c>
      <c r="K34" s="11"/>
      <c r="L34" s="10"/>
      <c r="M34" s="11"/>
      <c r="N34" s="11">
        <f t="shared" si="0"/>
        <v>1520</v>
      </c>
      <c r="O34" s="55"/>
      <c r="P34" s="56" t="s">
        <v>32</v>
      </c>
      <c r="R34" s="31"/>
      <c r="S34" s="42">
        <f t="shared" si="1"/>
        <v>0</v>
      </c>
    </row>
    <row r="35" spans="1:19" x14ac:dyDescent="0.2">
      <c r="A35" s="2">
        <v>1801</v>
      </c>
      <c r="B35" s="1" t="s">
        <v>33</v>
      </c>
      <c r="C35" s="4">
        <v>1020</v>
      </c>
      <c r="D35" s="4"/>
      <c r="E35" s="5"/>
      <c r="F35" s="48">
        <f>250*2</f>
        <v>500</v>
      </c>
      <c r="K35" s="11"/>
      <c r="L35" s="10"/>
      <c r="M35" s="11"/>
      <c r="N35" s="11">
        <f t="shared" si="0"/>
        <v>1520</v>
      </c>
      <c r="O35" s="55"/>
      <c r="P35" s="56" t="s">
        <v>33</v>
      </c>
      <c r="R35" s="31"/>
      <c r="S35" s="42">
        <f t="shared" si="1"/>
        <v>0</v>
      </c>
    </row>
    <row r="36" spans="1:19" x14ac:dyDescent="0.2">
      <c r="A36" s="2">
        <v>1803</v>
      </c>
      <c r="B36" s="1" t="s">
        <v>34</v>
      </c>
      <c r="C36" s="4">
        <v>1020</v>
      </c>
      <c r="D36" s="4">
        <v>3339</v>
      </c>
      <c r="E36" s="5"/>
      <c r="F36" s="48">
        <f>250*2</f>
        <v>500</v>
      </c>
      <c r="K36" s="11"/>
      <c r="L36" s="10"/>
      <c r="M36" s="11"/>
      <c r="N36" s="11">
        <f t="shared" si="0"/>
        <v>4859</v>
      </c>
      <c r="O36" s="55"/>
      <c r="P36" s="56" t="s">
        <v>34</v>
      </c>
      <c r="R36" s="31"/>
      <c r="S36" s="42">
        <f t="shared" si="1"/>
        <v>0</v>
      </c>
    </row>
    <row r="37" spans="1:19" x14ac:dyDescent="0.2">
      <c r="A37" s="2">
        <v>1808</v>
      </c>
      <c r="B37" s="1" t="s">
        <v>35</v>
      </c>
      <c r="C37" s="4"/>
      <c r="D37" s="4"/>
      <c r="E37" s="5"/>
      <c r="F37" s="48"/>
      <c r="K37" s="11"/>
      <c r="L37" s="10">
        <v>102.52</v>
      </c>
      <c r="M37" s="11">
        <f>79.26</f>
        <v>79.260000000000005</v>
      </c>
      <c r="N37" s="11">
        <f t="shared" si="0"/>
        <v>181.78</v>
      </c>
      <c r="O37" s="55"/>
      <c r="P37" s="56" t="str">
        <f>B37</f>
        <v>EMMA REDMON</v>
      </c>
      <c r="R37" s="31"/>
      <c r="S37" s="42">
        <f t="shared" si="1"/>
        <v>0</v>
      </c>
    </row>
    <row r="38" spans="1:19" x14ac:dyDescent="0.2">
      <c r="A38" s="2">
        <v>1810</v>
      </c>
      <c r="B38" s="1" t="s">
        <v>14</v>
      </c>
      <c r="C38" s="4">
        <v>1302.8399999999999</v>
      </c>
      <c r="D38" s="4"/>
      <c r="E38" s="5">
        <v>5192.37</v>
      </c>
      <c r="F38" s="48">
        <f>2*650</f>
        <v>1300</v>
      </c>
      <c r="I38" s="6">
        <v>520.80999999999995</v>
      </c>
      <c r="K38" s="11"/>
      <c r="L38" s="10"/>
      <c r="M38" s="11"/>
      <c r="N38" s="11">
        <f t="shared" si="0"/>
        <v>8316.02</v>
      </c>
      <c r="O38" s="55"/>
      <c r="P38" s="56" t="s">
        <v>14</v>
      </c>
      <c r="Q38" s="19">
        <v>14</v>
      </c>
      <c r="R38" s="31"/>
      <c r="S38" s="42">
        <f t="shared" si="1"/>
        <v>14</v>
      </c>
    </row>
    <row r="39" spans="1:19" x14ac:dyDescent="0.2">
      <c r="A39" s="2">
        <v>1832</v>
      </c>
      <c r="B39" s="1" t="s">
        <v>36</v>
      </c>
      <c r="C39" s="4">
        <v>644.32000000000005</v>
      </c>
      <c r="D39" s="4"/>
      <c r="E39" s="5"/>
      <c r="F39" s="48">
        <v>157.97</v>
      </c>
      <c r="K39" s="11"/>
      <c r="L39" s="10"/>
      <c r="M39" s="11"/>
      <c r="N39" s="11">
        <f t="shared" si="0"/>
        <v>802.29000000000008</v>
      </c>
      <c r="O39" s="55"/>
      <c r="P39" s="56" t="s">
        <v>36</v>
      </c>
      <c r="R39" s="31"/>
      <c r="S39" s="42">
        <f t="shared" si="1"/>
        <v>0</v>
      </c>
    </row>
    <row r="40" spans="1:19" x14ac:dyDescent="0.2">
      <c r="A40" s="2">
        <v>1902</v>
      </c>
      <c r="B40" s="1" t="s">
        <v>37</v>
      </c>
      <c r="C40" s="4"/>
      <c r="D40" s="4"/>
      <c r="E40" s="5"/>
      <c r="F40" s="6">
        <f>2*650</f>
        <v>1300</v>
      </c>
      <c r="K40" s="11"/>
      <c r="L40" s="10"/>
      <c r="M40" s="11"/>
      <c r="N40" s="11">
        <f t="shared" si="0"/>
        <v>1300</v>
      </c>
      <c r="O40" s="55"/>
      <c r="P40" s="56" t="s">
        <v>37</v>
      </c>
      <c r="R40" s="31"/>
      <c r="S40" s="42">
        <f t="shared" si="1"/>
        <v>0</v>
      </c>
    </row>
    <row r="41" spans="1:19" x14ac:dyDescent="0.2">
      <c r="A41" s="2">
        <v>1912</v>
      </c>
      <c r="B41" s="1" t="s">
        <v>38</v>
      </c>
      <c r="C41" s="4">
        <v>1020</v>
      </c>
      <c r="D41" s="4"/>
      <c r="E41" s="5"/>
      <c r="F41" s="48">
        <f>250*2</f>
        <v>500</v>
      </c>
      <c r="K41" s="11"/>
      <c r="L41" s="10"/>
      <c r="M41" s="11"/>
      <c r="N41" s="11">
        <f t="shared" si="0"/>
        <v>1520</v>
      </c>
      <c r="O41" s="55"/>
      <c r="P41" s="56" t="s">
        <v>38</v>
      </c>
      <c r="R41" s="31"/>
      <c r="S41" s="42">
        <f t="shared" si="1"/>
        <v>0</v>
      </c>
    </row>
    <row r="42" spans="1:19" x14ac:dyDescent="0.2">
      <c r="A42" s="2">
        <v>1914</v>
      </c>
      <c r="B42" s="1" t="s">
        <v>15</v>
      </c>
      <c r="C42" s="4">
        <v>1302.8399999999999</v>
      </c>
      <c r="D42" s="4"/>
      <c r="E42" s="5">
        <v>5192.37</v>
      </c>
      <c r="F42" s="6">
        <f>2*650</f>
        <v>1300</v>
      </c>
      <c r="I42" s="6">
        <v>2695</v>
      </c>
      <c r="K42" s="11"/>
      <c r="L42" s="10"/>
      <c r="M42" s="11"/>
      <c r="N42" s="11">
        <f t="shared" si="0"/>
        <v>10490.21</v>
      </c>
      <c r="O42" s="55"/>
      <c r="P42" s="56" t="s">
        <v>15</v>
      </c>
      <c r="Q42" s="19">
        <v>49</v>
      </c>
      <c r="R42" s="31"/>
      <c r="S42" s="42">
        <f t="shared" si="1"/>
        <v>49</v>
      </c>
    </row>
    <row r="43" spans="1:19" x14ac:dyDescent="0.2">
      <c r="A43" s="2">
        <v>1919</v>
      </c>
      <c r="B43" s="1" t="s">
        <v>16</v>
      </c>
      <c r="C43" s="4">
        <v>1302.8399999999999</v>
      </c>
      <c r="D43" s="4"/>
      <c r="E43" s="5"/>
      <c r="K43" s="11"/>
      <c r="L43" s="10"/>
      <c r="M43" s="11"/>
      <c r="N43" s="11">
        <f t="shared" si="0"/>
        <v>1302.8399999999999</v>
      </c>
      <c r="O43" s="55"/>
      <c r="P43" s="56" t="s">
        <v>16</v>
      </c>
      <c r="R43" s="31"/>
      <c r="S43" s="42">
        <f t="shared" si="1"/>
        <v>0</v>
      </c>
    </row>
    <row r="44" spans="1:19" x14ac:dyDescent="0.2">
      <c r="A44" s="2">
        <v>2305</v>
      </c>
      <c r="B44" s="1" t="s">
        <v>39</v>
      </c>
      <c r="C44" s="4">
        <v>1020</v>
      </c>
      <c r="D44" s="4"/>
      <c r="E44" s="5"/>
      <c r="F44" s="48">
        <f>250*2</f>
        <v>500</v>
      </c>
      <c r="K44" s="11"/>
      <c r="L44" s="10"/>
      <c r="M44" s="11"/>
      <c r="N44" s="11">
        <f t="shared" si="0"/>
        <v>1520</v>
      </c>
      <c r="O44" s="55"/>
      <c r="P44" s="56" t="s">
        <v>39</v>
      </c>
      <c r="R44" s="31"/>
      <c r="S44" s="42">
        <f t="shared" si="1"/>
        <v>0</v>
      </c>
    </row>
    <row r="45" spans="1:19" x14ac:dyDescent="0.2">
      <c r="A45" s="3">
        <v>2312</v>
      </c>
      <c r="B45" s="7" t="s">
        <v>41</v>
      </c>
      <c r="C45" s="12">
        <v>1302.8399999999999</v>
      </c>
      <c r="D45" s="12"/>
      <c r="E45" s="34">
        <v>5192.37</v>
      </c>
      <c r="F45" s="20">
        <f>2*650</f>
        <v>1300</v>
      </c>
      <c r="G45" s="20"/>
      <c r="H45" s="20"/>
      <c r="I45" s="20">
        <v>1293.97</v>
      </c>
      <c r="J45" s="20"/>
      <c r="K45" s="20"/>
      <c r="L45" s="21">
        <v>400</v>
      </c>
      <c r="M45" s="21">
        <v>375</v>
      </c>
      <c r="N45" s="11">
        <f t="shared" si="0"/>
        <v>9864.18</v>
      </c>
      <c r="O45" s="55"/>
      <c r="P45" s="39" t="s">
        <v>41</v>
      </c>
      <c r="Q45" s="29">
        <v>33.5</v>
      </c>
      <c r="R45" s="32"/>
      <c r="S45" s="43">
        <f>SUM(Q45:R45)</f>
        <v>33.5</v>
      </c>
    </row>
    <row r="46" spans="1:19" x14ac:dyDescent="0.2">
      <c r="A46" s="9"/>
      <c r="B46" s="9" t="s">
        <v>47</v>
      </c>
      <c r="C46" s="22">
        <f t="shared" ref="C46:N46" si="2">SUM(C3:C45)</f>
        <v>35514.979999999996</v>
      </c>
      <c r="D46" s="22">
        <f t="shared" si="2"/>
        <v>18086.25</v>
      </c>
      <c r="E46" s="22">
        <f t="shared" si="2"/>
        <v>52019.880000000005</v>
      </c>
      <c r="F46" s="22">
        <f>SUM(F3:F45)</f>
        <v>18289.22</v>
      </c>
      <c r="G46" s="22">
        <f t="shared" si="2"/>
        <v>6600</v>
      </c>
      <c r="H46" s="22">
        <f t="shared" si="2"/>
        <v>1500</v>
      </c>
      <c r="I46" s="22">
        <f t="shared" si="2"/>
        <v>16823.689999999999</v>
      </c>
      <c r="J46" s="22">
        <f>SUM(J3:J45)</f>
        <v>0</v>
      </c>
      <c r="K46" s="47">
        <f t="shared" si="2"/>
        <v>4396.76</v>
      </c>
      <c r="L46" s="23"/>
      <c r="M46" s="47"/>
      <c r="N46" s="47">
        <f t="shared" si="2"/>
        <v>157304.70000000001</v>
      </c>
      <c r="O46" s="55"/>
      <c r="P46" s="57" t="s">
        <v>47</v>
      </c>
      <c r="Q46" s="28"/>
      <c r="R46" s="33"/>
      <c r="S46" s="44">
        <f>SUM(S3:S45)</f>
        <v>477.5</v>
      </c>
    </row>
  </sheetData>
  <sortState xmlns:xlrd2="http://schemas.microsoft.com/office/spreadsheetml/2017/richdata2" ref="A3:S45">
    <sortCondition ref="A3:A45"/>
  </sortState>
  <pageMargins left="0.2" right="0.2" top="0.25" bottom="0.25" header="0.3" footer="0.05"/>
  <pageSetup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1.12 Wages</vt:lpstr>
      <vt:lpstr>Other Pays - Hrs </vt:lpstr>
      <vt:lpstr>'1.12 Wages'!Print_Titles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Moriarty</dc:creator>
  <cp:lastModifiedBy>Michael Moriarty</cp:lastModifiedBy>
  <cp:lastPrinted>2024-08-15T16:04:13Z</cp:lastPrinted>
  <dcterms:created xsi:type="dcterms:W3CDTF">2023-04-24T11:55:45Z</dcterms:created>
  <dcterms:modified xsi:type="dcterms:W3CDTF">2025-05-19T14:31:19Z</dcterms:modified>
</cp:coreProperties>
</file>