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Rate Case 2024\OAG First Data Request\DR 37\"/>
    </mc:Choice>
  </mc:AlternateContent>
  <xr:revisionPtr revIDLastSave="0" documentId="8_{FD2EA547-DA63-4E12-BF5C-8C2637150299}" xr6:coauthVersionLast="47" xr6:coauthVersionMax="47" xr10:uidLastSave="{00000000-0000-0000-0000-000000000000}"/>
  <bookViews>
    <workbookView xWindow="28680" yWindow="-120" windowWidth="29040" windowHeight="15720" firstSheet="5" activeTab="5" xr2:uid="{00000000-000D-0000-FFFF-FFFF00000000}"/>
  </bookViews>
  <sheets>
    <sheet name="OLD - RUS Payts" sheetId="1" state="hidden" r:id="rId1"/>
    <sheet name="RUS Payts (2)" sheetId="11" state="hidden" r:id="rId2"/>
    <sheet name="RUS Payts (3)" sheetId="13" state="hidden" r:id="rId3"/>
    <sheet name="FFB Payts (3)" sheetId="14" state="hidden" r:id="rId4"/>
    <sheet name="CFC Payts (2)" sheetId="15" state="hidden" r:id="rId5"/>
    <sheet name="LTD Summary" sheetId="20" r:id="rId6"/>
    <sheet name="RUS Payts" sheetId="7" r:id="rId7"/>
    <sheet name="old CFC Payts" sheetId="2" state="hidden" r:id="rId8"/>
    <sheet name="FFB Payts" sheetId="3" r:id="rId9"/>
    <sheet name="CFC Payts" sheetId="9" r:id="rId10"/>
    <sheet name="Consumer Deposit Interest" sheetId="19" r:id="rId11"/>
    <sheet name="FFB Amortizatio" sheetId="4" state="hidden" r:id="rId12"/>
    <sheet name="FFB Payts (2)" sheetId="10" state="hidden" r:id="rId13"/>
    <sheet name="TREA  Amortizat" sheetId="5" state="hidden" r:id="rId14"/>
  </sheets>
  <externalReferences>
    <externalReference r:id="rId15"/>
    <externalReference r:id="rId16"/>
    <externalReference r:id="rId17"/>
  </externalReferences>
  <definedNames>
    <definedName name="_xlnm.Print_Area" localSheetId="9">'CFC Payts'!$I$1:$AA$43</definedName>
    <definedName name="_xlnm.Print_Area" localSheetId="4">'CFC Payts (2)'!$I$1:$AA$47</definedName>
    <definedName name="_xlnm.Print_Area" localSheetId="8">'FFB Payts'!$A$1:$AY$33</definedName>
    <definedName name="_xlnm.Print_Area" localSheetId="12">'FFB Payts (2)'!$I$3:$AD$29</definedName>
    <definedName name="_xlnm.Print_Area" localSheetId="3">'FFB Payts (3)'!$I$1:$AB$30</definedName>
    <definedName name="_xlnm.Print_Area" localSheetId="0">'OLD - RUS Payts'!$A$2:$AU$59</definedName>
    <definedName name="_xlnm.Print_Area" localSheetId="7">'old CFC Payts'!$I$2:$Z$25</definedName>
    <definedName name="_xlnm.Print_Area" localSheetId="6">'RUS Payts'!$I$1:$AR$27</definedName>
    <definedName name="_xlnm.Print_Area" localSheetId="1">'RUS Payts (2)'!$A$1:$AU$14</definedName>
    <definedName name="_xlnm.Print_Area" localSheetId="2">'RUS Payts (3)'!$I$1:$AT$20</definedName>
    <definedName name="_xlnm.Print_Area">'FFB Amortizatio'!$B$18:$B$31</definedName>
    <definedName name="_xlnm.Print_Titles" localSheetId="9">'CFC Payts'!$B:$G</definedName>
    <definedName name="_xlnm.Print_Titles" localSheetId="4">'CFC Payts (2)'!$B:$G</definedName>
    <definedName name="_xlnm.Print_Titles" localSheetId="8">'FFB Payts'!$A:$G</definedName>
    <definedName name="_xlnm.Print_Titles" localSheetId="12">'FFB Payts (2)'!$A:$F</definedName>
    <definedName name="_xlnm.Print_Titles" localSheetId="3">'FFB Payts (3)'!$A:$G</definedName>
    <definedName name="_xlnm.Print_Titles" localSheetId="0">'OLD - RUS Payts'!$A:$G</definedName>
    <definedName name="_xlnm.Print_Titles" localSheetId="7">'old CFC Payts'!$A:$F</definedName>
    <definedName name="_xlnm.Print_Titles" localSheetId="6">'RUS Payts'!$A:$G</definedName>
    <definedName name="_xlnm.Print_Titles" localSheetId="1">'RUS Payts (2)'!$A:$G</definedName>
    <definedName name="_xlnm.Print_Titles" localSheetId="2">'RUS Payts (3)'!$A:$G</definedName>
    <definedName name="_xlnm.Print_Title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0" l="1"/>
  <c r="C7" i="20"/>
  <c r="C6" i="20"/>
  <c r="C9" i="20" l="1"/>
  <c r="D3" i="19"/>
  <c r="K6" i="19"/>
  <c r="Y43" i="9" l="1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AS12" i="7"/>
  <c r="AQ8" i="7"/>
  <c r="AQ7" i="7"/>
  <c r="AQ6" i="7"/>
  <c r="AP12" i="7"/>
  <c r="AP11" i="7"/>
  <c r="AP10" i="7"/>
  <c r="AP9" i="7"/>
  <c r="AP8" i="7"/>
  <c r="AP7" i="7"/>
  <c r="AP6" i="7"/>
  <c r="AP14" i="7" s="1"/>
  <c r="AN8" i="7"/>
  <c r="AN7" i="7"/>
  <c r="AN6" i="7"/>
  <c r="AN14" i="7" s="1"/>
  <c r="AK8" i="7"/>
  <c r="AK7" i="7"/>
  <c r="AK6" i="7"/>
  <c r="AJ12" i="7"/>
  <c r="AJ11" i="7"/>
  <c r="AJ10" i="7"/>
  <c r="AJ9" i="7"/>
  <c r="AJ8" i="7"/>
  <c r="AJ7" i="7"/>
  <c r="AG12" i="7"/>
  <c r="AG11" i="7"/>
  <c r="AG10" i="7"/>
  <c r="AG9" i="7"/>
  <c r="AG8" i="7"/>
  <c r="AG7" i="7"/>
  <c r="AJ6" i="7"/>
  <c r="AG6" i="7"/>
  <c r="AH8" i="7"/>
  <c r="AH7" i="7"/>
  <c r="AH6" i="7"/>
  <c r="AQ14" i="7"/>
  <c r="AK14" i="7"/>
  <c r="AE14" i="7"/>
  <c r="AD14" i="7"/>
  <c r="AB14" i="7"/>
  <c r="AA14" i="7"/>
  <c r="X14" i="7"/>
  <c r="AC12" i="7"/>
  <c r="AF12" i="7" s="1"/>
  <c r="AI12" i="7" s="1"/>
  <c r="AL12" i="7" s="1"/>
  <c r="AO12" i="7" s="1"/>
  <c r="AR12" i="7" s="1"/>
  <c r="AU12" i="7" s="1"/>
  <c r="M5" i="3"/>
  <c r="AM12" i="7" l="1"/>
  <c r="AJ14" i="7"/>
  <c r="AH14" i="7"/>
  <c r="F33" i="3" l="1"/>
  <c r="M21" i="3"/>
  <c r="Q21" i="3" s="1"/>
  <c r="Q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2" i="3"/>
  <c r="M23" i="3"/>
  <c r="M24" i="3"/>
  <c r="M25" i="3"/>
  <c r="M26" i="3"/>
  <c r="M27" i="3"/>
  <c r="M28" i="3"/>
  <c r="M29" i="3"/>
  <c r="M30" i="3"/>
  <c r="M31" i="3"/>
  <c r="R21" i="3" l="1"/>
  <c r="S21" i="3"/>
  <c r="R5" i="3"/>
  <c r="S5" i="3"/>
  <c r="K6" i="7"/>
  <c r="F25" i="9"/>
  <c r="L25" i="9" s="1"/>
  <c r="P25" i="9" s="1"/>
  <c r="F26" i="9"/>
  <c r="F27" i="9"/>
  <c r="F28" i="9"/>
  <c r="F29" i="9"/>
  <c r="L29" i="9" s="1"/>
  <c r="P29" i="9" s="1"/>
  <c r="F30" i="9"/>
  <c r="F31" i="9"/>
  <c r="F32" i="9"/>
  <c r="F33" i="9"/>
  <c r="F34" i="9"/>
  <c r="L34" i="9" s="1"/>
  <c r="P34" i="9" s="1"/>
  <c r="F35" i="9"/>
  <c r="F36" i="9"/>
  <c r="F37" i="9"/>
  <c r="F38" i="9"/>
  <c r="F39" i="9"/>
  <c r="F40" i="9"/>
  <c r="F24" i="9"/>
  <c r="L24" i="9" s="1"/>
  <c r="F17" i="9"/>
  <c r="F18" i="9"/>
  <c r="F19" i="9"/>
  <c r="F20" i="9"/>
  <c r="F16" i="9"/>
  <c r="L16" i="9" s="1"/>
  <c r="F8" i="9"/>
  <c r="L8" i="9" s="1"/>
  <c r="P8" i="9" s="1"/>
  <c r="F9" i="9"/>
  <c r="F10" i="9"/>
  <c r="L10" i="9" s="1"/>
  <c r="P10" i="9" s="1"/>
  <c r="F11" i="9"/>
  <c r="L11" i="9" s="1"/>
  <c r="P11" i="9" s="1"/>
  <c r="F7" i="9"/>
  <c r="L7" i="9" s="1"/>
  <c r="P7" i="9" s="1"/>
  <c r="Q8" i="3"/>
  <c r="Q9" i="3"/>
  <c r="Q12" i="3"/>
  <c r="Q15" i="3"/>
  <c r="Q16" i="3"/>
  <c r="Q17" i="3"/>
  <c r="Q18" i="3"/>
  <c r="Q20" i="3"/>
  <c r="Q24" i="3"/>
  <c r="Q25" i="3"/>
  <c r="Q28" i="3"/>
  <c r="Q29" i="3"/>
  <c r="Q7" i="3"/>
  <c r="Q31" i="3"/>
  <c r="F10" i="7"/>
  <c r="Y14" i="7"/>
  <c r="V14" i="7"/>
  <c r="U14" i="7"/>
  <c r="S14" i="7"/>
  <c r="R14" i="7"/>
  <c r="P14" i="7"/>
  <c r="O14" i="7"/>
  <c r="M14" i="7"/>
  <c r="L14" i="7"/>
  <c r="I14" i="7"/>
  <c r="J14" i="7"/>
  <c r="AT7" i="7"/>
  <c r="AU7" i="7" s="1"/>
  <c r="AT8" i="7"/>
  <c r="AT9" i="7"/>
  <c r="AT10" i="7"/>
  <c r="AT11" i="7"/>
  <c r="AU11" i="7" s="1"/>
  <c r="AT6" i="7"/>
  <c r="W11" i="7"/>
  <c r="K9" i="7"/>
  <c r="K11" i="7"/>
  <c r="P33" i="3"/>
  <c r="O33" i="3"/>
  <c r="N33" i="3"/>
  <c r="L33" i="3"/>
  <c r="K33" i="3"/>
  <c r="J33" i="3"/>
  <c r="Q30" i="3"/>
  <c r="Y6" i="9"/>
  <c r="Q27" i="3"/>
  <c r="A3" i="5"/>
  <c r="D39" i="5"/>
  <c r="A1" i="10"/>
  <c r="E5" i="10"/>
  <c r="L5" i="10" s="1"/>
  <c r="AB5" i="10"/>
  <c r="AC5" i="10"/>
  <c r="E6" i="10"/>
  <c r="L6" i="10" s="1"/>
  <c r="Q6" i="10" s="1"/>
  <c r="V6" i="10" s="1"/>
  <c r="AA6" i="10" s="1"/>
  <c r="AB6" i="10"/>
  <c r="AC6" i="10"/>
  <c r="E7" i="10"/>
  <c r="L7" i="10" s="1"/>
  <c r="Q7" i="10" s="1"/>
  <c r="V7" i="10" s="1"/>
  <c r="AA7" i="10" s="1"/>
  <c r="AB7" i="10"/>
  <c r="AC7" i="10"/>
  <c r="E8" i="10"/>
  <c r="AD8" i="10" s="1"/>
  <c r="AB8" i="10"/>
  <c r="AC8" i="10"/>
  <c r="E9" i="10"/>
  <c r="L9" i="10" s="1"/>
  <c r="Q9" i="10" s="1"/>
  <c r="V9" i="10" s="1"/>
  <c r="AA9" i="10" s="1"/>
  <c r="AB9" i="10"/>
  <c r="AC9" i="10"/>
  <c r="E10" i="10"/>
  <c r="AB10" i="10"/>
  <c r="AC10" i="10"/>
  <c r="E11" i="10"/>
  <c r="L11" i="10" s="1"/>
  <c r="Q11" i="10" s="1"/>
  <c r="V11" i="10" s="1"/>
  <c r="AA11" i="10" s="1"/>
  <c r="AB11" i="10"/>
  <c r="AC11" i="10"/>
  <c r="E12" i="10"/>
  <c r="L12" i="10" s="1"/>
  <c r="Q12" i="10" s="1"/>
  <c r="V12" i="10" s="1"/>
  <c r="AA12" i="10" s="1"/>
  <c r="AB12" i="10"/>
  <c r="AC12" i="10"/>
  <c r="E13" i="10"/>
  <c r="AD13" i="10" s="1"/>
  <c r="AB13" i="10"/>
  <c r="AC13" i="10"/>
  <c r="E14" i="10"/>
  <c r="L14" i="10" s="1"/>
  <c r="Q14" i="10" s="1"/>
  <c r="V14" i="10" s="1"/>
  <c r="AA14" i="10" s="1"/>
  <c r="AB14" i="10"/>
  <c r="AC14" i="10"/>
  <c r="E15" i="10"/>
  <c r="L15" i="10" s="1"/>
  <c r="Q15" i="10" s="1"/>
  <c r="V15" i="10" s="1"/>
  <c r="AA15" i="10" s="1"/>
  <c r="AB15" i="10"/>
  <c r="AC15" i="10"/>
  <c r="E16" i="10"/>
  <c r="L16" i="10" s="1"/>
  <c r="Q16" i="10" s="1"/>
  <c r="V16" i="10" s="1"/>
  <c r="AA16" i="10" s="1"/>
  <c r="AB16" i="10"/>
  <c r="AC16" i="10"/>
  <c r="E17" i="10"/>
  <c r="AD17" i="10" s="1"/>
  <c r="AB17" i="10"/>
  <c r="AC17" i="10"/>
  <c r="E18" i="10"/>
  <c r="AD18" i="10" s="1"/>
  <c r="AB18" i="10"/>
  <c r="AC18" i="10"/>
  <c r="E19" i="10"/>
  <c r="L19" i="10" s="1"/>
  <c r="AC19" i="10"/>
  <c r="E20" i="10"/>
  <c r="L20" i="10" s="1"/>
  <c r="N20" i="10" s="1"/>
  <c r="F20" i="10"/>
  <c r="AC20" i="10"/>
  <c r="E21" i="10"/>
  <c r="L21" i="10" s="1"/>
  <c r="F21" i="10"/>
  <c r="AC21" i="10"/>
  <c r="E22" i="10"/>
  <c r="L22" i="10" s="1"/>
  <c r="N22" i="10" s="1"/>
  <c r="AC22" i="10"/>
  <c r="E23" i="10"/>
  <c r="L23" i="10" s="1"/>
  <c r="Q23" i="10" s="1"/>
  <c r="F23" i="10"/>
  <c r="AC23" i="10"/>
  <c r="E24" i="10"/>
  <c r="AD24" i="10" s="1"/>
  <c r="F24" i="10"/>
  <c r="AC24" i="10"/>
  <c r="L25" i="10"/>
  <c r="N25" i="10" s="1"/>
  <c r="Q25" i="10"/>
  <c r="V25" i="10" s="1"/>
  <c r="X25" i="10" s="1"/>
  <c r="S25" i="10"/>
  <c r="AA25" i="10"/>
  <c r="AC25" i="10"/>
  <c r="AD25" i="10" s="1"/>
  <c r="I27" i="10"/>
  <c r="J27" i="10"/>
  <c r="K27" i="10"/>
  <c r="O27" i="10"/>
  <c r="P27" i="10"/>
  <c r="T27" i="10"/>
  <c r="U27" i="10"/>
  <c r="Y27" i="10"/>
  <c r="Z27" i="10"/>
  <c r="I34" i="10"/>
  <c r="J34" i="10"/>
  <c r="O34" i="10"/>
  <c r="T34" i="10"/>
  <c r="Y34" i="10"/>
  <c r="I35" i="10"/>
  <c r="J35" i="10"/>
  <c r="O35" i="10"/>
  <c r="T35" i="10"/>
  <c r="Y35" i="10"/>
  <c r="A3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L6" i="9"/>
  <c r="P6" i="9" s="1"/>
  <c r="Z6" i="9"/>
  <c r="AA6" i="9" s="1"/>
  <c r="Y7" i="9"/>
  <c r="Z7" i="9"/>
  <c r="Y8" i="9"/>
  <c r="Z8" i="9"/>
  <c r="Y9" i="9"/>
  <c r="Z9" i="9"/>
  <c r="Y10" i="9"/>
  <c r="Z10" i="9"/>
  <c r="AA10" i="9" s="1"/>
  <c r="Y11" i="9"/>
  <c r="Z11" i="9"/>
  <c r="J12" i="9"/>
  <c r="K12" i="9"/>
  <c r="N12" i="9"/>
  <c r="O12" i="9"/>
  <c r="S12" i="9"/>
  <c r="V12" i="9"/>
  <c r="W12" i="9"/>
  <c r="L13" i="9"/>
  <c r="P13" i="9" s="1"/>
  <c r="T13" i="9" s="1"/>
  <c r="X13" i="9" s="1"/>
  <c r="Y13" i="9"/>
  <c r="Z13" i="9"/>
  <c r="AA13" i="9"/>
  <c r="L14" i="9"/>
  <c r="P14" i="9" s="1"/>
  <c r="Y14" i="9"/>
  <c r="Z14" i="9"/>
  <c r="AA14" i="9" s="1"/>
  <c r="L15" i="9"/>
  <c r="P15" i="9" s="1"/>
  <c r="Y15" i="9"/>
  <c r="Z15" i="9"/>
  <c r="AA15" i="9" s="1"/>
  <c r="Y16" i="9"/>
  <c r="Z16" i="9"/>
  <c r="Y17" i="9"/>
  <c r="Z17" i="9"/>
  <c r="L19" i="9"/>
  <c r="P19" i="9" s="1"/>
  <c r="Z19" i="9"/>
  <c r="AA19" i="9" s="1"/>
  <c r="L20" i="9"/>
  <c r="P20" i="9" s="1"/>
  <c r="Z20" i="9"/>
  <c r="AA20" i="9" s="1"/>
  <c r="J21" i="9"/>
  <c r="K21" i="9"/>
  <c r="N21" i="9"/>
  <c r="O21" i="9"/>
  <c r="S21" i="9"/>
  <c r="L22" i="9"/>
  <c r="P22" i="9" s="1"/>
  <c r="Y22" i="9"/>
  <c r="Z22" i="9"/>
  <c r="AA22" i="9"/>
  <c r="L23" i="9"/>
  <c r="P23" i="9" s="1"/>
  <c r="Y23" i="9"/>
  <c r="Z23" i="9"/>
  <c r="AA23" i="9" s="1"/>
  <c r="Y24" i="9"/>
  <c r="Z24" i="9"/>
  <c r="Y25" i="9"/>
  <c r="Z25" i="9"/>
  <c r="Z26" i="9"/>
  <c r="Z27" i="9"/>
  <c r="L28" i="9"/>
  <c r="P28" i="9" s="1"/>
  <c r="Z28" i="9"/>
  <c r="AA28" i="9" s="1"/>
  <c r="Z29" i="9"/>
  <c r="AA29" i="9" s="1"/>
  <c r="L30" i="9"/>
  <c r="P30" i="9"/>
  <c r="T30" i="9" s="1"/>
  <c r="X30" i="9" s="1"/>
  <c r="Z30" i="9"/>
  <c r="AA30" i="9" s="1"/>
  <c r="Z31" i="9"/>
  <c r="Z32" i="9"/>
  <c r="L33" i="9"/>
  <c r="P33" i="9"/>
  <c r="Z33" i="9"/>
  <c r="Z34" i="9"/>
  <c r="Z35" i="9"/>
  <c r="Z36" i="9"/>
  <c r="Z37" i="9"/>
  <c r="Z38" i="9"/>
  <c r="L39" i="9"/>
  <c r="P39" i="9" s="1"/>
  <c r="Z39" i="9"/>
  <c r="Z40" i="9"/>
  <c r="J41" i="9"/>
  <c r="K41" i="9"/>
  <c r="N41" i="9"/>
  <c r="O41" i="9"/>
  <c r="S41" i="9"/>
  <c r="W41" i="9"/>
  <c r="Q6" i="3"/>
  <c r="Q10" i="3"/>
  <c r="Q11" i="3"/>
  <c r="Q14" i="3"/>
  <c r="Q19" i="3"/>
  <c r="Q22" i="3"/>
  <c r="Q23" i="3"/>
  <c r="Q26" i="3"/>
  <c r="A1" i="2"/>
  <c r="K6" i="2"/>
  <c r="Z6" i="2"/>
  <c r="AJ6" i="2"/>
  <c r="AK6" i="2" s="1"/>
  <c r="K7" i="2"/>
  <c r="O7" i="2"/>
  <c r="S7" i="2" s="1"/>
  <c r="W7" i="2" s="1"/>
  <c r="Z7" i="2"/>
  <c r="AJ7" i="2"/>
  <c r="AK7" i="2"/>
  <c r="K8" i="2"/>
  <c r="O8" i="2"/>
  <c r="S8" i="2"/>
  <c r="W8" i="2" s="1"/>
  <c r="Z8" i="2"/>
  <c r="AJ8" i="2"/>
  <c r="K9" i="2"/>
  <c r="O9" i="2" s="1"/>
  <c r="S9" i="2" s="1"/>
  <c r="W9" i="2" s="1"/>
  <c r="Z9" i="2"/>
  <c r="AJ9" i="2"/>
  <c r="AK9" i="2"/>
  <c r="K10" i="2"/>
  <c r="O10" i="2"/>
  <c r="S10" i="2" s="1"/>
  <c r="W10" i="2"/>
  <c r="Z10" i="2"/>
  <c r="AJ10" i="2"/>
  <c r="AK10" i="2" s="1"/>
  <c r="K11" i="2"/>
  <c r="O11" i="2" s="1"/>
  <c r="S11" i="2" s="1"/>
  <c r="W11" i="2" s="1"/>
  <c r="Z11" i="2"/>
  <c r="AJ11" i="2"/>
  <c r="AK11" i="2" s="1"/>
  <c r="K12" i="2"/>
  <c r="O12" i="2"/>
  <c r="S12" i="2" s="1"/>
  <c r="W12" i="2" s="1"/>
  <c r="Z12" i="2"/>
  <c r="AJ12" i="2"/>
  <c r="AK12" i="2"/>
  <c r="K13" i="2"/>
  <c r="O13" i="2" s="1"/>
  <c r="S13" i="2"/>
  <c r="W13" i="2" s="1"/>
  <c r="X13" i="2"/>
  <c r="X24" i="2" s="1"/>
  <c r="Y13" i="2"/>
  <c r="AJ13" i="2"/>
  <c r="AK13" i="2"/>
  <c r="K14" i="2"/>
  <c r="O14" i="2" s="1"/>
  <c r="S14" i="2"/>
  <c r="W14" i="2" s="1"/>
  <c r="X14" i="2"/>
  <c r="Y14" i="2"/>
  <c r="Z14" i="2"/>
  <c r="AJ14" i="2"/>
  <c r="AK14" i="2" s="1"/>
  <c r="K15" i="2"/>
  <c r="O15" i="2"/>
  <c r="S15" i="2" s="1"/>
  <c r="W15" i="2" s="1"/>
  <c r="X15" i="2"/>
  <c r="Y15" i="2"/>
  <c r="Z15" i="2" s="1"/>
  <c r="K16" i="2"/>
  <c r="O16" i="2" s="1"/>
  <c r="S16" i="2" s="1"/>
  <c r="W16" i="2" s="1"/>
  <c r="X16" i="2"/>
  <c r="Y16" i="2"/>
  <c r="K17" i="2"/>
  <c r="O17" i="2"/>
  <c r="S17" i="2" s="1"/>
  <c r="W17" i="2"/>
  <c r="X17" i="2"/>
  <c r="Y17" i="2"/>
  <c r="Z17" i="2" s="1"/>
  <c r="AJ17" i="2"/>
  <c r="AK17" i="2" s="1"/>
  <c r="K18" i="2"/>
  <c r="O18" i="2" s="1"/>
  <c r="S18" i="2"/>
  <c r="W18" i="2"/>
  <c r="X18" i="2"/>
  <c r="Y18" i="2"/>
  <c r="AJ18" i="2" s="1"/>
  <c r="AK18" i="2" s="1"/>
  <c r="Z18" i="2"/>
  <c r="K19" i="2"/>
  <c r="O19" i="2"/>
  <c r="S19" i="2" s="1"/>
  <c r="W19" i="2" s="1"/>
  <c r="X19" i="2"/>
  <c r="Y19" i="2"/>
  <c r="K20" i="2"/>
  <c r="O20" i="2" s="1"/>
  <c r="S20" i="2" s="1"/>
  <c r="M20" i="2"/>
  <c r="X20" i="2" s="1"/>
  <c r="W20" i="2"/>
  <c r="Y20" i="2"/>
  <c r="Z20" i="2" s="1"/>
  <c r="AJ20" i="2"/>
  <c r="AK20" i="2" s="1"/>
  <c r="I21" i="2"/>
  <c r="K21" i="2"/>
  <c r="O21" i="2" s="1"/>
  <c r="S21" i="2" s="1"/>
  <c r="W21" i="2" s="1"/>
  <c r="M21" i="2"/>
  <c r="X21" i="2"/>
  <c r="Y21" i="2"/>
  <c r="Z21" i="2" s="1"/>
  <c r="S22" i="2"/>
  <c r="W22" i="2"/>
  <c r="X22" i="2"/>
  <c r="Y22" i="2"/>
  <c r="Z22" i="2" s="1"/>
  <c r="E23" i="2"/>
  <c r="I24" i="2"/>
  <c r="J24" i="2"/>
  <c r="M24" i="2"/>
  <c r="N24" i="2"/>
  <c r="Q24" i="2"/>
  <c r="R24" i="2"/>
  <c r="U24" i="2"/>
  <c r="V24" i="2"/>
  <c r="AA24" i="2"/>
  <c r="AB24" i="2"/>
  <c r="AC24" i="2"/>
  <c r="AD24" i="2"/>
  <c r="AE24" i="2"/>
  <c r="AF24" i="2"/>
  <c r="AG24" i="2"/>
  <c r="AH24" i="2"/>
  <c r="AI24" i="2"/>
  <c r="J29" i="2"/>
  <c r="N29" i="2"/>
  <c r="R29" i="2" s="1"/>
  <c r="V29" i="2" s="1"/>
  <c r="Z29" i="2"/>
  <c r="I30" i="2"/>
  <c r="J30" i="2"/>
  <c r="N30" i="2"/>
  <c r="R30" i="2"/>
  <c r="V30" i="2" s="1"/>
  <c r="I31" i="2"/>
  <c r="K7" i="7"/>
  <c r="B1" i="15"/>
  <c r="L6" i="15"/>
  <c r="P6" i="15" s="1"/>
  <c r="T6" i="15" s="1"/>
  <c r="Y6" i="15"/>
  <c r="Y12" i="15" s="1"/>
  <c r="Z6" i="15"/>
  <c r="AA6" i="15" s="1"/>
  <c r="L7" i="15"/>
  <c r="P7" i="15"/>
  <c r="T7" i="15" s="1"/>
  <c r="X7" i="15" s="1"/>
  <c r="Y7" i="15"/>
  <c r="Z7" i="15"/>
  <c r="AA7" i="15" s="1"/>
  <c r="L8" i="15"/>
  <c r="P8" i="15" s="1"/>
  <c r="T8" i="15"/>
  <c r="X8" i="15" s="1"/>
  <c r="Y8" i="15"/>
  <c r="Z8" i="15"/>
  <c r="AA8" i="15"/>
  <c r="L9" i="15"/>
  <c r="P9" i="15" s="1"/>
  <c r="T9" i="15" s="1"/>
  <c r="X9" i="15" s="1"/>
  <c r="Y9" i="15"/>
  <c r="Z9" i="15"/>
  <c r="AA9" i="15" s="1"/>
  <c r="L10" i="15"/>
  <c r="P10" i="15" s="1"/>
  <c r="T10" i="15" s="1"/>
  <c r="X10" i="15" s="1"/>
  <c r="Y10" i="15"/>
  <c r="Z10" i="15"/>
  <c r="AA10" i="15"/>
  <c r="L11" i="15"/>
  <c r="P11" i="15"/>
  <c r="T11" i="15"/>
  <c r="X11" i="15" s="1"/>
  <c r="Y11" i="15"/>
  <c r="Z11" i="15"/>
  <c r="AA11" i="15" s="1"/>
  <c r="F12" i="15"/>
  <c r="J12" i="15"/>
  <c r="K12" i="15"/>
  <c r="N12" i="15"/>
  <c r="O12" i="15"/>
  <c r="P12" i="15"/>
  <c r="R12" i="15"/>
  <c r="S12" i="15"/>
  <c r="V12" i="15"/>
  <c r="V45" i="15" s="1"/>
  <c r="W12" i="15"/>
  <c r="L13" i="15"/>
  <c r="P13" i="15" s="1"/>
  <c r="T13" i="15"/>
  <c r="X13" i="15"/>
  <c r="Y13" i="15"/>
  <c r="Z13" i="15"/>
  <c r="AA13" i="15"/>
  <c r="L14" i="15"/>
  <c r="P14" i="15"/>
  <c r="T14" i="15" s="1"/>
  <c r="X14" i="15" s="1"/>
  <c r="Y14" i="15"/>
  <c r="Z14" i="15"/>
  <c r="AA14" i="15" s="1"/>
  <c r="L15" i="15"/>
  <c r="P15" i="15" s="1"/>
  <c r="T15" i="15" s="1"/>
  <c r="X15" i="15" s="1"/>
  <c r="Y15" i="15"/>
  <c r="Z15" i="15"/>
  <c r="L16" i="15"/>
  <c r="P16" i="15"/>
  <c r="T16" i="15" s="1"/>
  <c r="X16" i="15" s="1"/>
  <c r="Y16" i="15"/>
  <c r="Z16" i="15"/>
  <c r="AA16" i="15"/>
  <c r="L17" i="15"/>
  <c r="P17" i="15" s="1"/>
  <c r="T17" i="15"/>
  <c r="X17" i="15" s="1"/>
  <c r="Y17" i="15"/>
  <c r="Z17" i="15"/>
  <c r="AA17" i="15"/>
  <c r="L18" i="15"/>
  <c r="P18" i="15" s="1"/>
  <c r="T18" i="15" s="1"/>
  <c r="X18" i="15"/>
  <c r="Y18" i="15"/>
  <c r="Z18" i="15"/>
  <c r="AA18" i="15" s="1"/>
  <c r="L19" i="15"/>
  <c r="P19" i="15"/>
  <c r="T19" i="15" s="1"/>
  <c r="X19" i="15" s="1"/>
  <c r="Y19" i="15"/>
  <c r="Z19" i="15"/>
  <c r="AA19" i="15"/>
  <c r="L20" i="15"/>
  <c r="P20" i="15"/>
  <c r="T20" i="15" s="1"/>
  <c r="X20" i="15" s="1"/>
  <c r="Y20" i="15"/>
  <c r="Z20" i="15"/>
  <c r="AA20" i="15" s="1"/>
  <c r="F21" i="15"/>
  <c r="J21" i="15"/>
  <c r="K21" i="15"/>
  <c r="N21" i="15"/>
  <c r="O21" i="15"/>
  <c r="R21" i="15"/>
  <c r="S21" i="15"/>
  <c r="V21" i="15"/>
  <c r="W21" i="15"/>
  <c r="L22" i="15"/>
  <c r="P22" i="15" s="1"/>
  <c r="T22" i="15" s="1"/>
  <c r="X22" i="15" s="1"/>
  <c r="Y22" i="15"/>
  <c r="Z22" i="15"/>
  <c r="AA22" i="15"/>
  <c r="L23" i="15"/>
  <c r="P23" i="15"/>
  <c r="T23" i="15" s="1"/>
  <c r="X23" i="15"/>
  <c r="Y23" i="15"/>
  <c r="Z23" i="15"/>
  <c r="L24" i="15"/>
  <c r="Y24" i="15"/>
  <c r="Z24" i="15"/>
  <c r="AA24" i="15" s="1"/>
  <c r="L25" i="15"/>
  <c r="P25" i="15"/>
  <c r="T25" i="15" s="1"/>
  <c r="X25" i="15" s="1"/>
  <c r="Y25" i="15"/>
  <c r="Z25" i="15"/>
  <c r="AA25" i="15"/>
  <c r="L26" i="15"/>
  <c r="P26" i="15" s="1"/>
  <c r="T26" i="15" s="1"/>
  <c r="X26" i="15" s="1"/>
  <c r="Y26" i="15"/>
  <c r="Z26" i="15"/>
  <c r="AA26" i="15"/>
  <c r="L27" i="15"/>
  <c r="P27" i="15" s="1"/>
  <c r="T27" i="15" s="1"/>
  <c r="X27" i="15" s="1"/>
  <c r="Y27" i="15"/>
  <c r="Z27" i="15"/>
  <c r="AA27" i="15" s="1"/>
  <c r="L28" i="15"/>
  <c r="P28" i="15"/>
  <c r="T28" i="15" s="1"/>
  <c r="X28" i="15" s="1"/>
  <c r="Y28" i="15"/>
  <c r="Z28" i="15"/>
  <c r="AA28" i="15"/>
  <c r="L29" i="15"/>
  <c r="P29" i="15"/>
  <c r="T29" i="15"/>
  <c r="X29" i="15" s="1"/>
  <c r="Y29" i="15"/>
  <c r="Z29" i="15"/>
  <c r="AA29" i="15" s="1"/>
  <c r="L30" i="15"/>
  <c r="P30" i="15" s="1"/>
  <c r="T30" i="15"/>
  <c r="X30" i="15"/>
  <c r="Y30" i="15"/>
  <c r="Z30" i="15"/>
  <c r="AA30" i="15"/>
  <c r="L31" i="15"/>
  <c r="P31" i="15"/>
  <c r="T31" i="15" s="1"/>
  <c r="X31" i="15" s="1"/>
  <c r="Y31" i="15"/>
  <c r="Z31" i="15"/>
  <c r="AA31" i="15" s="1"/>
  <c r="L32" i="15"/>
  <c r="P32" i="15" s="1"/>
  <c r="T32" i="15" s="1"/>
  <c r="X32" i="15" s="1"/>
  <c r="Y32" i="15"/>
  <c r="Z32" i="15"/>
  <c r="AA32" i="15" s="1"/>
  <c r="L33" i="15"/>
  <c r="P33" i="15"/>
  <c r="T33" i="15" s="1"/>
  <c r="X33" i="15" s="1"/>
  <c r="Y33" i="15"/>
  <c r="Z33" i="15"/>
  <c r="AA33" i="15"/>
  <c r="L34" i="15"/>
  <c r="P34" i="15" s="1"/>
  <c r="T34" i="15"/>
  <c r="X34" i="15" s="1"/>
  <c r="Y34" i="15"/>
  <c r="Z34" i="15"/>
  <c r="AA34" i="15"/>
  <c r="L35" i="15"/>
  <c r="P35" i="15" s="1"/>
  <c r="T35" i="15" s="1"/>
  <c r="X35" i="15"/>
  <c r="Y35" i="15"/>
  <c r="Z35" i="15"/>
  <c r="AA35" i="15" s="1"/>
  <c r="L36" i="15"/>
  <c r="P36" i="15" s="1"/>
  <c r="T36" i="15" s="1"/>
  <c r="X36" i="15" s="1"/>
  <c r="Y36" i="15"/>
  <c r="Z36" i="15"/>
  <c r="AA36" i="15"/>
  <c r="L37" i="15"/>
  <c r="P37" i="15"/>
  <c r="T37" i="15" s="1"/>
  <c r="X37" i="15" s="1"/>
  <c r="Y37" i="15"/>
  <c r="Z37" i="15"/>
  <c r="AA37" i="15" s="1"/>
  <c r="L38" i="15"/>
  <c r="P38" i="15" s="1"/>
  <c r="T38" i="15"/>
  <c r="X38" i="15" s="1"/>
  <c r="Y38" i="15"/>
  <c r="Z38" i="15"/>
  <c r="AA38" i="15"/>
  <c r="L39" i="15"/>
  <c r="P39" i="15"/>
  <c r="T39" i="15" s="1"/>
  <c r="X39" i="15" s="1"/>
  <c r="Y39" i="15"/>
  <c r="Z39" i="15"/>
  <c r="AA39" i="15" s="1"/>
  <c r="L40" i="15"/>
  <c r="P40" i="15" s="1"/>
  <c r="T40" i="15" s="1"/>
  <c r="X40" i="15" s="1"/>
  <c r="Y40" i="15"/>
  <c r="Z40" i="15"/>
  <c r="AA40" i="15" s="1"/>
  <c r="L41" i="15"/>
  <c r="P41" i="15"/>
  <c r="T41" i="15" s="1"/>
  <c r="X41" i="15" s="1"/>
  <c r="Y41" i="15"/>
  <c r="Z41" i="15"/>
  <c r="AA41" i="15" s="1"/>
  <c r="L42" i="15"/>
  <c r="P42" i="15" s="1"/>
  <c r="T42" i="15"/>
  <c r="X42" i="15" s="1"/>
  <c r="Y42" i="15"/>
  <c r="Z42" i="15"/>
  <c r="AA42" i="15"/>
  <c r="F43" i="15"/>
  <c r="J43" i="15"/>
  <c r="K43" i="15"/>
  <c r="N43" i="15"/>
  <c r="O43" i="15"/>
  <c r="R43" i="15"/>
  <c r="R45" i="15" s="1"/>
  <c r="S43" i="15"/>
  <c r="S45" i="15" s="1"/>
  <c r="V43" i="15"/>
  <c r="W43" i="15"/>
  <c r="W45" i="15" s="1"/>
  <c r="F45" i="15"/>
  <c r="J45" i="15"/>
  <c r="N45" i="15"/>
  <c r="O45" i="15"/>
  <c r="K51" i="15"/>
  <c r="K52" i="15" s="1"/>
  <c r="O51" i="15"/>
  <c r="R51" i="15"/>
  <c r="R52" i="15" s="1"/>
  <c r="S51" i="15"/>
  <c r="W51" i="15" s="1"/>
  <c r="AA51" i="15"/>
  <c r="J52" i="15"/>
  <c r="O52" i="15"/>
  <c r="S52" i="15"/>
  <c r="W52" i="15" s="1"/>
  <c r="J53" i="15"/>
  <c r="N51" i="15" s="1"/>
  <c r="N52" i="15" s="1"/>
  <c r="N53" i="15"/>
  <c r="A1" i="14"/>
  <c r="L5" i="14"/>
  <c r="P5" i="14"/>
  <c r="Z5" i="14"/>
  <c r="AA5" i="14"/>
  <c r="AB5" i="14"/>
  <c r="L6" i="14"/>
  <c r="P6" i="14"/>
  <c r="T6" i="14"/>
  <c r="Y6" i="14" s="1"/>
  <c r="Z6" i="14"/>
  <c r="AA6" i="14"/>
  <c r="L7" i="14"/>
  <c r="P7" i="14" s="1"/>
  <c r="T7" i="14" s="1"/>
  <c r="Y7" i="14" s="1"/>
  <c r="Z7" i="14"/>
  <c r="AA7" i="14"/>
  <c r="AB7" i="14"/>
  <c r="L8" i="14"/>
  <c r="P8" i="14"/>
  <c r="T8" i="14" s="1"/>
  <c r="Y8" i="14"/>
  <c r="Z8" i="14"/>
  <c r="AA8" i="14"/>
  <c r="AB8" i="14"/>
  <c r="L9" i="14"/>
  <c r="P9" i="14" s="1"/>
  <c r="T9" i="14" s="1"/>
  <c r="Y9" i="14" s="1"/>
  <c r="Z9" i="14"/>
  <c r="AA9" i="14"/>
  <c r="AB9" i="14" s="1"/>
  <c r="L10" i="14"/>
  <c r="P10" i="14"/>
  <c r="T10" i="14" s="1"/>
  <c r="Y10" i="14" s="1"/>
  <c r="Z10" i="14"/>
  <c r="AA10" i="14"/>
  <c r="AB10" i="14" s="1"/>
  <c r="L11" i="14"/>
  <c r="P11" i="14"/>
  <c r="T11" i="14"/>
  <c r="Y11" i="14" s="1"/>
  <c r="Z11" i="14"/>
  <c r="AA11" i="14"/>
  <c r="AB11" i="14"/>
  <c r="L12" i="14"/>
  <c r="P12" i="14" s="1"/>
  <c r="T12" i="14" s="1"/>
  <c r="Y12" i="14" s="1"/>
  <c r="Z12" i="14"/>
  <c r="AA12" i="14"/>
  <c r="AB12" i="14" s="1"/>
  <c r="L13" i="14"/>
  <c r="P13" i="14"/>
  <c r="T13" i="14" s="1"/>
  <c r="Y13" i="14" s="1"/>
  <c r="Z13" i="14"/>
  <c r="AA13" i="14"/>
  <c r="AB13" i="14"/>
  <c r="L14" i="14"/>
  <c r="P14" i="14"/>
  <c r="T14" i="14"/>
  <c r="Y14" i="14" s="1"/>
  <c r="Z14" i="14"/>
  <c r="AA14" i="14"/>
  <c r="AB14" i="14" s="1"/>
  <c r="L15" i="14"/>
  <c r="P15" i="14" s="1"/>
  <c r="T15" i="14" s="1"/>
  <c r="Y15" i="14" s="1"/>
  <c r="Z15" i="14"/>
  <c r="AA15" i="14"/>
  <c r="AB15" i="14"/>
  <c r="L16" i="14"/>
  <c r="P16" i="14"/>
  <c r="T16" i="14" s="1"/>
  <c r="Y16" i="14"/>
  <c r="Z16" i="14"/>
  <c r="AA16" i="14"/>
  <c r="AB16" i="14"/>
  <c r="L17" i="14"/>
  <c r="P17" i="14" s="1"/>
  <c r="T17" i="14" s="1"/>
  <c r="Y17" i="14" s="1"/>
  <c r="Z17" i="14"/>
  <c r="AA17" i="14"/>
  <c r="AB17" i="14" s="1"/>
  <c r="L18" i="14"/>
  <c r="P18" i="14"/>
  <c r="T18" i="14" s="1"/>
  <c r="Y18" i="14" s="1"/>
  <c r="Z18" i="14"/>
  <c r="AA18" i="14"/>
  <c r="AB18" i="14" s="1"/>
  <c r="L19" i="14"/>
  <c r="P19" i="14"/>
  <c r="T19" i="14"/>
  <c r="Y19" i="14" s="1"/>
  <c r="Z19" i="14"/>
  <c r="AA19" i="14"/>
  <c r="AB19" i="14"/>
  <c r="L20" i="14"/>
  <c r="P20" i="14" s="1"/>
  <c r="T20" i="14" s="1"/>
  <c r="Y20" i="14" s="1"/>
  <c r="Z20" i="14"/>
  <c r="AA20" i="14"/>
  <c r="AB20" i="14" s="1"/>
  <c r="L21" i="14"/>
  <c r="P21" i="14"/>
  <c r="T21" i="14" s="1"/>
  <c r="Y21" i="14" s="1"/>
  <c r="Z21" i="14"/>
  <c r="AA21" i="14"/>
  <c r="AB21" i="14"/>
  <c r="L22" i="14"/>
  <c r="P22" i="14"/>
  <c r="T22" i="14"/>
  <c r="Y22" i="14" s="1"/>
  <c r="Z22" i="14"/>
  <c r="AA22" i="14"/>
  <c r="AB22" i="14" s="1"/>
  <c r="L23" i="14"/>
  <c r="P23" i="14" s="1"/>
  <c r="T23" i="14" s="1"/>
  <c r="Y23" i="14" s="1"/>
  <c r="Z23" i="14"/>
  <c r="AA23" i="14"/>
  <c r="AB23" i="14"/>
  <c r="L24" i="14"/>
  <c r="P24" i="14"/>
  <c r="T24" i="14" s="1"/>
  <c r="Y24" i="14"/>
  <c r="Z24" i="14"/>
  <c r="AA24" i="14"/>
  <c r="AB24" i="14"/>
  <c r="L25" i="14"/>
  <c r="P25" i="14" s="1"/>
  <c r="T25" i="14" s="1"/>
  <c r="Y25" i="14" s="1"/>
  <c r="Z25" i="14"/>
  <c r="AA25" i="14"/>
  <c r="AB25" i="14" s="1"/>
  <c r="L26" i="14"/>
  <c r="P26" i="14"/>
  <c r="T26" i="14" s="1"/>
  <c r="Y26" i="14" s="1"/>
  <c r="Z26" i="14"/>
  <c r="AA26" i="14"/>
  <c r="AB26" i="14" s="1"/>
  <c r="P27" i="14"/>
  <c r="T27" i="14"/>
  <c r="Y27" i="14"/>
  <c r="Z27" i="14"/>
  <c r="AA27" i="14"/>
  <c r="AB27" i="14" s="1"/>
  <c r="F28" i="14"/>
  <c r="F29" i="14" s="1"/>
  <c r="I28" i="14"/>
  <c r="J28" i="14"/>
  <c r="K28" i="14"/>
  <c r="L28" i="14"/>
  <c r="M28" i="14"/>
  <c r="N28" i="14"/>
  <c r="O28" i="14"/>
  <c r="Q28" i="14"/>
  <c r="R28" i="14"/>
  <c r="S28" i="14"/>
  <c r="V28" i="14"/>
  <c r="W28" i="14"/>
  <c r="X28" i="14"/>
  <c r="J35" i="14"/>
  <c r="K35" i="14"/>
  <c r="O35" i="14"/>
  <c r="S35" i="14"/>
  <c r="X35" i="14"/>
  <c r="J36" i="14"/>
  <c r="K36" i="14"/>
  <c r="O36" i="14"/>
  <c r="S36" i="14"/>
  <c r="X36" i="14"/>
  <c r="A1" i="13"/>
  <c r="K6" i="13"/>
  <c r="N6" i="13"/>
  <c r="AU6" i="13"/>
  <c r="AV6" i="13"/>
  <c r="AW6" i="13"/>
  <c r="AW9" i="13" s="1"/>
  <c r="AX19" i="13" s="1"/>
  <c r="AX21" i="13" s="1"/>
  <c r="K7" i="13"/>
  <c r="N7" i="13" s="1"/>
  <c r="Q7" i="13" s="1"/>
  <c r="T7" i="13" s="1"/>
  <c r="W7" i="13" s="1"/>
  <c r="AA7" i="13" s="1"/>
  <c r="AD7" i="13" s="1"/>
  <c r="AG7" i="13" s="1"/>
  <c r="AJ7" i="13" s="1"/>
  <c r="AN7" i="13" s="1"/>
  <c r="AQ7" i="13" s="1"/>
  <c r="AT7" i="13" s="1"/>
  <c r="AU7" i="13"/>
  <c r="AV7" i="13"/>
  <c r="AW7" i="13"/>
  <c r="K8" i="13"/>
  <c r="AU8" i="13"/>
  <c r="AV8" i="13"/>
  <c r="AW8" i="13" s="1"/>
  <c r="I9" i="13"/>
  <c r="J9" i="13"/>
  <c r="L9" i="13"/>
  <c r="M9" i="13"/>
  <c r="O9" i="13"/>
  <c r="P9" i="13"/>
  <c r="R9" i="13"/>
  <c r="S9" i="13"/>
  <c r="U9" i="13"/>
  <c r="V9" i="13"/>
  <c r="Y9" i="13"/>
  <c r="Z9" i="13"/>
  <c r="AB9" i="13"/>
  <c r="AC9" i="13"/>
  <c r="AE9" i="13"/>
  <c r="AF9" i="13"/>
  <c r="AH9" i="13"/>
  <c r="AI9" i="13"/>
  <c r="AL9" i="13"/>
  <c r="AM9" i="13"/>
  <c r="AO9" i="13"/>
  <c r="AP9" i="13"/>
  <c r="AR9" i="13"/>
  <c r="AS9" i="13"/>
  <c r="AU9" i="13"/>
  <c r="AV9" i="13"/>
  <c r="AX27" i="13" s="1"/>
  <c r="F10" i="13"/>
  <c r="F12" i="13"/>
  <c r="K13" i="13"/>
  <c r="G15" i="13"/>
  <c r="G16" i="13" s="1"/>
  <c r="BB24" i="13"/>
  <c r="AX26" i="13"/>
  <c r="AX28" i="13" s="1"/>
  <c r="BB29" i="13"/>
  <c r="G2" i="11"/>
  <c r="G3" i="11" s="1"/>
  <c r="G4" i="11" s="1"/>
  <c r="G5" i="11" s="1"/>
  <c r="G6" i="11" s="1"/>
  <c r="G7" i="11" s="1"/>
  <c r="G8" i="11" s="1"/>
  <c r="E9" i="11"/>
  <c r="A1" i="1"/>
  <c r="K5" i="1"/>
  <c r="N5" i="1"/>
  <c r="Q5" i="1"/>
  <c r="T5" i="1"/>
  <c r="W5" i="1"/>
  <c r="Z5" i="1"/>
  <c r="AC5" i="1"/>
  <c r="AF5" i="1"/>
  <c r="AI5" i="1"/>
  <c r="AL5" i="1"/>
  <c r="AO5" i="1"/>
  <c r="AR5" i="1"/>
  <c r="AU5" i="1"/>
  <c r="AW5" i="1"/>
  <c r="K6" i="1"/>
  <c r="N6" i="1"/>
  <c r="Q6" i="1"/>
  <c r="T6" i="1"/>
  <c r="W6" i="1"/>
  <c r="Z6" i="1"/>
  <c r="AC6" i="1"/>
  <c r="AF6" i="1"/>
  <c r="AI6" i="1"/>
  <c r="AL6" i="1"/>
  <c r="AO6" i="1"/>
  <c r="AR6" i="1"/>
  <c r="AU6" i="1"/>
  <c r="AW6" i="1"/>
  <c r="K7" i="1"/>
  <c r="N7" i="1"/>
  <c r="Q7" i="1" s="1"/>
  <c r="T7" i="1" s="1"/>
  <c r="W7" i="1" s="1"/>
  <c r="Z7" i="1" s="1"/>
  <c r="AC7" i="1" s="1"/>
  <c r="AF7" i="1" s="1"/>
  <c r="AI7" i="1" s="1"/>
  <c r="AL7" i="1"/>
  <c r="AS7" i="1"/>
  <c r="AS55" i="1" s="1"/>
  <c r="AT7" i="1"/>
  <c r="AU7" i="1" s="1"/>
  <c r="K8" i="1"/>
  <c r="N8" i="1" s="1"/>
  <c r="Q8" i="1" s="1"/>
  <c r="T8" i="1" s="1"/>
  <c r="W8" i="1" s="1"/>
  <c r="Z8" i="1" s="1"/>
  <c r="AC8" i="1" s="1"/>
  <c r="AF8" i="1" s="1"/>
  <c r="AI8" i="1" s="1"/>
  <c r="AS8" i="1"/>
  <c r="AT8" i="1"/>
  <c r="AU8" i="1" s="1"/>
  <c r="BF8" i="1" s="1"/>
  <c r="K9" i="1"/>
  <c r="N9" i="1" s="1"/>
  <c r="Q9" i="1" s="1"/>
  <c r="T9" i="1" s="1"/>
  <c r="W9" i="1" s="1"/>
  <c r="Z9" i="1" s="1"/>
  <c r="AC9" i="1" s="1"/>
  <c r="AF9" i="1" s="1"/>
  <c r="AI9" i="1"/>
  <c r="AL9" i="1" s="1"/>
  <c r="AO9" i="1" s="1"/>
  <c r="AR9" i="1" s="1"/>
  <c r="AS9" i="1"/>
  <c r="AT9" i="1"/>
  <c r="AU9" i="1" s="1"/>
  <c r="BF9" i="1" s="1"/>
  <c r="K10" i="1"/>
  <c r="N10" i="1" s="1"/>
  <c r="Q10" i="1" s="1"/>
  <c r="T10" i="1" s="1"/>
  <c r="W10" i="1" s="1"/>
  <c r="Z10" i="1" s="1"/>
  <c r="AC10" i="1" s="1"/>
  <c r="AF10" i="1" s="1"/>
  <c r="AI10" i="1" s="1"/>
  <c r="AL10" i="1" s="1"/>
  <c r="AO10" i="1" s="1"/>
  <c r="AR10" i="1" s="1"/>
  <c r="AS10" i="1"/>
  <c r="AT10" i="1"/>
  <c r="AU10" i="1" s="1"/>
  <c r="BF10" i="1"/>
  <c r="K11" i="1"/>
  <c r="N11" i="1" s="1"/>
  <c r="Q11" i="1"/>
  <c r="T11" i="1" s="1"/>
  <c r="W11" i="1"/>
  <c r="Z11" i="1"/>
  <c r="AC11" i="1" s="1"/>
  <c r="AF11" i="1" s="1"/>
  <c r="AI11" i="1" s="1"/>
  <c r="AL11" i="1" s="1"/>
  <c r="AO11" i="1" s="1"/>
  <c r="AR11" i="1" s="1"/>
  <c r="AS11" i="1"/>
  <c r="AT11" i="1"/>
  <c r="AU11" i="1"/>
  <c r="BE11" i="1" s="1"/>
  <c r="BF11" i="1"/>
  <c r="BF15" i="1" s="1"/>
  <c r="K12" i="1"/>
  <c r="N12" i="1"/>
  <c r="Q12" i="1" s="1"/>
  <c r="AS12" i="1"/>
  <c r="AT12" i="1"/>
  <c r="AU12" i="1" s="1"/>
  <c r="BE12" i="1" s="1"/>
  <c r="BF12" i="1"/>
  <c r="K13" i="1"/>
  <c r="N13" i="1" s="1"/>
  <c r="Q13" i="1" s="1"/>
  <c r="T13" i="1" s="1"/>
  <c r="W13" i="1" s="1"/>
  <c r="Z13" i="1" s="1"/>
  <c r="AC13" i="1" s="1"/>
  <c r="AF13" i="1" s="1"/>
  <c r="AI13" i="1" s="1"/>
  <c r="AL13" i="1" s="1"/>
  <c r="AO13" i="1" s="1"/>
  <c r="AR13" i="1" s="1"/>
  <c r="AS13" i="1"/>
  <c r="AT13" i="1"/>
  <c r="AU13" i="1" s="1"/>
  <c r="BE13" i="1"/>
  <c r="BF13" i="1"/>
  <c r="K14" i="1"/>
  <c r="N14" i="1"/>
  <c r="Q14" i="1"/>
  <c r="T14" i="1" s="1"/>
  <c r="W14" i="1" s="1"/>
  <c r="Z14" i="1" s="1"/>
  <c r="AC14" i="1" s="1"/>
  <c r="AF14" i="1"/>
  <c r="AI14" i="1"/>
  <c r="AL14" i="1" s="1"/>
  <c r="AO14" i="1" s="1"/>
  <c r="AR14" i="1" s="1"/>
  <c r="AS14" i="1"/>
  <c r="AT14" i="1"/>
  <c r="AU14" i="1"/>
  <c r="BE14" i="1"/>
  <c r="BF14" i="1"/>
  <c r="AU15" i="1"/>
  <c r="K16" i="1"/>
  <c r="N16" i="1" s="1"/>
  <c r="Q16" i="1" s="1"/>
  <c r="T16" i="1" s="1"/>
  <c r="W16" i="1" s="1"/>
  <c r="Z16" i="1" s="1"/>
  <c r="AC16" i="1" s="1"/>
  <c r="AF16" i="1" s="1"/>
  <c r="AI16" i="1" s="1"/>
  <c r="AL16" i="1" s="1"/>
  <c r="AO16" i="1" s="1"/>
  <c r="AR16" i="1" s="1"/>
  <c r="AS16" i="1"/>
  <c r="AT16" i="1"/>
  <c r="AU16" i="1" s="1"/>
  <c r="K17" i="1"/>
  <c r="N17" i="1" s="1"/>
  <c r="Q17" i="1" s="1"/>
  <c r="T17" i="1"/>
  <c r="W17" i="1"/>
  <c r="Z17" i="1"/>
  <c r="AC17" i="1"/>
  <c r="AF17" i="1" s="1"/>
  <c r="AI17" i="1" s="1"/>
  <c r="AL17" i="1" s="1"/>
  <c r="AO17" i="1" s="1"/>
  <c r="AR17" i="1"/>
  <c r="AS17" i="1"/>
  <c r="AT17" i="1"/>
  <c r="BE17" i="1" s="1"/>
  <c r="BF17" i="1" s="1"/>
  <c r="K18" i="1"/>
  <c r="N18" i="1"/>
  <c r="Q18" i="1"/>
  <c r="T18" i="1"/>
  <c r="W18" i="1"/>
  <c r="Z18" i="1" s="1"/>
  <c r="AC18" i="1" s="1"/>
  <c r="AF18" i="1" s="1"/>
  <c r="AI18" i="1" s="1"/>
  <c r="AL18" i="1" s="1"/>
  <c r="AO18" i="1" s="1"/>
  <c r="AR18" i="1" s="1"/>
  <c r="AS18" i="1"/>
  <c r="AT18" i="1"/>
  <c r="K19" i="1"/>
  <c r="N19" i="1"/>
  <c r="Q19" i="1"/>
  <c r="T19" i="1" s="1"/>
  <c r="W19" i="1" s="1"/>
  <c r="Z19" i="1" s="1"/>
  <c r="AC19" i="1" s="1"/>
  <c r="AF19" i="1" s="1"/>
  <c r="AI19" i="1" s="1"/>
  <c r="AL19" i="1" s="1"/>
  <c r="AO19" i="1" s="1"/>
  <c r="AR19" i="1" s="1"/>
  <c r="AS19" i="1"/>
  <c r="AT19" i="1"/>
  <c r="AU19" i="1" s="1"/>
  <c r="K20" i="1"/>
  <c r="N20" i="1" s="1"/>
  <c r="AS20" i="1"/>
  <c r="AT20" i="1"/>
  <c r="AU20" i="1" s="1"/>
  <c r="BE20" i="1"/>
  <c r="BF20" i="1"/>
  <c r="K21" i="1"/>
  <c r="N21" i="1"/>
  <c r="Q21" i="1"/>
  <c r="T21" i="1" s="1"/>
  <c r="W21" i="1" s="1"/>
  <c r="Z21" i="1" s="1"/>
  <c r="AC21" i="1" s="1"/>
  <c r="AF21" i="1"/>
  <c r="AI21" i="1"/>
  <c r="AL21" i="1" s="1"/>
  <c r="AO21" i="1" s="1"/>
  <c r="AR21" i="1" s="1"/>
  <c r="AS21" i="1"/>
  <c r="AT21" i="1"/>
  <c r="AU21" i="1"/>
  <c r="BE21" i="1"/>
  <c r="BF21" i="1"/>
  <c r="K22" i="1"/>
  <c r="N22" i="1" s="1"/>
  <c r="Q22" i="1" s="1"/>
  <c r="T22" i="1" s="1"/>
  <c r="W22" i="1" s="1"/>
  <c r="Z22" i="1" s="1"/>
  <c r="AC22" i="1" s="1"/>
  <c r="AF22" i="1" s="1"/>
  <c r="AI22" i="1" s="1"/>
  <c r="AL22" i="1" s="1"/>
  <c r="AO22" i="1" s="1"/>
  <c r="AR22" i="1" s="1"/>
  <c r="AS22" i="1"/>
  <c r="AT22" i="1"/>
  <c r="AU22" i="1"/>
  <c r="BE22" i="1"/>
  <c r="BF22" i="1"/>
  <c r="K23" i="1"/>
  <c r="N23" i="1" s="1"/>
  <c r="Q23" i="1" s="1"/>
  <c r="T23" i="1" s="1"/>
  <c r="W23" i="1" s="1"/>
  <c r="Z23" i="1"/>
  <c r="AC23" i="1"/>
  <c r="AF23" i="1"/>
  <c r="AI23" i="1"/>
  <c r="AL23" i="1" s="1"/>
  <c r="AO23" i="1" s="1"/>
  <c r="AR23" i="1" s="1"/>
  <c r="AS23" i="1"/>
  <c r="AT23" i="1"/>
  <c r="AU23" i="1" s="1"/>
  <c r="BF23" i="1"/>
  <c r="K24" i="1"/>
  <c r="N24" i="1" s="1"/>
  <c r="Q24" i="1" s="1"/>
  <c r="T24" i="1" s="1"/>
  <c r="W24" i="1"/>
  <c r="Z24" i="1"/>
  <c r="AC24" i="1"/>
  <c r="AF24" i="1" s="1"/>
  <c r="AI24" i="1" s="1"/>
  <c r="AL24" i="1" s="1"/>
  <c r="AO24" i="1" s="1"/>
  <c r="AR24" i="1" s="1"/>
  <c r="AS24" i="1"/>
  <c r="AT24" i="1"/>
  <c r="AU24" i="1"/>
  <c r="BE24" i="1"/>
  <c r="BF24" i="1"/>
  <c r="K25" i="1"/>
  <c r="N25" i="1" s="1"/>
  <c r="Q25" i="1" s="1"/>
  <c r="T25" i="1"/>
  <c r="W25" i="1" s="1"/>
  <c r="Z25" i="1" s="1"/>
  <c r="AC25" i="1" s="1"/>
  <c r="AF25" i="1" s="1"/>
  <c r="AI25" i="1" s="1"/>
  <c r="AL25" i="1" s="1"/>
  <c r="AO25" i="1" s="1"/>
  <c r="AR25" i="1" s="1"/>
  <c r="AS25" i="1"/>
  <c r="AT25" i="1"/>
  <c r="BE25" i="1" s="1"/>
  <c r="AU25" i="1"/>
  <c r="BF25" i="1"/>
  <c r="K26" i="1"/>
  <c r="N26" i="1"/>
  <c r="Q26" i="1"/>
  <c r="T26" i="1"/>
  <c r="W26" i="1"/>
  <c r="Z26" i="1"/>
  <c r="AC26" i="1" s="1"/>
  <c r="AF26" i="1" s="1"/>
  <c r="AI26" i="1" s="1"/>
  <c r="AL26" i="1" s="1"/>
  <c r="AO26" i="1"/>
  <c r="AR26" i="1"/>
  <c r="AS26" i="1"/>
  <c r="AT26" i="1"/>
  <c r="BF26" i="1"/>
  <c r="K27" i="1"/>
  <c r="N27" i="1"/>
  <c r="Q27" i="1"/>
  <c r="T27" i="1"/>
  <c r="W27" i="1"/>
  <c r="Z27" i="1" s="1"/>
  <c r="AC27" i="1" s="1"/>
  <c r="AF27" i="1" s="1"/>
  <c r="AI27" i="1" s="1"/>
  <c r="AL27" i="1" s="1"/>
  <c r="AO27" i="1" s="1"/>
  <c r="AR27" i="1" s="1"/>
  <c r="AS27" i="1"/>
  <c r="AT27" i="1"/>
  <c r="AU27" i="1" s="1"/>
  <c r="BF27" i="1"/>
  <c r="K28" i="1"/>
  <c r="N28" i="1" s="1"/>
  <c r="Q28" i="1" s="1"/>
  <c r="T28" i="1" s="1"/>
  <c r="W28" i="1" s="1"/>
  <c r="Z28" i="1" s="1"/>
  <c r="AC28" i="1" s="1"/>
  <c r="AF28" i="1" s="1"/>
  <c r="AI28" i="1" s="1"/>
  <c r="AL28" i="1" s="1"/>
  <c r="AO28" i="1" s="1"/>
  <c r="AR28" i="1" s="1"/>
  <c r="AS28" i="1"/>
  <c r="AT28" i="1"/>
  <c r="AU28" i="1" s="1"/>
  <c r="BE28" i="1"/>
  <c r="BF28" i="1"/>
  <c r="K29" i="1"/>
  <c r="N29" i="1"/>
  <c r="Q29" i="1"/>
  <c r="T29" i="1" s="1"/>
  <c r="W29" i="1" s="1"/>
  <c r="Z29" i="1" s="1"/>
  <c r="AC29" i="1"/>
  <c r="AF29" i="1" s="1"/>
  <c r="AI29" i="1" s="1"/>
  <c r="AL29" i="1" s="1"/>
  <c r="AO29" i="1" s="1"/>
  <c r="AR29" i="1" s="1"/>
  <c r="AS29" i="1"/>
  <c r="AT29" i="1"/>
  <c r="AU29" i="1"/>
  <c r="BE29" i="1"/>
  <c r="BF29" i="1"/>
  <c r="K30" i="1"/>
  <c r="N30" i="1" s="1"/>
  <c r="Q30" i="1" s="1"/>
  <c r="T30" i="1" s="1"/>
  <c r="W30" i="1" s="1"/>
  <c r="Z30" i="1" s="1"/>
  <c r="AC30" i="1" s="1"/>
  <c r="AF30" i="1" s="1"/>
  <c r="AI30" i="1" s="1"/>
  <c r="AL30" i="1" s="1"/>
  <c r="AO30" i="1" s="1"/>
  <c r="AR30" i="1" s="1"/>
  <c r="AS30" i="1"/>
  <c r="AT30" i="1"/>
  <c r="AU30" i="1" s="1"/>
  <c r="BE30" i="1"/>
  <c r="BF30" i="1"/>
  <c r="K31" i="1"/>
  <c r="N31" i="1" s="1"/>
  <c r="Q31" i="1" s="1"/>
  <c r="T31" i="1" s="1"/>
  <c r="W31" i="1"/>
  <c r="Z31" i="1"/>
  <c r="AC31" i="1" s="1"/>
  <c r="AF31" i="1" s="1"/>
  <c r="AI31" i="1" s="1"/>
  <c r="AL31" i="1" s="1"/>
  <c r="AO31" i="1" s="1"/>
  <c r="AR31" i="1" s="1"/>
  <c r="AS31" i="1"/>
  <c r="AT31" i="1"/>
  <c r="AU31" i="1"/>
  <c r="BE31" i="1"/>
  <c r="BF31" i="1"/>
  <c r="K32" i="1"/>
  <c r="N32" i="1"/>
  <c r="Q32" i="1"/>
  <c r="T32" i="1"/>
  <c r="W32" i="1"/>
  <c r="Z32" i="1"/>
  <c r="AC32" i="1"/>
  <c r="AF32" i="1"/>
  <c r="AI32" i="1" s="1"/>
  <c r="AL32" i="1" s="1"/>
  <c r="AO32" i="1" s="1"/>
  <c r="AR32" i="1" s="1"/>
  <c r="AS32" i="1"/>
  <c r="AT32" i="1"/>
  <c r="AU32" i="1"/>
  <c r="BE32" i="1"/>
  <c r="BF32" i="1"/>
  <c r="K33" i="1"/>
  <c r="N33" i="1"/>
  <c r="Q33" i="1"/>
  <c r="T33" i="1" s="1"/>
  <c r="W33" i="1" s="1"/>
  <c r="Z33" i="1" s="1"/>
  <c r="AC33" i="1" s="1"/>
  <c r="AF33" i="1" s="1"/>
  <c r="AI33" i="1" s="1"/>
  <c r="AL33" i="1" s="1"/>
  <c r="AO33" i="1" s="1"/>
  <c r="AR33" i="1" s="1"/>
  <c r="AS33" i="1"/>
  <c r="AT33" i="1"/>
  <c r="BE33" i="1" s="1"/>
  <c r="BF33" i="1"/>
  <c r="K34" i="1"/>
  <c r="N34" i="1"/>
  <c r="Q34" i="1"/>
  <c r="T34" i="1"/>
  <c r="W34" i="1"/>
  <c r="Z34" i="1" s="1"/>
  <c r="AC34" i="1" s="1"/>
  <c r="AF34" i="1" s="1"/>
  <c r="AI34" i="1" s="1"/>
  <c r="AL34" i="1" s="1"/>
  <c r="AO34" i="1" s="1"/>
  <c r="AR34" i="1" s="1"/>
  <c r="AS34" i="1"/>
  <c r="AT34" i="1"/>
  <c r="BF34" i="1"/>
  <c r="K35" i="1"/>
  <c r="N35" i="1" s="1"/>
  <c r="Q35" i="1" s="1"/>
  <c r="T35" i="1" s="1"/>
  <c r="W35" i="1" s="1"/>
  <c r="Z35" i="1" s="1"/>
  <c r="AC35" i="1" s="1"/>
  <c r="AF35" i="1" s="1"/>
  <c r="AI35" i="1" s="1"/>
  <c r="AL35" i="1" s="1"/>
  <c r="AO35" i="1" s="1"/>
  <c r="AR35" i="1" s="1"/>
  <c r="AS35" i="1"/>
  <c r="AT35" i="1"/>
  <c r="AU35" i="1" s="1"/>
  <c r="BE35" i="1"/>
  <c r="BF35" i="1"/>
  <c r="K36" i="1"/>
  <c r="N36" i="1"/>
  <c r="Q36" i="1"/>
  <c r="T36" i="1"/>
  <c r="W36" i="1" s="1"/>
  <c r="Z36" i="1" s="1"/>
  <c r="AC36" i="1" s="1"/>
  <c r="AF36" i="1" s="1"/>
  <c r="AI36" i="1" s="1"/>
  <c r="AL36" i="1" s="1"/>
  <c r="AO36" i="1" s="1"/>
  <c r="AR36" i="1" s="1"/>
  <c r="AS36" i="1"/>
  <c r="AT36" i="1"/>
  <c r="AU36" i="1"/>
  <c r="BE36" i="1"/>
  <c r="BF36" i="1"/>
  <c r="K37" i="1"/>
  <c r="N37" i="1"/>
  <c r="Q37" i="1"/>
  <c r="T37" i="1" s="1"/>
  <c r="W37" i="1" s="1"/>
  <c r="Z37" i="1" s="1"/>
  <c r="AC37" i="1"/>
  <c r="AF37" i="1"/>
  <c r="AI37" i="1"/>
  <c r="AL37" i="1" s="1"/>
  <c r="AO37" i="1" s="1"/>
  <c r="AR37" i="1" s="1"/>
  <c r="AS37" i="1"/>
  <c r="AT37" i="1"/>
  <c r="AU37" i="1"/>
  <c r="BE37" i="1"/>
  <c r="BF37" i="1"/>
  <c r="K38" i="1"/>
  <c r="N38" i="1" s="1"/>
  <c r="Q38" i="1" s="1"/>
  <c r="T38" i="1" s="1"/>
  <c r="W38" i="1" s="1"/>
  <c r="Z38" i="1" s="1"/>
  <c r="AC38" i="1" s="1"/>
  <c r="AF38" i="1" s="1"/>
  <c r="AI38" i="1" s="1"/>
  <c r="AL38" i="1" s="1"/>
  <c r="AO38" i="1" s="1"/>
  <c r="AR38" i="1" s="1"/>
  <c r="AS38" i="1"/>
  <c r="AT38" i="1"/>
  <c r="AU38" i="1" s="1"/>
  <c r="BF38" i="1"/>
  <c r="K40" i="1"/>
  <c r="N40" i="1"/>
  <c r="Q40" i="1"/>
  <c r="T40" i="1"/>
  <c r="W40" i="1" s="1"/>
  <c r="Z40" i="1" s="1"/>
  <c r="AC40" i="1" s="1"/>
  <c r="AF40" i="1" s="1"/>
  <c r="AI40" i="1" s="1"/>
  <c r="AL40" i="1" s="1"/>
  <c r="AO40" i="1" s="1"/>
  <c r="AR40" i="1" s="1"/>
  <c r="AS40" i="1"/>
  <c r="AT40" i="1"/>
  <c r="BE40" i="1" s="1"/>
  <c r="AU40" i="1"/>
  <c r="BF40" i="1"/>
  <c r="K41" i="1"/>
  <c r="N41" i="1"/>
  <c r="Q41" i="1"/>
  <c r="T41" i="1"/>
  <c r="W41" i="1"/>
  <c r="Z41" i="1"/>
  <c r="AC41" i="1" s="1"/>
  <c r="AF41" i="1" s="1"/>
  <c r="AI41" i="1" s="1"/>
  <c r="AL41" i="1"/>
  <c r="AO41" i="1" s="1"/>
  <c r="AR41" i="1" s="1"/>
  <c r="AS41" i="1"/>
  <c r="AT41" i="1"/>
  <c r="BF41" i="1"/>
  <c r="K42" i="1"/>
  <c r="N42" i="1"/>
  <c r="Q42" i="1"/>
  <c r="T42" i="1" s="1"/>
  <c r="W42" i="1" s="1"/>
  <c r="Z42" i="1" s="1"/>
  <c r="AC42" i="1" s="1"/>
  <c r="AF42" i="1" s="1"/>
  <c r="AI42" i="1" s="1"/>
  <c r="AL42" i="1" s="1"/>
  <c r="AO42" i="1" s="1"/>
  <c r="AR42" i="1" s="1"/>
  <c r="AS42" i="1"/>
  <c r="AT42" i="1"/>
  <c r="AU42" i="1" s="1"/>
  <c r="BF42" i="1"/>
  <c r="K43" i="1"/>
  <c r="N43" i="1"/>
  <c r="Q43" i="1"/>
  <c r="T43" i="1"/>
  <c r="W43" i="1" s="1"/>
  <c r="Z43" i="1" s="1"/>
  <c r="AC43" i="1" s="1"/>
  <c r="AF43" i="1"/>
  <c r="AI43" i="1"/>
  <c r="AL43" i="1"/>
  <c r="AO43" i="1" s="1"/>
  <c r="AR43" i="1" s="1"/>
  <c r="AS43" i="1"/>
  <c r="AT43" i="1"/>
  <c r="AU43" i="1" s="1"/>
  <c r="BE43" i="1"/>
  <c r="BF43" i="1"/>
  <c r="K44" i="1"/>
  <c r="N44" i="1"/>
  <c r="Q44" i="1" s="1"/>
  <c r="T44" i="1" s="1"/>
  <c r="W44" i="1" s="1"/>
  <c r="Z44" i="1" s="1"/>
  <c r="AC44" i="1" s="1"/>
  <c r="AF44" i="1" s="1"/>
  <c r="AI44" i="1" s="1"/>
  <c r="AL44" i="1" s="1"/>
  <c r="AO44" i="1" s="1"/>
  <c r="AR44" i="1" s="1"/>
  <c r="AS44" i="1"/>
  <c r="AT44" i="1"/>
  <c r="AU44" i="1"/>
  <c r="BE44" i="1"/>
  <c r="BF44" i="1"/>
  <c r="K45" i="1"/>
  <c r="N45" i="1"/>
  <c r="Q45" i="1" s="1"/>
  <c r="T45" i="1" s="1"/>
  <c r="W45" i="1" s="1"/>
  <c r="Z45" i="1"/>
  <c r="AC45" i="1"/>
  <c r="AF45" i="1"/>
  <c r="AI45" i="1" s="1"/>
  <c r="AL45" i="1" s="1"/>
  <c r="AO45" i="1" s="1"/>
  <c r="AR45" i="1" s="1"/>
  <c r="AS45" i="1"/>
  <c r="AT45" i="1"/>
  <c r="AU45" i="1"/>
  <c r="BE45" i="1"/>
  <c r="BF45" i="1"/>
  <c r="BF48" i="1" s="1"/>
  <c r="K46" i="1"/>
  <c r="N46" i="1" s="1"/>
  <c r="Q46" i="1" s="1"/>
  <c r="T46" i="1" s="1"/>
  <c r="W46" i="1" s="1"/>
  <c r="Z46" i="1" s="1"/>
  <c r="AC46" i="1" s="1"/>
  <c r="AF46" i="1" s="1"/>
  <c r="AI46" i="1" s="1"/>
  <c r="AL46" i="1" s="1"/>
  <c r="AO46" i="1" s="1"/>
  <c r="AR46" i="1" s="1"/>
  <c r="AS46" i="1"/>
  <c r="AT46" i="1"/>
  <c r="BE46" i="1" s="1"/>
  <c r="AU46" i="1"/>
  <c r="BF46" i="1"/>
  <c r="K47" i="1"/>
  <c r="N47" i="1" s="1"/>
  <c r="Q47" i="1" s="1"/>
  <c r="T47" i="1"/>
  <c r="W47" i="1"/>
  <c r="Z47" i="1"/>
  <c r="AC47" i="1"/>
  <c r="AF47" i="1"/>
  <c r="AI47" i="1" s="1"/>
  <c r="AL47" i="1" s="1"/>
  <c r="AO47" i="1" s="1"/>
  <c r="AR47" i="1" s="1"/>
  <c r="AS47" i="1"/>
  <c r="AT47" i="1"/>
  <c r="AU47" i="1"/>
  <c r="K48" i="1"/>
  <c r="N48" i="1" s="1"/>
  <c r="Q48" i="1" s="1"/>
  <c r="T48" i="1" s="1"/>
  <c r="W48" i="1"/>
  <c r="Z48" i="1"/>
  <c r="AC48" i="1"/>
  <c r="AF48" i="1" s="1"/>
  <c r="AI48" i="1" s="1"/>
  <c r="AL48" i="1" s="1"/>
  <c r="AO48" i="1" s="1"/>
  <c r="AR48" i="1" s="1"/>
  <c r="AS48" i="1"/>
  <c r="AT48" i="1"/>
  <c r="AU48" i="1"/>
  <c r="K49" i="1"/>
  <c r="N49" i="1" s="1"/>
  <c r="Q49" i="1" s="1"/>
  <c r="T49" i="1" s="1"/>
  <c r="W49" i="1"/>
  <c r="Z49" i="1" s="1"/>
  <c r="AC49" i="1" s="1"/>
  <c r="AF49" i="1" s="1"/>
  <c r="AI49" i="1" s="1"/>
  <c r="AL49" i="1" s="1"/>
  <c r="AO49" i="1" s="1"/>
  <c r="AR49" i="1" s="1"/>
  <c r="AS49" i="1"/>
  <c r="AT49" i="1"/>
  <c r="AU49" i="1"/>
  <c r="K50" i="1"/>
  <c r="N50" i="1" s="1"/>
  <c r="Q50" i="1" s="1"/>
  <c r="T50" i="1" s="1"/>
  <c r="W50" i="1" s="1"/>
  <c r="Z50" i="1" s="1"/>
  <c r="AC50" i="1" s="1"/>
  <c r="AF50" i="1" s="1"/>
  <c r="AI50" i="1" s="1"/>
  <c r="AL50" i="1" s="1"/>
  <c r="AO50" i="1" s="1"/>
  <c r="AR50" i="1" s="1"/>
  <c r="AS50" i="1"/>
  <c r="AT50" i="1"/>
  <c r="AU50" i="1" s="1"/>
  <c r="K51" i="1"/>
  <c r="N51" i="1"/>
  <c r="Q51" i="1"/>
  <c r="T51" i="1"/>
  <c r="W51" i="1" s="1"/>
  <c r="Z51" i="1"/>
  <c r="AC51" i="1"/>
  <c r="AF51" i="1" s="1"/>
  <c r="AI51" i="1" s="1"/>
  <c r="AL51" i="1" s="1"/>
  <c r="AO51" i="1" s="1"/>
  <c r="AR51" i="1" s="1"/>
  <c r="AS51" i="1"/>
  <c r="AT51" i="1"/>
  <c r="AU51" i="1"/>
  <c r="I52" i="1"/>
  <c r="J52" i="1"/>
  <c r="L52" i="1"/>
  <c r="M52" i="1"/>
  <c r="AT52" i="1" s="1"/>
  <c r="O52" i="1"/>
  <c r="AS52" i="1" s="1"/>
  <c r="P52" i="1"/>
  <c r="R52" i="1"/>
  <c r="S52" i="1"/>
  <c r="U52" i="1"/>
  <c r="V52" i="1"/>
  <c r="X52" i="1"/>
  <c r="Y52" i="1"/>
  <c r="AA52" i="1"/>
  <c r="AB52" i="1"/>
  <c r="AD52" i="1"/>
  <c r="AE52" i="1"/>
  <c r="AG52" i="1"/>
  <c r="AH52" i="1"/>
  <c r="AJ52" i="1"/>
  <c r="AK52" i="1"/>
  <c r="AM52" i="1"/>
  <c r="AN52" i="1"/>
  <c r="AP52" i="1"/>
  <c r="AQ52" i="1"/>
  <c r="F53" i="1"/>
  <c r="F55" i="1"/>
  <c r="F57" i="1" s="1"/>
  <c r="AV55" i="1"/>
  <c r="AW55" i="1"/>
  <c r="AX55" i="1"/>
  <c r="AY55" i="1"/>
  <c r="AZ55" i="1"/>
  <c r="BA55" i="1"/>
  <c r="BB55" i="1"/>
  <c r="BC55" i="1"/>
  <c r="BD55" i="1"/>
  <c r="K56" i="1"/>
  <c r="W56" i="1"/>
  <c r="Z56" i="1" s="1"/>
  <c r="AC56" i="1" s="1"/>
  <c r="AF56" i="1" s="1"/>
  <c r="AI56" i="1" s="1"/>
  <c r="AL56" i="1" s="1"/>
  <c r="AO56" i="1" s="1"/>
  <c r="AR56" i="1" s="1"/>
  <c r="L62" i="1"/>
  <c r="O62" i="1"/>
  <c r="R62" i="1"/>
  <c r="U62" i="1" s="1"/>
  <c r="X62" i="1" s="1"/>
  <c r="AA62" i="1" s="1"/>
  <c r="AD62" i="1" s="1"/>
  <c r="AG62" i="1" s="1"/>
  <c r="AJ62" i="1" s="1"/>
  <c r="AM62" i="1" s="1"/>
  <c r="AP62" i="1" s="1"/>
  <c r="R12" i="9"/>
  <c r="AD23" i="10"/>
  <c r="T15" i="9"/>
  <c r="X15" i="9" s="1"/>
  <c r="L18" i="10"/>
  <c r="Q18" i="10" s="1"/>
  <c r="V18" i="10" s="1"/>
  <c r="AA18" i="10" s="1"/>
  <c r="AD9" i="10" l="1"/>
  <c r="Q20" i="10"/>
  <c r="V20" i="10" s="1"/>
  <c r="AA8" i="9"/>
  <c r="I20" i="9"/>
  <c r="R20" i="9"/>
  <c r="R19" i="9"/>
  <c r="I19" i="9"/>
  <c r="R28" i="9"/>
  <c r="Y28" i="9" s="1"/>
  <c r="V28" i="9"/>
  <c r="R39" i="9"/>
  <c r="Y39" i="9" s="1"/>
  <c r="V39" i="9"/>
  <c r="R33" i="9"/>
  <c r="V33" i="9"/>
  <c r="R32" i="9"/>
  <c r="V32" i="9"/>
  <c r="R31" i="9"/>
  <c r="V31" i="9"/>
  <c r="R29" i="9"/>
  <c r="V29" i="9"/>
  <c r="L18" i="9"/>
  <c r="P18" i="9" s="1"/>
  <c r="T18" i="9" s="1"/>
  <c r="W18" i="9"/>
  <c r="R18" i="9"/>
  <c r="I18" i="9"/>
  <c r="L27" i="9"/>
  <c r="P27" i="9" s="1"/>
  <c r="T27" i="9" s="1"/>
  <c r="R27" i="9"/>
  <c r="V27" i="9"/>
  <c r="R26" i="9"/>
  <c r="V26" i="9"/>
  <c r="R30" i="9"/>
  <c r="V30" i="9"/>
  <c r="AA33" i="9"/>
  <c r="L17" i="9"/>
  <c r="P17" i="9" s="1"/>
  <c r="T17" i="9" s="1"/>
  <c r="X17" i="9" s="1"/>
  <c r="I17" i="9"/>
  <c r="V40" i="9"/>
  <c r="R40" i="9"/>
  <c r="Y40" i="9" s="1"/>
  <c r="R38" i="9"/>
  <c r="Y38" i="9" s="1"/>
  <c r="V38" i="9"/>
  <c r="R37" i="9"/>
  <c r="V37" i="9"/>
  <c r="L38" i="9"/>
  <c r="P38" i="9" s="1"/>
  <c r="R36" i="9"/>
  <c r="Y36" i="9" s="1"/>
  <c r="V36" i="9"/>
  <c r="AA37" i="9"/>
  <c r="R35" i="9"/>
  <c r="V35" i="9"/>
  <c r="R34" i="9"/>
  <c r="V34" i="9"/>
  <c r="S23" i="3"/>
  <c r="R23" i="3"/>
  <c r="S14" i="3"/>
  <c r="R14" i="3"/>
  <c r="R22" i="3"/>
  <c r="S22" i="3"/>
  <c r="R19" i="3"/>
  <c r="S19" i="3"/>
  <c r="S11" i="3"/>
  <c r="R11" i="3"/>
  <c r="S10" i="3"/>
  <c r="R10" i="3"/>
  <c r="S30" i="3"/>
  <c r="R30" i="3"/>
  <c r="R7" i="3"/>
  <c r="S7" i="3"/>
  <c r="R6" i="3"/>
  <c r="S6" i="3"/>
  <c r="S29" i="3"/>
  <c r="R29" i="3"/>
  <c r="S28" i="3"/>
  <c r="R28" i="3"/>
  <c r="R25" i="3"/>
  <c r="S25" i="3"/>
  <c r="S31" i="3"/>
  <c r="R31" i="3"/>
  <c r="S24" i="3"/>
  <c r="R24" i="3"/>
  <c r="R20" i="3"/>
  <c r="S20" i="3"/>
  <c r="R18" i="3"/>
  <c r="S18" i="3"/>
  <c r="R17" i="3"/>
  <c r="S17" i="3"/>
  <c r="T5" i="3"/>
  <c r="S27" i="3"/>
  <c r="R27" i="3"/>
  <c r="S16" i="3"/>
  <c r="R16" i="3"/>
  <c r="R9" i="3"/>
  <c r="S9" i="3"/>
  <c r="S15" i="3"/>
  <c r="R15" i="3"/>
  <c r="R8" i="3"/>
  <c r="S8" i="3"/>
  <c r="S26" i="3"/>
  <c r="R26" i="3"/>
  <c r="S12" i="3"/>
  <c r="R12" i="3"/>
  <c r="T21" i="3"/>
  <c r="AT14" i="7"/>
  <c r="AA17" i="9"/>
  <c r="AA35" i="9"/>
  <c r="L40" i="9"/>
  <c r="P40" i="9" s="1"/>
  <c r="T40" i="9" s="1"/>
  <c r="X40" i="9" s="1"/>
  <c r="AA24" i="9"/>
  <c r="AA11" i="9"/>
  <c r="AA36" i="9"/>
  <c r="L26" i="9"/>
  <c r="P26" i="9" s="1"/>
  <c r="L36" i="9"/>
  <c r="P36" i="9" s="1"/>
  <c r="L35" i="9"/>
  <c r="P35" i="9" s="1"/>
  <c r="T35" i="9" s="1"/>
  <c r="AA27" i="9"/>
  <c r="AA26" i="9"/>
  <c r="L37" i="9"/>
  <c r="P37" i="9" s="1"/>
  <c r="T37" i="9" s="1"/>
  <c r="X37" i="9" s="1"/>
  <c r="K10" i="7"/>
  <c r="N10" i="7" s="1"/>
  <c r="AA25" i="9"/>
  <c r="L32" i="9"/>
  <c r="P32" i="9" s="1"/>
  <c r="T32" i="9" s="1"/>
  <c r="X32" i="9" s="1"/>
  <c r="AA34" i="9"/>
  <c r="Z11" i="7"/>
  <c r="N6" i="7"/>
  <c r="Q6" i="7" s="1"/>
  <c r="N11" i="7"/>
  <c r="AU10" i="7"/>
  <c r="N7" i="7"/>
  <c r="N9" i="7"/>
  <c r="AD12" i="10"/>
  <c r="T11" i="9"/>
  <c r="X11" i="9" s="1"/>
  <c r="T10" i="9"/>
  <c r="X10" i="9" s="1"/>
  <c r="W10" i="7"/>
  <c r="AD20" i="10"/>
  <c r="AD14" i="10"/>
  <c r="AD7" i="10"/>
  <c r="L13" i="10"/>
  <c r="Q13" i="10" s="1"/>
  <c r="V13" i="10" s="1"/>
  <c r="AA13" i="10" s="1"/>
  <c r="AD11" i="10"/>
  <c r="L17" i="10"/>
  <c r="Q17" i="10" s="1"/>
  <c r="V17" i="10" s="1"/>
  <c r="AA17" i="10" s="1"/>
  <c r="T22" i="9"/>
  <c r="X22" i="9" s="1"/>
  <c r="T14" i="9"/>
  <c r="X14" i="9" s="1"/>
  <c r="AD6" i="10"/>
  <c r="T23" i="9"/>
  <c r="X23" i="9" s="1"/>
  <c r="E27" i="10"/>
  <c r="E28" i="10" s="1"/>
  <c r="L8" i="10"/>
  <c r="Q8" i="10" s="1"/>
  <c r="V8" i="10" s="1"/>
  <c r="AA8" i="10" s="1"/>
  <c r="L24" i="10"/>
  <c r="Q24" i="10" s="1"/>
  <c r="S24" i="10" s="1"/>
  <c r="AD5" i="10"/>
  <c r="AU6" i="7"/>
  <c r="AA38" i="9"/>
  <c r="AU9" i="7"/>
  <c r="T6" i="9"/>
  <c r="X6" i="9" s="1"/>
  <c r="AA7" i="9"/>
  <c r="T12" i="1"/>
  <c r="AL8" i="1"/>
  <c r="Q20" i="1"/>
  <c r="T20" i="1" s="1"/>
  <c r="W20" i="1" s="1"/>
  <c r="Z20" i="1" s="1"/>
  <c r="AC20" i="1" s="1"/>
  <c r="AF20" i="1" s="1"/>
  <c r="AI20" i="1" s="1"/>
  <c r="AL20" i="1" s="1"/>
  <c r="AO20" i="1" s="1"/>
  <c r="AR20" i="1" s="1"/>
  <c r="N55" i="1"/>
  <c r="N57" i="1" s="1"/>
  <c r="AO7" i="1"/>
  <c r="AR7" i="1"/>
  <c r="X21" i="15"/>
  <c r="M31" i="2"/>
  <c r="M29" i="2"/>
  <c r="M30" i="2" s="1"/>
  <c r="AB6" i="14"/>
  <c r="AA28" i="14"/>
  <c r="AD42" i="14" s="1"/>
  <c r="AU18" i="1"/>
  <c r="BE18" i="1"/>
  <c r="BF18" i="1" s="1"/>
  <c r="K12" i="13"/>
  <c r="K14" i="13" s="1"/>
  <c r="N8" i="13"/>
  <c r="Q8" i="13" s="1"/>
  <c r="T8" i="13" s="1"/>
  <c r="W8" i="13" s="1"/>
  <c r="AA8" i="13" s="1"/>
  <c r="AD8" i="13" s="1"/>
  <c r="AG8" i="13" s="1"/>
  <c r="AJ8" i="13" s="1"/>
  <c r="AN8" i="13" s="1"/>
  <c r="AQ8" i="13" s="1"/>
  <c r="AT8" i="13" s="1"/>
  <c r="P21" i="15"/>
  <c r="AC27" i="10"/>
  <c r="T5" i="14"/>
  <c r="P28" i="14"/>
  <c r="AU41" i="1"/>
  <c r="AU53" i="1" s="1"/>
  <c r="BE41" i="1"/>
  <c r="P24" i="15"/>
  <c r="T24" i="15" s="1"/>
  <c r="X24" i="15" s="1"/>
  <c r="X43" i="15" s="1"/>
  <c r="L43" i="15"/>
  <c r="Z19" i="2"/>
  <c r="AJ19" i="2"/>
  <c r="AK19" i="2" s="1"/>
  <c r="AB25" i="10"/>
  <c r="L20" i="13"/>
  <c r="O20" i="13" s="1"/>
  <c r="R20" i="13" s="1"/>
  <c r="U20" i="13" s="1"/>
  <c r="Y20" i="13" s="1"/>
  <c r="AB20" i="13" s="1"/>
  <c r="AE20" i="13" s="1"/>
  <c r="AH20" i="13" s="1"/>
  <c r="AL20" i="13" s="1"/>
  <c r="AO20" i="13" s="1"/>
  <c r="AR20" i="13" s="1"/>
  <c r="P23" i="13"/>
  <c r="Z23" i="13" s="1"/>
  <c r="AI23" i="13" s="1"/>
  <c r="AS23" i="13" s="1"/>
  <c r="AA15" i="15"/>
  <c r="Z21" i="15"/>
  <c r="K55" i="1"/>
  <c r="K57" i="1" s="1"/>
  <c r="AT55" i="1"/>
  <c r="BE23" i="1"/>
  <c r="AU17" i="1"/>
  <c r="Z43" i="15"/>
  <c r="AK8" i="2"/>
  <c r="BE38" i="1"/>
  <c r="AU33" i="1"/>
  <c r="AU26" i="1"/>
  <c r="BE26" i="1"/>
  <c r="BE16" i="1"/>
  <c r="BF16" i="1" s="1"/>
  <c r="F12" i="9"/>
  <c r="L9" i="9"/>
  <c r="P9" i="9" s="1"/>
  <c r="AU34" i="1"/>
  <c r="BE34" i="1"/>
  <c r="N13" i="13"/>
  <c r="G17" i="13"/>
  <c r="Z28" i="14"/>
  <c r="AD41" i="14" s="1"/>
  <c r="AD43" i="14" s="1"/>
  <c r="AA21" i="15"/>
  <c r="Y43" i="15"/>
  <c r="AA12" i="15"/>
  <c r="AA45" i="15" s="1"/>
  <c r="AD51" i="15" s="1"/>
  <c r="AD53" i="15" s="1"/>
  <c r="Z16" i="2"/>
  <c r="Z24" i="2" s="1"/>
  <c r="AJ16" i="2"/>
  <c r="AK16" i="2" s="1"/>
  <c r="AK24" i="2" s="1"/>
  <c r="L21" i="15"/>
  <c r="Y21" i="15"/>
  <c r="Y45" i="15" s="1"/>
  <c r="AD56" i="15" s="1"/>
  <c r="AD58" i="15" s="1"/>
  <c r="T21" i="15"/>
  <c r="X6" i="15"/>
  <c r="X12" i="15" s="1"/>
  <c r="T12" i="15"/>
  <c r="BE42" i="1"/>
  <c r="BE27" i="1"/>
  <c r="BE19" i="1"/>
  <c r="BF19" i="1" s="1"/>
  <c r="J37" i="14"/>
  <c r="J41" i="14"/>
  <c r="N41" i="14" s="1"/>
  <c r="R41" i="14" s="1"/>
  <c r="W41" i="14" s="1"/>
  <c r="AB28" i="14"/>
  <c r="AD34" i="14" s="1"/>
  <c r="AD36" i="14" s="1"/>
  <c r="BB21" i="13" s="1"/>
  <c r="BB26" i="13" s="1"/>
  <c r="Z12" i="15"/>
  <c r="Z45" i="15" s="1"/>
  <c r="AD57" i="15" s="1"/>
  <c r="L12" i="15"/>
  <c r="L45" i="15" s="1"/>
  <c r="Y24" i="2"/>
  <c r="AJ15" i="2"/>
  <c r="AK15" i="2" s="1"/>
  <c r="O6" i="2"/>
  <c r="K24" i="2"/>
  <c r="AA40" i="9"/>
  <c r="I36" i="10"/>
  <c r="N34" i="10" s="1"/>
  <c r="N35" i="10" s="1"/>
  <c r="J40" i="10"/>
  <c r="AU8" i="7"/>
  <c r="K8" i="7"/>
  <c r="Q6" i="13"/>
  <c r="R53" i="15"/>
  <c r="K45" i="15"/>
  <c r="K56" i="15" s="1"/>
  <c r="O56" i="15" s="1"/>
  <c r="S56" i="15" s="1"/>
  <c r="W56" i="15" s="1"/>
  <c r="AA23" i="15"/>
  <c r="AA43" i="15" s="1"/>
  <c r="U5" i="3"/>
  <c r="W5" i="3" s="1"/>
  <c r="AA9" i="9"/>
  <c r="AD10" i="10"/>
  <c r="AD22" i="10"/>
  <c r="S20" i="10"/>
  <c r="Q22" i="10"/>
  <c r="AD19" i="10"/>
  <c r="Y12" i="9"/>
  <c r="AA39" i="9"/>
  <c r="AA31" i="9"/>
  <c r="T39" i="9"/>
  <c r="X39" i="9" s="1"/>
  <c r="T29" i="9"/>
  <c r="X29" i="9" s="1"/>
  <c r="Z41" i="9"/>
  <c r="T20" i="9"/>
  <c r="AA16" i="9"/>
  <c r="Z12" i="9"/>
  <c r="T34" i="9"/>
  <c r="X34" i="9" s="1"/>
  <c r="T28" i="9"/>
  <c r="X28" i="9" s="1"/>
  <c r="T26" i="9"/>
  <c r="X26" i="9" s="1"/>
  <c r="T25" i="9"/>
  <c r="X25" i="9" s="1"/>
  <c r="T38" i="9"/>
  <c r="X38" i="9" s="1"/>
  <c r="AA32" i="9"/>
  <c r="T33" i="9"/>
  <c r="X33" i="9" s="1"/>
  <c r="L31" i="9"/>
  <c r="P31" i="9" s="1"/>
  <c r="T36" i="9"/>
  <c r="X36" i="9" s="1"/>
  <c r="F41" i="9"/>
  <c r="P24" i="9"/>
  <c r="T19" i="9"/>
  <c r="F21" i="9"/>
  <c r="P16" i="9"/>
  <c r="T9" i="9"/>
  <c r="X9" i="9" s="1"/>
  <c r="T8" i="9"/>
  <c r="X8" i="9" s="1"/>
  <c r="T7" i="9"/>
  <c r="U21" i="3"/>
  <c r="Q13" i="3"/>
  <c r="V23" i="10"/>
  <c r="S23" i="10"/>
  <c r="N19" i="10"/>
  <c r="Q19" i="10"/>
  <c r="AA20" i="10"/>
  <c r="X20" i="10"/>
  <c r="G9" i="11"/>
  <c r="I8" i="11"/>
  <c r="N21" i="10"/>
  <c r="Q21" i="10"/>
  <c r="Q5" i="10"/>
  <c r="N23" i="10"/>
  <c r="AD21" i="10"/>
  <c r="L10" i="10"/>
  <c r="Q10" i="10" s="1"/>
  <c r="V10" i="10" s="1"/>
  <c r="AA10" i="10" s="1"/>
  <c r="AD15" i="10"/>
  <c r="AD16" i="10"/>
  <c r="X18" i="9" l="1"/>
  <c r="V18" i="9"/>
  <c r="V21" i="9" s="1"/>
  <c r="X27" i="9"/>
  <c r="Y31" i="9"/>
  <c r="Y34" i="9"/>
  <c r="Y35" i="9"/>
  <c r="V41" i="9"/>
  <c r="Y33" i="9"/>
  <c r="Y26" i="9"/>
  <c r="R41" i="9"/>
  <c r="Y32" i="9"/>
  <c r="Y30" i="9"/>
  <c r="L21" i="9"/>
  <c r="Y27" i="9"/>
  <c r="Y29" i="9"/>
  <c r="X20" i="9"/>
  <c r="V20" i="9"/>
  <c r="Y37" i="9"/>
  <c r="X19" i="9"/>
  <c r="V19" i="9"/>
  <c r="R21" i="9"/>
  <c r="Y19" i="9"/>
  <c r="W21" i="9"/>
  <c r="Z18" i="9"/>
  <c r="Y20" i="9"/>
  <c r="T16" i="3"/>
  <c r="T25" i="3"/>
  <c r="T20" i="3"/>
  <c r="T22" i="3"/>
  <c r="T24" i="3"/>
  <c r="T14" i="3"/>
  <c r="T15" i="3"/>
  <c r="T26" i="3"/>
  <c r="T7" i="3"/>
  <c r="S13" i="3"/>
  <c r="S33" i="3" s="1"/>
  <c r="R13" i="3"/>
  <c r="T17" i="3"/>
  <c r="T31" i="3"/>
  <c r="T11" i="3"/>
  <c r="T23" i="3"/>
  <c r="T19" i="3"/>
  <c r="T9" i="3"/>
  <c r="T28" i="3"/>
  <c r="T8" i="3"/>
  <c r="T29" i="3"/>
  <c r="T30" i="3"/>
  <c r="T27" i="3"/>
  <c r="V21" i="3"/>
  <c r="W21" i="3"/>
  <c r="T10" i="3"/>
  <c r="T12" i="3"/>
  <c r="T6" i="3"/>
  <c r="T18" i="3"/>
  <c r="Y5" i="3"/>
  <c r="V5" i="3"/>
  <c r="X5" i="3" s="1"/>
  <c r="AC11" i="7"/>
  <c r="AF11" i="7" s="1"/>
  <c r="Q7" i="7"/>
  <c r="T7" i="7" s="1"/>
  <c r="W7" i="7" s="1"/>
  <c r="AU14" i="7"/>
  <c r="X35" i="9"/>
  <c r="AA12" i="9"/>
  <c r="Z10" i="7"/>
  <c r="Q11" i="7"/>
  <c r="T11" i="7" s="1"/>
  <c r="N8" i="7"/>
  <c r="Q9" i="7"/>
  <c r="T9" i="7" s="1"/>
  <c r="Q10" i="7"/>
  <c r="T10" i="7" s="1"/>
  <c r="P12" i="9"/>
  <c r="N24" i="10"/>
  <c r="N27" i="10" s="1"/>
  <c r="V24" i="10"/>
  <c r="AA24" i="10" s="1"/>
  <c r="T45" i="15"/>
  <c r="Q29" i="2"/>
  <c r="Q30" i="2" s="1"/>
  <c r="Q31" i="2"/>
  <c r="AJ24" i="2"/>
  <c r="AO8" i="1"/>
  <c r="AR8" i="1" s="1"/>
  <c r="F43" i="9"/>
  <c r="V51" i="15"/>
  <c r="V52" i="15" s="1"/>
  <c r="V53" i="15"/>
  <c r="Z51" i="15" s="1"/>
  <c r="N37" i="14"/>
  <c r="N35" i="14"/>
  <c r="N36" i="14" s="1"/>
  <c r="BE55" i="1"/>
  <c r="AU39" i="1"/>
  <c r="AU55" i="1" s="1"/>
  <c r="AD27" i="10"/>
  <c r="N12" i="13"/>
  <c r="N14" i="13" s="1"/>
  <c r="O24" i="2"/>
  <c r="S6" i="2"/>
  <c r="T43" i="15"/>
  <c r="BF39" i="1"/>
  <c r="BF55" i="1" s="1"/>
  <c r="Y5" i="14"/>
  <c r="Y28" i="14" s="1"/>
  <c r="T28" i="14"/>
  <c r="Q55" i="1"/>
  <c r="Q57" i="1" s="1"/>
  <c r="X45" i="15"/>
  <c r="L12" i="9"/>
  <c r="P43" i="15"/>
  <c r="P45" i="15" s="1"/>
  <c r="T6" i="13"/>
  <c r="Q12" i="13"/>
  <c r="Q13" i="13"/>
  <c r="G18" i="13"/>
  <c r="W12" i="1"/>
  <c r="T55" i="1"/>
  <c r="T57" i="1" s="1"/>
  <c r="V22" i="10"/>
  <c r="S22" i="10"/>
  <c r="AB20" i="10"/>
  <c r="L27" i="10"/>
  <c r="AA41" i="9"/>
  <c r="L41" i="9"/>
  <c r="T31" i="9"/>
  <c r="X31" i="9" s="1"/>
  <c r="T24" i="9"/>
  <c r="P41" i="9"/>
  <c r="T16" i="9"/>
  <c r="P21" i="9"/>
  <c r="X7" i="9"/>
  <c r="X12" i="9" s="1"/>
  <c r="T12" i="9"/>
  <c r="Q33" i="3"/>
  <c r="M33" i="3"/>
  <c r="T6" i="7"/>
  <c r="V5" i="10"/>
  <c r="Q27" i="10"/>
  <c r="S21" i="10"/>
  <c r="V21" i="10"/>
  <c r="V19" i="10"/>
  <c r="S19" i="10"/>
  <c r="I9" i="11"/>
  <c r="G10" i="11"/>
  <c r="X23" i="10"/>
  <c r="AB23" i="10" s="1"/>
  <c r="AA23" i="10"/>
  <c r="AA18" i="9" l="1"/>
  <c r="AA21" i="9" s="1"/>
  <c r="Z21" i="9"/>
  <c r="Y18" i="9"/>
  <c r="Y21" i="9" s="1"/>
  <c r="Y41" i="9"/>
  <c r="U10" i="3"/>
  <c r="U22" i="3"/>
  <c r="T13" i="3"/>
  <c r="U18" i="3"/>
  <c r="R33" i="3"/>
  <c r="U27" i="3"/>
  <c r="U6" i="3"/>
  <c r="U28" i="3"/>
  <c r="U14" i="3"/>
  <c r="U19" i="3"/>
  <c r="U29" i="3"/>
  <c r="Z21" i="3"/>
  <c r="X21" i="3"/>
  <c r="U23" i="3"/>
  <c r="U11" i="3"/>
  <c r="U15" i="3"/>
  <c r="U8" i="3"/>
  <c r="U12" i="3"/>
  <c r="U25" i="3"/>
  <c r="U20" i="3"/>
  <c r="U30" i="3"/>
  <c r="U31" i="3"/>
  <c r="U7" i="3"/>
  <c r="AA5" i="3"/>
  <c r="U9" i="3"/>
  <c r="U17" i="3"/>
  <c r="U26" i="3"/>
  <c r="U24" i="3"/>
  <c r="U16" i="3"/>
  <c r="Z5" i="3"/>
  <c r="AI11" i="7"/>
  <c r="AL11" i="7" s="1"/>
  <c r="AC10" i="7"/>
  <c r="Z7" i="7"/>
  <c r="Q8" i="7"/>
  <c r="T8" i="7" s="1"/>
  <c r="W9" i="7"/>
  <c r="W8" i="7"/>
  <c r="X24" i="10"/>
  <c r="AB24" i="10"/>
  <c r="Z12" i="1"/>
  <c r="W55" i="1"/>
  <c r="W57" i="1" s="1"/>
  <c r="U31" i="2"/>
  <c r="Y29" i="2" s="1"/>
  <c r="U29" i="2"/>
  <c r="U30" i="2" s="1"/>
  <c r="Q14" i="13"/>
  <c r="G19" i="13"/>
  <c r="T13" i="13"/>
  <c r="W6" i="13"/>
  <c r="T12" i="13"/>
  <c r="R35" i="14"/>
  <c r="R36" i="14" s="1"/>
  <c r="R37" i="14"/>
  <c r="W6" i="2"/>
  <c r="W24" i="2" s="1"/>
  <c r="S24" i="2"/>
  <c r="S27" i="10"/>
  <c r="X22" i="10"/>
  <c r="AB22" i="10" s="1"/>
  <c r="AA22" i="10"/>
  <c r="T41" i="9"/>
  <c r="X24" i="9"/>
  <c r="X41" i="9" s="1"/>
  <c r="T21" i="9"/>
  <c r="X16" i="9"/>
  <c r="X21" i="9" s="1"/>
  <c r="W6" i="7"/>
  <c r="I10" i="11"/>
  <c r="G11" i="11"/>
  <c r="X21" i="10"/>
  <c r="AB21" i="10" s="1"/>
  <c r="AA21" i="10"/>
  <c r="AA19" i="10"/>
  <c r="X19" i="10"/>
  <c r="V27" i="10"/>
  <c r="AA5" i="10"/>
  <c r="N36" i="10"/>
  <c r="O40" i="10"/>
  <c r="V14" i="3" l="1"/>
  <c r="W14" i="3"/>
  <c r="V29" i="3"/>
  <c r="W29" i="3"/>
  <c r="AB5" i="3"/>
  <c r="V22" i="3"/>
  <c r="W22" i="3"/>
  <c r="W10" i="3"/>
  <c r="V10" i="3"/>
  <c r="W9" i="3"/>
  <c r="V9" i="3"/>
  <c r="W12" i="3"/>
  <c r="V12" i="3"/>
  <c r="V8" i="3"/>
  <c r="W8" i="3"/>
  <c r="V28" i="3"/>
  <c r="W28" i="3"/>
  <c r="T33" i="3"/>
  <c r="U13" i="3"/>
  <c r="V19" i="3"/>
  <c r="W19" i="3"/>
  <c r="W7" i="3"/>
  <c r="V7" i="3"/>
  <c r="W15" i="3"/>
  <c r="V15" i="3"/>
  <c r="V30" i="3"/>
  <c r="W30" i="3"/>
  <c r="W6" i="3"/>
  <c r="V6" i="3"/>
  <c r="U33" i="3"/>
  <c r="V20" i="3"/>
  <c r="W20" i="3"/>
  <c r="V27" i="3"/>
  <c r="W27" i="3"/>
  <c r="W26" i="3"/>
  <c r="V26" i="3"/>
  <c r="W31" i="3"/>
  <c r="V31" i="3"/>
  <c r="V16" i="3"/>
  <c r="W16" i="3"/>
  <c r="W11" i="3"/>
  <c r="V11" i="3"/>
  <c r="W24" i="3"/>
  <c r="V24" i="3"/>
  <c r="W23" i="3"/>
  <c r="V23" i="3"/>
  <c r="Y21" i="3"/>
  <c r="AA21" i="3"/>
  <c r="AB21" i="3" s="1"/>
  <c r="V18" i="3"/>
  <c r="W18" i="3"/>
  <c r="V17" i="3"/>
  <c r="W17" i="3"/>
  <c r="V25" i="3"/>
  <c r="W25" i="3"/>
  <c r="AO11" i="7"/>
  <c r="AR11" i="7" s="1"/>
  <c r="AM11" i="7"/>
  <c r="AC7" i="7"/>
  <c r="AF7" i="7" s="1"/>
  <c r="AI7" i="7" s="1"/>
  <c r="AL7" i="7" s="1"/>
  <c r="AF10" i="7"/>
  <c r="Z8" i="7"/>
  <c r="Z9" i="7"/>
  <c r="W37" i="14"/>
  <c r="W35" i="14"/>
  <c r="W36" i="14" s="1"/>
  <c r="W13" i="13"/>
  <c r="G20" i="13"/>
  <c r="T40" i="10"/>
  <c r="AA27" i="10"/>
  <c r="T14" i="13"/>
  <c r="AC12" i="1"/>
  <c r="Z55" i="1"/>
  <c r="Z57" i="1" s="1"/>
  <c r="AA6" i="13"/>
  <c r="W12" i="13"/>
  <c r="W14" i="13" s="1"/>
  <c r="Z6" i="7"/>
  <c r="X27" i="10"/>
  <c r="AB19" i="10"/>
  <c r="AB27" i="10" s="1"/>
  <c r="G12" i="11"/>
  <c r="I11" i="11"/>
  <c r="J11" i="11" s="1"/>
  <c r="S36" i="10"/>
  <c r="S34" i="10"/>
  <c r="S35" i="10" s="1"/>
  <c r="X14" i="3" l="1"/>
  <c r="Z14" i="3"/>
  <c r="Z11" i="3"/>
  <c r="X11" i="3"/>
  <c r="Z9" i="3"/>
  <c r="X9" i="3"/>
  <c r="X19" i="3"/>
  <c r="Z19" i="3"/>
  <c r="W13" i="3"/>
  <c r="V13" i="3"/>
  <c r="W33" i="3"/>
  <c r="Z22" i="3"/>
  <c r="X22" i="3"/>
  <c r="Z8" i="3"/>
  <c r="X8" i="3"/>
  <c r="X20" i="3"/>
  <c r="Z20" i="3"/>
  <c r="X17" i="3"/>
  <c r="Z17" i="3"/>
  <c r="X10" i="3"/>
  <c r="Z10" i="3"/>
  <c r="Z16" i="3"/>
  <c r="X16" i="3"/>
  <c r="Z18" i="3"/>
  <c r="X18" i="3"/>
  <c r="X28" i="3"/>
  <c r="Z28" i="3"/>
  <c r="Z26" i="3"/>
  <c r="X26" i="3"/>
  <c r="Z15" i="3"/>
  <c r="X15" i="3"/>
  <c r="X25" i="3"/>
  <c r="Z25" i="3"/>
  <c r="Z6" i="3"/>
  <c r="X6" i="3"/>
  <c r="Z31" i="3"/>
  <c r="X31" i="3"/>
  <c r="Z30" i="3"/>
  <c r="X30" i="3"/>
  <c r="X23" i="3"/>
  <c r="Z23" i="3"/>
  <c r="Z29" i="3"/>
  <c r="X29" i="3"/>
  <c r="Z24" i="3"/>
  <c r="X24" i="3"/>
  <c r="Z7" i="3"/>
  <c r="X7" i="3"/>
  <c r="Z12" i="3"/>
  <c r="X12" i="3"/>
  <c r="Z27" i="3"/>
  <c r="X27" i="3"/>
  <c r="AO7" i="7"/>
  <c r="AR7" i="7" s="1"/>
  <c r="AM7" i="7"/>
  <c r="AS7" i="7" s="1"/>
  <c r="AS11" i="7"/>
  <c r="AC9" i="7"/>
  <c r="AF9" i="7" s="1"/>
  <c r="AC8" i="7"/>
  <c r="AF8" i="7" s="1"/>
  <c r="AI8" i="7" s="1"/>
  <c r="AL8" i="7" s="1"/>
  <c r="AI10" i="7"/>
  <c r="Y40" i="10"/>
  <c r="AF12" i="1"/>
  <c r="AC55" i="1"/>
  <c r="AC57" i="1" s="1"/>
  <c r="AA13" i="13"/>
  <c r="G21" i="13"/>
  <c r="G22" i="13" s="1"/>
  <c r="F36" i="13"/>
  <c r="F37" i="13"/>
  <c r="AA12" i="13"/>
  <c r="AA14" i="13" s="1"/>
  <c r="AD6" i="13"/>
  <c r="AC6" i="7"/>
  <c r="X36" i="10"/>
  <c r="X34" i="10"/>
  <c r="X35" i="10" s="1"/>
  <c r="G13" i="11"/>
  <c r="I13" i="11"/>
  <c r="AA24" i="3" l="1"/>
  <c r="AB24" i="3" s="1"/>
  <c r="Y24" i="3"/>
  <c r="AA20" i="3"/>
  <c r="AB20" i="3" s="1"/>
  <c r="Y20" i="3"/>
  <c r="AA8" i="3"/>
  <c r="AB8" i="3" s="1"/>
  <c r="Y8" i="3"/>
  <c r="AA22" i="3"/>
  <c r="AB22" i="3" s="1"/>
  <c r="Y22" i="3"/>
  <c r="AA28" i="3"/>
  <c r="AB28" i="3" s="1"/>
  <c r="Y28" i="3"/>
  <c r="AA23" i="3"/>
  <c r="AB23" i="3" s="1"/>
  <c r="Y23" i="3"/>
  <c r="AA30" i="3"/>
  <c r="AB30" i="3" s="1"/>
  <c r="Y30" i="3"/>
  <c r="AA27" i="3"/>
  <c r="AB27" i="3" s="1"/>
  <c r="Y27" i="3"/>
  <c r="AA31" i="3"/>
  <c r="AB31" i="3" s="1"/>
  <c r="Y31" i="3"/>
  <c r="AA19" i="3"/>
  <c r="AB19" i="3" s="1"/>
  <c r="Y19" i="3"/>
  <c r="AA9" i="3"/>
  <c r="AB9" i="3" s="1"/>
  <c r="Y9" i="3"/>
  <c r="AA14" i="3"/>
  <c r="AB14" i="3" s="1"/>
  <c r="Y14" i="3"/>
  <c r="AA26" i="3"/>
  <c r="AB26" i="3" s="1"/>
  <c r="Y26" i="3"/>
  <c r="AA12" i="3"/>
  <c r="AB12" i="3" s="1"/>
  <c r="Y12" i="3"/>
  <c r="AA10" i="3"/>
  <c r="AB10" i="3" s="1"/>
  <c r="Y10" i="3"/>
  <c r="AA6" i="3"/>
  <c r="X33" i="3"/>
  <c r="Y6" i="3"/>
  <c r="AA11" i="3"/>
  <c r="AB11" i="3" s="1"/>
  <c r="Y11" i="3"/>
  <c r="AA25" i="3"/>
  <c r="AB25" i="3" s="1"/>
  <c r="Y25" i="3"/>
  <c r="AA15" i="3"/>
  <c r="AB15" i="3" s="1"/>
  <c r="Y15" i="3"/>
  <c r="AA29" i="3"/>
  <c r="AB29" i="3" s="1"/>
  <c r="Y29" i="3"/>
  <c r="Z13" i="3"/>
  <c r="Z33" i="3" s="1"/>
  <c r="X13" i="3"/>
  <c r="AA18" i="3"/>
  <c r="AB18" i="3" s="1"/>
  <c r="Y18" i="3"/>
  <c r="AA16" i="3"/>
  <c r="AB16" i="3" s="1"/>
  <c r="Y16" i="3"/>
  <c r="V33" i="3"/>
  <c r="AA7" i="3"/>
  <c r="AB7" i="3" s="1"/>
  <c r="Y7" i="3"/>
  <c r="AA17" i="3"/>
  <c r="AB17" i="3" s="1"/>
  <c r="Y17" i="3"/>
  <c r="AO8" i="7"/>
  <c r="AR8" i="7" s="1"/>
  <c r="AM8" i="7"/>
  <c r="AS8" i="7" s="1"/>
  <c r="AI9" i="7"/>
  <c r="AL9" i="7" s="1"/>
  <c r="AL10" i="7"/>
  <c r="AM10" i="7" s="1"/>
  <c r="AS10" i="7" s="1"/>
  <c r="AG6" i="13"/>
  <c r="AD12" i="13"/>
  <c r="AD14" i="13" s="1"/>
  <c r="AD13" i="13"/>
  <c r="G23" i="13"/>
  <c r="F38" i="13"/>
  <c r="AI12" i="1"/>
  <c r="AF55" i="1"/>
  <c r="AF57" i="1" s="1"/>
  <c r="AF6" i="7"/>
  <c r="G14" i="11"/>
  <c r="I14" i="11"/>
  <c r="AB6" i="3" l="1"/>
  <c r="AA13" i="3"/>
  <c r="AB13" i="3" s="1"/>
  <c r="Y13" i="3"/>
  <c r="Y33" i="3"/>
  <c r="AO9" i="7"/>
  <c r="AR9" i="7" s="1"/>
  <c r="AM9" i="7"/>
  <c r="AS9" i="7"/>
  <c r="AG14" i="7"/>
  <c r="AO10" i="7"/>
  <c r="AL12" i="1"/>
  <c r="AI55" i="1"/>
  <c r="AI57" i="1" s="1"/>
  <c r="AG13" i="13"/>
  <c r="F39" i="13"/>
  <c r="G24" i="13"/>
  <c r="AJ6" i="13"/>
  <c r="AG12" i="13"/>
  <c r="AG14" i="13" s="1"/>
  <c r="AI6" i="7"/>
  <c r="G15" i="11"/>
  <c r="L15" i="11" s="1"/>
  <c r="I15" i="11"/>
  <c r="J15" i="11" s="1"/>
  <c r="AA33" i="3" l="1"/>
  <c r="AB33" i="3"/>
  <c r="AR10" i="7"/>
  <c r="AJ12" i="13"/>
  <c r="AN6" i="13"/>
  <c r="G36" i="13"/>
  <c r="AJ13" i="13"/>
  <c r="G25" i="13"/>
  <c r="AO12" i="1"/>
  <c r="AL55" i="1"/>
  <c r="AL57" i="1" s="1"/>
  <c r="AL6" i="7"/>
  <c r="AM6" i="7" s="1"/>
  <c r="AM14" i="7" l="1"/>
  <c r="AS6" i="7"/>
  <c r="AS14" i="7" s="1"/>
  <c r="AR12" i="1"/>
  <c r="AR55" i="1" s="1"/>
  <c r="AR57" i="1" s="1"/>
  <c r="AO55" i="1"/>
  <c r="AO57" i="1" s="1"/>
  <c r="G26" i="13"/>
  <c r="AN13" i="13"/>
  <c r="G37" i="13"/>
  <c r="AQ6" i="13"/>
  <c r="AN12" i="13"/>
  <c r="AN14" i="13" s="1"/>
  <c r="AJ14" i="13"/>
  <c r="AO6" i="7"/>
  <c r="AT6" i="13" l="1"/>
  <c r="AT12" i="13" s="1"/>
  <c r="AQ12" i="13"/>
  <c r="G27" i="13"/>
  <c r="AT13" i="13" s="1"/>
  <c r="AQ13" i="13"/>
  <c r="G38" i="13"/>
  <c r="AR6" i="7"/>
  <c r="AQ14" i="13" l="1"/>
  <c r="AT14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 McLaughlin</author>
  </authors>
  <commentList>
    <comment ref="E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Jean McLaughlin:</t>
        </r>
        <r>
          <rPr>
            <sz val="9"/>
            <color indexed="81"/>
            <rFont val="Tahoma"/>
            <family val="2"/>
          </rPr>
          <t xml:space="preserve">
FFB early payoff &amp; RUS early payoff and regular mthly pymt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 McLaughlin</author>
  </authors>
  <commentList>
    <comment ref="D1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Jean McLaughlin:</t>
        </r>
        <r>
          <rPr>
            <sz val="9"/>
            <color indexed="81"/>
            <rFont val="Tahoma"/>
            <family val="2"/>
          </rPr>
          <t xml:space="preserve">
Will really pay 12/31/2045
</t>
        </r>
      </text>
    </comment>
    <comment ref="D1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Jean McLaughlin:</t>
        </r>
        <r>
          <rPr>
            <sz val="9"/>
            <color indexed="81"/>
            <rFont val="Tahoma"/>
            <family val="2"/>
          </rPr>
          <t xml:space="preserve">
Will really pay 12/31/2045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 McLaughlin</author>
  </authors>
  <commentList>
    <comment ref="D2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Jean McLaughlin:</t>
        </r>
        <r>
          <rPr>
            <sz val="9"/>
            <color indexed="81"/>
            <rFont val="Tahoma"/>
            <family val="2"/>
          </rPr>
          <t xml:space="preserve">
Per CFC website</t>
        </r>
      </text>
    </comment>
    <comment ref="D4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Jean McLaughlin:</t>
        </r>
        <r>
          <rPr>
            <sz val="9"/>
            <color indexed="81"/>
            <rFont val="Tahoma"/>
            <family val="2"/>
          </rPr>
          <t xml:space="preserve">
Per CFC website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 McLaughlin</author>
  </authors>
  <commentList>
    <comment ref="D1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Jean McLaughlin:</t>
        </r>
        <r>
          <rPr>
            <sz val="9"/>
            <color indexed="81"/>
            <rFont val="Tahoma"/>
            <family val="2"/>
          </rPr>
          <t xml:space="preserve">
Will really pay 12/31/2045
</t>
        </r>
      </text>
    </comment>
    <comment ref="D17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Jean McLaughlin:</t>
        </r>
        <r>
          <rPr>
            <sz val="9"/>
            <color indexed="81"/>
            <rFont val="Tahoma"/>
            <family val="2"/>
          </rPr>
          <t xml:space="preserve">
Will really pay 12/31/2045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 McLaughlin</author>
  </authors>
  <commentList>
    <comment ref="D21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Jean McLaughlin:</t>
        </r>
        <r>
          <rPr>
            <sz val="9"/>
            <color indexed="81"/>
            <rFont val="Tahoma"/>
            <family val="2"/>
          </rPr>
          <t xml:space="preserve">
Per CFC website</t>
        </r>
      </text>
    </comment>
    <comment ref="D41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Jean McLaughlin:</t>
        </r>
        <r>
          <rPr>
            <sz val="9"/>
            <color indexed="81"/>
            <rFont val="Tahoma"/>
            <family val="2"/>
          </rPr>
          <t xml:space="preserve">
Per CFC website</t>
        </r>
      </text>
    </comment>
  </commentList>
</comments>
</file>

<file path=xl/sharedStrings.xml><?xml version="1.0" encoding="utf-8"?>
<sst xmlns="http://schemas.openxmlformats.org/spreadsheetml/2006/main" count="1046" uniqueCount="273">
  <si>
    <t xml:space="preserve"> (loanint.wk4)</t>
  </si>
  <si>
    <t>Loan #</t>
  </si>
  <si>
    <t>B190</t>
  </si>
  <si>
    <t>B192</t>
  </si>
  <si>
    <t>B200</t>
  </si>
  <si>
    <t>B202</t>
  </si>
  <si>
    <t>1B210</t>
  </si>
  <si>
    <t>1B212</t>
  </si>
  <si>
    <t>1B220</t>
  </si>
  <si>
    <t>1B222</t>
  </si>
  <si>
    <t>1B230</t>
  </si>
  <si>
    <t>1B232</t>
  </si>
  <si>
    <t>1B240</t>
  </si>
  <si>
    <t>1B250</t>
  </si>
  <si>
    <t>1B252</t>
  </si>
  <si>
    <t>1B260</t>
  </si>
  <si>
    <t>1B262</t>
  </si>
  <si>
    <t>1B270</t>
  </si>
  <si>
    <t>1B272</t>
  </si>
  <si>
    <t>1B280</t>
  </si>
  <si>
    <t>1B281</t>
  </si>
  <si>
    <t>1B283</t>
  </si>
  <si>
    <t>1B290</t>
  </si>
  <si>
    <t>1B292</t>
  </si>
  <si>
    <t>1B300</t>
  </si>
  <si>
    <t>1B301</t>
  </si>
  <si>
    <t>1B302</t>
  </si>
  <si>
    <t>1B305</t>
  </si>
  <si>
    <t>1B310</t>
  </si>
  <si>
    <t xml:space="preserve"> 1B315</t>
  </si>
  <si>
    <t>COC</t>
  </si>
  <si>
    <t>Balance</t>
  </si>
  <si>
    <t>Rate</t>
  </si>
  <si>
    <t>JAN</t>
  </si>
  <si>
    <t>INT</t>
  </si>
  <si>
    <t>PRIN</t>
  </si>
  <si>
    <t>BALANCE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</si>
  <si>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</si>
  <si>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</si>
  <si>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</si>
  <si>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</si>
  <si>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</si>
  <si>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</si>
  <si>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</si>
  <si>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</si>
  <si>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</si>
  <si>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</si>
  <si>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</si>
  <si>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YTD TOTALS</t>
  </si>
  <si>
    <t>PRIN PD</t>
  </si>
  <si>
    <t>THRU 1998</t>
  </si>
  <si>
    <t>THRU 1999</t>
  </si>
  <si>
    <t>THRU 2000</t>
  </si>
  <si>
    <t>THRU 2001</t>
  </si>
  <si>
    <t>THRU 2002</t>
  </si>
  <si>
    <t>THRU 2003</t>
  </si>
  <si>
    <t>THRU 2004</t>
  </si>
  <si>
    <t>THRU 2005</t>
  </si>
  <si>
    <t>THRU 2006</t>
  </si>
  <si>
    <t>ORIGINAL</t>
  </si>
  <si>
    <t>H0010</t>
  </si>
  <si>
    <t>H0015</t>
  </si>
  <si>
    <t>H0020</t>
  </si>
  <si>
    <t>H0025</t>
  </si>
  <si>
    <t>H0030</t>
  </si>
  <si>
    <t>H0035</t>
  </si>
  <si>
    <t>H0040</t>
  </si>
  <si>
    <t>H0045</t>
  </si>
  <si>
    <t>H0050</t>
  </si>
  <si>
    <t>H0055</t>
  </si>
  <si>
    <t>H0060</t>
  </si>
  <si>
    <t>H0065</t>
  </si>
  <si>
    <t>H0070</t>
  </si>
  <si>
    <t>Date</t>
  </si>
  <si>
    <t>SEC 9</t>
  </si>
  <si>
    <t>INT-SEC 9</t>
  </si>
  <si>
    <t>Scheduled Interest Payments - FFB</t>
  </si>
  <si>
    <t>Loan Payts 2005.xls</t>
  </si>
  <si>
    <t>Pricing Date</t>
  </si>
  <si>
    <t>Maturity Date</t>
  </si>
  <si>
    <t>Payt Due</t>
  </si>
  <si>
    <t>FFB</t>
  </si>
  <si>
    <t>5 yr</t>
  </si>
  <si>
    <t xml:space="preserve"> *</t>
  </si>
  <si>
    <t>30 yr</t>
  </si>
  <si>
    <t>F0055</t>
  </si>
  <si>
    <t>6 mth</t>
  </si>
  <si>
    <t>30 yrs</t>
  </si>
  <si>
    <t>35 yrs</t>
  </si>
  <si>
    <t>TOTAL</t>
  </si>
  <si>
    <t>Scheduled Interest Payments - TREAS</t>
  </si>
  <si>
    <t>LOAN</t>
  </si>
  <si>
    <t>A330</t>
  </si>
  <si>
    <t>THRU 2007</t>
  </si>
  <si>
    <t>1B320</t>
  </si>
  <si>
    <t>1B325</t>
  </si>
  <si>
    <t>1 B326</t>
  </si>
  <si>
    <t>1 B327</t>
  </si>
  <si>
    <t>B331</t>
  </si>
  <si>
    <t>B 330</t>
  </si>
  <si>
    <t>B332</t>
  </si>
  <si>
    <t>B333</t>
  </si>
  <si>
    <t>B334</t>
  </si>
  <si>
    <t>B335</t>
  </si>
  <si>
    <t>1B242</t>
  </si>
  <si>
    <t>RUS RE-FI</t>
  </si>
  <si>
    <t>H0075</t>
  </si>
  <si>
    <t>H0080</t>
  </si>
  <si>
    <t>H0085</t>
  </si>
  <si>
    <t>verified 6/15/15 jcm</t>
  </si>
  <si>
    <t>verified 9/14/15 jcm</t>
  </si>
  <si>
    <t xml:space="preserve">Maturity </t>
  </si>
  <si>
    <t>Advance</t>
  </si>
  <si>
    <t>V</t>
  </si>
  <si>
    <t>Maturity</t>
  </si>
  <si>
    <t>Rate Repricing</t>
  </si>
  <si>
    <t>8/31/16-8/31/27</t>
  </si>
  <si>
    <t>Multiple</t>
  </si>
  <si>
    <t>YTD- Interest Paid</t>
  </si>
  <si>
    <t xml:space="preserve"> </t>
  </si>
  <si>
    <t>JUNE</t>
  </si>
  <si>
    <t>JULY</t>
  </si>
  <si>
    <t>SEPT</t>
  </si>
  <si>
    <t>Interest Balances</t>
  </si>
  <si>
    <t>Y-T-D Paid</t>
  </si>
  <si>
    <t>Mthly Accrual</t>
  </si>
  <si>
    <t>verified 12/16/15 jcm</t>
  </si>
  <si>
    <t>Non-Payment Month Accrual Amount</t>
  </si>
  <si>
    <t>Outstanding Balance</t>
  </si>
  <si>
    <t>DEC '15</t>
  </si>
  <si>
    <t>RUS PRINCIPAL &amp; INTEREST PAYMENTS - 2016</t>
  </si>
  <si>
    <t>CFC PRINCIPAL &amp; INTEREST PAYMENTS - 2016</t>
  </si>
  <si>
    <t>updated 1/25/16 jcm</t>
  </si>
  <si>
    <t>PAID 1/29/16 JCM</t>
  </si>
  <si>
    <t>Account #</t>
  </si>
  <si>
    <t>RET-7-1</t>
  </si>
  <si>
    <t>RET-7-2</t>
  </si>
  <si>
    <t>RET-8-1</t>
  </si>
  <si>
    <t>RET-8-2</t>
  </si>
  <si>
    <t>RET-8-4</t>
  </si>
  <si>
    <t>RET-9-1</t>
  </si>
  <si>
    <t>RET-9-2</t>
  </si>
  <si>
    <t>RET-9-3</t>
  </si>
  <si>
    <t>RET-9-4</t>
  </si>
  <si>
    <t>RET-9-5</t>
  </si>
  <si>
    <t>RET-9-6</t>
  </si>
  <si>
    <t>updated princ &amp; int 2/16/16 based on Feb stmt jcm</t>
  </si>
  <si>
    <t>updated 2/16/16 jcm</t>
  </si>
  <si>
    <t>updated 2/25/16 jcm</t>
  </si>
  <si>
    <t>PAID 2/26/16 JCM</t>
  </si>
  <si>
    <t>Make sure the YTD here matches YTD in AB24</t>
  </si>
  <si>
    <t>UPDATED 3/21/16 JCM</t>
  </si>
  <si>
    <t>PD 3/30/16 JCM</t>
  </si>
  <si>
    <t>updated princ and int 5/6/16 jcm</t>
  </si>
  <si>
    <t>updated 4/18/16 jcm</t>
  </si>
  <si>
    <t>pd 4/28/16 jcm</t>
  </si>
  <si>
    <t>updated 5/17/16 jcm</t>
  </si>
  <si>
    <t>updated 5/20/16 jcm</t>
  </si>
  <si>
    <t>pd 5/25/16 jcm</t>
  </si>
  <si>
    <t>Red text=refinanced with CFC</t>
  </si>
  <si>
    <t>Repricing</t>
  </si>
  <si>
    <t>1B327</t>
  </si>
  <si>
    <t>H0090</t>
  </si>
  <si>
    <t>H0095</t>
  </si>
  <si>
    <t>F</t>
  </si>
  <si>
    <t>H0100</t>
  </si>
  <si>
    <t>AMOUNT</t>
  </si>
  <si>
    <t>ACCOUNT</t>
  </si>
  <si>
    <t>INTEREST EARNED (5%)</t>
  </si>
  <si>
    <t>Outstanding Balance w/ COC</t>
  </si>
  <si>
    <t>COC Balance</t>
  </si>
  <si>
    <t>TRANSACTION DATE</t>
  </si>
  <si>
    <t>H0105</t>
  </si>
  <si>
    <t>FFB PRINCIPAL &amp; INTEREST PAYMENTS - 2018</t>
  </si>
  <si>
    <t>----</t>
  </si>
  <si>
    <t>Outstanding Balance as of January 1st</t>
  </si>
  <si>
    <t>Outstanding Balance as of March 6th</t>
  </si>
  <si>
    <t>F0110</t>
  </si>
  <si>
    <t>F0115</t>
  </si>
  <si>
    <t>Billed Debt Service</t>
  </si>
  <si>
    <t>12/31/18          Bal. Forward</t>
  </si>
  <si>
    <t>FFB PRINCIPAL &amp; INTEREST PAYMENTS - 2019</t>
  </si>
  <si>
    <t>F0120</t>
  </si>
  <si>
    <t>FFB-1-1</t>
  </si>
  <si>
    <t>FFB-4-4</t>
  </si>
  <si>
    <t>FFB-1-2</t>
  </si>
  <si>
    <t>FFB-1-3</t>
  </si>
  <si>
    <t>FFB-2-1</t>
  </si>
  <si>
    <t>FFB-2-4</t>
  </si>
  <si>
    <t>FFB-2-5</t>
  </si>
  <si>
    <t>FFB-2-6</t>
  </si>
  <si>
    <t>FFB-2-7</t>
  </si>
  <si>
    <t>FFB-2-8</t>
  </si>
  <si>
    <t>FFB-2-9</t>
  </si>
  <si>
    <t>FFB-3-1</t>
  </si>
  <si>
    <t>FFB-3-2</t>
  </si>
  <si>
    <t>FFB-3-3</t>
  </si>
  <si>
    <t>FFB-4-1</t>
  </si>
  <si>
    <t>FFB-4-2</t>
  </si>
  <si>
    <t>FFB-4-3</t>
  </si>
  <si>
    <t>FFB-4-5</t>
  </si>
  <si>
    <t>FFB-4-6</t>
  </si>
  <si>
    <t>FFB-5-1</t>
  </si>
  <si>
    <t>F0125</t>
  </si>
  <si>
    <t>FFB-5-2</t>
  </si>
  <si>
    <t>Projected Interest</t>
  </si>
  <si>
    <t>Per RUS</t>
  </si>
  <si>
    <t>Paid from Gen Funds</t>
  </si>
  <si>
    <t>12/31/19         Bal. Forward</t>
  </si>
  <si>
    <t>RUS PRINCIPAL &amp; INTEREST PAYMENTS - 2020</t>
  </si>
  <si>
    <t>CFC PRINCIPAL &amp; INTEREST PAYMENTS - 2020</t>
  </si>
  <si>
    <t>DEC '19</t>
  </si>
  <si>
    <t>Z0428</t>
  </si>
  <si>
    <t>Z1055</t>
  </si>
  <si>
    <t>Z2272</t>
  </si>
  <si>
    <t>F0130</t>
  </si>
  <si>
    <t>FFB-5-3</t>
  </si>
  <si>
    <t>updated interest &amp; principal 3/6/20</t>
  </si>
  <si>
    <t>FFB PRINCIPAL &amp; INTEREST PAYMENTS - 2020</t>
  </si>
  <si>
    <t>F0135</t>
  </si>
  <si>
    <t>FFB-5-4</t>
  </si>
  <si>
    <t xml:space="preserve">After June Advance - Outstanding Balance </t>
  </si>
  <si>
    <t xml:space="preserve">2020 Beginning - Outstanding Balance </t>
  </si>
  <si>
    <t>updated 11/12/20</t>
  </si>
  <si>
    <t>RUS, FFB, &amp; CFC Totaled</t>
  </si>
  <si>
    <t>RUS Totals</t>
  </si>
  <si>
    <t xml:space="preserve">Annual Form 7 </t>
  </si>
  <si>
    <t>End Balance w/o COC</t>
  </si>
  <si>
    <t xml:space="preserve">PART N (A)   </t>
  </si>
  <si>
    <t>PART C line 43</t>
  </si>
  <si>
    <t>Princ. Paid YTD (-)</t>
  </si>
  <si>
    <t>**Sergio's CM</t>
  </si>
  <si>
    <t>LT Debt</t>
  </si>
  <si>
    <t>PART C line 50</t>
  </si>
  <si>
    <t>Current Maturities</t>
  </si>
  <si>
    <t xml:space="preserve">PART N (D)   </t>
  </si>
  <si>
    <t>Interest Paid YTD</t>
  </si>
  <si>
    <t>Princ. Paid YTD (+)</t>
  </si>
  <si>
    <t>FFB Totals</t>
  </si>
  <si>
    <t>End Balance</t>
  </si>
  <si>
    <t>CFC Totals</t>
  </si>
  <si>
    <t xml:space="preserve">End Balance </t>
  </si>
  <si>
    <t>PPP Loan (forgiven Jan 2021)</t>
  </si>
  <si>
    <t>F0140</t>
  </si>
  <si>
    <t>FFB-5-5</t>
  </si>
  <si>
    <t>F0145</t>
  </si>
  <si>
    <t>FFB-5-6</t>
  </si>
  <si>
    <t>F0150</t>
  </si>
  <si>
    <t>FFB-5-7</t>
  </si>
  <si>
    <t>F0155</t>
  </si>
  <si>
    <t>FFB-5-8</t>
  </si>
  <si>
    <t>RET-10-1</t>
  </si>
  <si>
    <t>1B3</t>
  </si>
  <si>
    <t>RET-10-2</t>
  </si>
  <si>
    <t>RUS PRINCIPAL &amp; INTEREST PAYMENTS - 2024</t>
  </si>
  <si>
    <t>RET-10-3</t>
  </si>
  <si>
    <t>FFB PRINCIPAL &amp; INTEREST PAYMENTS - 2024</t>
  </si>
  <si>
    <t>2024 Beginning Balance</t>
  </si>
  <si>
    <t>CFC PRINCIPAL &amp; INTEREST PAYMENTS - 2024</t>
  </si>
  <si>
    <t>PRINCIPAL CRCTN - TO MATCH RUS/FFB RECORDS</t>
  </si>
  <si>
    <t>RUS</t>
  </si>
  <si>
    <t>CFC</t>
  </si>
  <si>
    <t>Total</t>
  </si>
  <si>
    <t>RET-10-4</t>
  </si>
  <si>
    <t>Consumer Deposit Interest</t>
  </si>
  <si>
    <t>PSC Interst Rates</t>
  </si>
  <si>
    <t>Deposit Balance</t>
  </si>
  <si>
    <t>2024 LTD Interest</t>
  </si>
  <si>
    <t>Reference Schedule 1.08</t>
  </si>
  <si>
    <t>Shelby Energy Cooperative, Inc.</t>
  </si>
  <si>
    <t>2024-00351</t>
  </si>
  <si>
    <t>Interest Expense Adjustment</t>
  </si>
  <si>
    <t>2024 Projected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</si>
</sst>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0.000%"/>
    <numFmt numFmtId="166" formatCode="[$$-409]#,##0.00"/>
    <numFmt numFmtId="167" formatCode="&quot;$&quot;#,##0"/>
    <numFmt numFmtId="168" formatCode="0.000"/>
    <numFmt numFmtId="169" formatCode="m/d/yy;@"/>
    <numFmt numFmtId="170" formatCode="_(* #,##0.00_);_(* \(#,##0.00\);_(* &quot;-&quot;_);_(@_)"/>
    <numFmt numFmtId="171" formatCode="yy\ \-\ mmm"/>
    <numFmt numFmtId="172" formatCode="0.0000%"/>
    <numFmt numFmtId="173" formatCode="#,##0.0000"/>
    <numFmt numFmtId="174" formatCode="#,##0.000"/>
  </numFmts>
  <fonts count="69">
    <font>
      <sz val="12"/>
      <name val="Arial"/>
    </font>
    <font>
      <sz val="12"/>
      <name val="Arial MT"/>
    </font>
    <font>
      <b/>
      <sz val="10"/>
      <name val="Arial MT"/>
    </font>
    <font>
      <b/>
      <sz val="14"/>
      <name val="Arial MT"/>
    </font>
    <font>
      <sz val="12"/>
      <name val="Arial"/>
      <family val="2"/>
    </font>
    <font>
      <sz val="6"/>
      <name val="Times New Roman"/>
      <family val="1"/>
    </font>
    <font>
      <b/>
      <u/>
      <sz val="10"/>
      <name val="Arial MT"/>
    </font>
    <font>
      <b/>
      <sz val="12"/>
      <name val="Arial MT"/>
    </font>
    <font>
      <b/>
      <u/>
      <sz val="12"/>
      <name val="Arial MT"/>
    </font>
    <font>
      <b/>
      <sz val="12"/>
      <name val="Arial"/>
      <family val="2"/>
    </font>
    <font>
      <i/>
      <sz val="10"/>
      <name val="Arial MT"/>
    </font>
    <font>
      <sz val="10"/>
      <name val="Arial MT"/>
    </font>
    <font>
      <sz val="8"/>
      <name val="Arial MT"/>
    </font>
    <font>
      <b/>
      <i/>
      <sz val="10"/>
      <name val="Arial MT"/>
    </font>
    <font>
      <u/>
      <sz val="10"/>
      <name val="Arial MT"/>
    </font>
    <font>
      <sz val="10"/>
      <name val="Arial"/>
      <family val="2"/>
    </font>
    <font>
      <sz val="9"/>
      <name val="Arial MT"/>
    </font>
    <font>
      <b/>
      <sz val="10"/>
      <name val="Arial"/>
      <family val="2"/>
    </font>
    <font>
      <sz val="12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u/>
      <sz val="9"/>
      <name val="Arial MT"/>
    </font>
    <font>
      <b/>
      <sz val="8"/>
      <name val="Arial MT"/>
    </font>
    <font>
      <b/>
      <sz val="9"/>
      <name val="Arial MT"/>
    </font>
    <font>
      <u/>
      <sz val="12"/>
      <name val="Arial MT"/>
    </font>
    <font>
      <b/>
      <sz val="11"/>
      <name val="Arial MT"/>
    </font>
    <font>
      <b/>
      <sz val="10"/>
      <name val="Arial MT"/>
    </font>
    <font>
      <b/>
      <sz val="14"/>
      <name val="Arial MT"/>
    </font>
    <font>
      <sz val="14"/>
      <name val="Arial MT"/>
    </font>
    <font>
      <b/>
      <sz val="14"/>
      <name val="Arial"/>
      <family val="2"/>
    </font>
    <font>
      <sz val="12"/>
      <name val="Arial MT"/>
    </font>
    <font>
      <sz val="6"/>
      <name val="Times New Roman"/>
      <family val="1"/>
    </font>
    <font>
      <b/>
      <u/>
      <sz val="9"/>
      <name val="Arial MT"/>
    </font>
    <font>
      <b/>
      <u/>
      <sz val="10"/>
      <name val="Arial MT"/>
    </font>
    <font>
      <sz val="12"/>
      <name val="Arial"/>
      <family val="2"/>
    </font>
    <font>
      <b/>
      <sz val="12"/>
      <name val="Arial MT"/>
    </font>
    <font>
      <b/>
      <sz val="12"/>
      <name val="Arial"/>
      <family val="2"/>
    </font>
    <font>
      <i/>
      <sz val="10"/>
      <name val="Arial MT"/>
    </font>
    <font>
      <sz val="10"/>
      <name val="Arial MT"/>
    </font>
    <font>
      <sz val="8"/>
      <name val="Arial MT"/>
    </font>
    <font>
      <sz val="9"/>
      <name val="Arial MT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 MT"/>
    </font>
    <font>
      <sz val="12"/>
      <color theme="8" tint="-0.249977111117893"/>
      <name val="Arial MT"/>
    </font>
    <font>
      <sz val="10"/>
      <color theme="8" tint="-0.249977111117893"/>
      <name val="Arial MT"/>
    </font>
    <font>
      <sz val="9"/>
      <color rgb="FFFF0000"/>
      <name val="Arial MT"/>
    </font>
    <font>
      <sz val="8"/>
      <color theme="8" tint="-0.249977111117893"/>
      <name val="Arial MT"/>
    </font>
    <font>
      <b/>
      <sz val="10"/>
      <color theme="5" tint="-0.249977111117893"/>
      <name val="Arial MT"/>
    </font>
    <font>
      <b/>
      <sz val="12"/>
      <color theme="5"/>
      <name val="Arial MT"/>
    </font>
    <font>
      <b/>
      <sz val="10"/>
      <color theme="5"/>
      <name val="Arial MT"/>
    </font>
    <font>
      <sz val="12"/>
      <color rgb="FFFF0000"/>
      <name val="Arial MT"/>
    </font>
    <font>
      <u/>
      <sz val="10"/>
      <color rgb="FFFF0000"/>
      <name val="Arial MT"/>
    </font>
    <font>
      <b/>
      <sz val="12"/>
      <color theme="9" tint="-0.249977111117893"/>
      <name val="Arial MT"/>
    </font>
    <font>
      <b/>
      <sz val="10"/>
      <color theme="0"/>
      <name val="Arial MT"/>
    </font>
    <font>
      <b/>
      <sz val="14"/>
      <color theme="5" tint="-0.249977111117893"/>
      <name val="Arial MT"/>
    </font>
    <font>
      <b/>
      <sz val="11"/>
      <color theme="9" tint="-0.249977111117893"/>
      <name val="Arial MT"/>
    </font>
    <font>
      <b/>
      <u/>
      <sz val="12"/>
      <color theme="9" tint="-0.249977111117893"/>
      <name val="Arial MT"/>
    </font>
    <font>
      <sz val="9"/>
      <color theme="5" tint="-0.249977111117893"/>
      <name val="Arial MT"/>
    </font>
    <font>
      <b/>
      <sz val="12"/>
      <color rgb="FFFF0000"/>
      <name val="Arial MT"/>
    </font>
    <font>
      <sz val="8"/>
      <color rgb="FFFF0000"/>
      <name val="Arial MT"/>
    </font>
    <font>
      <b/>
      <sz val="10"/>
      <color theme="9" tint="-0.249977111117893"/>
      <name val="Arial MT"/>
    </font>
    <font>
      <b/>
      <sz val="12"/>
      <color theme="0"/>
      <name val="Arial MT"/>
    </font>
    <font>
      <sz val="10"/>
      <color theme="9" tint="-0.249977111117893"/>
      <name val="Arial MT"/>
    </font>
    <font>
      <b/>
      <sz val="9"/>
      <color rgb="FFFF0000"/>
      <name val="Arial MT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lightUp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8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8" fillId="0" borderId="0" applyFont="0" applyFill="0" applyBorder="0" applyAlignment="0" applyProtection="0"/>
  </cellStyleXfs>
  <cellXfs count="415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9" fillId="0" borderId="1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1" fillId="0" borderId="3" xfId="0" applyFont="1" applyBorder="1"/>
    <xf numFmtId="164" fontId="10" fillId="0" borderId="0" xfId="0" applyNumberFormat="1" applyFont="1"/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Continuous"/>
    </xf>
    <xf numFmtId="0" fontId="11" fillId="0" borderId="0" xfId="0" applyFont="1" applyAlignment="1">
      <alignment horizontal="center"/>
    </xf>
    <xf numFmtId="4" fontId="11" fillId="0" borderId="0" xfId="0" applyNumberFormat="1" applyFont="1"/>
    <xf numFmtId="165" fontId="1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11" fillId="0" borderId="2" xfId="0" applyNumberFormat="1" applyFont="1" applyBorder="1"/>
    <xf numFmtId="4" fontId="11" fillId="0" borderId="1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3" xfId="0" applyNumberFormat="1" applyFont="1" applyBorder="1"/>
    <xf numFmtId="4" fontId="11" fillId="0" borderId="0" xfId="0" applyNumberFormat="1" applyFont="1" applyAlignment="1">
      <alignment horizontal="right"/>
    </xf>
    <xf numFmtId="4" fontId="11" fillId="0" borderId="3" xfId="0" applyNumberFormat="1" applyFont="1" applyBorder="1" applyAlignment="1">
      <alignment horizontal="right"/>
    </xf>
    <xf numFmtId="4" fontId="14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horizontal="left"/>
    </xf>
    <xf numFmtId="4" fontId="14" fillId="0" borderId="0" xfId="0" applyNumberFormat="1" applyFont="1" applyAlignment="1">
      <alignment horizontal="center"/>
    </xf>
    <xf numFmtId="3" fontId="11" fillId="0" borderId="0" xfId="0" applyNumberFormat="1" applyFont="1"/>
    <xf numFmtId="0" fontId="15" fillId="0" borderId="0" xfId="0" applyFont="1" applyAlignment="1">
      <alignment horizontal="center"/>
    </xf>
    <xf numFmtId="166" fontId="2" fillId="0" borderId="0" xfId="0" applyNumberFormat="1" applyFont="1"/>
    <xf numFmtId="0" fontId="4" fillId="0" borderId="1" xfId="0" applyFont="1" applyBorder="1"/>
    <xf numFmtId="0" fontId="1" fillId="0" borderId="2" xfId="0" applyFont="1" applyBorder="1"/>
    <xf numFmtId="0" fontId="1" fillId="0" borderId="1" xfId="0" applyFont="1" applyBorder="1"/>
    <xf numFmtId="165" fontId="16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centerContinuous"/>
    </xf>
    <xf numFmtId="0" fontId="19" fillId="0" borderId="0" xfId="0" applyFont="1"/>
    <xf numFmtId="0" fontId="15" fillId="0" borderId="0" xfId="0" applyFont="1"/>
    <xf numFmtId="164" fontId="15" fillId="0" borderId="0" xfId="0" applyNumberFormat="1" applyFont="1" applyAlignment="1">
      <alignment horizontal="center"/>
    </xf>
    <xf numFmtId="0" fontId="17" fillId="0" borderId="0" xfId="0" applyFont="1" applyAlignment="1">
      <alignment horizontal="right"/>
    </xf>
    <xf numFmtId="164" fontId="17" fillId="0" borderId="0" xfId="0" applyNumberFormat="1" applyFont="1" applyAlignment="1">
      <alignment horizontal="right"/>
    </xf>
    <xf numFmtId="167" fontId="15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right"/>
    </xf>
    <xf numFmtId="0" fontId="15" fillId="1" borderId="0" xfId="0" applyFont="1" applyFill="1"/>
    <xf numFmtId="4" fontId="15" fillId="0" borderId="0" xfId="0" applyNumberFormat="1" applyFont="1" applyAlignment="1">
      <alignment horizontal="right"/>
    </xf>
    <xf numFmtId="4" fontId="15" fillId="1" borderId="0" xfId="0" applyNumberFormat="1" applyFont="1" applyFill="1"/>
    <xf numFmtId="4" fontId="15" fillId="0" borderId="0" xfId="0" applyNumberFormat="1" applyFont="1"/>
    <xf numFmtId="17" fontId="15" fillId="0" borderId="0" xfId="0" applyNumberFormat="1" applyFont="1" applyAlignment="1">
      <alignment horizontal="center"/>
    </xf>
    <xf numFmtId="4" fontId="18" fillId="0" borderId="0" xfId="0" applyNumberFormat="1" applyFont="1"/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1" fillId="0" borderId="4" xfId="0" applyFont="1" applyBorder="1"/>
    <xf numFmtId="4" fontId="11" fillId="0" borderId="5" xfId="0" applyNumberFormat="1" applyFont="1" applyBorder="1"/>
    <xf numFmtId="3" fontId="13" fillId="0" borderId="4" xfId="0" applyNumberFormat="1" applyFont="1" applyBorder="1"/>
    <xf numFmtId="3" fontId="13" fillId="0" borderId="5" xfId="0" applyNumberFormat="1" applyFont="1" applyBorder="1"/>
    <xf numFmtId="3" fontId="11" fillId="0" borderId="5" xfId="0" applyNumberFormat="1" applyFont="1" applyBorder="1"/>
    <xf numFmtId="3" fontId="14" fillId="0" borderId="5" xfId="0" applyNumberFormat="1" applyFont="1" applyBorder="1"/>
    <xf numFmtId="14" fontId="15" fillId="0" borderId="0" xfId="0" applyNumberFormat="1" applyFont="1" applyAlignment="1">
      <alignment horizontal="right"/>
    </xf>
    <xf numFmtId="4" fontId="11" fillId="0" borderId="6" xfId="0" applyNumberFormat="1" applyFont="1" applyBorder="1"/>
    <xf numFmtId="4" fontId="11" fillId="0" borderId="7" xfId="0" applyNumberFormat="1" applyFont="1" applyBorder="1" applyAlignment="1">
      <alignment horizontal="right"/>
    </xf>
    <xf numFmtId="4" fontId="11" fillId="0" borderId="7" xfId="0" applyNumberFormat="1" applyFont="1" applyBorder="1"/>
    <xf numFmtId="4" fontId="44" fillId="0" borderId="0" xfId="0" applyNumberFormat="1" applyFont="1" applyAlignment="1">
      <alignment horizontal="right"/>
    </xf>
    <xf numFmtId="4" fontId="1" fillId="0" borderId="0" xfId="0" applyNumberFormat="1" applyFont="1"/>
    <xf numFmtId="0" fontId="7" fillId="0" borderId="8" xfId="0" applyFont="1" applyBorder="1" applyAlignment="1">
      <alignment horizontal="centerContinuous"/>
    </xf>
    <xf numFmtId="0" fontId="2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Continuous"/>
    </xf>
    <xf numFmtId="0" fontId="2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Continuous"/>
    </xf>
    <xf numFmtId="4" fontId="11" fillId="0" borderId="9" xfId="0" applyNumberFormat="1" applyFont="1" applyBorder="1"/>
    <xf numFmtId="0" fontId="2" fillId="0" borderId="6" xfId="0" applyFont="1" applyBorder="1" applyAlignment="1">
      <alignment horizontal="center"/>
    </xf>
    <xf numFmtId="4" fontId="14" fillId="0" borderId="6" xfId="0" applyNumberFormat="1" applyFont="1" applyBorder="1"/>
    <xf numFmtId="0" fontId="4" fillId="0" borderId="0" xfId="0" applyFont="1" applyAlignment="1">
      <alignment horizontal="right"/>
    </xf>
    <xf numFmtId="4" fontId="11" fillId="0" borderId="8" xfId="0" applyNumberFormat="1" applyFont="1" applyBorder="1"/>
    <xf numFmtId="0" fontId="9" fillId="0" borderId="8" xfId="0" applyFont="1" applyBorder="1" applyAlignment="1">
      <alignment horizontal="centerContinuous"/>
    </xf>
    <xf numFmtId="4" fontId="11" fillId="0" borderId="6" xfId="0" applyNumberFormat="1" applyFont="1" applyBorder="1" applyAlignment="1">
      <alignment horizontal="center"/>
    </xf>
    <xf numFmtId="0" fontId="1" fillId="0" borderId="9" xfId="0" applyFont="1" applyBorder="1"/>
    <xf numFmtId="0" fontId="2" fillId="0" borderId="11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0" fontId="1" fillId="0" borderId="11" xfId="0" applyFont="1" applyBorder="1"/>
    <xf numFmtId="4" fontId="11" fillId="0" borderId="12" xfId="0" applyNumberFormat="1" applyFont="1" applyBorder="1"/>
    <xf numFmtId="4" fontId="11" fillId="0" borderId="13" xfId="0" applyNumberFormat="1" applyFont="1" applyBorder="1"/>
    <xf numFmtId="0" fontId="1" fillId="0" borderId="6" xfId="0" applyFont="1" applyBorder="1"/>
    <xf numFmtId="0" fontId="8" fillId="0" borderId="9" xfId="0" applyFont="1" applyBorder="1" applyAlignment="1">
      <alignment horizontal="centerContinuous"/>
    </xf>
    <xf numFmtId="4" fontId="14" fillId="0" borderId="13" xfId="0" applyNumberFormat="1" applyFont="1" applyBorder="1"/>
    <xf numFmtId="4" fontId="11" fillId="0" borderId="6" xfId="0" applyNumberFormat="1" applyFont="1" applyBorder="1" applyAlignment="1">
      <alignment horizontal="right"/>
    </xf>
    <xf numFmtId="4" fontId="14" fillId="0" borderId="7" xfId="0" applyNumberFormat="1" applyFont="1" applyBorder="1"/>
    <xf numFmtId="0" fontId="6" fillId="0" borderId="14" xfId="0" applyFont="1" applyBorder="1" applyAlignment="1">
      <alignment horizontal="centerContinuous"/>
    </xf>
    <xf numFmtId="0" fontId="12" fillId="0" borderId="0" xfId="0" applyFont="1"/>
    <xf numFmtId="0" fontId="16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1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4" fontId="1" fillId="0" borderId="0" xfId="0" applyNumberFormat="1" applyFont="1"/>
    <xf numFmtId="39" fontId="12" fillId="0" borderId="0" xfId="0" applyNumberFormat="1" applyFont="1"/>
    <xf numFmtId="4" fontId="12" fillId="0" borderId="0" xfId="0" applyNumberFormat="1" applyFont="1" applyAlignment="1">
      <alignment horizontal="left"/>
    </xf>
    <xf numFmtId="165" fontId="11" fillId="0" borderId="6" xfId="0" applyNumberFormat="1" applyFont="1" applyBorder="1" applyAlignment="1">
      <alignment horizontal="center"/>
    </xf>
    <xf numFmtId="4" fontId="11" fillId="0" borderId="15" xfId="0" applyNumberFormat="1" applyFont="1" applyBorder="1"/>
    <xf numFmtId="0" fontId="2" fillId="0" borderId="13" xfId="0" applyFont="1" applyBorder="1" applyAlignment="1">
      <alignment horizontal="center"/>
    </xf>
    <xf numFmtId="4" fontId="2" fillId="0" borderId="6" xfId="0" applyNumberFormat="1" applyFont="1" applyBorder="1"/>
    <xf numFmtId="0" fontId="2" fillId="0" borderId="9" xfId="0" applyFont="1" applyBorder="1" applyAlignment="1">
      <alignment horizontal="center"/>
    </xf>
    <xf numFmtId="0" fontId="45" fillId="0" borderId="0" xfId="0" applyFont="1"/>
    <xf numFmtId="0" fontId="46" fillId="0" borderId="16" xfId="0" applyFont="1" applyBorder="1"/>
    <xf numFmtId="0" fontId="46" fillId="0" borderId="17" xfId="0" applyFont="1" applyBorder="1"/>
    <xf numFmtId="0" fontId="46" fillId="0" borderId="18" xfId="0" applyFont="1" applyBorder="1"/>
    <xf numFmtId="0" fontId="46" fillId="0" borderId="19" xfId="0" applyFont="1" applyBorder="1"/>
    <xf numFmtId="0" fontId="46" fillId="0" borderId="20" xfId="0" applyFont="1" applyBorder="1"/>
    <xf numFmtId="0" fontId="46" fillId="0" borderId="21" xfId="0" applyFont="1" applyBorder="1"/>
    <xf numFmtId="0" fontId="47" fillId="0" borderId="0" xfId="0" applyFont="1" applyAlignment="1">
      <alignment horizontal="right"/>
    </xf>
    <xf numFmtId="39" fontId="45" fillId="0" borderId="0" xfId="0" applyNumberFormat="1" applyFont="1"/>
    <xf numFmtId="39" fontId="48" fillId="0" borderId="0" xfId="0" applyNumberFormat="1" applyFont="1" applyAlignment="1">
      <alignment horizontal="left"/>
    </xf>
    <xf numFmtId="39" fontId="48" fillId="0" borderId="0" xfId="0" applyNumberFormat="1" applyFont="1"/>
    <xf numFmtId="4" fontId="45" fillId="0" borderId="0" xfId="0" applyNumberFormat="1" applyFont="1"/>
    <xf numFmtId="0" fontId="49" fillId="0" borderId="0" xfId="0" applyFont="1" applyAlignment="1">
      <alignment horizontal="right"/>
    </xf>
    <xf numFmtId="4" fontId="49" fillId="0" borderId="0" xfId="0" applyNumberFormat="1" applyFont="1"/>
    <xf numFmtId="0" fontId="50" fillId="0" borderId="0" xfId="0" applyFont="1" applyAlignment="1">
      <alignment horizontal="right"/>
    </xf>
    <xf numFmtId="4" fontId="51" fillId="0" borderId="6" xfId="0" applyNumberFormat="1" applyFont="1" applyBorder="1"/>
    <xf numFmtId="4" fontId="51" fillId="0" borderId="0" xfId="0" applyNumberFormat="1" applyFont="1"/>
    <xf numFmtId="0" fontId="2" fillId="0" borderId="0" xfId="0" applyFont="1" applyAlignment="1">
      <alignment horizontal="centerContinuous"/>
    </xf>
    <xf numFmtId="4" fontId="13" fillId="0" borderId="6" xfId="0" applyNumberFormat="1" applyFont="1" applyBorder="1"/>
    <xf numFmtId="0" fontId="9" fillId="0" borderId="2" xfId="0" applyFont="1" applyBorder="1" applyAlignment="1">
      <alignment horizontal="centerContinuous"/>
    </xf>
    <xf numFmtId="0" fontId="6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4" fontId="11" fillId="0" borderId="23" xfId="0" applyNumberFormat="1" applyFont="1" applyBorder="1"/>
    <xf numFmtId="0" fontId="2" fillId="0" borderId="24" xfId="0" applyFont="1" applyBorder="1" applyAlignment="1">
      <alignment horizontal="centerContinuous"/>
    </xf>
    <xf numFmtId="0" fontId="2" fillId="0" borderId="25" xfId="0" applyFont="1" applyBorder="1" applyAlignment="1">
      <alignment horizontal="centerContinuous"/>
    </xf>
    <xf numFmtId="0" fontId="4" fillId="0" borderId="24" xfId="0" applyFont="1" applyBorder="1"/>
    <xf numFmtId="4" fontId="11" fillId="0" borderId="25" xfId="0" applyNumberFormat="1" applyFont="1" applyBorder="1"/>
    <xf numFmtId="2" fontId="11" fillId="0" borderId="0" xfId="0" applyNumberFormat="1" applyFont="1"/>
    <xf numFmtId="0" fontId="16" fillId="0" borderId="16" xfId="0" applyFont="1" applyBorder="1"/>
    <xf numFmtId="4" fontId="46" fillId="0" borderId="0" xfId="0" applyNumberFormat="1" applyFont="1"/>
    <xf numFmtId="0" fontId="46" fillId="0" borderId="26" xfId="0" applyFont="1" applyBorder="1"/>
    <xf numFmtId="4" fontId="14" fillId="0" borderId="6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166" fontId="2" fillId="0" borderId="6" xfId="0" applyNumberFormat="1" applyFont="1" applyBorder="1"/>
    <xf numFmtId="4" fontId="46" fillId="0" borderId="13" xfId="1" applyNumberFormat="1" applyFont="1" applyFill="1" applyBorder="1" applyAlignment="1"/>
    <xf numFmtId="4" fontId="46" fillId="0" borderId="27" xfId="0" applyNumberFormat="1" applyFont="1" applyBorder="1"/>
    <xf numFmtId="0" fontId="46" fillId="0" borderId="0" xfId="0" applyFont="1"/>
    <xf numFmtId="0" fontId="46" fillId="0" borderId="15" xfId="0" applyFont="1" applyBorder="1"/>
    <xf numFmtId="4" fontId="46" fillId="0" borderId="28" xfId="0" applyNumberFormat="1" applyFont="1" applyBorder="1"/>
    <xf numFmtId="4" fontId="46" fillId="0" borderId="29" xfId="0" applyNumberFormat="1" applyFont="1" applyBorder="1"/>
    <xf numFmtId="4" fontId="46" fillId="0" borderId="30" xfId="0" applyNumberFormat="1" applyFont="1" applyBorder="1"/>
    <xf numFmtId="4" fontId="46" fillId="0" borderId="31" xfId="1" applyNumberFormat="1" applyFont="1" applyFill="1" applyBorder="1" applyAlignment="1"/>
    <xf numFmtId="4" fontId="46" fillId="0" borderId="32" xfId="0" applyNumberFormat="1" applyFont="1" applyBorder="1"/>
    <xf numFmtId="0" fontId="46" fillId="0" borderId="33" xfId="0" applyFont="1" applyBorder="1"/>
    <xf numFmtId="4" fontId="46" fillId="0" borderId="34" xfId="0" applyNumberFormat="1" applyFont="1" applyBorder="1"/>
    <xf numFmtId="4" fontId="46" fillId="0" borderId="35" xfId="0" applyNumberFormat="1" applyFont="1" applyBorder="1"/>
    <xf numFmtId="0" fontId="46" fillId="0" borderId="36" xfId="0" applyFont="1" applyBorder="1"/>
    <xf numFmtId="0" fontId="46" fillId="0" borderId="37" xfId="0" applyFont="1" applyBorder="1"/>
    <xf numFmtId="4" fontId="46" fillId="0" borderId="38" xfId="0" applyNumberFormat="1" applyFont="1" applyBorder="1"/>
    <xf numFmtId="4" fontId="46" fillId="0" borderId="39" xfId="0" applyNumberFormat="1" applyFont="1" applyBorder="1"/>
    <xf numFmtId="4" fontId="46" fillId="0" borderId="13" xfId="0" applyNumberFormat="1" applyFont="1" applyBorder="1"/>
    <xf numFmtId="2" fontId="44" fillId="0" borderId="0" xfId="0" applyNumberFormat="1" applyFont="1"/>
    <xf numFmtId="2" fontId="1" fillId="0" borderId="0" xfId="0" applyNumberFormat="1" applyFont="1"/>
    <xf numFmtId="0" fontId="52" fillId="0" borderId="0" xfId="0" applyFont="1"/>
    <xf numFmtId="0" fontId="15" fillId="0" borderId="0" xfId="0" applyFont="1" applyAlignment="1">
      <alignment horizontal="left"/>
    </xf>
    <xf numFmtId="4" fontId="44" fillId="0" borderId="0" xfId="0" applyNumberFormat="1" applyFont="1"/>
    <xf numFmtId="4" fontId="53" fillId="0" borderId="0" xfId="0" applyNumberFormat="1" applyFont="1"/>
    <xf numFmtId="0" fontId="44" fillId="0" borderId="0" xfId="0" applyFont="1" applyAlignment="1">
      <alignment horizontal="center"/>
    </xf>
    <xf numFmtId="14" fontId="44" fillId="0" borderId="0" xfId="0" applyNumberFormat="1" applyFont="1" applyAlignment="1">
      <alignment horizontal="center"/>
    </xf>
    <xf numFmtId="165" fontId="44" fillId="0" borderId="0" xfId="0" applyNumberFormat="1" applyFont="1" applyAlignment="1">
      <alignment horizontal="center"/>
    </xf>
    <xf numFmtId="0" fontId="52" fillId="3" borderId="0" xfId="0" applyFont="1" applyFill="1"/>
    <xf numFmtId="0" fontId="2" fillId="3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4" fontId="11" fillId="5" borderId="0" xfId="0" applyNumberFormat="1" applyFont="1" applyFill="1"/>
    <xf numFmtId="4" fontId="11" fillId="5" borderId="6" xfId="0" applyNumberFormat="1" applyFont="1" applyFill="1" applyBorder="1"/>
    <xf numFmtId="4" fontId="14" fillId="0" borderId="0" xfId="0" applyNumberFormat="1" applyFont="1" applyAlignment="1">
      <alignment horizontal="right"/>
    </xf>
    <xf numFmtId="4" fontId="11" fillId="4" borderId="0" xfId="0" applyNumberFormat="1" applyFont="1" applyFill="1" applyAlignment="1">
      <alignment horizontal="center"/>
    </xf>
    <xf numFmtId="14" fontId="11" fillId="4" borderId="0" xfId="0" applyNumberFormat="1" applyFont="1" applyFill="1" applyAlignment="1">
      <alignment horizontal="left"/>
    </xf>
    <xf numFmtId="10" fontId="11" fillId="0" borderId="0" xfId="0" applyNumberFormat="1" applyFont="1" applyAlignment="1">
      <alignment horizontal="center"/>
    </xf>
    <xf numFmtId="0" fontId="7" fillId="0" borderId="0" xfId="0" applyFont="1"/>
    <xf numFmtId="169" fontId="11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169" fontId="23" fillId="0" borderId="0" xfId="0" applyNumberFormat="1" applyFont="1" applyAlignment="1">
      <alignment horizontal="center"/>
    </xf>
    <xf numFmtId="0" fontId="8" fillId="0" borderId="49" xfId="0" applyFont="1" applyBorder="1" applyAlignment="1">
      <alignment horizontal="centerContinuous"/>
    </xf>
    <xf numFmtId="0" fontId="2" fillId="0" borderId="50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4" fontId="11" fillId="0" borderId="50" xfId="0" applyNumberFormat="1" applyFont="1" applyBorder="1"/>
    <xf numFmtId="10" fontId="11" fillId="0" borderId="0" xfId="2" applyNumberFormat="1" applyFont="1" applyFill="1" applyAlignment="1">
      <alignment horizontal="center"/>
    </xf>
    <xf numFmtId="0" fontId="16" fillId="0" borderId="17" xfId="0" applyFont="1" applyBorder="1"/>
    <xf numFmtId="4" fontId="46" fillId="0" borderId="21" xfId="0" applyNumberFormat="1" applyFont="1" applyBorder="1"/>
    <xf numFmtId="4" fontId="46" fillId="0" borderId="40" xfId="0" applyNumberFormat="1" applyFont="1" applyBorder="1"/>
    <xf numFmtId="0" fontId="46" fillId="0" borderId="15" xfId="0" applyFont="1" applyBorder="1" applyAlignment="1">
      <alignment horizontal="center"/>
    </xf>
    <xf numFmtId="0" fontId="1" fillId="2" borderId="0" xfId="0" applyFont="1" applyFill="1"/>
    <xf numFmtId="0" fontId="1" fillId="2" borderId="41" xfId="0" applyFont="1" applyFill="1" applyBorder="1"/>
    <xf numFmtId="0" fontId="1" fillId="2" borderId="36" xfId="0" applyFont="1" applyFill="1" applyBorder="1"/>
    <xf numFmtId="0" fontId="1" fillId="2" borderId="42" xfId="0" applyFont="1" applyFill="1" applyBorder="1"/>
    <xf numFmtId="4" fontId="24" fillId="0" borderId="0" xfId="0" applyNumberFormat="1" applyFont="1"/>
    <xf numFmtId="4" fontId="24" fillId="0" borderId="6" xfId="0" applyNumberFormat="1" applyFont="1" applyBorder="1"/>
    <xf numFmtId="14" fontId="24" fillId="0" borderId="0" xfId="0" applyNumberFormat="1" applyFont="1" applyAlignment="1">
      <alignment horizontal="center"/>
    </xf>
    <xf numFmtId="169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left"/>
    </xf>
    <xf numFmtId="0" fontId="54" fillId="0" borderId="0" xfId="0" applyFont="1" applyAlignment="1">
      <alignment horizontal="right"/>
    </xf>
    <xf numFmtId="4" fontId="54" fillId="0" borderId="0" xfId="0" applyNumberFormat="1" applyFont="1" applyAlignment="1">
      <alignment horizontal="right"/>
    </xf>
    <xf numFmtId="4" fontId="55" fillId="0" borderId="0" xfId="0" applyNumberFormat="1" applyFont="1"/>
    <xf numFmtId="4" fontId="3" fillId="0" borderId="0" xfId="0" applyNumberFormat="1" applyFont="1"/>
    <xf numFmtId="4" fontId="56" fillId="0" borderId="0" xfId="0" applyNumberFormat="1" applyFont="1"/>
    <xf numFmtId="4" fontId="1" fillId="0" borderId="3" xfId="0" applyNumberFormat="1" applyFont="1" applyBorder="1"/>
    <xf numFmtId="4" fontId="25" fillId="0" borderId="3" xfId="0" applyNumberFormat="1" applyFont="1" applyBorder="1"/>
    <xf numFmtId="4" fontId="25" fillId="0" borderId="0" xfId="0" applyNumberFormat="1" applyFont="1"/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" fillId="0" borderId="24" xfId="0" applyFont="1" applyBorder="1"/>
    <xf numFmtId="4" fontId="1" fillId="0" borderId="25" xfId="0" applyNumberFormat="1" applyFont="1" applyBorder="1"/>
    <xf numFmtId="4" fontId="25" fillId="0" borderId="25" xfId="0" applyNumberFormat="1" applyFont="1" applyBorder="1"/>
    <xf numFmtId="0" fontId="1" fillId="0" borderId="25" xfId="0" applyFont="1" applyBorder="1"/>
    <xf numFmtId="165" fontId="11" fillId="0" borderId="0" xfId="2" applyNumberFormat="1" applyFont="1" applyBorder="1" applyAlignment="1"/>
    <xf numFmtId="0" fontId="2" fillId="0" borderId="8" xfId="0" applyFont="1" applyBorder="1" applyAlignment="1">
      <alignment horizontal="center"/>
    </xf>
    <xf numFmtId="0" fontId="8" fillId="0" borderId="2" xfId="0" applyFont="1" applyBorder="1" applyAlignment="1">
      <alignment horizontal="centerContinuous"/>
    </xf>
    <xf numFmtId="0" fontId="22" fillId="0" borderId="0" xfId="0" applyFont="1" applyAlignment="1">
      <alignment horizontal="center" wrapText="1"/>
    </xf>
    <xf numFmtId="4" fontId="22" fillId="0" borderId="0" xfId="0" applyNumberFormat="1" applyFont="1" applyAlignment="1">
      <alignment horizontal="center" wrapText="1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57" fillId="0" borderId="0" xfId="0" applyFont="1" applyAlignment="1">
      <alignment horizontal="right"/>
    </xf>
    <xf numFmtId="4" fontId="58" fillId="0" borderId="0" xfId="0" applyNumberFormat="1" applyFont="1" applyAlignment="1">
      <alignment horizontal="right"/>
    </xf>
    <xf numFmtId="4" fontId="24" fillId="0" borderId="32" xfId="0" applyNumberFormat="1" applyFont="1" applyBorder="1"/>
    <xf numFmtId="4" fontId="24" fillId="0" borderId="33" xfId="0" applyNumberFormat="1" applyFont="1" applyBorder="1"/>
    <xf numFmtId="4" fontId="16" fillId="0" borderId="31" xfId="0" applyNumberFormat="1" applyFont="1" applyBorder="1"/>
    <xf numFmtId="4" fontId="16" fillId="0" borderId="51" xfId="0" applyNumberFormat="1" applyFont="1" applyBorder="1"/>
    <xf numFmtId="4" fontId="16" fillId="0" borderId="46" xfId="0" applyNumberFormat="1" applyFont="1" applyBorder="1"/>
    <xf numFmtId="4" fontId="24" fillId="0" borderId="31" xfId="0" applyNumberFormat="1" applyFont="1" applyBorder="1"/>
    <xf numFmtId="4" fontId="16" fillId="0" borderId="0" xfId="0" applyNumberFormat="1" applyFont="1"/>
    <xf numFmtId="4" fontId="16" fillId="0" borderId="6" xfId="0" applyNumberFormat="1" applyFont="1" applyBorder="1"/>
    <xf numFmtId="4" fontId="16" fillId="0" borderId="50" xfId="0" applyNumberFormat="1" applyFont="1" applyBorder="1"/>
    <xf numFmtId="4" fontId="16" fillId="0" borderId="23" xfId="0" applyNumberFormat="1" applyFont="1" applyBorder="1"/>
    <xf numFmtId="4" fontId="16" fillId="0" borderId="7" xfId="0" applyNumberFormat="1" applyFont="1" applyBorder="1"/>
    <xf numFmtId="4" fontId="16" fillId="0" borderId="27" xfId="0" applyNumberFormat="1" applyFont="1" applyBorder="1"/>
    <xf numFmtId="4" fontId="16" fillId="0" borderId="15" xfId="0" applyNumberFormat="1" applyFont="1" applyBorder="1"/>
    <xf numFmtId="4" fontId="16" fillId="0" borderId="13" xfId="0" applyNumberFormat="1" applyFont="1" applyBorder="1"/>
    <xf numFmtId="170" fontId="11" fillId="0" borderId="0" xfId="0" applyNumberFormat="1" applyFont="1" applyAlignment="1">
      <alignment horizontal="center"/>
    </xf>
    <xf numFmtId="0" fontId="4" fillId="0" borderId="8" xfId="0" applyFont="1" applyBorder="1" applyAlignment="1">
      <alignment horizontal="centerContinuous"/>
    </xf>
    <xf numFmtId="164" fontId="27" fillId="0" borderId="0" xfId="0" applyNumberFormat="1" applyFont="1" applyAlignment="1">
      <alignment horizontal="center"/>
    </xf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Continuous"/>
    </xf>
    <xf numFmtId="0" fontId="36" fillId="0" borderId="1" xfId="0" applyFont="1" applyBorder="1" applyAlignment="1">
      <alignment horizontal="centerContinuous"/>
    </xf>
    <xf numFmtId="0" fontId="36" fillId="0" borderId="2" xfId="0" applyFont="1" applyBorder="1" applyAlignment="1">
      <alignment horizontal="centerContinuous"/>
    </xf>
    <xf numFmtId="0" fontId="34" fillId="0" borderId="2" xfId="0" applyFont="1" applyBorder="1" applyAlignment="1">
      <alignment horizontal="centerContinuous"/>
    </xf>
    <xf numFmtId="0" fontId="34" fillId="0" borderId="9" xfId="0" applyFont="1" applyBorder="1"/>
    <xf numFmtId="0" fontId="34" fillId="0" borderId="24" xfId="0" applyFont="1" applyBorder="1"/>
    <xf numFmtId="0" fontId="35" fillId="0" borderId="2" xfId="0" applyFont="1" applyBorder="1" applyAlignment="1">
      <alignment horizontal="centerContinuous"/>
    </xf>
    <xf numFmtId="0" fontId="36" fillId="0" borderId="8" xfId="0" applyFont="1" applyBorder="1" applyAlignment="1">
      <alignment horizontal="centerContinuous"/>
    </xf>
    <xf numFmtId="0" fontId="35" fillId="0" borderId="9" xfId="0" applyFont="1" applyBorder="1" applyAlignment="1">
      <alignment horizontal="centerContinuous"/>
    </xf>
    <xf numFmtId="0" fontId="37" fillId="0" borderId="8" xfId="0" applyFont="1" applyBorder="1" applyAlignment="1">
      <alignment horizontal="centerContinuous"/>
    </xf>
    <xf numFmtId="0" fontId="31" fillId="0" borderId="3" xfId="0" applyFont="1" applyBorder="1"/>
    <xf numFmtId="164" fontId="38" fillId="0" borderId="0" xfId="0" applyNumberFormat="1" applyFont="1"/>
    <xf numFmtId="0" fontId="35" fillId="0" borderId="0" xfId="0" applyFont="1" applyAlignment="1">
      <alignment horizontal="center"/>
    </xf>
    <xf numFmtId="0" fontId="27" fillId="0" borderId="47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39" fillId="0" borderId="0" xfId="0" applyFont="1" applyAlignment="1">
      <alignment horizontal="center"/>
    </xf>
    <xf numFmtId="164" fontId="39" fillId="0" borderId="0" xfId="0" applyNumberFormat="1" applyFont="1" applyAlignment="1">
      <alignment horizontal="center"/>
    </xf>
    <xf numFmtId="4" fontId="39" fillId="0" borderId="0" xfId="0" applyNumberFormat="1" applyFont="1"/>
    <xf numFmtId="165" fontId="39" fillId="0" borderId="0" xfId="0" applyNumberFormat="1" applyFont="1" applyAlignment="1">
      <alignment horizontal="center"/>
    </xf>
    <xf numFmtId="4" fontId="39" fillId="0" borderId="7" xfId="0" applyNumberFormat="1" applyFont="1" applyBorder="1" applyAlignment="1">
      <alignment horizontal="right"/>
    </xf>
    <xf numFmtId="4" fontId="39" fillId="0" borderId="0" xfId="0" applyNumberFormat="1" applyFont="1" applyAlignment="1">
      <alignment horizontal="right"/>
    </xf>
    <xf numFmtId="4" fontId="39" fillId="0" borderId="6" xfId="0" applyNumberFormat="1" applyFont="1" applyBorder="1"/>
    <xf numFmtId="4" fontId="39" fillId="0" borderId="9" xfId="0" applyNumberFormat="1" applyFont="1" applyBorder="1"/>
    <xf numFmtId="4" fontId="39" fillId="0" borderId="8" xfId="0" applyNumberFormat="1" applyFont="1" applyBorder="1" applyAlignment="1">
      <alignment horizontal="right"/>
    </xf>
    <xf numFmtId="4" fontId="39" fillId="0" borderId="48" xfId="0" applyNumberFormat="1" applyFont="1" applyBorder="1"/>
    <xf numFmtId="4" fontId="39" fillId="0" borderId="3" xfId="0" applyNumberFormat="1" applyFont="1" applyBorder="1" applyAlignment="1">
      <alignment horizontal="right"/>
    </xf>
    <xf numFmtId="4" fontId="34" fillId="0" borderId="0" xfId="0" applyNumberFormat="1" applyFont="1" applyAlignment="1">
      <alignment horizontal="center"/>
    </xf>
    <xf numFmtId="165" fontId="39" fillId="0" borderId="0" xfId="2" applyNumberFormat="1" applyFont="1" applyBorder="1" applyAlignment="1"/>
    <xf numFmtId="165" fontId="39" fillId="0" borderId="6" xfId="0" applyNumberFormat="1" applyFont="1" applyBorder="1" applyAlignment="1">
      <alignment horizontal="center"/>
    </xf>
    <xf numFmtId="0" fontId="51" fillId="0" borderId="0" xfId="0" applyFont="1" applyAlignment="1">
      <alignment horizontal="right"/>
    </xf>
    <xf numFmtId="4" fontId="34" fillId="0" borderId="0" xfId="0" applyNumberFormat="1" applyFont="1"/>
    <xf numFmtId="165" fontId="40" fillId="0" borderId="0" xfId="0" applyNumberFormat="1" applyFont="1" applyAlignment="1">
      <alignment horizontal="center"/>
    </xf>
    <xf numFmtId="4" fontId="39" fillId="0" borderId="3" xfId="0" applyNumberFormat="1" applyFont="1" applyBorder="1"/>
    <xf numFmtId="4" fontId="39" fillId="0" borderId="7" xfId="0" applyNumberFormat="1" applyFont="1" applyBorder="1"/>
    <xf numFmtId="166" fontId="27" fillId="0" borderId="0" xfId="0" applyNumberFormat="1" applyFont="1"/>
    <xf numFmtId="4" fontId="27" fillId="0" borderId="6" xfId="0" applyNumberFormat="1" applyFont="1" applyBorder="1"/>
    <xf numFmtId="4" fontId="27" fillId="0" borderId="0" xfId="0" applyNumberFormat="1" applyFont="1"/>
    <xf numFmtId="4" fontId="27" fillId="0" borderId="6" xfId="0" applyNumberFormat="1" applyFont="1" applyBorder="1" applyAlignment="1">
      <alignment horizontal="center"/>
    </xf>
    <xf numFmtId="4" fontId="27" fillId="0" borderId="0" xfId="0" applyNumberFormat="1" applyFont="1" applyAlignment="1">
      <alignment horizontal="center"/>
    </xf>
    <xf numFmtId="0" fontId="59" fillId="0" borderId="0" xfId="0" applyFont="1" applyAlignment="1">
      <alignment horizontal="left"/>
    </xf>
    <xf numFmtId="0" fontId="40" fillId="0" borderId="0" xfId="0" applyFont="1"/>
    <xf numFmtId="4" fontId="39" fillId="0" borderId="6" xfId="0" applyNumberFormat="1" applyFont="1" applyBorder="1" applyAlignment="1">
      <alignment horizontal="center"/>
    </xf>
    <xf numFmtId="0" fontId="59" fillId="0" borderId="0" xfId="0" applyFont="1"/>
    <xf numFmtId="0" fontId="41" fillId="0" borderId="0" xfId="0" applyFont="1"/>
    <xf numFmtId="14" fontId="41" fillId="0" borderId="0" xfId="0" applyNumberFormat="1" applyFont="1"/>
    <xf numFmtId="0" fontId="45" fillId="0" borderId="0" xfId="0" applyFont="1" applyAlignment="1">
      <alignment horizontal="right"/>
    </xf>
    <xf numFmtId="0" fontId="45" fillId="0" borderId="16" xfId="0" applyFont="1" applyBorder="1"/>
    <xf numFmtId="0" fontId="46" fillId="0" borderId="17" xfId="0" applyFont="1" applyBorder="1" applyAlignment="1">
      <alignment horizontal="center"/>
    </xf>
    <xf numFmtId="0" fontId="48" fillId="0" borderId="17" xfId="0" applyFont="1" applyBorder="1"/>
    <xf numFmtId="0" fontId="45" fillId="0" borderId="17" xfId="0" applyFont="1" applyBorder="1"/>
    <xf numFmtId="0" fontId="46" fillId="0" borderId="18" xfId="0" applyFont="1" applyBorder="1" applyAlignment="1">
      <alignment horizontal="center"/>
    </xf>
    <xf numFmtId="0" fontId="45" fillId="0" borderId="19" xfId="0" applyFont="1" applyBorder="1"/>
    <xf numFmtId="39" fontId="46" fillId="0" borderId="0" xfId="0" applyNumberFormat="1" applyFont="1"/>
    <xf numFmtId="0" fontId="45" fillId="0" borderId="15" xfId="0" applyFont="1" applyBorder="1"/>
    <xf numFmtId="39" fontId="46" fillId="0" borderId="41" xfId="0" applyNumberFormat="1" applyFont="1" applyBorder="1"/>
    <xf numFmtId="0" fontId="45" fillId="0" borderId="20" xfId="0" applyFont="1" applyBorder="1"/>
    <xf numFmtId="39" fontId="46" fillId="0" borderId="32" xfId="0" applyNumberFormat="1" applyFont="1" applyBorder="1"/>
    <xf numFmtId="0" fontId="45" fillId="0" borderId="33" xfId="0" applyFont="1" applyBorder="1"/>
    <xf numFmtId="39" fontId="46" fillId="0" borderId="34" xfId="0" applyNumberFormat="1" applyFont="1" applyBorder="1"/>
    <xf numFmtId="0" fontId="45" fillId="0" borderId="21" xfId="0" applyFont="1" applyBorder="1"/>
    <xf numFmtId="39" fontId="46" fillId="0" borderId="36" xfId="0" applyNumberFormat="1" applyFont="1" applyBorder="1"/>
    <xf numFmtId="0" fontId="45" fillId="0" borderId="36" xfId="0" applyFont="1" applyBorder="1"/>
    <xf numFmtId="39" fontId="46" fillId="0" borderId="42" xfId="0" applyNumberFormat="1" applyFont="1" applyBorder="1"/>
    <xf numFmtId="4" fontId="31" fillId="0" borderId="0" xfId="0" applyNumberFormat="1" applyFont="1"/>
    <xf numFmtId="0" fontId="24" fillId="0" borderId="0" xfId="0" applyFont="1" applyAlignment="1">
      <alignment horizontal="center" wrapText="1"/>
    </xf>
    <xf numFmtId="41" fontId="11" fillId="0" borderId="0" xfId="0" quotePrefix="1" applyNumberFormat="1" applyFont="1" applyAlignment="1">
      <alignment horizontal="center"/>
    </xf>
    <xf numFmtId="4" fontId="51" fillId="0" borderId="6" xfId="0" applyNumberFormat="1" applyFont="1" applyBorder="1" applyAlignment="1">
      <alignment horizontal="right"/>
    </xf>
    <xf numFmtId="170" fontId="1" fillId="0" borderId="0" xfId="0" applyNumberFormat="1" applyFont="1"/>
    <xf numFmtId="43" fontId="1" fillId="0" borderId="0" xfId="1" applyFont="1" applyAlignment="1"/>
    <xf numFmtId="4" fontId="11" fillId="0" borderId="0" xfId="0" quotePrefix="1" applyNumberFormat="1" applyFont="1" applyAlignment="1">
      <alignment horizontal="center"/>
    </xf>
    <xf numFmtId="171" fontId="31" fillId="0" borderId="0" xfId="0" applyNumberFormat="1" applyFont="1"/>
    <xf numFmtId="168" fontId="11" fillId="0" borderId="0" xfId="0" applyNumberFormat="1" applyFont="1"/>
    <xf numFmtId="4" fontId="14" fillId="0" borderId="3" xfId="0" applyNumberFormat="1" applyFont="1" applyBorder="1" applyAlignment="1">
      <alignment horizontal="right"/>
    </xf>
    <xf numFmtId="39" fontId="11" fillId="0" borderId="0" xfId="0" applyNumberFormat="1" applyFont="1"/>
    <xf numFmtId="0" fontId="48" fillId="0" borderId="0" xfId="0" applyFont="1"/>
    <xf numFmtId="39" fontId="1" fillId="0" borderId="0" xfId="0" applyNumberFormat="1" applyFont="1"/>
    <xf numFmtId="0" fontId="31" fillId="0" borderId="16" xfId="0" applyFont="1" applyBorder="1"/>
    <xf numFmtId="4" fontId="16" fillId="0" borderId="14" xfId="0" applyNumberFormat="1" applyFont="1" applyBorder="1"/>
    <xf numFmtId="169" fontId="16" fillId="0" borderId="0" xfId="0" applyNumberFormat="1" applyFont="1" applyAlignment="1">
      <alignment horizontal="center"/>
    </xf>
    <xf numFmtId="0" fontId="3" fillId="0" borderId="0" xfId="0" applyFont="1"/>
    <xf numFmtId="0" fontId="16" fillId="0" borderId="0" xfId="0" applyFont="1" applyAlignment="1">
      <alignment horizontal="right"/>
    </xf>
    <xf numFmtId="4" fontId="16" fillId="0" borderId="0" xfId="0" applyNumberFormat="1" applyFont="1" applyAlignment="1">
      <alignment horizontal="right"/>
    </xf>
    <xf numFmtId="0" fontId="16" fillId="0" borderId="15" xfId="0" applyFont="1" applyBorder="1" applyAlignment="1">
      <alignment horizontal="right"/>
    </xf>
    <xf numFmtId="4" fontId="16" fillId="0" borderId="15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166" fontId="1" fillId="0" borderId="0" xfId="0" applyNumberFormat="1" applyFont="1"/>
    <xf numFmtId="4" fontId="1" fillId="0" borderId="15" xfId="0" applyNumberFormat="1" applyFont="1" applyBorder="1"/>
    <xf numFmtId="10" fontId="1" fillId="0" borderId="0" xfId="2" applyNumberFormat="1" applyFont="1" applyAlignment="1"/>
    <xf numFmtId="4" fontId="14" fillId="0" borderId="7" xfId="0" applyNumberFormat="1" applyFont="1" applyBorder="1" applyAlignment="1">
      <alignment horizontal="right"/>
    </xf>
    <xf numFmtId="172" fontId="35" fillId="0" borderId="0" xfId="2" applyNumberFormat="1" applyFont="1" applyAlignment="1">
      <alignment horizontal="center"/>
    </xf>
    <xf numFmtId="4" fontId="60" fillId="0" borderId="0" xfId="0" applyNumberFormat="1" applyFont="1" applyAlignment="1">
      <alignment horizontal="right"/>
    </xf>
    <xf numFmtId="0" fontId="61" fillId="0" borderId="0" xfId="0" applyFont="1"/>
    <xf numFmtId="4" fontId="62" fillId="0" borderId="0" xfId="0" applyNumberFormat="1" applyFont="1"/>
    <xf numFmtId="0" fontId="63" fillId="0" borderId="0" xfId="0" applyFont="1" applyAlignment="1">
      <alignment horizontal="right"/>
    </xf>
    <xf numFmtId="4" fontId="64" fillId="0" borderId="0" xfId="0" applyNumberFormat="1" applyFont="1"/>
    <xf numFmtId="4" fontId="12" fillId="0" borderId="0" xfId="0" applyNumberFormat="1" applyFont="1"/>
    <xf numFmtId="4" fontId="53" fillId="0" borderId="7" xfId="0" applyNumberFormat="1" applyFont="1" applyBorder="1"/>
    <xf numFmtId="14" fontId="2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2" fontId="40" fillId="0" borderId="0" xfId="0" applyNumberFormat="1" applyFont="1" applyAlignment="1">
      <alignment horizontal="center"/>
    </xf>
    <xf numFmtId="2" fontId="39" fillId="0" borderId="6" xfId="0" applyNumberFormat="1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173" fontId="39" fillId="0" borderId="6" xfId="0" applyNumberFormat="1" applyFont="1" applyBorder="1"/>
    <xf numFmtId="4" fontId="65" fillId="0" borderId="0" xfId="0" applyNumberFormat="1" applyFont="1" applyAlignment="1">
      <alignment horizontal="right"/>
    </xf>
    <xf numFmtId="173" fontId="11" fillId="0" borderId="6" xfId="0" applyNumberFormat="1" applyFont="1" applyBorder="1"/>
    <xf numFmtId="173" fontId="14" fillId="0" borderId="6" xfId="0" applyNumberFormat="1" applyFont="1" applyBorder="1"/>
    <xf numFmtId="173" fontId="44" fillId="0" borderId="0" xfId="0" applyNumberFormat="1" applyFont="1" applyAlignment="1">
      <alignment horizontal="right"/>
    </xf>
    <xf numFmtId="173" fontId="44" fillId="0" borderId="0" xfId="0" applyNumberFormat="1" applyFont="1"/>
    <xf numFmtId="173" fontId="51" fillId="0" borderId="6" xfId="0" applyNumberFormat="1" applyFont="1" applyBorder="1"/>
    <xf numFmtId="4" fontId="52" fillId="0" borderId="0" xfId="0" applyNumberFormat="1" applyFont="1"/>
    <xf numFmtId="14" fontId="29" fillId="0" borderId="0" xfId="0" applyNumberFormat="1" applyFont="1"/>
    <xf numFmtId="0" fontId="29" fillId="0" borderId="0" xfId="0" applyFont="1"/>
    <xf numFmtId="14" fontId="7" fillId="0" borderId="0" xfId="0" applyNumberFormat="1" applyFont="1"/>
    <xf numFmtId="173" fontId="11" fillId="0" borderId="7" xfId="0" applyNumberFormat="1" applyFont="1" applyBorder="1" applyAlignment="1">
      <alignment horizontal="right"/>
    </xf>
    <xf numFmtId="173" fontId="11" fillId="0" borderId="0" xfId="0" applyNumberFormat="1" applyFont="1" applyAlignment="1">
      <alignment horizontal="right"/>
    </xf>
    <xf numFmtId="173" fontId="14" fillId="0" borderId="7" xfId="0" applyNumberFormat="1" applyFont="1" applyBorder="1" applyAlignment="1">
      <alignment horizontal="right"/>
    </xf>
    <xf numFmtId="173" fontId="14" fillId="0" borderId="0" xfId="0" applyNumberFormat="1" applyFont="1" applyAlignment="1">
      <alignment horizontal="right"/>
    </xf>
    <xf numFmtId="44" fontId="16" fillId="0" borderId="0" xfId="0" applyNumberFormat="1" applyFont="1"/>
    <xf numFmtId="4" fontId="16" fillId="0" borderId="0" xfId="0" applyNumberFormat="1" applyFont="1" applyAlignment="1">
      <alignment vertical="center"/>
    </xf>
    <xf numFmtId="173" fontId="11" fillId="0" borderId="0" xfId="0" applyNumberFormat="1" applyFont="1"/>
    <xf numFmtId="173" fontId="14" fillId="0" borderId="0" xfId="0" applyNumberFormat="1" applyFont="1"/>
    <xf numFmtId="4" fontId="25" fillId="0" borderId="6" xfId="0" applyNumberFormat="1" applyFont="1" applyBorder="1"/>
    <xf numFmtId="174" fontId="54" fillId="0" borderId="0" xfId="0" applyNumberFormat="1" applyFont="1" applyAlignment="1">
      <alignment horizontal="right"/>
    </xf>
    <xf numFmtId="174" fontId="11" fillId="0" borderId="0" xfId="0" applyNumberFormat="1" applyFont="1"/>
    <xf numFmtId="174" fontId="9" fillId="0" borderId="0" xfId="0" applyNumberFormat="1" applyFont="1" applyAlignment="1">
      <alignment horizontal="center"/>
    </xf>
    <xf numFmtId="174" fontId="4" fillId="0" borderId="0" xfId="0" applyNumberFormat="1" applyFont="1" applyAlignment="1">
      <alignment horizontal="center"/>
    </xf>
    <xf numFmtId="0" fontId="66" fillId="0" borderId="0" xfId="0" applyFont="1"/>
    <xf numFmtId="0" fontId="67" fillId="0" borderId="0" xfId="0" applyFont="1"/>
    <xf numFmtId="9" fontId="67" fillId="0" borderId="0" xfId="3" applyFont="1"/>
    <xf numFmtId="43" fontId="67" fillId="0" borderId="0" xfId="4" applyFont="1"/>
    <xf numFmtId="0" fontId="67" fillId="0" borderId="0" xfId="0" applyFont="1" applyAlignment="1">
      <alignment horizontal="left"/>
    </xf>
    <xf numFmtId="10" fontId="67" fillId="0" borderId="0" xfId="3" applyNumberFormat="1" applyFont="1"/>
    <xf numFmtId="14" fontId="67" fillId="0" borderId="0" xfId="0" applyNumberFormat="1" applyFont="1" applyAlignment="1">
      <alignment horizontal="left"/>
    </xf>
    <xf numFmtId="4" fontId="67" fillId="0" borderId="0" xfId="0" applyNumberFormat="1" applyFont="1"/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2" fillId="0" borderId="0" xfId="0" applyFont="1" applyAlignment="1">
      <alignment horizontal="center" wrapText="1"/>
    </xf>
    <xf numFmtId="14" fontId="2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8" fillId="0" borderId="0" xfId="0" applyNumberFormat="1" applyFont="1" applyAlignment="1">
      <alignment horizontal="center"/>
    </xf>
    <xf numFmtId="164" fontId="29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0" fillId="0" borderId="25" xfId="0" applyFont="1" applyBorder="1" applyAlignment="1">
      <alignment horizontal="center" wrapText="1"/>
    </xf>
    <xf numFmtId="0" fontId="66" fillId="0" borderId="15" xfId="0" applyFont="1" applyBorder="1" applyAlignment="1">
      <alignment horizontal="center"/>
    </xf>
    <xf numFmtId="0" fontId="67" fillId="0" borderId="0" xfId="0" applyFont="1" applyAlignment="1">
      <alignment horizontal="left" indent="1"/>
    </xf>
    <xf numFmtId="44" fontId="67" fillId="0" borderId="52" xfId="6" applyFont="1" applyBorder="1"/>
    <xf numFmtId="0" fontId="11" fillId="0" borderId="0" xfId="0" applyFont="1" applyFill="1" applyAlignment="1">
      <alignment horizontal="center"/>
    </xf>
    <xf numFmtId="44" fontId="67" fillId="0" borderId="0" xfId="6" applyFont="1"/>
  </cellXfs>
  <cellStyles count="7">
    <cellStyle name="Comma" xfId="1" builtinId="3"/>
    <cellStyle name="Comma 2" xfId="4" xr:uid="{FD557530-A407-4319-B649-08900E33CE62}"/>
    <cellStyle name="Currency" xfId="6" builtinId="4"/>
    <cellStyle name="Currency 2" xfId="5" xr:uid="{1789F283-BDEF-41B9-86AB-918BDD05C7BE}"/>
    <cellStyle name="Normal" xfId="0" builtinId="0"/>
    <cellStyle name="Percent" xfId="2" builtinId="5"/>
    <cellStyle name="Percent 2" xfId="3" xr:uid="{4EF5ACC0-B204-4577-86C9-D5FF286E470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s\Accounting\@GMT-2019.10.08-11.00.04\Loan%20Payments\2018%20Loan%20Payments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Loan%20Payments\2023%20Loan%20Payments.xls" TargetMode="External"/><Relationship Id="rId1" Type="http://schemas.openxmlformats.org/officeDocument/2006/relationships/externalLinkPath" Target="/Loan%20Payments/2023%20Loan%20Paymen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s\Accounting\@GMT-2019.10.08-11.00.04\Loan%20Payments\2017%20Loan%20Payme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- RUS Payts"/>
      <sheetName val="RUS Payts"/>
      <sheetName val="old CFC Payts"/>
      <sheetName val="FFB Payts"/>
      <sheetName val="CFC Payts"/>
      <sheetName val="FFB Amortizatio"/>
      <sheetName val="FFB Payts (2)"/>
      <sheetName val="TREA  Amortizat"/>
    </sheetNames>
    <sheetDataSet>
      <sheetData sheetId="0"/>
      <sheetData sheetId="1">
        <row r="27">
          <cell r="G27">
            <v>2511383.6999999997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LD - RUS Payts"/>
      <sheetName val="RUS Payts (2)"/>
      <sheetName val="RUS Payts (3)"/>
      <sheetName val="FFB Payts (3)"/>
      <sheetName val="CFC Payts (2)"/>
      <sheetName val="RUS Payts"/>
      <sheetName val="old CFC Payts"/>
      <sheetName val="FFB Payts"/>
      <sheetName val="CFC Payts"/>
      <sheetName val="FFB Amortizatio"/>
      <sheetName val="FFB Payts (2)"/>
      <sheetName val="TREA  Amortiz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A6">
            <v>662091.27999999991</v>
          </cell>
        </row>
        <row r="10">
          <cell r="AY10">
            <v>3000000</v>
          </cell>
        </row>
      </sheetData>
      <sheetData sheetId="6" refreshError="1"/>
      <sheetData sheetId="7" refreshError="1"/>
      <sheetData sheetId="8" refreshError="1">
        <row r="7">
          <cell r="F7">
            <v>85903.760000000009</v>
          </cell>
          <cell r="AA7">
            <v>49269.73000000001</v>
          </cell>
        </row>
        <row r="8">
          <cell r="AA8">
            <v>178134.74</v>
          </cell>
        </row>
        <row r="9">
          <cell r="AA9">
            <v>275245.32</v>
          </cell>
        </row>
        <row r="10">
          <cell r="AA10">
            <v>494101.19</v>
          </cell>
        </row>
        <row r="11">
          <cell r="AA11">
            <v>202688.71000000002</v>
          </cell>
        </row>
        <row r="16">
          <cell r="AA16">
            <v>0</v>
          </cell>
        </row>
        <row r="17">
          <cell r="AA17">
            <v>127666.21</v>
          </cell>
        </row>
        <row r="18">
          <cell r="AA18">
            <v>152424.06</v>
          </cell>
        </row>
        <row r="19">
          <cell r="AA19">
            <v>102295.74</v>
          </cell>
        </row>
        <row r="20">
          <cell r="AA20">
            <v>96918.96</v>
          </cell>
        </row>
        <row r="24">
          <cell r="AA24">
            <v>0</v>
          </cell>
        </row>
        <row r="25">
          <cell r="AA25">
            <v>624807.27</v>
          </cell>
        </row>
        <row r="26">
          <cell r="AA26">
            <v>647507.16</v>
          </cell>
        </row>
        <row r="27">
          <cell r="AA27">
            <v>670123.30000000005</v>
          </cell>
        </row>
        <row r="28">
          <cell r="AA28">
            <v>693852.08</v>
          </cell>
        </row>
        <row r="29">
          <cell r="AA29">
            <v>717856.35</v>
          </cell>
        </row>
        <row r="30">
          <cell r="AA30">
            <v>738073.55</v>
          </cell>
        </row>
        <row r="31">
          <cell r="AA31">
            <v>665482.38</v>
          </cell>
        </row>
        <row r="32">
          <cell r="AA32">
            <v>690285.68</v>
          </cell>
        </row>
        <row r="33">
          <cell r="AA33">
            <v>715641.43</v>
          </cell>
        </row>
        <row r="34">
          <cell r="AA34">
            <v>743272.23</v>
          </cell>
        </row>
        <row r="35">
          <cell r="AA35">
            <v>771562.48</v>
          </cell>
        </row>
        <row r="36">
          <cell r="AA36">
            <v>801063.06</v>
          </cell>
        </row>
        <row r="37">
          <cell r="AA37">
            <v>831668.48</v>
          </cell>
        </row>
        <row r="38">
          <cell r="AA38">
            <v>863941.13</v>
          </cell>
        </row>
        <row r="39">
          <cell r="AA39">
            <v>897191.42</v>
          </cell>
        </row>
        <row r="40">
          <cell r="AA40">
            <v>468387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- RUS Payts"/>
      <sheetName val="RUS Payts"/>
      <sheetName val="old CFC Payts"/>
      <sheetName val="FFB Payts"/>
      <sheetName val="CFC Payts"/>
      <sheetName val="FFB Amortizatio"/>
      <sheetName val="TREA  Amortizat"/>
    </sheetNames>
    <sheetDataSet>
      <sheetData sheetId="0" refreshError="1"/>
      <sheetData sheetId="1" refreshError="1"/>
      <sheetData sheetId="2" refreshError="1"/>
      <sheetData sheetId="3" refreshError="1">
        <row r="5">
          <cell r="AD5">
            <v>671401.29</v>
          </cell>
        </row>
        <row r="6">
          <cell r="AD6">
            <v>872821.34999999986</v>
          </cell>
        </row>
        <row r="7">
          <cell r="AD7">
            <v>675185.2699999999</v>
          </cell>
        </row>
        <row r="8">
          <cell r="AD8">
            <v>764211.78</v>
          </cell>
        </row>
        <row r="9">
          <cell r="AD9">
            <v>714200.95</v>
          </cell>
        </row>
        <row r="10">
          <cell r="AD10">
            <v>746102.29</v>
          </cell>
        </row>
        <row r="11">
          <cell r="AD11">
            <v>723864.10000000009</v>
          </cell>
        </row>
        <row r="12">
          <cell r="AD12">
            <v>723773.91</v>
          </cell>
        </row>
        <row r="13">
          <cell r="AD13">
            <v>1817439.22</v>
          </cell>
        </row>
        <row r="14">
          <cell r="AD14">
            <v>937103.21</v>
          </cell>
        </row>
        <row r="15">
          <cell r="AD15">
            <v>1229994.6599999997</v>
          </cell>
        </row>
        <row r="16">
          <cell r="AD16">
            <v>1460832.3399999999</v>
          </cell>
        </row>
        <row r="17">
          <cell r="AD17">
            <v>1037423.2999999998</v>
          </cell>
        </row>
        <row r="18">
          <cell r="AD18">
            <v>2568603.7599999998</v>
          </cell>
        </row>
        <row r="19">
          <cell r="W19">
            <v>1.065E-2</v>
          </cell>
          <cell r="AD19">
            <v>4300103.24</v>
          </cell>
        </row>
        <row r="20">
          <cell r="W20">
            <v>1.065E-2</v>
          </cell>
          <cell r="AD20">
            <v>1787628.26</v>
          </cell>
        </row>
        <row r="21">
          <cell r="AD21">
            <v>1250026.5299999998</v>
          </cell>
        </row>
        <row r="22">
          <cell r="AD22">
            <v>5096262.01</v>
          </cell>
        </row>
        <row r="23">
          <cell r="W23">
            <v>1.065E-2</v>
          </cell>
          <cell r="AD23">
            <v>3862781.2199999997</v>
          </cell>
        </row>
        <row r="24">
          <cell r="W24">
            <v>1.065E-2</v>
          </cell>
          <cell r="AD24">
            <v>4541164.55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G79"/>
  <sheetViews>
    <sheetView zoomScale="80" zoomScaleNormal="80" workbookViewId="0">
      <pane xSplit="8" ySplit="3" topLeftCell="S4" activePane="bottomRight" state="frozen"/>
      <selection pane="topRight" activeCell="I1" sqref="I1"/>
      <selection pane="bottomLeft" activeCell="A4" sqref="A4"/>
      <selection pane="bottomRight" activeCell="D66" sqref="D66"/>
    </sheetView>
  </sheetViews>
  <sheetFormatPr defaultColWidth="9.6640625" defaultRowHeight="15"/>
  <cols>
    <col min="1" max="1" width="8.21875" style="1" customWidth="1"/>
    <col min="2" max="2" width="8.44140625" style="1" bestFit="1" customWidth="1"/>
    <col min="3" max="3" width="8.5546875" style="1" bestFit="1" customWidth="1"/>
    <col min="4" max="4" width="8.33203125" style="1" customWidth="1"/>
    <col min="5" max="6" width="11.21875" style="1" customWidth="1"/>
    <col min="7" max="7" width="6.88671875" style="1" bestFit="1" customWidth="1"/>
    <col min="8" max="8" width="1.77734375" style="1" bestFit="1" customWidth="1"/>
    <col min="9" max="44" width="10.77734375" style="1" customWidth="1"/>
    <col min="45" max="46" width="12.6640625" style="1" customWidth="1"/>
    <col min="47" max="47" width="14.6640625" style="1" customWidth="1"/>
    <col min="48" max="49" width="12.6640625" style="1" customWidth="1"/>
    <col min="50" max="52" width="10.6640625" style="1" customWidth="1"/>
    <col min="53" max="57" width="11.6640625" style="1" customWidth="1"/>
    <col min="58" max="16384" width="9.6640625" style="1"/>
  </cols>
  <sheetData>
    <row r="1" spans="1:59" ht="18">
      <c r="A1" s="2">
        <f ca="1">NOW()</f>
        <v>45685.410198726851</v>
      </c>
      <c r="B1" s="2"/>
      <c r="C1" s="2"/>
      <c r="D1" s="2"/>
      <c r="E1" s="2"/>
      <c r="F1" s="392" t="s">
        <v>130</v>
      </c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 t="s">
        <v>130</v>
      </c>
      <c r="V1" s="392"/>
      <c r="W1" s="392"/>
      <c r="X1" s="392"/>
      <c r="Y1" s="392"/>
      <c r="Z1" s="392"/>
      <c r="AA1" s="392"/>
      <c r="AB1" s="392"/>
      <c r="AC1" s="392"/>
      <c r="AD1" s="392"/>
      <c r="AE1" s="392"/>
      <c r="AF1" s="392"/>
      <c r="AG1" s="392" t="s">
        <v>130</v>
      </c>
      <c r="AH1" s="392"/>
      <c r="AI1" s="392"/>
      <c r="AJ1" s="392"/>
      <c r="AK1" s="392"/>
      <c r="AL1" s="392"/>
      <c r="AM1" s="392"/>
      <c r="AN1" s="392"/>
      <c r="AO1" s="392"/>
      <c r="AP1" s="392"/>
      <c r="AQ1" s="392"/>
      <c r="AR1" s="392"/>
      <c r="AS1" s="392" t="s">
        <v>130</v>
      </c>
      <c r="AT1" s="392"/>
      <c r="AU1" s="392"/>
      <c r="AV1" s="392"/>
      <c r="AW1" s="392"/>
      <c r="AX1" s="392"/>
      <c r="AY1" s="392"/>
      <c r="AZ1" s="392"/>
      <c r="BA1" s="392"/>
      <c r="BB1" s="392"/>
      <c r="BC1" s="392"/>
      <c r="BD1" s="392"/>
      <c r="BE1" s="392"/>
      <c r="BF1" s="392"/>
      <c r="BG1" s="4"/>
    </row>
    <row r="2" spans="1:59" ht="13.5" customHeight="1">
      <c r="A2" s="5" t="s">
        <v>0</v>
      </c>
      <c r="B2" s="5"/>
      <c r="C2" s="6" t="s">
        <v>112</v>
      </c>
      <c r="D2" s="6" t="s">
        <v>114</v>
      </c>
      <c r="E2" s="6" t="s">
        <v>115</v>
      </c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U2" s="94"/>
    </row>
    <row r="3" spans="1:59" ht="13.5" customHeight="1">
      <c r="A3" s="6" t="s">
        <v>1</v>
      </c>
      <c r="B3" s="6" t="s">
        <v>134</v>
      </c>
      <c r="C3" s="6" t="s">
        <v>73</v>
      </c>
      <c r="D3" s="6" t="s">
        <v>73</v>
      </c>
      <c r="E3" s="6" t="s">
        <v>73</v>
      </c>
      <c r="F3" s="6" t="s">
        <v>31</v>
      </c>
      <c r="G3" s="6" t="s">
        <v>32</v>
      </c>
      <c r="H3" s="6"/>
      <c r="I3" s="7" t="s">
        <v>33</v>
      </c>
      <c r="J3" s="8"/>
      <c r="K3" s="99"/>
      <c r="L3" s="10" t="s">
        <v>37</v>
      </c>
      <c r="M3" s="9"/>
      <c r="N3" s="9"/>
      <c r="O3" s="7" t="s">
        <v>38</v>
      </c>
      <c r="P3" s="9"/>
      <c r="Q3" s="9"/>
      <c r="R3" s="7" t="s">
        <v>39</v>
      </c>
      <c r="S3" s="9"/>
      <c r="T3" s="78"/>
      <c r="U3" s="76" t="s">
        <v>40</v>
      </c>
      <c r="V3" s="10"/>
      <c r="W3" s="95"/>
      <c r="X3" s="10" t="s">
        <v>41</v>
      </c>
      <c r="Y3" s="9"/>
      <c r="Z3" s="78"/>
      <c r="AA3" s="10" t="s">
        <v>42</v>
      </c>
      <c r="AB3" s="11"/>
      <c r="AC3" s="80"/>
      <c r="AD3" s="10" t="s">
        <v>43</v>
      </c>
      <c r="AE3" s="11"/>
      <c r="AF3" s="78"/>
      <c r="AG3" s="10" t="s">
        <v>44</v>
      </c>
      <c r="AH3" s="11"/>
      <c r="AI3" s="11"/>
      <c r="AJ3" s="7" t="s">
        <v>45</v>
      </c>
      <c r="AK3" s="11"/>
      <c r="AL3" s="11"/>
      <c r="AM3" s="12" t="s">
        <v>46</v>
      </c>
      <c r="AN3" s="11"/>
      <c r="AO3" s="11"/>
      <c r="AP3" s="7" t="s">
        <v>47</v>
      </c>
      <c r="AQ3" s="11"/>
      <c r="AR3" s="80"/>
      <c r="AS3" s="86" t="s">
        <v>48</v>
      </c>
      <c r="AT3" s="11"/>
      <c r="AU3" s="80"/>
      <c r="AV3" s="8" t="s">
        <v>49</v>
      </c>
      <c r="AW3" s="13" t="s">
        <v>49</v>
      </c>
      <c r="AX3" s="13" t="s">
        <v>49</v>
      </c>
      <c r="AY3" s="13" t="s">
        <v>49</v>
      </c>
      <c r="AZ3" s="13" t="s">
        <v>49</v>
      </c>
      <c r="BA3" s="13" t="s">
        <v>49</v>
      </c>
      <c r="BB3" s="13" t="s">
        <v>49</v>
      </c>
      <c r="BC3" s="13" t="s">
        <v>49</v>
      </c>
      <c r="BD3" s="13" t="s">
        <v>49</v>
      </c>
      <c r="BE3" s="13" t="s">
        <v>49</v>
      </c>
      <c r="BF3" s="62" t="s">
        <v>59</v>
      </c>
      <c r="BG3" s="14"/>
    </row>
    <row r="4" spans="1:59" ht="13.5" customHeight="1">
      <c r="F4" s="15">
        <v>42369</v>
      </c>
      <c r="G4" s="16"/>
      <c r="H4" s="16"/>
      <c r="I4" s="17" t="s">
        <v>34</v>
      </c>
      <c r="J4" s="18" t="s">
        <v>35</v>
      </c>
      <c r="K4" s="111" t="s">
        <v>36</v>
      </c>
      <c r="L4" s="18" t="s">
        <v>34</v>
      </c>
      <c r="M4" s="18" t="s">
        <v>35</v>
      </c>
      <c r="N4" s="18" t="s">
        <v>36</v>
      </c>
      <c r="O4" s="17" t="s">
        <v>34</v>
      </c>
      <c r="P4" s="18" t="s">
        <v>35</v>
      </c>
      <c r="Q4" s="18" t="s">
        <v>36</v>
      </c>
      <c r="R4" s="17" t="s">
        <v>34</v>
      </c>
      <c r="S4" s="18" t="s">
        <v>35</v>
      </c>
      <c r="T4" s="79" t="s">
        <v>36</v>
      </c>
      <c r="U4" s="77" t="s">
        <v>34</v>
      </c>
      <c r="V4" s="18" t="s">
        <v>35</v>
      </c>
      <c r="W4" s="82" t="s">
        <v>36</v>
      </c>
      <c r="X4" s="18" t="s">
        <v>34</v>
      </c>
      <c r="Y4" s="18" t="s">
        <v>35</v>
      </c>
      <c r="Z4" s="82" t="s">
        <v>36</v>
      </c>
      <c r="AA4" s="18" t="s">
        <v>34</v>
      </c>
      <c r="AB4" s="18" t="s">
        <v>35</v>
      </c>
      <c r="AC4" s="82" t="s">
        <v>36</v>
      </c>
      <c r="AD4" s="18" t="s">
        <v>34</v>
      </c>
      <c r="AE4" s="18" t="s">
        <v>35</v>
      </c>
      <c r="AF4" s="82" t="s">
        <v>36</v>
      </c>
      <c r="AG4" s="18" t="s">
        <v>34</v>
      </c>
      <c r="AH4" s="18" t="s">
        <v>35</v>
      </c>
      <c r="AI4" s="18" t="s">
        <v>36</v>
      </c>
      <c r="AJ4" s="17" t="s">
        <v>34</v>
      </c>
      <c r="AK4" s="18" t="s">
        <v>35</v>
      </c>
      <c r="AL4" s="18" t="s">
        <v>36</v>
      </c>
      <c r="AM4" s="17" t="s">
        <v>34</v>
      </c>
      <c r="AN4" s="18" t="s">
        <v>35</v>
      </c>
      <c r="AO4" s="18" t="s">
        <v>36</v>
      </c>
      <c r="AP4" s="17" t="s">
        <v>34</v>
      </c>
      <c r="AQ4" s="18" t="s">
        <v>35</v>
      </c>
      <c r="AR4" s="79" t="s">
        <v>36</v>
      </c>
      <c r="AS4" s="77" t="s">
        <v>34</v>
      </c>
      <c r="AT4" s="18" t="s">
        <v>35</v>
      </c>
      <c r="AU4" s="82" t="s">
        <v>36</v>
      </c>
      <c r="AV4" s="131" t="s">
        <v>50</v>
      </c>
      <c r="AW4" s="19" t="s">
        <v>51</v>
      </c>
      <c r="AX4" s="19" t="s">
        <v>52</v>
      </c>
      <c r="AY4" s="19" t="s">
        <v>53</v>
      </c>
      <c r="AZ4" s="19" t="s">
        <v>54</v>
      </c>
      <c r="BA4" s="19" t="s">
        <v>55</v>
      </c>
      <c r="BB4" s="19" t="s">
        <v>56</v>
      </c>
      <c r="BC4" s="19" t="s">
        <v>57</v>
      </c>
      <c r="BD4" s="19" t="s">
        <v>58</v>
      </c>
      <c r="BE4" s="19" t="s">
        <v>93</v>
      </c>
      <c r="BF4" s="63" t="s">
        <v>36</v>
      </c>
      <c r="BG4" s="14"/>
    </row>
    <row r="5" spans="1:59" ht="1.5" customHeight="1">
      <c r="A5" s="20">
        <v>4140</v>
      </c>
      <c r="B5" s="20"/>
      <c r="C5" s="20"/>
      <c r="D5" s="20"/>
      <c r="E5" s="20"/>
      <c r="F5" s="21">
        <v>0</v>
      </c>
      <c r="G5" s="22">
        <v>0.02</v>
      </c>
      <c r="H5" s="22"/>
      <c r="I5" s="23"/>
      <c r="J5" s="24"/>
      <c r="K5" s="71">
        <f t="shared" ref="K5:K14" si="0">F5-J5</f>
        <v>0</v>
      </c>
      <c r="L5" s="25"/>
      <c r="M5" s="27"/>
      <c r="N5" s="81">
        <f>J5-M5</f>
        <v>0</v>
      </c>
      <c r="O5" s="25"/>
      <c r="P5" s="27"/>
      <c r="Q5" s="81">
        <f>M5-P5</f>
        <v>0</v>
      </c>
      <c r="R5" s="25"/>
      <c r="S5" s="27"/>
      <c r="T5" s="81">
        <f>P5-S5</f>
        <v>0</v>
      </c>
      <c r="U5" s="85"/>
      <c r="V5" s="27"/>
      <c r="W5" s="81">
        <f>S5-V5</f>
        <v>0</v>
      </c>
      <c r="X5" s="24"/>
      <c r="Y5" s="24"/>
      <c r="Z5" s="81">
        <f>V5-Y5</f>
        <v>0</v>
      </c>
      <c r="AA5" s="24"/>
      <c r="AB5" s="24"/>
      <c r="AC5" s="81">
        <f>Y5-AB5</f>
        <v>0</v>
      </c>
      <c r="AD5" s="24"/>
      <c r="AE5" s="24"/>
      <c r="AF5" s="81">
        <f>AB5-AE5</f>
        <v>0</v>
      </c>
      <c r="AG5" s="24"/>
      <c r="AH5" s="24"/>
      <c r="AI5" s="81">
        <f>AE5-AH5</f>
        <v>0</v>
      </c>
      <c r="AJ5" s="24"/>
      <c r="AK5" s="24"/>
      <c r="AL5" s="81">
        <f>AH5-AK5</f>
        <v>0</v>
      </c>
      <c r="AM5" s="24"/>
      <c r="AN5" s="24"/>
      <c r="AO5" s="81">
        <f>AK5-AN5</f>
        <v>0</v>
      </c>
      <c r="AP5" s="24"/>
      <c r="AQ5" s="24"/>
      <c r="AR5" s="81">
        <f>AN5-AQ5</f>
        <v>0</v>
      </c>
      <c r="AS5" s="85"/>
      <c r="AT5" s="25"/>
      <c r="AU5" s="81">
        <f>AQ5-AT5</f>
        <v>0</v>
      </c>
      <c r="AV5" s="25">
        <v>339000</v>
      </c>
      <c r="AW5" s="26">
        <f>AT5+AV5</f>
        <v>339000</v>
      </c>
      <c r="AX5" s="26">
        <v>339000</v>
      </c>
      <c r="AY5" s="26">
        <v>339000</v>
      </c>
      <c r="AZ5" s="26">
        <v>339000</v>
      </c>
      <c r="BA5" s="26">
        <v>339000</v>
      </c>
      <c r="BB5" s="26">
        <v>339000</v>
      </c>
      <c r="BC5" s="26">
        <v>339000</v>
      </c>
      <c r="BD5" s="26">
        <v>339000</v>
      </c>
      <c r="BE5" s="26">
        <v>339000</v>
      </c>
      <c r="BF5" s="66">
        <v>339000</v>
      </c>
      <c r="BG5" s="14"/>
    </row>
    <row r="6" spans="1:59" ht="15.75" hidden="1" customHeight="1">
      <c r="A6" s="20">
        <v>4150</v>
      </c>
      <c r="B6" s="20"/>
      <c r="C6" s="20"/>
      <c r="D6" s="20"/>
      <c r="E6" s="20"/>
      <c r="F6" s="21">
        <v>0</v>
      </c>
      <c r="G6" s="22">
        <v>0.02</v>
      </c>
      <c r="H6" s="22"/>
      <c r="I6" s="17"/>
      <c r="J6" s="18"/>
      <c r="K6" s="71">
        <f t="shared" si="0"/>
        <v>0</v>
      </c>
      <c r="L6" s="21"/>
      <c r="M6" s="29"/>
      <c r="N6" s="71">
        <f>J6-M6</f>
        <v>0</v>
      </c>
      <c r="O6" s="21"/>
      <c r="P6" s="29"/>
      <c r="Q6" s="71">
        <f>M6-P6</f>
        <v>0</v>
      </c>
      <c r="R6" s="21"/>
      <c r="S6" s="29"/>
      <c r="T6" s="71">
        <f>P6-S6</f>
        <v>0</v>
      </c>
      <c r="U6" s="73"/>
      <c r="V6" s="29"/>
      <c r="W6" s="71">
        <f>S6-V6</f>
        <v>0</v>
      </c>
      <c r="X6" s="18"/>
      <c r="Y6" s="18"/>
      <c r="Z6" s="71">
        <f>V6-Y6</f>
        <v>0</v>
      </c>
      <c r="AA6" s="18"/>
      <c r="AB6" s="18"/>
      <c r="AC6" s="71">
        <f>Y6-AB6</f>
        <v>0</v>
      </c>
      <c r="AD6" s="18"/>
      <c r="AE6" s="18"/>
      <c r="AF6" s="71">
        <f>AB6-AE6</f>
        <v>0</v>
      </c>
      <c r="AG6" s="18"/>
      <c r="AH6" s="18"/>
      <c r="AI6" s="71">
        <f>AE6-AH6</f>
        <v>0</v>
      </c>
      <c r="AJ6" s="18"/>
      <c r="AK6" s="18"/>
      <c r="AL6" s="71">
        <f>AH6-AK6</f>
        <v>0</v>
      </c>
      <c r="AM6" s="18"/>
      <c r="AN6" s="18"/>
      <c r="AO6" s="71">
        <f>AK6-AN6</f>
        <v>0</v>
      </c>
      <c r="AP6" s="18"/>
      <c r="AQ6" s="18"/>
      <c r="AR6" s="71">
        <f>AN6-AQ6</f>
        <v>0</v>
      </c>
      <c r="AS6" s="73"/>
      <c r="AT6" s="21"/>
      <c r="AU6" s="71">
        <f>AQ6-AT6</f>
        <v>0</v>
      </c>
      <c r="AV6" s="21">
        <v>333000</v>
      </c>
      <c r="AW6" s="28">
        <f>AT6+AV6</f>
        <v>333000</v>
      </c>
      <c r="AX6" s="28">
        <v>333000</v>
      </c>
      <c r="AY6" s="28">
        <v>333000</v>
      </c>
      <c r="AZ6" s="28">
        <v>333000</v>
      </c>
      <c r="BA6" s="28">
        <v>333000</v>
      </c>
      <c r="BB6" s="28">
        <v>333000</v>
      </c>
      <c r="BC6" s="28">
        <v>333000</v>
      </c>
      <c r="BD6" s="28">
        <v>333000</v>
      </c>
      <c r="BE6" s="28">
        <v>333000</v>
      </c>
      <c r="BF6" s="67">
        <v>333000</v>
      </c>
      <c r="BG6" s="14"/>
    </row>
    <row r="7" spans="1:59" ht="15.75" hidden="1" customHeight="1">
      <c r="A7" s="20">
        <v>4160</v>
      </c>
      <c r="B7" s="20"/>
      <c r="C7" s="20"/>
      <c r="D7" s="20"/>
      <c r="E7" s="20"/>
      <c r="F7" s="21">
        <v>0</v>
      </c>
      <c r="G7" s="22">
        <v>0.02</v>
      </c>
      <c r="H7" s="22"/>
      <c r="I7" s="17"/>
      <c r="J7" s="18"/>
      <c r="K7" s="71">
        <f t="shared" si="0"/>
        <v>0</v>
      </c>
      <c r="L7" s="21"/>
      <c r="M7" s="29"/>
      <c r="N7" s="71">
        <f t="shared" ref="N7:N14" si="1">K7-M7</f>
        <v>0</v>
      </c>
      <c r="O7" s="21"/>
      <c r="P7" s="29"/>
      <c r="Q7" s="71">
        <f t="shared" ref="Q7:Q14" si="2">N7-P7</f>
        <v>0</v>
      </c>
      <c r="R7" s="21"/>
      <c r="S7" s="29"/>
      <c r="T7" s="71">
        <f t="shared" ref="T7:T14" si="3">Q7-S7</f>
        <v>0</v>
      </c>
      <c r="U7" s="73"/>
      <c r="V7" s="29"/>
      <c r="W7" s="71">
        <f t="shared" ref="W7:W14" si="4">T7-V7</f>
        <v>0</v>
      </c>
      <c r="X7" s="18"/>
      <c r="Y7" s="18"/>
      <c r="Z7" s="71">
        <f t="shared" ref="Z7:Z14" si="5">W7-Y7</f>
        <v>0</v>
      </c>
      <c r="AA7" s="18"/>
      <c r="AB7" s="18"/>
      <c r="AC7" s="71">
        <f t="shared" ref="AC7:AC14" si="6">Z7-AB7</f>
        <v>0</v>
      </c>
      <c r="AD7" s="18"/>
      <c r="AE7" s="18"/>
      <c r="AF7" s="71">
        <f t="shared" ref="AF7:AF14" si="7">AC7-AE7</f>
        <v>0</v>
      </c>
      <c r="AG7" s="18"/>
      <c r="AH7" s="18"/>
      <c r="AI7" s="71">
        <f t="shared" ref="AI7:AI14" si="8">AF7-AH7</f>
        <v>0</v>
      </c>
      <c r="AJ7" s="18"/>
      <c r="AK7" s="18"/>
      <c r="AL7" s="71">
        <f t="shared" ref="AL7:AL14" si="9">AI7-AK7</f>
        <v>0</v>
      </c>
      <c r="AM7" s="18"/>
      <c r="AN7" s="18"/>
      <c r="AO7" s="71">
        <f t="shared" ref="AO7:AO14" si="10">AL7-AN7</f>
        <v>0</v>
      </c>
      <c r="AP7" s="18"/>
      <c r="AQ7" s="18"/>
      <c r="AR7" s="71">
        <f>AL7-AQ7</f>
        <v>0</v>
      </c>
      <c r="AS7" s="73">
        <f t="shared" ref="AS7:AT14" si="11">I7+L7+O7+R7+U7+X7+AA7+AD7+AG7+AJ7+AM7+AP7</f>
        <v>0</v>
      </c>
      <c r="AT7" s="21">
        <f t="shared" si="11"/>
        <v>0</v>
      </c>
      <c r="AU7" s="71">
        <f t="shared" ref="AU7:AU14" si="12">F7-AT7</f>
        <v>0</v>
      </c>
      <c r="AV7" s="21">
        <v>99276.5</v>
      </c>
      <c r="AW7" s="28">
        <v>99885</v>
      </c>
      <c r="AX7" s="28">
        <v>99885</v>
      </c>
      <c r="AY7" s="28">
        <v>99885</v>
      </c>
      <c r="AZ7" s="28">
        <v>99885</v>
      </c>
      <c r="BA7" s="28">
        <v>99885</v>
      </c>
      <c r="BB7" s="28">
        <v>99885</v>
      </c>
      <c r="BC7" s="28">
        <v>99885</v>
      </c>
      <c r="BD7" s="28">
        <v>99885</v>
      </c>
      <c r="BE7" s="28">
        <v>99885</v>
      </c>
      <c r="BF7" s="67">
        <v>99885</v>
      </c>
      <c r="BG7" s="14"/>
    </row>
    <row r="8" spans="1:59" ht="15.75" hidden="1" customHeight="1">
      <c r="A8" s="20">
        <v>4170</v>
      </c>
      <c r="B8" s="20"/>
      <c r="C8" s="20"/>
      <c r="D8" s="20"/>
      <c r="E8" s="20"/>
      <c r="F8" s="21">
        <v>0</v>
      </c>
      <c r="G8" s="22">
        <v>0.02</v>
      </c>
      <c r="H8" s="22"/>
      <c r="I8" s="30"/>
      <c r="J8" s="29"/>
      <c r="K8" s="71">
        <f t="shared" si="0"/>
        <v>0</v>
      </c>
      <c r="L8" s="29"/>
      <c r="M8" s="29"/>
      <c r="N8" s="71">
        <f t="shared" si="1"/>
        <v>0</v>
      </c>
      <c r="O8" s="21"/>
      <c r="P8" s="29"/>
      <c r="Q8" s="71">
        <f t="shared" si="2"/>
        <v>0</v>
      </c>
      <c r="R8" s="21"/>
      <c r="S8" s="29"/>
      <c r="T8" s="71">
        <f t="shared" si="3"/>
        <v>0</v>
      </c>
      <c r="U8" s="73"/>
      <c r="V8" s="29"/>
      <c r="W8" s="71">
        <f t="shared" si="4"/>
        <v>0</v>
      </c>
      <c r="X8" s="21"/>
      <c r="Y8" s="29"/>
      <c r="Z8" s="71">
        <f t="shared" si="5"/>
        <v>0</v>
      </c>
      <c r="AA8" s="21"/>
      <c r="AB8" s="29"/>
      <c r="AC8" s="97">
        <f t="shared" si="6"/>
        <v>0</v>
      </c>
      <c r="AD8" s="21"/>
      <c r="AE8" s="29"/>
      <c r="AF8" s="71">
        <f t="shared" si="7"/>
        <v>0</v>
      </c>
      <c r="AG8" s="21"/>
      <c r="AH8" s="29"/>
      <c r="AI8" s="97">
        <f t="shared" si="8"/>
        <v>0</v>
      </c>
      <c r="AJ8" s="21"/>
      <c r="AK8" s="29"/>
      <c r="AL8" s="71">
        <f t="shared" si="9"/>
        <v>0</v>
      </c>
      <c r="AM8" s="21"/>
      <c r="AN8" s="29"/>
      <c r="AO8" s="97">
        <f t="shared" si="10"/>
        <v>0</v>
      </c>
      <c r="AP8" s="21"/>
      <c r="AQ8" s="29"/>
      <c r="AR8" s="71">
        <f t="shared" ref="AR8:AR14" si="13">AO8-AQ8</f>
        <v>0</v>
      </c>
      <c r="AS8" s="72">
        <f t="shared" si="11"/>
        <v>0</v>
      </c>
      <c r="AT8" s="21">
        <f t="shared" si="11"/>
        <v>0</v>
      </c>
      <c r="AU8" s="97">
        <f t="shared" si="12"/>
        <v>0</v>
      </c>
      <c r="AV8" s="21">
        <v>599895.24</v>
      </c>
      <c r="AW8" s="28">
        <v>627591.49</v>
      </c>
      <c r="AX8" s="28">
        <v>655842.97</v>
      </c>
      <c r="AY8" s="30">
        <v>684664.8</v>
      </c>
      <c r="AZ8" s="30">
        <v>691469</v>
      </c>
      <c r="BA8" s="30">
        <v>691469</v>
      </c>
      <c r="BB8" s="30">
        <v>691469</v>
      </c>
      <c r="BC8" s="28">
        <v>691469</v>
      </c>
      <c r="BD8" s="28">
        <v>691469</v>
      </c>
      <c r="BE8" s="28">
        <v>691469</v>
      </c>
      <c r="BF8" s="67">
        <f>AU8+BB8</f>
        <v>691469</v>
      </c>
      <c r="BG8" s="14"/>
    </row>
    <row r="9" spans="1:59" ht="15.75" hidden="1" customHeight="1">
      <c r="A9" s="20">
        <v>4171</v>
      </c>
      <c r="B9" s="20"/>
      <c r="C9" s="20"/>
      <c r="D9" s="20"/>
      <c r="E9" s="20"/>
      <c r="F9" s="21">
        <v>0</v>
      </c>
      <c r="G9" s="22">
        <v>0.02</v>
      </c>
      <c r="H9" s="22"/>
      <c r="I9" s="30"/>
      <c r="J9" s="29"/>
      <c r="K9" s="71">
        <f t="shared" si="0"/>
        <v>0</v>
      </c>
      <c r="L9" s="29"/>
      <c r="M9" s="29"/>
      <c r="N9" s="71">
        <f t="shared" si="1"/>
        <v>0</v>
      </c>
      <c r="O9" s="21"/>
      <c r="P9" s="29"/>
      <c r="Q9" s="71">
        <f t="shared" si="2"/>
        <v>0</v>
      </c>
      <c r="R9" s="21"/>
      <c r="S9" s="29"/>
      <c r="T9" s="71">
        <f t="shared" si="3"/>
        <v>0</v>
      </c>
      <c r="U9" s="73"/>
      <c r="V9" s="29"/>
      <c r="W9" s="71">
        <f t="shared" si="4"/>
        <v>0</v>
      </c>
      <c r="X9" s="21"/>
      <c r="Y9" s="29"/>
      <c r="Z9" s="71">
        <f t="shared" si="5"/>
        <v>0</v>
      </c>
      <c r="AA9" s="21"/>
      <c r="AB9" s="29"/>
      <c r="AC9" s="71">
        <f t="shared" si="6"/>
        <v>0</v>
      </c>
      <c r="AD9" s="21"/>
      <c r="AE9" s="29"/>
      <c r="AF9" s="71">
        <f t="shared" si="7"/>
        <v>0</v>
      </c>
      <c r="AG9" s="21"/>
      <c r="AH9" s="29"/>
      <c r="AI9" s="71">
        <f t="shared" si="8"/>
        <v>0</v>
      </c>
      <c r="AJ9" s="21"/>
      <c r="AK9" s="29"/>
      <c r="AL9" s="71">
        <f t="shared" si="9"/>
        <v>0</v>
      </c>
      <c r="AM9" s="21"/>
      <c r="AN9" s="29"/>
      <c r="AO9" s="71">
        <f t="shared" si="10"/>
        <v>0</v>
      </c>
      <c r="AP9" s="21"/>
      <c r="AQ9" s="29"/>
      <c r="AR9" s="71">
        <f t="shared" si="13"/>
        <v>0</v>
      </c>
      <c r="AS9" s="73">
        <f t="shared" si="11"/>
        <v>0</v>
      </c>
      <c r="AT9" s="21">
        <f t="shared" si="11"/>
        <v>0</v>
      </c>
      <c r="AU9" s="71">
        <f t="shared" si="12"/>
        <v>0</v>
      </c>
      <c r="AV9" s="21">
        <v>7309.99</v>
      </c>
      <c r="AW9" s="28">
        <v>7676.66</v>
      </c>
      <c r="AX9" s="28">
        <v>8050.67</v>
      </c>
      <c r="AY9" s="30">
        <v>8432.25</v>
      </c>
      <c r="AZ9" s="30">
        <v>8531</v>
      </c>
      <c r="BA9" s="30">
        <v>8531</v>
      </c>
      <c r="BB9" s="30">
        <v>8531</v>
      </c>
      <c r="BC9" s="28">
        <v>8531</v>
      </c>
      <c r="BD9" s="28">
        <v>8531</v>
      </c>
      <c r="BE9" s="28">
        <v>8531</v>
      </c>
      <c r="BF9" s="67">
        <f>AU9+BB9</f>
        <v>8531</v>
      </c>
      <c r="BG9" s="14"/>
    </row>
    <row r="10" spans="1:59" ht="14.25" hidden="1" customHeight="1">
      <c r="A10" s="20">
        <v>4180</v>
      </c>
      <c r="B10" s="20"/>
      <c r="C10" s="20"/>
      <c r="D10" s="20"/>
      <c r="E10" s="20"/>
      <c r="F10" s="21">
        <v>0</v>
      </c>
      <c r="G10" s="22">
        <v>0.02</v>
      </c>
      <c r="H10" s="22"/>
      <c r="I10" s="30">
        <v>0</v>
      </c>
      <c r="J10" s="29">
        <v>0</v>
      </c>
      <c r="K10" s="71">
        <f t="shared" si="0"/>
        <v>0</v>
      </c>
      <c r="L10" s="29">
        <v>0</v>
      </c>
      <c r="M10" s="29">
        <v>0</v>
      </c>
      <c r="N10" s="71">
        <f t="shared" si="1"/>
        <v>0</v>
      </c>
      <c r="O10" s="29">
        <v>0</v>
      </c>
      <c r="P10" s="29">
        <v>0</v>
      </c>
      <c r="Q10" s="71">
        <f t="shared" si="2"/>
        <v>0</v>
      </c>
      <c r="R10" s="29">
        <v>0</v>
      </c>
      <c r="S10" s="29">
        <v>0</v>
      </c>
      <c r="T10" s="71">
        <f t="shared" si="3"/>
        <v>0</v>
      </c>
      <c r="U10" s="29">
        <v>0</v>
      </c>
      <c r="V10" s="29">
        <v>0</v>
      </c>
      <c r="W10" s="71">
        <f t="shared" si="4"/>
        <v>0</v>
      </c>
      <c r="X10" s="29">
        <v>0</v>
      </c>
      <c r="Y10" s="29">
        <v>0</v>
      </c>
      <c r="Z10" s="71">
        <f t="shared" si="5"/>
        <v>0</v>
      </c>
      <c r="AA10" s="29">
        <v>0</v>
      </c>
      <c r="AB10" s="29">
        <v>0</v>
      </c>
      <c r="AC10" s="71">
        <f t="shared" si="6"/>
        <v>0</v>
      </c>
      <c r="AD10" s="29">
        <v>0</v>
      </c>
      <c r="AE10" s="29">
        <v>0</v>
      </c>
      <c r="AF10" s="71">
        <f t="shared" si="7"/>
        <v>0</v>
      </c>
      <c r="AG10" s="29">
        <v>0</v>
      </c>
      <c r="AH10" s="29">
        <v>0</v>
      </c>
      <c r="AI10" s="71">
        <f t="shared" si="8"/>
        <v>0</v>
      </c>
      <c r="AJ10" s="29">
        <v>0</v>
      </c>
      <c r="AK10" s="29">
        <v>0</v>
      </c>
      <c r="AL10" s="71">
        <f t="shared" si="9"/>
        <v>0</v>
      </c>
      <c r="AM10" s="29">
        <v>0</v>
      </c>
      <c r="AN10" s="29">
        <v>0</v>
      </c>
      <c r="AO10" s="71">
        <f t="shared" si="10"/>
        <v>0</v>
      </c>
      <c r="AP10" s="29">
        <v>0</v>
      </c>
      <c r="AQ10" s="29">
        <v>0</v>
      </c>
      <c r="AR10" s="71">
        <f t="shared" si="13"/>
        <v>0</v>
      </c>
      <c r="AS10" s="73">
        <f t="shared" si="11"/>
        <v>0</v>
      </c>
      <c r="AT10" s="21">
        <f t="shared" si="11"/>
        <v>0</v>
      </c>
      <c r="AU10" s="71">
        <f t="shared" si="12"/>
        <v>0</v>
      </c>
      <c r="AV10" s="21">
        <v>502381.67</v>
      </c>
      <c r="AW10" s="28">
        <v>527583.03</v>
      </c>
      <c r="AX10" s="28">
        <v>553289.22</v>
      </c>
      <c r="AY10" s="30">
        <v>579515.19999999995</v>
      </c>
      <c r="AZ10" s="30">
        <v>606269.48</v>
      </c>
      <c r="BA10" s="30">
        <v>633564.75</v>
      </c>
      <c r="BB10" s="30">
        <v>661410.46</v>
      </c>
      <c r="BC10" s="28">
        <v>667999.99</v>
      </c>
      <c r="BD10" s="28">
        <v>668000</v>
      </c>
      <c r="BE10" s="28">
        <v>668000</v>
      </c>
      <c r="BF10" s="67">
        <f>F10+BC10</f>
        <v>667999.99</v>
      </c>
      <c r="BG10" s="14"/>
    </row>
    <row r="11" spans="1:59" ht="15.75" hidden="1" customHeight="1">
      <c r="A11" s="20" t="s">
        <v>2</v>
      </c>
      <c r="B11" s="20"/>
      <c r="C11" s="20"/>
      <c r="D11" s="20"/>
      <c r="E11" s="20"/>
      <c r="F11" s="21">
        <v>0</v>
      </c>
      <c r="G11" s="22">
        <v>0.02</v>
      </c>
      <c r="H11" s="22"/>
      <c r="I11" s="30">
        <v>0</v>
      </c>
      <c r="J11" s="29">
        <v>0</v>
      </c>
      <c r="K11" s="71">
        <f t="shared" si="0"/>
        <v>0</v>
      </c>
      <c r="L11" s="29">
        <v>0</v>
      </c>
      <c r="M11" s="29">
        <v>0</v>
      </c>
      <c r="N11" s="71">
        <f t="shared" si="1"/>
        <v>0</v>
      </c>
      <c r="O11" s="29">
        <v>0</v>
      </c>
      <c r="P11" s="29">
        <v>0</v>
      </c>
      <c r="Q11" s="71">
        <f t="shared" si="2"/>
        <v>0</v>
      </c>
      <c r="R11" s="29">
        <v>0</v>
      </c>
      <c r="S11" s="29">
        <v>0</v>
      </c>
      <c r="T11" s="71">
        <f t="shared" si="3"/>
        <v>0</v>
      </c>
      <c r="U11" s="29">
        <v>0</v>
      </c>
      <c r="V11" s="29">
        <v>0</v>
      </c>
      <c r="W11" s="71">
        <f t="shared" si="4"/>
        <v>0</v>
      </c>
      <c r="X11" s="29">
        <v>0</v>
      </c>
      <c r="Y11" s="29">
        <v>0</v>
      </c>
      <c r="Z11" s="71">
        <f t="shared" si="5"/>
        <v>0</v>
      </c>
      <c r="AA11" s="29">
        <v>0</v>
      </c>
      <c r="AB11" s="29">
        <v>0</v>
      </c>
      <c r="AC11" s="71">
        <f t="shared" si="6"/>
        <v>0</v>
      </c>
      <c r="AD11" s="29">
        <v>0</v>
      </c>
      <c r="AE11" s="29">
        <v>0</v>
      </c>
      <c r="AF11" s="71">
        <f t="shared" si="7"/>
        <v>0</v>
      </c>
      <c r="AG11" s="29">
        <v>0</v>
      </c>
      <c r="AH11" s="29">
        <v>0</v>
      </c>
      <c r="AI11" s="71">
        <f t="shared" si="8"/>
        <v>0</v>
      </c>
      <c r="AJ11" s="29">
        <v>0</v>
      </c>
      <c r="AK11" s="29">
        <v>0</v>
      </c>
      <c r="AL11" s="71">
        <f t="shared" si="9"/>
        <v>0</v>
      </c>
      <c r="AM11" s="29">
        <v>0</v>
      </c>
      <c r="AN11" s="29">
        <v>0</v>
      </c>
      <c r="AO11" s="71">
        <f t="shared" si="10"/>
        <v>0</v>
      </c>
      <c r="AP11" s="29">
        <v>0</v>
      </c>
      <c r="AQ11" s="29">
        <v>0</v>
      </c>
      <c r="AR11" s="71">
        <f t="shared" si="13"/>
        <v>0</v>
      </c>
      <c r="AS11" s="73">
        <f t="shared" si="11"/>
        <v>0</v>
      </c>
      <c r="AT11" s="21">
        <f t="shared" si="11"/>
        <v>0</v>
      </c>
      <c r="AU11" s="71">
        <f t="shared" si="12"/>
        <v>0</v>
      </c>
      <c r="AV11" s="21">
        <v>155128.76</v>
      </c>
      <c r="AW11" s="28">
        <v>163344.66</v>
      </c>
      <c r="AX11" s="28">
        <v>171725.06</v>
      </c>
      <c r="AY11" s="30">
        <v>180275.07</v>
      </c>
      <c r="AZ11" s="30">
        <v>188997.22</v>
      </c>
      <c r="BA11" s="30">
        <v>197895.75</v>
      </c>
      <c r="BB11" s="28">
        <v>206973.66</v>
      </c>
      <c r="BC11" s="28">
        <v>216233.77</v>
      </c>
      <c r="BD11" s="28">
        <v>225500</v>
      </c>
      <c r="BE11" s="28">
        <f>BD11+AU11</f>
        <v>225500</v>
      </c>
      <c r="BF11" s="67">
        <f>F11+BD11</f>
        <v>225500</v>
      </c>
      <c r="BG11" s="14"/>
    </row>
    <row r="12" spans="1:59" ht="15.75" hidden="1" customHeight="1">
      <c r="A12" s="20" t="s">
        <v>3</v>
      </c>
      <c r="B12" s="20"/>
      <c r="C12" s="20"/>
      <c r="D12" s="20"/>
      <c r="E12" s="20"/>
      <c r="F12" s="21">
        <v>0</v>
      </c>
      <c r="G12" s="22">
        <v>0.02</v>
      </c>
      <c r="H12" s="22"/>
      <c r="I12" s="30">
        <v>0</v>
      </c>
      <c r="J12" s="29">
        <v>0</v>
      </c>
      <c r="K12" s="71">
        <f t="shared" si="0"/>
        <v>0</v>
      </c>
      <c r="L12" s="29">
        <v>0</v>
      </c>
      <c r="M12" s="29">
        <v>0</v>
      </c>
      <c r="N12" s="71">
        <f t="shared" si="1"/>
        <v>0</v>
      </c>
      <c r="O12" s="29">
        <v>0</v>
      </c>
      <c r="P12" s="29">
        <v>0</v>
      </c>
      <c r="Q12" s="71">
        <f t="shared" si="2"/>
        <v>0</v>
      </c>
      <c r="R12" s="29">
        <v>0</v>
      </c>
      <c r="S12" s="29">
        <v>0</v>
      </c>
      <c r="T12" s="71">
        <f t="shared" si="3"/>
        <v>0</v>
      </c>
      <c r="U12" s="29">
        <v>0</v>
      </c>
      <c r="V12" s="29">
        <v>0</v>
      </c>
      <c r="W12" s="71">
        <f t="shared" si="4"/>
        <v>0</v>
      </c>
      <c r="X12" s="29">
        <v>0</v>
      </c>
      <c r="Y12" s="29">
        <v>0</v>
      </c>
      <c r="Z12" s="71">
        <f t="shared" si="5"/>
        <v>0</v>
      </c>
      <c r="AA12" s="29">
        <v>0</v>
      </c>
      <c r="AB12" s="29">
        <v>0</v>
      </c>
      <c r="AC12" s="71">
        <f t="shared" si="6"/>
        <v>0</v>
      </c>
      <c r="AD12" s="29">
        <v>0</v>
      </c>
      <c r="AE12" s="29">
        <v>0</v>
      </c>
      <c r="AF12" s="71">
        <f t="shared" si="7"/>
        <v>0</v>
      </c>
      <c r="AG12" s="29">
        <v>0</v>
      </c>
      <c r="AH12" s="29">
        <v>0</v>
      </c>
      <c r="AI12" s="71">
        <f t="shared" si="8"/>
        <v>0</v>
      </c>
      <c r="AJ12" s="29">
        <v>0</v>
      </c>
      <c r="AK12" s="29">
        <v>0</v>
      </c>
      <c r="AL12" s="71">
        <f t="shared" si="9"/>
        <v>0</v>
      </c>
      <c r="AM12" s="29">
        <v>0</v>
      </c>
      <c r="AN12" s="29">
        <v>0</v>
      </c>
      <c r="AO12" s="71">
        <f t="shared" si="10"/>
        <v>0</v>
      </c>
      <c r="AP12" s="29">
        <v>0</v>
      </c>
      <c r="AQ12" s="29">
        <v>0</v>
      </c>
      <c r="AR12" s="71">
        <f t="shared" si="13"/>
        <v>0</v>
      </c>
      <c r="AS12" s="73">
        <f t="shared" si="11"/>
        <v>0</v>
      </c>
      <c r="AT12" s="21">
        <f t="shared" si="11"/>
        <v>0</v>
      </c>
      <c r="AU12" s="71">
        <f t="shared" si="12"/>
        <v>0</v>
      </c>
      <c r="AV12" s="21">
        <v>154440.84</v>
      </c>
      <c r="AW12" s="28">
        <v>162620.29</v>
      </c>
      <c r="AX12" s="28">
        <v>170963.52</v>
      </c>
      <c r="AY12" s="30">
        <v>179475.62</v>
      </c>
      <c r="AZ12" s="30">
        <v>188159.1</v>
      </c>
      <c r="BA12" s="30">
        <v>197018.18</v>
      </c>
      <c r="BB12" s="28">
        <v>206055.83</v>
      </c>
      <c r="BC12" s="28">
        <v>215274.9</v>
      </c>
      <c r="BD12" s="28">
        <v>224500</v>
      </c>
      <c r="BE12" s="28">
        <f>BD12+AU12</f>
        <v>224500</v>
      </c>
      <c r="BF12" s="67">
        <f>F12+BD12</f>
        <v>224500</v>
      </c>
      <c r="BG12" s="14"/>
    </row>
    <row r="13" spans="1:59" ht="15.75" hidden="1" customHeight="1">
      <c r="A13" s="20" t="s">
        <v>4</v>
      </c>
      <c r="B13" s="20"/>
      <c r="C13" s="20"/>
      <c r="D13" s="20"/>
      <c r="E13" s="20"/>
      <c r="F13" s="21">
        <v>0</v>
      </c>
      <c r="G13" s="22">
        <v>0.02</v>
      </c>
      <c r="H13" s="22"/>
      <c r="I13" s="30">
        <v>0</v>
      </c>
      <c r="J13" s="29">
        <v>0</v>
      </c>
      <c r="K13" s="71">
        <f t="shared" si="0"/>
        <v>0</v>
      </c>
      <c r="L13" s="29">
        <v>0</v>
      </c>
      <c r="M13" s="29">
        <v>0</v>
      </c>
      <c r="N13" s="71">
        <f t="shared" si="1"/>
        <v>0</v>
      </c>
      <c r="O13" s="29">
        <v>0</v>
      </c>
      <c r="P13" s="29">
        <v>0</v>
      </c>
      <c r="Q13" s="71">
        <f t="shared" si="2"/>
        <v>0</v>
      </c>
      <c r="R13" s="29">
        <v>0</v>
      </c>
      <c r="S13" s="29">
        <v>0</v>
      </c>
      <c r="T13" s="71">
        <f t="shared" si="3"/>
        <v>0</v>
      </c>
      <c r="U13" s="29">
        <v>0</v>
      </c>
      <c r="V13" s="29">
        <v>0</v>
      </c>
      <c r="W13" s="71">
        <f t="shared" si="4"/>
        <v>0</v>
      </c>
      <c r="X13" s="29">
        <v>0</v>
      </c>
      <c r="Y13" s="29">
        <v>0</v>
      </c>
      <c r="Z13" s="71">
        <f t="shared" si="5"/>
        <v>0</v>
      </c>
      <c r="AA13" s="29">
        <v>0</v>
      </c>
      <c r="AB13" s="29">
        <v>0</v>
      </c>
      <c r="AC13" s="71">
        <f t="shared" si="6"/>
        <v>0</v>
      </c>
      <c r="AD13" s="29">
        <v>0</v>
      </c>
      <c r="AE13" s="29">
        <v>0</v>
      </c>
      <c r="AF13" s="71">
        <f t="shared" si="7"/>
        <v>0</v>
      </c>
      <c r="AG13" s="29">
        <v>0</v>
      </c>
      <c r="AH13" s="29">
        <v>0</v>
      </c>
      <c r="AI13" s="71">
        <f t="shared" si="8"/>
        <v>0</v>
      </c>
      <c r="AJ13" s="29">
        <v>0</v>
      </c>
      <c r="AK13" s="29">
        <v>0</v>
      </c>
      <c r="AL13" s="71">
        <f t="shared" si="9"/>
        <v>0</v>
      </c>
      <c r="AM13" s="29">
        <v>0</v>
      </c>
      <c r="AN13" s="29">
        <v>0</v>
      </c>
      <c r="AO13" s="71">
        <f t="shared" si="10"/>
        <v>0</v>
      </c>
      <c r="AP13" s="29">
        <v>0</v>
      </c>
      <c r="AQ13" s="29">
        <v>0</v>
      </c>
      <c r="AR13" s="71">
        <f t="shared" si="13"/>
        <v>0</v>
      </c>
      <c r="AS13" s="73">
        <f t="shared" si="11"/>
        <v>0</v>
      </c>
      <c r="AT13" s="21">
        <f t="shared" si="11"/>
        <v>0</v>
      </c>
      <c r="AU13" s="71">
        <f t="shared" si="12"/>
        <v>0</v>
      </c>
      <c r="AV13" s="21">
        <v>122290.12</v>
      </c>
      <c r="AW13" s="28">
        <v>128986.54</v>
      </c>
      <c r="AX13" s="28">
        <v>135817.01</v>
      </c>
      <c r="AY13" s="30">
        <v>142785.79999999999</v>
      </c>
      <c r="AZ13" s="30">
        <v>149894.88</v>
      </c>
      <c r="BA13" s="30">
        <v>157147.71</v>
      </c>
      <c r="BB13" s="28">
        <v>164546.68</v>
      </c>
      <c r="BC13" s="28">
        <v>172094.25</v>
      </c>
      <c r="BD13" s="28">
        <v>179793.81</v>
      </c>
      <c r="BE13" s="28">
        <f>BD13+AT13</f>
        <v>179793.81</v>
      </c>
      <c r="BF13" s="68">
        <f>F13+BE13</f>
        <v>179793.81</v>
      </c>
      <c r="BG13" s="14"/>
    </row>
    <row r="14" spans="1:59" ht="15.75" hidden="1" customHeight="1">
      <c r="A14" s="20" t="s">
        <v>5</v>
      </c>
      <c r="B14" s="20"/>
      <c r="C14" s="20"/>
      <c r="D14" s="20"/>
      <c r="E14" s="20"/>
      <c r="F14" s="31">
        <v>0</v>
      </c>
      <c r="G14" s="22">
        <v>0.02</v>
      </c>
      <c r="H14" s="22"/>
      <c r="I14" s="30">
        <v>0</v>
      </c>
      <c r="J14" s="29">
        <v>0</v>
      </c>
      <c r="K14" s="71">
        <f t="shared" si="0"/>
        <v>0</v>
      </c>
      <c r="L14" s="29">
        <v>0</v>
      </c>
      <c r="M14" s="29">
        <v>0</v>
      </c>
      <c r="N14" s="71">
        <f t="shared" si="1"/>
        <v>0</v>
      </c>
      <c r="O14" s="29">
        <v>0</v>
      </c>
      <c r="P14" s="29">
        <v>0</v>
      </c>
      <c r="Q14" s="71">
        <f t="shared" si="2"/>
        <v>0</v>
      </c>
      <c r="R14" s="29">
        <v>0</v>
      </c>
      <c r="S14" s="29">
        <v>0</v>
      </c>
      <c r="T14" s="71">
        <f t="shared" si="3"/>
        <v>0</v>
      </c>
      <c r="U14" s="29">
        <v>0</v>
      </c>
      <c r="V14" s="29">
        <v>0</v>
      </c>
      <c r="W14" s="71">
        <f t="shared" si="4"/>
        <v>0</v>
      </c>
      <c r="X14" s="29">
        <v>0</v>
      </c>
      <c r="Y14" s="29">
        <v>0</v>
      </c>
      <c r="Z14" s="71">
        <f t="shared" si="5"/>
        <v>0</v>
      </c>
      <c r="AA14" s="29">
        <v>0</v>
      </c>
      <c r="AB14" s="29">
        <v>0</v>
      </c>
      <c r="AC14" s="71">
        <f t="shared" si="6"/>
        <v>0</v>
      </c>
      <c r="AD14" s="29">
        <v>0</v>
      </c>
      <c r="AE14" s="29">
        <v>0</v>
      </c>
      <c r="AF14" s="71">
        <f t="shared" si="7"/>
        <v>0</v>
      </c>
      <c r="AG14" s="29">
        <v>0</v>
      </c>
      <c r="AH14" s="29">
        <v>0</v>
      </c>
      <c r="AI14" s="71">
        <f t="shared" si="8"/>
        <v>0</v>
      </c>
      <c r="AJ14" s="29">
        <v>0</v>
      </c>
      <c r="AK14" s="29">
        <v>0</v>
      </c>
      <c r="AL14" s="71">
        <f t="shared" si="9"/>
        <v>0</v>
      </c>
      <c r="AM14" s="29">
        <v>0</v>
      </c>
      <c r="AN14" s="29">
        <v>0</v>
      </c>
      <c r="AO14" s="71">
        <f t="shared" si="10"/>
        <v>0</v>
      </c>
      <c r="AP14" s="29">
        <v>0</v>
      </c>
      <c r="AQ14" s="29">
        <v>0</v>
      </c>
      <c r="AR14" s="71">
        <f t="shared" si="13"/>
        <v>0</v>
      </c>
      <c r="AS14" s="73">
        <f t="shared" si="11"/>
        <v>0</v>
      </c>
      <c r="AT14" s="21">
        <f t="shared" si="11"/>
        <v>0</v>
      </c>
      <c r="AU14" s="83">
        <f t="shared" si="12"/>
        <v>0</v>
      </c>
      <c r="AV14" s="21">
        <v>122290.12</v>
      </c>
      <c r="AW14" s="28">
        <v>128986.54</v>
      </c>
      <c r="AX14" s="28">
        <v>135817.01</v>
      </c>
      <c r="AY14" s="30">
        <v>142785.79999999999</v>
      </c>
      <c r="AZ14" s="30">
        <v>149894.88</v>
      </c>
      <c r="BA14" s="30">
        <v>157147.71</v>
      </c>
      <c r="BB14" s="28">
        <v>164546.68</v>
      </c>
      <c r="BC14" s="28">
        <v>172094.25</v>
      </c>
      <c r="BD14" s="28">
        <v>179793.81</v>
      </c>
      <c r="BE14" s="28">
        <f>BD14+AT14</f>
        <v>179793.81</v>
      </c>
      <c r="BF14" s="68">
        <f>F14+BE14</f>
        <v>179793.81</v>
      </c>
      <c r="BG14" s="14"/>
    </row>
    <row r="15" spans="1:59" hidden="1">
      <c r="A15" s="20"/>
      <c r="B15" s="20"/>
      <c r="C15" s="20"/>
      <c r="D15" s="20"/>
      <c r="E15" s="20"/>
      <c r="F15" s="32">
        <v>0</v>
      </c>
      <c r="G15" s="22"/>
      <c r="H15" s="22"/>
      <c r="I15" s="30"/>
      <c r="J15" s="29"/>
      <c r="K15" s="71"/>
      <c r="L15" s="29"/>
      <c r="M15" s="29"/>
      <c r="N15" s="71"/>
      <c r="O15" s="29"/>
      <c r="P15" s="29"/>
      <c r="Q15" s="71"/>
      <c r="R15" s="29"/>
      <c r="S15" s="29"/>
      <c r="T15" s="71"/>
      <c r="U15" s="29"/>
      <c r="V15" s="29"/>
      <c r="W15" s="71"/>
      <c r="X15" s="29"/>
      <c r="Y15" s="29"/>
      <c r="Z15" s="71"/>
      <c r="AA15" s="29"/>
      <c r="AB15" s="29"/>
      <c r="AC15" s="71"/>
      <c r="AD15" s="29"/>
      <c r="AE15" s="29"/>
      <c r="AF15" s="71"/>
      <c r="AG15" s="29"/>
      <c r="AH15" s="29"/>
      <c r="AI15" s="71"/>
      <c r="AJ15" s="29"/>
      <c r="AK15" s="29"/>
      <c r="AL15" s="71"/>
      <c r="AM15" s="29"/>
      <c r="AN15" s="29"/>
      <c r="AO15" s="71"/>
      <c r="AP15" s="29"/>
      <c r="AQ15" s="29"/>
      <c r="AR15" s="71"/>
      <c r="AS15" s="73"/>
      <c r="AT15" s="21"/>
      <c r="AU15" s="132">
        <f>SUM(AU5:AU14)</f>
        <v>0</v>
      </c>
      <c r="AV15" s="21"/>
      <c r="AW15" s="28"/>
      <c r="AX15" s="28"/>
      <c r="AY15" s="28"/>
      <c r="AZ15" s="28"/>
      <c r="BA15" s="30"/>
      <c r="BB15" s="30"/>
      <c r="BC15" s="30"/>
      <c r="BD15" s="30"/>
      <c r="BE15" s="30"/>
      <c r="BF15" s="68">
        <f>SUM(BF10:BF14)</f>
        <v>1477587.61</v>
      </c>
      <c r="BG15" s="14"/>
    </row>
    <row r="16" spans="1:59" ht="15.75" hidden="1" customHeight="1">
      <c r="A16" s="20" t="s">
        <v>6</v>
      </c>
      <c r="B16" s="20"/>
      <c r="C16" s="20"/>
      <c r="D16" s="20"/>
      <c r="E16" s="20"/>
      <c r="F16" s="21">
        <v>0</v>
      </c>
      <c r="G16" s="22">
        <v>0.05</v>
      </c>
      <c r="H16" s="22"/>
      <c r="I16" s="30">
        <v>0</v>
      </c>
      <c r="J16" s="29">
        <v>0</v>
      </c>
      <c r="K16" s="71">
        <f t="shared" ref="K16:K38" si="14">F16-J16</f>
        <v>0</v>
      </c>
      <c r="L16" s="29">
        <v>0</v>
      </c>
      <c r="M16" s="29">
        <v>0</v>
      </c>
      <c r="N16" s="71">
        <f t="shared" ref="N16:N37" si="15">K16-M16</f>
        <v>0</v>
      </c>
      <c r="O16" s="29">
        <v>0</v>
      </c>
      <c r="P16" s="29">
        <v>0</v>
      </c>
      <c r="Q16" s="71">
        <f t="shared" ref="Q16:Q38" si="16">N16-P16</f>
        <v>0</v>
      </c>
      <c r="R16" s="29">
        <v>0</v>
      </c>
      <c r="S16" s="29">
        <v>0</v>
      </c>
      <c r="T16" s="71">
        <f t="shared" ref="T16:T38" si="17">Q16-S16</f>
        <v>0</v>
      </c>
      <c r="U16" s="29">
        <v>0</v>
      </c>
      <c r="V16" s="29">
        <v>0</v>
      </c>
      <c r="W16" s="71">
        <f t="shared" ref="W16:W38" si="18">T16-V16</f>
        <v>0</v>
      </c>
      <c r="X16" s="29">
        <v>0</v>
      </c>
      <c r="Y16" s="29">
        <v>0</v>
      </c>
      <c r="Z16" s="71">
        <f t="shared" ref="Z16:Z38" si="19">W16-Y16</f>
        <v>0</v>
      </c>
      <c r="AA16" s="29">
        <v>0</v>
      </c>
      <c r="AB16" s="29">
        <v>0</v>
      </c>
      <c r="AC16" s="71">
        <f t="shared" ref="AC16:AC38" si="20">Z16-AB16</f>
        <v>0</v>
      </c>
      <c r="AD16" s="29">
        <v>0</v>
      </c>
      <c r="AE16" s="29">
        <v>0</v>
      </c>
      <c r="AF16" s="71">
        <f t="shared" ref="AF16:AF38" si="21">AC16-AE16</f>
        <v>0</v>
      </c>
      <c r="AG16" s="29">
        <v>0</v>
      </c>
      <c r="AH16" s="29">
        <v>0</v>
      </c>
      <c r="AI16" s="71">
        <f t="shared" ref="AI16:AI38" si="22">AF16-AH16</f>
        <v>0</v>
      </c>
      <c r="AJ16" s="29">
        <v>0</v>
      </c>
      <c r="AK16" s="29">
        <v>0</v>
      </c>
      <c r="AL16" s="71">
        <f t="shared" ref="AL16:AL38" si="23">AI16-AK16</f>
        <v>0</v>
      </c>
      <c r="AM16" s="29">
        <v>0</v>
      </c>
      <c r="AN16" s="29">
        <v>0</v>
      </c>
      <c r="AO16" s="71">
        <f t="shared" ref="AO16:AO38" si="24">AL16-AN16</f>
        <v>0</v>
      </c>
      <c r="AP16" s="29">
        <v>0</v>
      </c>
      <c r="AQ16" s="29">
        <v>0</v>
      </c>
      <c r="AR16" s="71">
        <f t="shared" ref="AR16:AR38" si="25">AO16-AQ16</f>
        <v>0</v>
      </c>
      <c r="AS16" s="73">
        <f t="shared" ref="AS16:AS38" si="26">I16+L16+O16+R16+U16+X16+AA16+AD16+AG16+AJ16+AM16+AP16</f>
        <v>0</v>
      </c>
      <c r="AT16" s="21">
        <f t="shared" ref="AT16:AT38" si="27">J16+M16+P16+S16+V16+Y16+AB16+AE16+AH16+AK16+AN16+AQ16</f>
        <v>0</v>
      </c>
      <c r="AU16" s="71">
        <f t="shared" ref="AU16:AU38" si="28">F16-AT16</f>
        <v>0</v>
      </c>
      <c r="AV16" s="21">
        <v>115852.96</v>
      </c>
      <c r="AW16" s="28">
        <v>124731</v>
      </c>
      <c r="AX16" s="28">
        <v>134057.79999999999</v>
      </c>
      <c r="AY16" s="30">
        <v>143862.88</v>
      </c>
      <c r="AZ16" s="30">
        <v>154166.70000000001</v>
      </c>
      <c r="BA16" s="30">
        <v>164997.35</v>
      </c>
      <c r="BB16" s="28">
        <v>176379.55</v>
      </c>
      <c r="BC16" s="28">
        <v>188340.22</v>
      </c>
      <c r="BD16" s="28">
        <v>200909.61</v>
      </c>
      <c r="BE16" s="28">
        <f t="shared" ref="BE16:BE38" si="29">BD16+AT16</f>
        <v>200909.61</v>
      </c>
      <c r="BF16" s="68">
        <f t="shared" ref="BF16:BF21" si="30">F16+BE16</f>
        <v>200909.61</v>
      </c>
      <c r="BG16" s="14"/>
    </row>
    <row r="17" spans="1:59" ht="15.75" hidden="1" customHeight="1">
      <c r="A17" s="20" t="s">
        <v>7</v>
      </c>
      <c r="B17" s="20"/>
      <c r="C17" s="20"/>
      <c r="D17" s="20"/>
      <c r="E17" s="20"/>
      <c r="F17" s="21">
        <v>0</v>
      </c>
      <c r="G17" s="22">
        <v>0.05</v>
      </c>
      <c r="H17" s="22"/>
      <c r="I17" s="30">
        <v>0</v>
      </c>
      <c r="J17" s="29">
        <v>0</v>
      </c>
      <c r="K17" s="71">
        <f t="shared" si="14"/>
        <v>0</v>
      </c>
      <c r="L17" s="29">
        <v>0</v>
      </c>
      <c r="M17" s="29">
        <v>0</v>
      </c>
      <c r="N17" s="71">
        <f t="shared" si="15"/>
        <v>0</v>
      </c>
      <c r="O17" s="29">
        <v>0</v>
      </c>
      <c r="P17" s="29">
        <v>0</v>
      </c>
      <c r="Q17" s="71">
        <f t="shared" si="16"/>
        <v>0</v>
      </c>
      <c r="R17" s="29">
        <v>0</v>
      </c>
      <c r="S17" s="29">
        <v>0</v>
      </c>
      <c r="T17" s="71">
        <f t="shared" si="17"/>
        <v>0</v>
      </c>
      <c r="U17" s="29">
        <v>0</v>
      </c>
      <c r="V17" s="29">
        <v>0</v>
      </c>
      <c r="W17" s="71">
        <f t="shared" si="18"/>
        <v>0</v>
      </c>
      <c r="X17" s="29">
        <v>0</v>
      </c>
      <c r="Y17" s="29">
        <v>0</v>
      </c>
      <c r="Z17" s="71">
        <f t="shared" si="19"/>
        <v>0</v>
      </c>
      <c r="AA17" s="29">
        <v>0</v>
      </c>
      <c r="AB17" s="29">
        <v>0</v>
      </c>
      <c r="AC17" s="71">
        <f t="shared" si="20"/>
        <v>0</v>
      </c>
      <c r="AD17" s="29">
        <v>0</v>
      </c>
      <c r="AE17" s="29">
        <v>0</v>
      </c>
      <c r="AF17" s="71">
        <f t="shared" si="21"/>
        <v>0</v>
      </c>
      <c r="AG17" s="29">
        <v>0</v>
      </c>
      <c r="AH17" s="29">
        <v>0</v>
      </c>
      <c r="AI17" s="71">
        <f t="shared" si="22"/>
        <v>0</v>
      </c>
      <c r="AJ17" s="29">
        <v>0</v>
      </c>
      <c r="AK17" s="29">
        <v>0</v>
      </c>
      <c r="AL17" s="71">
        <f t="shared" si="23"/>
        <v>0</v>
      </c>
      <c r="AM17" s="29">
        <v>0</v>
      </c>
      <c r="AN17" s="29">
        <v>0</v>
      </c>
      <c r="AO17" s="71">
        <f t="shared" si="24"/>
        <v>0</v>
      </c>
      <c r="AP17" s="29">
        <v>0</v>
      </c>
      <c r="AQ17" s="29">
        <v>0</v>
      </c>
      <c r="AR17" s="71">
        <f t="shared" si="25"/>
        <v>0</v>
      </c>
      <c r="AS17" s="73">
        <f t="shared" si="26"/>
        <v>0</v>
      </c>
      <c r="AT17" s="21">
        <f t="shared" si="27"/>
        <v>0</v>
      </c>
      <c r="AU17" s="71">
        <f t="shared" si="28"/>
        <v>0</v>
      </c>
      <c r="AV17" s="21">
        <v>115852.96</v>
      </c>
      <c r="AW17" s="28">
        <v>124731</v>
      </c>
      <c r="AX17" s="28">
        <v>134057.79999999999</v>
      </c>
      <c r="AY17" s="30">
        <v>143862.88</v>
      </c>
      <c r="AZ17" s="30">
        <v>154166.70000000001</v>
      </c>
      <c r="BA17" s="30">
        <v>164997.35</v>
      </c>
      <c r="BB17" s="28">
        <v>176379.55</v>
      </c>
      <c r="BC17" s="28">
        <v>188340.22</v>
      </c>
      <c r="BD17" s="28">
        <v>200909.61</v>
      </c>
      <c r="BE17" s="28">
        <f t="shared" si="29"/>
        <v>200909.61</v>
      </c>
      <c r="BF17" s="68">
        <f t="shared" si="30"/>
        <v>200909.61</v>
      </c>
      <c r="BG17" s="14"/>
    </row>
    <row r="18" spans="1:59" ht="15.75" hidden="1" customHeight="1">
      <c r="A18" s="20" t="s">
        <v>8</v>
      </c>
      <c r="B18" s="20"/>
      <c r="C18" s="20"/>
      <c r="D18" s="20"/>
      <c r="E18" s="20"/>
      <c r="F18" s="21">
        <v>0</v>
      </c>
      <c r="G18" s="22">
        <v>0.05</v>
      </c>
      <c r="H18" s="22"/>
      <c r="I18" s="30">
        <v>0</v>
      </c>
      <c r="J18" s="29">
        <v>0</v>
      </c>
      <c r="K18" s="71">
        <f t="shared" si="14"/>
        <v>0</v>
      </c>
      <c r="L18" s="29">
        <v>0</v>
      </c>
      <c r="M18" s="29">
        <v>0</v>
      </c>
      <c r="N18" s="71">
        <f t="shared" si="15"/>
        <v>0</v>
      </c>
      <c r="O18" s="29">
        <v>0</v>
      </c>
      <c r="P18" s="29">
        <v>0</v>
      </c>
      <c r="Q18" s="71">
        <f t="shared" si="16"/>
        <v>0</v>
      </c>
      <c r="R18" s="29">
        <v>0</v>
      </c>
      <c r="S18" s="29">
        <v>0</v>
      </c>
      <c r="T18" s="71">
        <f t="shared" si="17"/>
        <v>0</v>
      </c>
      <c r="U18" s="29">
        <v>0</v>
      </c>
      <c r="V18" s="29">
        <v>0</v>
      </c>
      <c r="W18" s="71">
        <f t="shared" si="18"/>
        <v>0</v>
      </c>
      <c r="X18" s="29">
        <v>0</v>
      </c>
      <c r="Y18" s="29">
        <v>0</v>
      </c>
      <c r="Z18" s="71">
        <f t="shared" si="19"/>
        <v>0</v>
      </c>
      <c r="AA18" s="29">
        <v>0</v>
      </c>
      <c r="AB18" s="29">
        <v>0</v>
      </c>
      <c r="AC18" s="71">
        <f t="shared" si="20"/>
        <v>0</v>
      </c>
      <c r="AD18" s="29">
        <v>0</v>
      </c>
      <c r="AE18" s="29">
        <v>0</v>
      </c>
      <c r="AF18" s="71">
        <f t="shared" si="21"/>
        <v>0</v>
      </c>
      <c r="AG18" s="29">
        <v>0</v>
      </c>
      <c r="AH18" s="29">
        <v>0</v>
      </c>
      <c r="AI18" s="71">
        <f t="shared" si="22"/>
        <v>0</v>
      </c>
      <c r="AJ18" s="29">
        <v>0</v>
      </c>
      <c r="AK18" s="29">
        <v>0</v>
      </c>
      <c r="AL18" s="71">
        <f t="shared" si="23"/>
        <v>0</v>
      </c>
      <c r="AM18" s="29">
        <v>0</v>
      </c>
      <c r="AN18" s="29">
        <v>0</v>
      </c>
      <c r="AO18" s="71">
        <f t="shared" si="24"/>
        <v>0</v>
      </c>
      <c r="AP18" s="29">
        <v>0</v>
      </c>
      <c r="AQ18" s="29">
        <v>0</v>
      </c>
      <c r="AR18" s="71">
        <f t="shared" si="25"/>
        <v>0</v>
      </c>
      <c r="AS18" s="73">
        <f t="shared" si="26"/>
        <v>0</v>
      </c>
      <c r="AT18" s="21">
        <f t="shared" si="27"/>
        <v>0</v>
      </c>
      <c r="AU18" s="71">
        <f t="shared" si="28"/>
        <v>0</v>
      </c>
      <c r="AV18" s="21">
        <v>90005.87</v>
      </c>
      <c r="AW18" s="28">
        <v>97136.320000000007</v>
      </c>
      <c r="AX18" s="28">
        <v>104626.97</v>
      </c>
      <c r="AY18" s="30">
        <v>112502.15</v>
      </c>
      <c r="AZ18" s="30">
        <v>120777.74</v>
      </c>
      <c r="BA18" s="30">
        <v>129476.44</v>
      </c>
      <c r="BB18" s="28">
        <v>138617.9</v>
      </c>
      <c r="BC18" s="28">
        <v>148224.35</v>
      </c>
      <c r="BD18" s="28">
        <v>158319.53</v>
      </c>
      <c r="BE18" s="28">
        <f t="shared" si="29"/>
        <v>158319.53</v>
      </c>
      <c r="BF18" s="68">
        <f t="shared" si="30"/>
        <v>158319.53</v>
      </c>
      <c r="BG18" s="14"/>
    </row>
    <row r="19" spans="1:59" ht="15.75" hidden="1" customHeight="1">
      <c r="A19" s="20" t="s">
        <v>9</v>
      </c>
      <c r="B19" s="20"/>
      <c r="C19" s="20"/>
      <c r="D19" s="20"/>
      <c r="E19" s="20"/>
      <c r="F19" s="21">
        <v>0</v>
      </c>
      <c r="G19" s="22">
        <v>0.05</v>
      </c>
      <c r="H19" s="22"/>
      <c r="I19" s="30">
        <v>0</v>
      </c>
      <c r="J19" s="29">
        <v>0</v>
      </c>
      <c r="K19" s="71">
        <f t="shared" si="14"/>
        <v>0</v>
      </c>
      <c r="L19" s="29">
        <v>0</v>
      </c>
      <c r="M19" s="29">
        <v>0</v>
      </c>
      <c r="N19" s="71">
        <f t="shared" si="15"/>
        <v>0</v>
      </c>
      <c r="O19" s="29">
        <v>0</v>
      </c>
      <c r="P19" s="29">
        <v>0</v>
      </c>
      <c r="Q19" s="71">
        <f t="shared" si="16"/>
        <v>0</v>
      </c>
      <c r="R19" s="29">
        <v>0</v>
      </c>
      <c r="S19" s="29">
        <v>0</v>
      </c>
      <c r="T19" s="71">
        <f t="shared" si="17"/>
        <v>0</v>
      </c>
      <c r="U19" s="29">
        <v>0</v>
      </c>
      <c r="V19" s="29">
        <v>0</v>
      </c>
      <c r="W19" s="71">
        <f t="shared" si="18"/>
        <v>0</v>
      </c>
      <c r="X19" s="29">
        <v>0</v>
      </c>
      <c r="Y19" s="29">
        <v>0</v>
      </c>
      <c r="Z19" s="71">
        <f t="shared" si="19"/>
        <v>0</v>
      </c>
      <c r="AA19" s="29">
        <v>0</v>
      </c>
      <c r="AB19" s="29">
        <v>0</v>
      </c>
      <c r="AC19" s="71">
        <f t="shared" si="20"/>
        <v>0</v>
      </c>
      <c r="AD19" s="29">
        <v>0</v>
      </c>
      <c r="AE19" s="29">
        <v>0</v>
      </c>
      <c r="AF19" s="71">
        <f t="shared" si="21"/>
        <v>0</v>
      </c>
      <c r="AG19" s="29">
        <v>0</v>
      </c>
      <c r="AH19" s="29">
        <v>0</v>
      </c>
      <c r="AI19" s="71">
        <f t="shared" si="22"/>
        <v>0</v>
      </c>
      <c r="AJ19" s="29">
        <v>0</v>
      </c>
      <c r="AK19" s="29">
        <v>0</v>
      </c>
      <c r="AL19" s="71">
        <f t="shared" si="23"/>
        <v>0</v>
      </c>
      <c r="AM19" s="29">
        <v>0</v>
      </c>
      <c r="AN19" s="29">
        <v>0</v>
      </c>
      <c r="AO19" s="71">
        <f t="shared" si="24"/>
        <v>0</v>
      </c>
      <c r="AP19" s="29">
        <v>0</v>
      </c>
      <c r="AQ19" s="29">
        <v>0</v>
      </c>
      <c r="AR19" s="71">
        <f t="shared" si="25"/>
        <v>0</v>
      </c>
      <c r="AS19" s="73">
        <f t="shared" si="26"/>
        <v>0</v>
      </c>
      <c r="AT19" s="21">
        <f t="shared" si="27"/>
        <v>0</v>
      </c>
      <c r="AU19" s="71">
        <f t="shared" si="28"/>
        <v>0</v>
      </c>
      <c r="AV19" s="21">
        <v>90005.87</v>
      </c>
      <c r="AW19" s="28">
        <v>97136.320000000007</v>
      </c>
      <c r="AX19" s="28">
        <v>104626.97</v>
      </c>
      <c r="AY19" s="30">
        <v>112502.15</v>
      </c>
      <c r="AZ19" s="30">
        <v>120777.74</v>
      </c>
      <c r="BA19" s="30">
        <v>129476.44</v>
      </c>
      <c r="BB19" s="28">
        <v>138617.9</v>
      </c>
      <c r="BC19" s="28">
        <v>148224.35</v>
      </c>
      <c r="BD19" s="28">
        <v>158319.53</v>
      </c>
      <c r="BE19" s="28">
        <f t="shared" si="29"/>
        <v>158319.53</v>
      </c>
      <c r="BF19" s="68">
        <f t="shared" si="30"/>
        <v>158319.53</v>
      </c>
      <c r="BG19" s="14"/>
    </row>
    <row r="20" spans="1:59" ht="15.75" hidden="1" customHeight="1">
      <c r="A20" s="20" t="s">
        <v>10</v>
      </c>
      <c r="B20" s="20"/>
      <c r="C20" s="20"/>
      <c r="D20" s="20"/>
      <c r="E20" s="20"/>
      <c r="F20" s="21">
        <v>0</v>
      </c>
      <c r="G20" s="22">
        <v>0.05</v>
      </c>
      <c r="H20" s="22"/>
      <c r="I20" s="30">
        <v>0</v>
      </c>
      <c r="J20" s="29">
        <v>0</v>
      </c>
      <c r="K20" s="71">
        <f t="shared" si="14"/>
        <v>0</v>
      </c>
      <c r="L20" s="29">
        <v>0</v>
      </c>
      <c r="M20" s="29">
        <v>0</v>
      </c>
      <c r="N20" s="71">
        <f t="shared" si="15"/>
        <v>0</v>
      </c>
      <c r="O20" s="29">
        <v>0</v>
      </c>
      <c r="P20" s="29">
        <v>0</v>
      </c>
      <c r="Q20" s="71">
        <f t="shared" si="16"/>
        <v>0</v>
      </c>
      <c r="R20" s="29">
        <v>0</v>
      </c>
      <c r="S20" s="29">
        <v>0</v>
      </c>
      <c r="T20" s="71">
        <f t="shared" si="17"/>
        <v>0</v>
      </c>
      <c r="U20" s="29">
        <v>0</v>
      </c>
      <c r="V20" s="29">
        <v>0</v>
      </c>
      <c r="W20" s="71">
        <f t="shared" si="18"/>
        <v>0</v>
      </c>
      <c r="X20" s="29">
        <v>0</v>
      </c>
      <c r="Y20" s="29">
        <v>0</v>
      </c>
      <c r="Z20" s="71">
        <f t="shared" si="19"/>
        <v>0</v>
      </c>
      <c r="AA20" s="29">
        <v>0</v>
      </c>
      <c r="AB20" s="29">
        <v>0</v>
      </c>
      <c r="AC20" s="71">
        <f t="shared" si="20"/>
        <v>0</v>
      </c>
      <c r="AD20" s="29">
        <v>0</v>
      </c>
      <c r="AE20" s="29">
        <v>0</v>
      </c>
      <c r="AF20" s="71">
        <f t="shared" si="21"/>
        <v>0</v>
      </c>
      <c r="AG20" s="29">
        <v>0</v>
      </c>
      <c r="AH20" s="29">
        <v>0</v>
      </c>
      <c r="AI20" s="71">
        <f t="shared" si="22"/>
        <v>0</v>
      </c>
      <c r="AJ20" s="29">
        <v>0</v>
      </c>
      <c r="AK20" s="29">
        <v>0</v>
      </c>
      <c r="AL20" s="71">
        <f t="shared" si="23"/>
        <v>0</v>
      </c>
      <c r="AM20" s="29">
        <v>0</v>
      </c>
      <c r="AN20" s="29">
        <v>0</v>
      </c>
      <c r="AO20" s="71">
        <f t="shared" si="24"/>
        <v>0</v>
      </c>
      <c r="AP20" s="29">
        <v>0</v>
      </c>
      <c r="AQ20" s="29">
        <v>0</v>
      </c>
      <c r="AR20" s="71">
        <f t="shared" si="25"/>
        <v>0</v>
      </c>
      <c r="AS20" s="73">
        <f t="shared" si="26"/>
        <v>0</v>
      </c>
      <c r="AT20" s="21">
        <f t="shared" si="27"/>
        <v>0</v>
      </c>
      <c r="AU20" s="71">
        <f t="shared" si="28"/>
        <v>0</v>
      </c>
      <c r="AV20" s="21">
        <v>84974.48</v>
      </c>
      <c r="AW20" s="28">
        <v>91848.55</v>
      </c>
      <c r="AX20" s="28">
        <v>99069.75</v>
      </c>
      <c r="AY20" s="30">
        <v>106661.88</v>
      </c>
      <c r="AZ20" s="30">
        <v>114639.92</v>
      </c>
      <c r="BA20" s="30">
        <v>123025.86</v>
      </c>
      <c r="BB20" s="28">
        <v>131838.51999999999</v>
      </c>
      <c r="BC20" s="28">
        <v>141099.67000000001</v>
      </c>
      <c r="BD20" s="28">
        <v>150831.88</v>
      </c>
      <c r="BE20" s="28">
        <f t="shared" si="29"/>
        <v>150831.88</v>
      </c>
      <c r="BF20" s="68">
        <f t="shared" si="30"/>
        <v>150831.88</v>
      </c>
      <c r="BG20" s="14"/>
    </row>
    <row r="21" spans="1:59" ht="15.75" hidden="1" customHeight="1">
      <c r="A21" s="20" t="s">
        <v>11</v>
      </c>
      <c r="B21" s="20"/>
      <c r="C21" s="20"/>
      <c r="D21" s="20"/>
      <c r="E21" s="20"/>
      <c r="F21" s="21">
        <v>0</v>
      </c>
      <c r="G21" s="22">
        <v>0.05</v>
      </c>
      <c r="H21" s="22"/>
      <c r="I21" s="30">
        <v>0</v>
      </c>
      <c r="J21" s="29">
        <v>0</v>
      </c>
      <c r="K21" s="71">
        <f t="shared" si="14"/>
        <v>0</v>
      </c>
      <c r="L21" s="29">
        <v>0</v>
      </c>
      <c r="M21" s="29">
        <v>0</v>
      </c>
      <c r="N21" s="71">
        <f t="shared" si="15"/>
        <v>0</v>
      </c>
      <c r="O21" s="29">
        <v>0</v>
      </c>
      <c r="P21" s="29">
        <v>0</v>
      </c>
      <c r="Q21" s="71">
        <f t="shared" si="16"/>
        <v>0</v>
      </c>
      <c r="R21" s="29">
        <v>0</v>
      </c>
      <c r="S21" s="29">
        <v>0</v>
      </c>
      <c r="T21" s="71">
        <f t="shared" si="17"/>
        <v>0</v>
      </c>
      <c r="U21" s="29">
        <v>0</v>
      </c>
      <c r="V21" s="29">
        <v>0</v>
      </c>
      <c r="W21" s="71">
        <f t="shared" si="18"/>
        <v>0</v>
      </c>
      <c r="X21" s="29">
        <v>0</v>
      </c>
      <c r="Y21" s="29">
        <v>0</v>
      </c>
      <c r="Z21" s="71">
        <f t="shared" si="19"/>
        <v>0</v>
      </c>
      <c r="AA21" s="29">
        <v>0</v>
      </c>
      <c r="AB21" s="29">
        <v>0</v>
      </c>
      <c r="AC21" s="71">
        <f t="shared" si="20"/>
        <v>0</v>
      </c>
      <c r="AD21" s="29">
        <v>0</v>
      </c>
      <c r="AE21" s="29">
        <v>0</v>
      </c>
      <c r="AF21" s="71">
        <f t="shared" si="21"/>
        <v>0</v>
      </c>
      <c r="AG21" s="29">
        <v>0</v>
      </c>
      <c r="AH21" s="29">
        <v>0</v>
      </c>
      <c r="AI21" s="71">
        <f t="shared" si="22"/>
        <v>0</v>
      </c>
      <c r="AJ21" s="29">
        <v>0</v>
      </c>
      <c r="AK21" s="29">
        <v>0</v>
      </c>
      <c r="AL21" s="71">
        <f t="shared" si="23"/>
        <v>0</v>
      </c>
      <c r="AM21" s="29">
        <v>0</v>
      </c>
      <c r="AN21" s="29">
        <v>0</v>
      </c>
      <c r="AO21" s="71">
        <f t="shared" si="24"/>
        <v>0</v>
      </c>
      <c r="AP21" s="29">
        <v>0</v>
      </c>
      <c r="AQ21" s="29">
        <v>0</v>
      </c>
      <c r="AR21" s="71">
        <f t="shared" si="25"/>
        <v>0</v>
      </c>
      <c r="AS21" s="73">
        <f t="shared" si="26"/>
        <v>0</v>
      </c>
      <c r="AT21" s="21">
        <f t="shared" si="27"/>
        <v>0</v>
      </c>
      <c r="AU21" s="71">
        <f t="shared" si="28"/>
        <v>0</v>
      </c>
      <c r="AV21" s="21">
        <v>84974.48</v>
      </c>
      <c r="AW21" s="28">
        <v>91848.55</v>
      </c>
      <c r="AX21" s="28">
        <v>99069.75</v>
      </c>
      <c r="AY21" s="30">
        <v>106661.88</v>
      </c>
      <c r="AZ21" s="30">
        <v>114639.92</v>
      </c>
      <c r="BA21" s="30">
        <v>123025.86</v>
      </c>
      <c r="BB21" s="28">
        <v>131838.51999999999</v>
      </c>
      <c r="BC21" s="28">
        <v>141099.67000000001</v>
      </c>
      <c r="BD21" s="28">
        <v>150831.88</v>
      </c>
      <c r="BE21" s="28">
        <f t="shared" si="29"/>
        <v>150831.88</v>
      </c>
      <c r="BF21" s="68">
        <f t="shared" si="30"/>
        <v>150831.88</v>
      </c>
      <c r="BG21" s="14"/>
    </row>
    <row r="22" spans="1:59" ht="15.75" hidden="1" customHeight="1">
      <c r="A22" s="20" t="s">
        <v>12</v>
      </c>
      <c r="B22" s="20"/>
      <c r="C22" s="20"/>
      <c r="D22" s="20"/>
      <c r="E22" s="20"/>
      <c r="F22" s="21">
        <v>0</v>
      </c>
      <c r="G22" s="22">
        <v>0.05</v>
      </c>
      <c r="H22" s="22"/>
      <c r="I22" s="30">
        <v>0</v>
      </c>
      <c r="J22" s="29">
        <v>0</v>
      </c>
      <c r="K22" s="71">
        <f t="shared" si="14"/>
        <v>0</v>
      </c>
      <c r="L22" s="29">
        <v>0</v>
      </c>
      <c r="M22" s="29">
        <v>0</v>
      </c>
      <c r="N22" s="71">
        <f t="shared" si="15"/>
        <v>0</v>
      </c>
      <c r="O22" s="29">
        <v>0</v>
      </c>
      <c r="P22" s="29">
        <v>0</v>
      </c>
      <c r="Q22" s="71">
        <f t="shared" si="16"/>
        <v>0</v>
      </c>
      <c r="R22" s="29">
        <v>0</v>
      </c>
      <c r="S22" s="29">
        <v>0</v>
      </c>
      <c r="T22" s="71">
        <f t="shared" si="17"/>
        <v>0</v>
      </c>
      <c r="U22" s="29">
        <v>0</v>
      </c>
      <c r="V22" s="29">
        <v>0</v>
      </c>
      <c r="W22" s="71">
        <f t="shared" si="18"/>
        <v>0</v>
      </c>
      <c r="X22" s="29">
        <v>0</v>
      </c>
      <c r="Y22" s="29">
        <v>0</v>
      </c>
      <c r="Z22" s="71">
        <f t="shared" si="19"/>
        <v>0</v>
      </c>
      <c r="AA22" s="29">
        <v>0</v>
      </c>
      <c r="AB22" s="29">
        <v>0</v>
      </c>
      <c r="AC22" s="71">
        <f t="shared" si="20"/>
        <v>0</v>
      </c>
      <c r="AD22" s="29">
        <v>0</v>
      </c>
      <c r="AE22" s="29">
        <v>0</v>
      </c>
      <c r="AF22" s="71">
        <f t="shared" si="21"/>
        <v>0</v>
      </c>
      <c r="AG22" s="29">
        <v>0</v>
      </c>
      <c r="AH22" s="29">
        <v>0</v>
      </c>
      <c r="AI22" s="71">
        <f t="shared" si="22"/>
        <v>0</v>
      </c>
      <c r="AJ22" s="29">
        <v>0</v>
      </c>
      <c r="AK22" s="29">
        <v>0</v>
      </c>
      <c r="AL22" s="71">
        <f t="shared" si="23"/>
        <v>0</v>
      </c>
      <c r="AM22" s="29">
        <v>0</v>
      </c>
      <c r="AN22" s="29">
        <v>0</v>
      </c>
      <c r="AO22" s="71">
        <f t="shared" si="24"/>
        <v>0</v>
      </c>
      <c r="AP22" s="29">
        <v>0</v>
      </c>
      <c r="AQ22" s="29">
        <v>0</v>
      </c>
      <c r="AR22" s="71">
        <f t="shared" si="25"/>
        <v>0</v>
      </c>
      <c r="AS22" s="73">
        <f t="shared" si="26"/>
        <v>0</v>
      </c>
      <c r="AT22" s="21">
        <f t="shared" si="27"/>
        <v>0</v>
      </c>
      <c r="AU22" s="71">
        <f t="shared" si="28"/>
        <v>0</v>
      </c>
      <c r="AV22" s="21">
        <v>165456.20000000001</v>
      </c>
      <c r="AW22" s="28">
        <v>179366.86</v>
      </c>
      <c r="AX22" s="28">
        <v>193979.53</v>
      </c>
      <c r="AY22" s="30">
        <v>209343.65</v>
      </c>
      <c r="AZ22" s="30">
        <v>225488.33</v>
      </c>
      <c r="BA22" s="30">
        <v>242458.45</v>
      </c>
      <c r="BB22" s="28">
        <v>260291.62</v>
      </c>
      <c r="BC22" s="28">
        <v>279033.23</v>
      </c>
      <c r="BD22" s="28">
        <v>298727.69</v>
      </c>
      <c r="BE22" s="28">
        <f t="shared" si="29"/>
        <v>298727.69</v>
      </c>
      <c r="BF22" s="68">
        <f t="shared" ref="BF22:BF38" si="31">F22+BD22</f>
        <v>298727.69</v>
      </c>
      <c r="BG22" s="14"/>
    </row>
    <row r="23" spans="1:59" ht="15.75" hidden="1" customHeight="1">
      <c r="A23" s="20" t="s">
        <v>104</v>
      </c>
      <c r="B23" s="20"/>
      <c r="C23" s="20"/>
      <c r="D23" s="20"/>
      <c r="E23" s="20"/>
      <c r="F23" s="21">
        <v>0</v>
      </c>
      <c r="G23" s="22">
        <v>0.05</v>
      </c>
      <c r="H23" s="22"/>
      <c r="I23" s="30">
        <v>0</v>
      </c>
      <c r="J23" s="29">
        <v>0</v>
      </c>
      <c r="K23" s="71">
        <f t="shared" si="14"/>
        <v>0</v>
      </c>
      <c r="L23" s="29">
        <v>0</v>
      </c>
      <c r="M23" s="29">
        <v>0</v>
      </c>
      <c r="N23" s="71">
        <f t="shared" si="15"/>
        <v>0</v>
      </c>
      <c r="O23" s="29">
        <v>0</v>
      </c>
      <c r="P23" s="29">
        <v>0</v>
      </c>
      <c r="Q23" s="71">
        <f t="shared" si="16"/>
        <v>0</v>
      </c>
      <c r="R23" s="29">
        <v>0</v>
      </c>
      <c r="S23" s="29">
        <v>0</v>
      </c>
      <c r="T23" s="71">
        <f t="shared" si="17"/>
        <v>0</v>
      </c>
      <c r="U23" s="29">
        <v>0</v>
      </c>
      <c r="V23" s="29">
        <v>0</v>
      </c>
      <c r="W23" s="71">
        <f t="shared" si="18"/>
        <v>0</v>
      </c>
      <c r="X23" s="29">
        <v>0</v>
      </c>
      <c r="Y23" s="29">
        <v>0</v>
      </c>
      <c r="Z23" s="71">
        <f t="shared" si="19"/>
        <v>0</v>
      </c>
      <c r="AA23" s="29">
        <v>0</v>
      </c>
      <c r="AB23" s="29">
        <v>0</v>
      </c>
      <c r="AC23" s="71">
        <f t="shared" si="20"/>
        <v>0</v>
      </c>
      <c r="AD23" s="29">
        <v>0</v>
      </c>
      <c r="AE23" s="29">
        <v>0</v>
      </c>
      <c r="AF23" s="71">
        <f t="shared" si="21"/>
        <v>0</v>
      </c>
      <c r="AG23" s="29">
        <v>0</v>
      </c>
      <c r="AH23" s="29">
        <v>0</v>
      </c>
      <c r="AI23" s="71">
        <f t="shared" si="22"/>
        <v>0</v>
      </c>
      <c r="AJ23" s="29">
        <v>0</v>
      </c>
      <c r="AK23" s="29">
        <v>0</v>
      </c>
      <c r="AL23" s="71">
        <f t="shared" si="23"/>
        <v>0</v>
      </c>
      <c r="AM23" s="29">
        <v>0</v>
      </c>
      <c r="AN23" s="29">
        <v>0</v>
      </c>
      <c r="AO23" s="71">
        <f t="shared" si="24"/>
        <v>0</v>
      </c>
      <c r="AP23" s="29">
        <v>0</v>
      </c>
      <c r="AQ23" s="29">
        <v>0</v>
      </c>
      <c r="AR23" s="71">
        <f t="shared" si="25"/>
        <v>0</v>
      </c>
      <c r="AS23" s="73">
        <f t="shared" si="26"/>
        <v>0</v>
      </c>
      <c r="AT23" s="21">
        <f t="shared" si="27"/>
        <v>0</v>
      </c>
      <c r="AU23" s="71">
        <f t="shared" si="28"/>
        <v>0</v>
      </c>
      <c r="AV23" s="21">
        <v>165456.20000000001</v>
      </c>
      <c r="AW23" s="28">
        <v>179366.86</v>
      </c>
      <c r="AX23" s="28">
        <v>193979.53</v>
      </c>
      <c r="AY23" s="30">
        <v>209343.65</v>
      </c>
      <c r="AZ23" s="30">
        <v>225488.33</v>
      </c>
      <c r="BA23" s="30">
        <v>242458.45</v>
      </c>
      <c r="BB23" s="28">
        <v>260291.62</v>
      </c>
      <c r="BC23" s="28">
        <v>279033.23</v>
      </c>
      <c r="BD23" s="28">
        <v>298727.69</v>
      </c>
      <c r="BE23" s="28">
        <f t="shared" si="29"/>
        <v>298727.69</v>
      </c>
      <c r="BF23" s="68">
        <f t="shared" si="31"/>
        <v>298727.69</v>
      </c>
      <c r="BG23" s="14"/>
    </row>
    <row r="24" spans="1:59" ht="15.75" hidden="1" customHeight="1">
      <c r="A24" s="20" t="s">
        <v>13</v>
      </c>
      <c r="B24" s="20"/>
      <c r="C24" s="20"/>
      <c r="D24" s="20"/>
      <c r="E24" s="20"/>
      <c r="F24" s="21">
        <v>0</v>
      </c>
      <c r="G24" s="22">
        <v>0.05</v>
      </c>
      <c r="H24" s="22"/>
      <c r="I24" s="30">
        <v>0</v>
      </c>
      <c r="J24" s="29">
        <v>0</v>
      </c>
      <c r="K24" s="71">
        <f t="shared" si="14"/>
        <v>0</v>
      </c>
      <c r="L24" s="29">
        <v>0</v>
      </c>
      <c r="M24" s="29">
        <v>0</v>
      </c>
      <c r="N24" s="71">
        <f t="shared" si="15"/>
        <v>0</v>
      </c>
      <c r="O24" s="29">
        <v>0</v>
      </c>
      <c r="P24" s="29">
        <v>0</v>
      </c>
      <c r="Q24" s="71">
        <f t="shared" si="16"/>
        <v>0</v>
      </c>
      <c r="R24" s="29">
        <v>0</v>
      </c>
      <c r="S24" s="29">
        <v>0</v>
      </c>
      <c r="T24" s="71">
        <f t="shared" si="17"/>
        <v>0</v>
      </c>
      <c r="U24" s="29">
        <v>0</v>
      </c>
      <c r="V24" s="29">
        <v>0</v>
      </c>
      <c r="W24" s="71">
        <f t="shared" si="18"/>
        <v>0</v>
      </c>
      <c r="X24" s="29">
        <v>0</v>
      </c>
      <c r="Y24" s="29">
        <v>0</v>
      </c>
      <c r="Z24" s="71">
        <f t="shared" si="19"/>
        <v>0</v>
      </c>
      <c r="AA24" s="29">
        <v>0</v>
      </c>
      <c r="AB24" s="29">
        <v>0</v>
      </c>
      <c r="AC24" s="71">
        <f t="shared" si="20"/>
        <v>0</v>
      </c>
      <c r="AD24" s="29">
        <v>0</v>
      </c>
      <c r="AE24" s="29">
        <v>0</v>
      </c>
      <c r="AF24" s="71">
        <f t="shared" si="21"/>
        <v>0</v>
      </c>
      <c r="AG24" s="29">
        <v>0</v>
      </c>
      <c r="AH24" s="29">
        <v>0</v>
      </c>
      <c r="AI24" s="71">
        <f t="shared" si="22"/>
        <v>0</v>
      </c>
      <c r="AJ24" s="29">
        <v>0</v>
      </c>
      <c r="AK24" s="29">
        <v>0</v>
      </c>
      <c r="AL24" s="71">
        <f t="shared" si="23"/>
        <v>0</v>
      </c>
      <c r="AM24" s="29">
        <v>0</v>
      </c>
      <c r="AN24" s="29">
        <v>0</v>
      </c>
      <c r="AO24" s="71">
        <f t="shared" si="24"/>
        <v>0</v>
      </c>
      <c r="AP24" s="29">
        <v>0</v>
      </c>
      <c r="AQ24" s="29">
        <v>0</v>
      </c>
      <c r="AR24" s="71">
        <f t="shared" si="25"/>
        <v>0</v>
      </c>
      <c r="AS24" s="73">
        <f t="shared" ref="AS24:AS35" si="32">I24+L24+O24+R24+U24+X24+AA24+AD24+AG24+AJ24+AM24+AP24</f>
        <v>0</v>
      </c>
      <c r="AT24" s="21">
        <f t="shared" si="27"/>
        <v>0</v>
      </c>
      <c r="AU24" s="71">
        <f t="shared" si="28"/>
        <v>0</v>
      </c>
      <c r="AV24" s="21">
        <v>243367.37</v>
      </c>
      <c r="AW24" s="28">
        <v>264718.58</v>
      </c>
      <c r="AX24" s="28">
        <v>287146.52</v>
      </c>
      <c r="AY24" s="30">
        <v>310729.2</v>
      </c>
      <c r="AZ24" s="30">
        <v>335509.34999999998</v>
      </c>
      <c r="BA24" s="30">
        <v>361556.45</v>
      </c>
      <c r="BB24" s="28">
        <v>388927.46</v>
      </c>
      <c r="BC24" s="28">
        <v>417694.18</v>
      </c>
      <c r="BD24" s="28">
        <v>447922.84</v>
      </c>
      <c r="BE24" s="28">
        <f t="shared" si="29"/>
        <v>447922.84</v>
      </c>
      <c r="BF24" s="68">
        <f t="shared" si="31"/>
        <v>447922.84</v>
      </c>
      <c r="BG24" s="14"/>
    </row>
    <row r="25" spans="1:59" ht="15.75" hidden="1" customHeight="1">
      <c r="A25" s="20" t="s">
        <v>14</v>
      </c>
      <c r="B25" s="20"/>
      <c r="C25" s="20"/>
      <c r="D25" s="20"/>
      <c r="E25" s="20"/>
      <c r="F25" s="21">
        <v>0</v>
      </c>
      <c r="G25" s="22">
        <v>0.05</v>
      </c>
      <c r="H25" s="22"/>
      <c r="I25" s="30">
        <v>0</v>
      </c>
      <c r="J25" s="29">
        <v>0</v>
      </c>
      <c r="K25" s="71">
        <f t="shared" si="14"/>
        <v>0</v>
      </c>
      <c r="L25" s="29">
        <v>0</v>
      </c>
      <c r="M25" s="29">
        <v>0</v>
      </c>
      <c r="N25" s="71">
        <f t="shared" si="15"/>
        <v>0</v>
      </c>
      <c r="O25" s="29">
        <v>0</v>
      </c>
      <c r="P25" s="29">
        <v>0</v>
      </c>
      <c r="Q25" s="71">
        <f t="shared" si="16"/>
        <v>0</v>
      </c>
      <c r="R25" s="29">
        <v>0</v>
      </c>
      <c r="S25" s="29">
        <v>0</v>
      </c>
      <c r="T25" s="71">
        <f t="shared" si="17"/>
        <v>0</v>
      </c>
      <c r="U25" s="29">
        <v>0</v>
      </c>
      <c r="V25" s="29">
        <v>0</v>
      </c>
      <c r="W25" s="71">
        <f t="shared" si="18"/>
        <v>0</v>
      </c>
      <c r="X25" s="29">
        <v>0</v>
      </c>
      <c r="Y25" s="29">
        <v>0</v>
      </c>
      <c r="Z25" s="71">
        <f t="shared" si="19"/>
        <v>0</v>
      </c>
      <c r="AA25" s="29">
        <v>0</v>
      </c>
      <c r="AB25" s="29">
        <v>0</v>
      </c>
      <c r="AC25" s="71">
        <f t="shared" si="20"/>
        <v>0</v>
      </c>
      <c r="AD25" s="29">
        <v>0</v>
      </c>
      <c r="AE25" s="29">
        <v>0</v>
      </c>
      <c r="AF25" s="71">
        <f t="shared" si="21"/>
        <v>0</v>
      </c>
      <c r="AG25" s="29">
        <v>0</v>
      </c>
      <c r="AH25" s="29">
        <v>0</v>
      </c>
      <c r="AI25" s="71">
        <f t="shared" si="22"/>
        <v>0</v>
      </c>
      <c r="AJ25" s="29">
        <v>0</v>
      </c>
      <c r="AK25" s="29">
        <v>0</v>
      </c>
      <c r="AL25" s="71">
        <f t="shared" si="23"/>
        <v>0</v>
      </c>
      <c r="AM25" s="29">
        <v>0</v>
      </c>
      <c r="AN25" s="29">
        <v>0</v>
      </c>
      <c r="AO25" s="71">
        <f t="shared" si="24"/>
        <v>0</v>
      </c>
      <c r="AP25" s="29">
        <v>0</v>
      </c>
      <c r="AQ25" s="29">
        <v>0</v>
      </c>
      <c r="AR25" s="71">
        <f t="shared" si="25"/>
        <v>0</v>
      </c>
      <c r="AS25" s="73">
        <f t="shared" si="32"/>
        <v>0</v>
      </c>
      <c r="AT25" s="21">
        <f t="shared" si="27"/>
        <v>0</v>
      </c>
      <c r="AU25" s="71">
        <f t="shared" si="28"/>
        <v>0</v>
      </c>
      <c r="AV25" s="21">
        <v>243367.37</v>
      </c>
      <c r="AW25" s="28">
        <v>264718.58</v>
      </c>
      <c r="AX25" s="28">
        <v>287146.52</v>
      </c>
      <c r="AY25" s="30">
        <v>310729.2</v>
      </c>
      <c r="AZ25" s="30">
        <v>335509.34999999998</v>
      </c>
      <c r="BA25" s="30">
        <v>361556.45</v>
      </c>
      <c r="BB25" s="28">
        <v>388927.46</v>
      </c>
      <c r="BC25" s="28">
        <v>417694.18</v>
      </c>
      <c r="BD25" s="28">
        <v>447922.84</v>
      </c>
      <c r="BE25" s="28">
        <f t="shared" si="29"/>
        <v>447922.84</v>
      </c>
      <c r="BF25" s="68">
        <f t="shared" si="31"/>
        <v>447922.84</v>
      </c>
      <c r="BG25" s="14"/>
    </row>
    <row r="26" spans="1:59" ht="15.75" hidden="1" customHeight="1">
      <c r="A26" s="20" t="s">
        <v>15</v>
      </c>
      <c r="B26" s="20"/>
      <c r="C26" s="20"/>
      <c r="D26" s="20"/>
      <c r="E26" s="20"/>
      <c r="F26" s="21">
        <v>0</v>
      </c>
      <c r="G26" s="22">
        <v>0.05</v>
      </c>
      <c r="H26" s="22"/>
      <c r="I26" s="30">
        <v>0</v>
      </c>
      <c r="J26" s="29">
        <v>0</v>
      </c>
      <c r="K26" s="71">
        <f t="shared" si="14"/>
        <v>0</v>
      </c>
      <c r="L26" s="29">
        <v>0</v>
      </c>
      <c r="M26" s="29">
        <v>0</v>
      </c>
      <c r="N26" s="71">
        <f t="shared" si="15"/>
        <v>0</v>
      </c>
      <c r="O26" s="29">
        <v>0</v>
      </c>
      <c r="P26" s="29">
        <v>0</v>
      </c>
      <c r="Q26" s="71">
        <f t="shared" si="16"/>
        <v>0</v>
      </c>
      <c r="R26" s="29">
        <v>0</v>
      </c>
      <c r="S26" s="29">
        <v>0</v>
      </c>
      <c r="T26" s="71">
        <f t="shared" si="17"/>
        <v>0</v>
      </c>
      <c r="U26" s="29">
        <v>0</v>
      </c>
      <c r="V26" s="29">
        <v>0</v>
      </c>
      <c r="W26" s="71">
        <f t="shared" si="18"/>
        <v>0</v>
      </c>
      <c r="X26" s="29">
        <v>0</v>
      </c>
      <c r="Y26" s="29">
        <v>0</v>
      </c>
      <c r="Z26" s="71">
        <f t="shared" si="19"/>
        <v>0</v>
      </c>
      <c r="AA26" s="29">
        <v>0</v>
      </c>
      <c r="AB26" s="29">
        <v>0</v>
      </c>
      <c r="AC26" s="71">
        <f t="shared" si="20"/>
        <v>0</v>
      </c>
      <c r="AD26" s="29">
        <v>0</v>
      </c>
      <c r="AE26" s="29">
        <v>0</v>
      </c>
      <c r="AF26" s="71">
        <f t="shared" si="21"/>
        <v>0</v>
      </c>
      <c r="AG26" s="29">
        <v>0</v>
      </c>
      <c r="AH26" s="29">
        <v>0</v>
      </c>
      <c r="AI26" s="71">
        <f t="shared" si="22"/>
        <v>0</v>
      </c>
      <c r="AJ26" s="29">
        <v>0</v>
      </c>
      <c r="AK26" s="29">
        <v>0</v>
      </c>
      <c r="AL26" s="71">
        <f t="shared" si="23"/>
        <v>0</v>
      </c>
      <c r="AM26" s="29">
        <v>0</v>
      </c>
      <c r="AN26" s="29">
        <v>0</v>
      </c>
      <c r="AO26" s="71">
        <f t="shared" si="24"/>
        <v>0</v>
      </c>
      <c r="AP26" s="29">
        <v>0</v>
      </c>
      <c r="AQ26" s="29">
        <v>0</v>
      </c>
      <c r="AR26" s="71">
        <f t="shared" si="25"/>
        <v>0</v>
      </c>
      <c r="AS26" s="73">
        <f t="shared" si="32"/>
        <v>0</v>
      </c>
      <c r="AT26" s="21">
        <f t="shared" si="27"/>
        <v>0</v>
      </c>
      <c r="AU26" s="71">
        <f t="shared" si="28"/>
        <v>0</v>
      </c>
      <c r="AV26" s="21">
        <v>132689.12</v>
      </c>
      <c r="AW26" s="28">
        <v>145556.45000000001</v>
      </c>
      <c r="AX26" s="28">
        <v>159071.67000000001</v>
      </c>
      <c r="AY26" s="30">
        <v>173284.57</v>
      </c>
      <c r="AZ26" s="30">
        <v>188218.33</v>
      </c>
      <c r="BA26" s="30">
        <v>203915.62</v>
      </c>
      <c r="BB26" s="28">
        <v>220409.77</v>
      </c>
      <c r="BC26" s="28">
        <v>237746.8</v>
      </c>
      <c r="BD26" s="28">
        <v>255964.12</v>
      </c>
      <c r="BE26" s="28">
        <f t="shared" si="29"/>
        <v>255964.12</v>
      </c>
      <c r="BF26" s="68">
        <f t="shared" si="31"/>
        <v>255964.12</v>
      </c>
      <c r="BG26" s="14"/>
    </row>
    <row r="27" spans="1:59" ht="15.75" hidden="1" customHeight="1">
      <c r="A27" s="20" t="s">
        <v>16</v>
      </c>
      <c r="B27" s="20"/>
      <c r="C27" s="20"/>
      <c r="D27" s="20"/>
      <c r="E27" s="20"/>
      <c r="F27" s="21">
        <v>0</v>
      </c>
      <c r="G27" s="22">
        <v>0.05</v>
      </c>
      <c r="H27" s="22"/>
      <c r="I27" s="30">
        <v>0</v>
      </c>
      <c r="J27" s="29">
        <v>0</v>
      </c>
      <c r="K27" s="71">
        <f t="shared" si="14"/>
        <v>0</v>
      </c>
      <c r="L27" s="29">
        <v>0</v>
      </c>
      <c r="M27" s="29">
        <v>0</v>
      </c>
      <c r="N27" s="71">
        <f t="shared" si="15"/>
        <v>0</v>
      </c>
      <c r="O27" s="29">
        <v>0</v>
      </c>
      <c r="P27" s="29">
        <v>0</v>
      </c>
      <c r="Q27" s="71">
        <f t="shared" si="16"/>
        <v>0</v>
      </c>
      <c r="R27" s="29">
        <v>0</v>
      </c>
      <c r="S27" s="29">
        <v>0</v>
      </c>
      <c r="T27" s="71">
        <f t="shared" si="17"/>
        <v>0</v>
      </c>
      <c r="U27" s="29">
        <v>0</v>
      </c>
      <c r="V27" s="29">
        <v>0</v>
      </c>
      <c r="W27" s="71">
        <f t="shared" si="18"/>
        <v>0</v>
      </c>
      <c r="X27" s="29">
        <v>0</v>
      </c>
      <c r="Y27" s="29">
        <v>0</v>
      </c>
      <c r="Z27" s="71">
        <f t="shared" si="19"/>
        <v>0</v>
      </c>
      <c r="AA27" s="29">
        <v>0</v>
      </c>
      <c r="AB27" s="29">
        <v>0</v>
      </c>
      <c r="AC27" s="71">
        <f t="shared" si="20"/>
        <v>0</v>
      </c>
      <c r="AD27" s="29">
        <v>0</v>
      </c>
      <c r="AE27" s="29">
        <v>0</v>
      </c>
      <c r="AF27" s="71">
        <f t="shared" si="21"/>
        <v>0</v>
      </c>
      <c r="AG27" s="29">
        <v>0</v>
      </c>
      <c r="AH27" s="29">
        <v>0</v>
      </c>
      <c r="AI27" s="71">
        <f t="shared" si="22"/>
        <v>0</v>
      </c>
      <c r="AJ27" s="29">
        <v>0</v>
      </c>
      <c r="AK27" s="29">
        <v>0</v>
      </c>
      <c r="AL27" s="71">
        <f t="shared" si="23"/>
        <v>0</v>
      </c>
      <c r="AM27" s="29">
        <v>0</v>
      </c>
      <c r="AN27" s="29">
        <v>0</v>
      </c>
      <c r="AO27" s="71">
        <f t="shared" si="24"/>
        <v>0</v>
      </c>
      <c r="AP27" s="29">
        <v>0</v>
      </c>
      <c r="AQ27" s="29">
        <v>0</v>
      </c>
      <c r="AR27" s="71">
        <f t="shared" si="25"/>
        <v>0</v>
      </c>
      <c r="AS27" s="73">
        <f t="shared" si="32"/>
        <v>0</v>
      </c>
      <c r="AT27" s="21">
        <f t="shared" si="27"/>
        <v>0</v>
      </c>
      <c r="AU27" s="71">
        <f t="shared" si="28"/>
        <v>0</v>
      </c>
      <c r="AV27" s="21">
        <v>132689.12</v>
      </c>
      <c r="AW27" s="28">
        <v>145556.45000000001</v>
      </c>
      <c r="AX27" s="28">
        <v>159071.67000000001</v>
      </c>
      <c r="AY27" s="30">
        <v>173284.57</v>
      </c>
      <c r="AZ27" s="30">
        <v>188218.33</v>
      </c>
      <c r="BA27" s="30">
        <v>203915.62</v>
      </c>
      <c r="BB27" s="28">
        <v>220409.77</v>
      </c>
      <c r="BC27" s="28">
        <v>237746.8</v>
      </c>
      <c r="BD27" s="28">
        <v>255964.12</v>
      </c>
      <c r="BE27" s="28">
        <f t="shared" si="29"/>
        <v>255964.12</v>
      </c>
      <c r="BF27" s="68">
        <f t="shared" si="31"/>
        <v>255964.12</v>
      </c>
      <c r="BG27" s="14"/>
    </row>
    <row r="28" spans="1:59" ht="15.75" hidden="1" customHeight="1">
      <c r="A28" s="20" t="s">
        <v>17</v>
      </c>
      <c r="B28" s="20"/>
      <c r="C28" s="20"/>
      <c r="D28" s="20"/>
      <c r="E28" s="20"/>
      <c r="F28" s="21">
        <v>0</v>
      </c>
      <c r="G28" s="22">
        <v>0.05</v>
      </c>
      <c r="H28" s="22"/>
      <c r="I28" s="30">
        <v>0</v>
      </c>
      <c r="J28" s="29">
        <v>0</v>
      </c>
      <c r="K28" s="71">
        <f t="shared" si="14"/>
        <v>0</v>
      </c>
      <c r="L28" s="29">
        <v>0</v>
      </c>
      <c r="M28" s="29">
        <v>0</v>
      </c>
      <c r="N28" s="71">
        <f t="shared" si="15"/>
        <v>0</v>
      </c>
      <c r="O28" s="29">
        <v>0</v>
      </c>
      <c r="P28" s="29">
        <v>0</v>
      </c>
      <c r="Q28" s="71">
        <f t="shared" si="16"/>
        <v>0</v>
      </c>
      <c r="R28" s="29">
        <v>0</v>
      </c>
      <c r="S28" s="29">
        <v>0</v>
      </c>
      <c r="T28" s="71">
        <f t="shared" si="17"/>
        <v>0</v>
      </c>
      <c r="U28" s="29">
        <v>0</v>
      </c>
      <c r="V28" s="29">
        <v>0</v>
      </c>
      <c r="W28" s="71">
        <f t="shared" si="18"/>
        <v>0</v>
      </c>
      <c r="X28" s="29">
        <v>0</v>
      </c>
      <c r="Y28" s="29">
        <v>0</v>
      </c>
      <c r="Z28" s="71">
        <f t="shared" si="19"/>
        <v>0</v>
      </c>
      <c r="AA28" s="29">
        <v>0</v>
      </c>
      <c r="AB28" s="29">
        <v>0</v>
      </c>
      <c r="AC28" s="71">
        <f t="shared" si="20"/>
        <v>0</v>
      </c>
      <c r="AD28" s="29">
        <v>0</v>
      </c>
      <c r="AE28" s="29">
        <v>0</v>
      </c>
      <c r="AF28" s="71">
        <f t="shared" si="21"/>
        <v>0</v>
      </c>
      <c r="AG28" s="29">
        <v>0</v>
      </c>
      <c r="AH28" s="29">
        <v>0</v>
      </c>
      <c r="AI28" s="71">
        <f t="shared" si="22"/>
        <v>0</v>
      </c>
      <c r="AJ28" s="29">
        <v>0</v>
      </c>
      <c r="AK28" s="29">
        <v>0</v>
      </c>
      <c r="AL28" s="71">
        <f t="shared" si="23"/>
        <v>0</v>
      </c>
      <c r="AM28" s="29">
        <v>0</v>
      </c>
      <c r="AN28" s="29">
        <v>0</v>
      </c>
      <c r="AO28" s="71">
        <f t="shared" si="24"/>
        <v>0</v>
      </c>
      <c r="AP28" s="29">
        <v>0</v>
      </c>
      <c r="AQ28" s="29">
        <v>0</v>
      </c>
      <c r="AR28" s="71">
        <f t="shared" si="25"/>
        <v>0</v>
      </c>
      <c r="AS28" s="73">
        <f t="shared" si="32"/>
        <v>0</v>
      </c>
      <c r="AT28" s="21">
        <f t="shared" si="27"/>
        <v>0</v>
      </c>
      <c r="AU28" s="71">
        <f t="shared" si="28"/>
        <v>0</v>
      </c>
      <c r="AV28" s="21">
        <v>61734.67</v>
      </c>
      <c r="AW28" s="28">
        <v>68421.06</v>
      </c>
      <c r="AX28" s="28">
        <v>75448.13</v>
      </c>
      <c r="AY28" s="30">
        <v>82835.87</v>
      </c>
      <c r="AZ28" s="30">
        <v>90601.78</v>
      </c>
      <c r="BA28" s="30">
        <v>98764.96</v>
      </c>
      <c r="BB28" s="28">
        <v>107345.02</v>
      </c>
      <c r="BC28" s="28">
        <v>116364.58</v>
      </c>
      <c r="BD28" s="28">
        <v>125845.2</v>
      </c>
      <c r="BE28" s="28">
        <f t="shared" si="29"/>
        <v>125845.2</v>
      </c>
      <c r="BF28" s="68">
        <f t="shared" si="31"/>
        <v>125845.2</v>
      </c>
      <c r="BG28" s="14"/>
    </row>
    <row r="29" spans="1:59" ht="15.75" hidden="1" customHeight="1">
      <c r="A29" s="20" t="s">
        <v>18</v>
      </c>
      <c r="B29" s="20"/>
      <c r="C29" s="20"/>
      <c r="D29" s="20"/>
      <c r="E29" s="20"/>
      <c r="F29" s="21">
        <v>0</v>
      </c>
      <c r="G29" s="22">
        <v>0.05</v>
      </c>
      <c r="H29" s="22"/>
      <c r="I29" s="30">
        <v>0</v>
      </c>
      <c r="J29" s="29">
        <v>0</v>
      </c>
      <c r="K29" s="71">
        <f t="shared" si="14"/>
        <v>0</v>
      </c>
      <c r="L29" s="29">
        <v>0</v>
      </c>
      <c r="M29" s="29">
        <v>0</v>
      </c>
      <c r="N29" s="71">
        <f t="shared" si="15"/>
        <v>0</v>
      </c>
      <c r="O29" s="29">
        <v>0</v>
      </c>
      <c r="P29" s="29">
        <v>0</v>
      </c>
      <c r="Q29" s="71">
        <f t="shared" si="16"/>
        <v>0</v>
      </c>
      <c r="R29" s="29">
        <v>0</v>
      </c>
      <c r="S29" s="29">
        <v>0</v>
      </c>
      <c r="T29" s="71">
        <f t="shared" si="17"/>
        <v>0</v>
      </c>
      <c r="U29" s="29">
        <v>0</v>
      </c>
      <c r="V29" s="29">
        <v>0</v>
      </c>
      <c r="W29" s="71">
        <f t="shared" si="18"/>
        <v>0</v>
      </c>
      <c r="X29" s="29">
        <v>0</v>
      </c>
      <c r="Y29" s="29">
        <v>0</v>
      </c>
      <c r="Z29" s="71">
        <f t="shared" si="19"/>
        <v>0</v>
      </c>
      <c r="AA29" s="29">
        <v>0</v>
      </c>
      <c r="AB29" s="29">
        <v>0</v>
      </c>
      <c r="AC29" s="71">
        <f t="shared" si="20"/>
        <v>0</v>
      </c>
      <c r="AD29" s="29">
        <v>0</v>
      </c>
      <c r="AE29" s="29">
        <v>0</v>
      </c>
      <c r="AF29" s="71">
        <f t="shared" si="21"/>
        <v>0</v>
      </c>
      <c r="AG29" s="29">
        <v>0</v>
      </c>
      <c r="AH29" s="29">
        <v>0</v>
      </c>
      <c r="AI29" s="71">
        <f t="shared" si="22"/>
        <v>0</v>
      </c>
      <c r="AJ29" s="29">
        <v>0</v>
      </c>
      <c r="AK29" s="29">
        <v>0</v>
      </c>
      <c r="AL29" s="71">
        <f t="shared" si="23"/>
        <v>0</v>
      </c>
      <c r="AM29" s="29">
        <v>0</v>
      </c>
      <c r="AN29" s="29">
        <v>0</v>
      </c>
      <c r="AO29" s="71">
        <f t="shared" si="24"/>
        <v>0</v>
      </c>
      <c r="AP29" s="29">
        <v>0</v>
      </c>
      <c r="AQ29" s="29">
        <v>0</v>
      </c>
      <c r="AR29" s="71">
        <f t="shared" si="25"/>
        <v>0</v>
      </c>
      <c r="AS29" s="73">
        <f t="shared" si="32"/>
        <v>0</v>
      </c>
      <c r="AT29" s="21">
        <f t="shared" si="27"/>
        <v>0</v>
      </c>
      <c r="AU29" s="71">
        <f t="shared" si="28"/>
        <v>0</v>
      </c>
      <c r="AV29" s="21">
        <v>61536.82</v>
      </c>
      <c r="AW29" s="28">
        <v>68213.09</v>
      </c>
      <c r="AX29" s="28">
        <v>75229.5</v>
      </c>
      <c r="AY29" s="30">
        <v>82606.06</v>
      </c>
      <c r="AZ29" s="30">
        <v>90360.23</v>
      </c>
      <c r="BA29" s="30">
        <v>98511.05</v>
      </c>
      <c r="BB29" s="28">
        <v>107078.31</v>
      </c>
      <c r="BC29" s="28">
        <v>116084.21</v>
      </c>
      <c r="BD29" s="28">
        <v>125550.45</v>
      </c>
      <c r="BE29" s="28">
        <f t="shared" si="29"/>
        <v>125550.45</v>
      </c>
      <c r="BF29" s="68">
        <f t="shared" si="31"/>
        <v>125550.45</v>
      </c>
      <c r="BG29" s="14"/>
    </row>
    <row r="30" spans="1:59" ht="15.75" hidden="1" customHeight="1">
      <c r="A30" s="20" t="s">
        <v>19</v>
      </c>
      <c r="B30" s="20"/>
      <c r="C30" s="20"/>
      <c r="D30" s="20"/>
      <c r="E30" s="20"/>
      <c r="F30" s="21">
        <v>0</v>
      </c>
      <c r="G30" s="22">
        <v>0.05</v>
      </c>
      <c r="H30" s="22"/>
      <c r="I30" s="30">
        <v>0</v>
      </c>
      <c r="J30" s="29">
        <v>0</v>
      </c>
      <c r="K30" s="71">
        <f t="shared" si="14"/>
        <v>0</v>
      </c>
      <c r="L30" s="29">
        <v>0</v>
      </c>
      <c r="M30" s="29">
        <v>0</v>
      </c>
      <c r="N30" s="71">
        <f t="shared" si="15"/>
        <v>0</v>
      </c>
      <c r="O30" s="29">
        <v>0</v>
      </c>
      <c r="P30" s="29">
        <v>0</v>
      </c>
      <c r="Q30" s="71">
        <f t="shared" si="16"/>
        <v>0</v>
      </c>
      <c r="R30" s="29">
        <v>0</v>
      </c>
      <c r="S30" s="29">
        <v>0</v>
      </c>
      <c r="T30" s="71">
        <f t="shared" si="17"/>
        <v>0</v>
      </c>
      <c r="U30" s="29">
        <v>0</v>
      </c>
      <c r="V30" s="29">
        <v>0</v>
      </c>
      <c r="W30" s="71">
        <f t="shared" si="18"/>
        <v>0</v>
      </c>
      <c r="X30" s="29">
        <v>0</v>
      </c>
      <c r="Y30" s="29">
        <v>0</v>
      </c>
      <c r="Z30" s="71">
        <f t="shared" si="19"/>
        <v>0</v>
      </c>
      <c r="AA30" s="29">
        <v>0</v>
      </c>
      <c r="AB30" s="29">
        <v>0</v>
      </c>
      <c r="AC30" s="71">
        <f t="shared" si="20"/>
        <v>0</v>
      </c>
      <c r="AD30" s="29">
        <v>0</v>
      </c>
      <c r="AE30" s="29">
        <v>0</v>
      </c>
      <c r="AF30" s="71">
        <f t="shared" si="21"/>
        <v>0</v>
      </c>
      <c r="AG30" s="29">
        <v>0</v>
      </c>
      <c r="AH30" s="29">
        <v>0</v>
      </c>
      <c r="AI30" s="71">
        <f t="shared" si="22"/>
        <v>0</v>
      </c>
      <c r="AJ30" s="29">
        <v>0</v>
      </c>
      <c r="AK30" s="29">
        <v>0</v>
      </c>
      <c r="AL30" s="71">
        <f t="shared" si="23"/>
        <v>0</v>
      </c>
      <c r="AM30" s="29">
        <v>0</v>
      </c>
      <c r="AN30" s="29">
        <v>0</v>
      </c>
      <c r="AO30" s="71">
        <f t="shared" si="24"/>
        <v>0</v>
      </c>
      <c r="AP30" s="29">
        <v>0</v>
      </c>
      <c r="AQ30" s="29">
        <v>0</v>
      </c>
      <c r="AR30" s="71">
        <f t="shared" si="25"/>
        <v>0</v>
      </c>
      <c r="AS30" s="73">
        <f t="shared" si="32"/>
        <v>0</v>
      </c>
      <c r="AT30" s="21">
        <f t="shared" si="27"/>
        <v>0</v>
      </c>
      <c r="AU30" s="71">
        <f t="shared" si="28"/>
        <v>0</v>
      </c>
      <c r="AV30" s="21">
        <v>101931.89</v>
      </c>
      <c r="AW30" s="28">
        <v>114963.59</v>
      </c>
      <c r="AX30" s="28">
        <v>128658.88</v>
      </c>
      <c r="AY30" s="30">
        <v>143057.45000000001</v>
      </c>
      <c r="AZ30" s="30">
        <v>158193.09</v>
      </c>
      <c r="BA30" s="30">
        <v>174102.99</v>
      </c>
      <c r="BB30" s="28">
        <v>190825.38</v>
      </c>
      <c r="BC30" s="28">
        <v>208404.33</v>
      </c>
      <c r="BD30" s="28">
        <v>226881.84</v>
      </c>
      <c r="BE30" s="28">
        <f t="shared" si="29"/>
        <v>226881.84</v>
      </c>
      <c r="BF30" s="68">
        <f t="shared" si="31"/>
        <v>226881.84</v>
      </c>
      <c r="BG30" s="14"/>
    </row>
    <row r="31" spans="1:59" ht="15" hidden="1" customHeight="1">
      <c r="A31" s="20" t="s">
        <v>20</v>
      </c>
      <c r="B31" s="20"/>
      <c r="C31" s="20"/>
      <c r="D31" s="20"/>
      <c r="E31" s="20"/>
      <c r="F31" s="21">
        <v>0</v>
      </c>
      <c r="G31" s="22">
        <v>0.05</v>
      </c>
      <c r="H31" s="22"/>
      <c r="I31" s="30">
        <v>0</v>
      </c>
      <c r="J31" s="29">
        <v>0</v>
      </c>
      <c r="K31" s="71">
        <f t="shared" si="14"/>
        <v>0</v>
      </c>
      <c r="L31" s="29">
        <v>0</v>
      </c>
      <c r="M31" s="29">
        <v>0</v>
      </c>
      <c r="N31" s="71">
        <f t="shared" si="15"/>
        <v>0</v>
      </c>
      <c r="O31" s="29">
        <v>0</v>
      </c>
      <c r="P31" s="29">
        <v>0</v>
      </c>
      <c r="Q31" s="71">
        <f t="shared" si="16"/>
        <v>0</v>
      </c>
      <c r="R31" s="29">
        <v>0</v>
      </c>
      <c r="S31" s="29">
        <v>0</v>
      </c>
      <c r="T31" s="71">
        <f t="shared" si="17"/>
        <v>0</v>
      </c>
      <c r="U31" s="29">
        <v>0</v>
      </c>
      <c r="V31" s="29">
        <v>0</v>
      </c>
      <c r="W31" s="71">
        <f t="shared" si="18"/>
        <v>0</v>
      </c>
      <c r="X31" s="29">
        <v>0</v>
      </c>
      <c r="Y31" s="29">
        <v>0</v>
      </c>
      <c r="Z31" s="71">
        <f t="shared" si="19"/>
        <v>0</v>
      </c>
      <c r="AA31" s="29">
        <v>0</v>
      </c>
      <c r="AB31" s="29">
        <v>0</v>
      </c>
      <c r="AC31" s="71">
        <f t="shared" si="20"/>
        <v>0</v>
      </c>
      <c r="AD31" s="29">
        <v>0</v>
      </c>
      <c r="AE31" s="29">
        <v>0</v>
      </c>
      <c r="AF31" s="71">
        <f t="shared" si="21"/>
        <v>0</v>
      </c>
      <c r="AG31" s="29">
        <v>0</v>
      </c>
      <c r="AH31" s="29">
        <v>0</v>
      </c>
      <c r="AI31" s="71">
        <f t="shared" si="22"/>
        <v>0</v>
      </c>
      <c r="AJ31" s="29">
        <v>0</v>
      </c>
      <c r="AK31" s="29">
        <v>0</v>
      </c>
      <c r="AL31" s="71">
        <f t="shared" si="23"/>
        <v>0</v>
      </c>
      <c r="AM31" s="29">
        <v>0</v>
      </c>
      <c r="AN31" s="29">
        <v>0</v>
      </c>
      <c r="AO31" s="71">
        <f t="shared" si="24"/>
        <v>0</v>
      </c>
      <c r="AP31" s="29">
        <v>0</v>
      </c>
      <c r="AQ31" s="29">
        <v>0</v>
      </c>
      <c r="AR31" s="71">
        <f t="shared" si="25"/>
        <v>0</v>
      </c>
      <c r="AS31" s="73">
        <f t="shared" si="32"/>
        <v>0</v>
      </c>
      <c r="AT31" s="21">
        <f t="shared" si="27"/>
        <v>0</v>
      </c>
      <c r="AU31" s="71">
        <f t="shared" si="28"/>
        <v>0</v>
      </c>
      <c r="AV31" s="21">
        <v>69.25</v>
      </c>
      <c r="AW31" s="28">
        <v>79.760000000000005</v>
      </c>
      <c r="AX31" s="28">
        <v>90.79</v>
      </c>
      <c r="AY31" s="30">
        <v>102.41</v>
      </c>
      <c r="AZ31" s="30">
        <v>114.59</v>
      </c>
      <c r="BA31" s="30">
        <v>127.41</v>
      </c>
      <c r="BB31" s="28">
        <v>140.87</v>
      </c>
      <c r="BC31" s="28">
        <v>155.04</v>
      </c>
      <c r="BD31" s="28">
        <v>169.93</v>
      </c>
      <c r="BE31" s="28">
        <f t="shared" si="29"/>
        <v>169.93</v>
      </c>
      <c r="BF31" s="68">
        <f t="shared" si="31"/>
        <v>169.93</v>
      </c>
      <c r="BG31" s="14"/>
    </row>
    <row r="32" spans="1:59" ht="15.75" hidden="1" customHeight="1">
      <c r="A32" s="20" t="s">
        <v>21</v>
      </c>
      <c r="B32" s="20"/>
      <c r="C32" s="20"/>
      <c r="D32" s="20"/>
      <c r="E32" s="20"/>
      <c r="F32" s="21">
        <v>0</v>
      </c>
      <c r="G32" s="22">
        <v>0.05</v>
      </c>
      <c r="H32" s="22"/>
      <c r="I32" s="30">
        <v>0</v>
      </c>
      <c r="J32" s="29">
        <v>0</v>
      </c>
      <c r="K32" s="71">
        <f t="shared" si="14"/>
        <v>0</v>
      </c>
      <c r="L32" s="29">
        <v>0</v>
      </c>
      <c r="M32" s="29">
        <v>0</v>
      </c>
      <c r="N32" s="71">
        <f t="shared" si="15"/>
        <v>0</v>
      </c>
      <c r="O32" s="29">
        <v>0</v>
      </c>
      <c r="P32" s="29">
        <v>0</v>
      </c>
      <c r="Q32" s="71">
        <f t="shared" si="16"/>
        <v>0</v>
      </c>
      <c r="R32" s="29">
        <v>0</v>
      </c>
      <c r="S32" s="29">
        <v>0</v>
      </c>
      <c r="T32" s="71">
        <f t="shared" si="17"/>
        <v>0</v>
      </c>
      <c r="U32" s="29">
        <v>0</v>
      </c>
      <c r="V32" s="29">
        <v>0</v>
      </c>
      <c r="W32" s="71">
        <f t="shared" si="18"/>
        <v>0</v>
      </c>
      <c r="X32" s="29">
        <v>0</v>
      </c>
      <c r="Y32" s="29">
        <v>0</v>
      </c>
      <c r="Z32" s="71">
        <f t="shared" si="19"/>
        <v>0</v>
      </c>
      <c r="AA32" s="29">
        <v>0</v>
      </c>
      <c r="AB32" s="29">
        <v>0</v>
      </c>
      <c r="AC32" s="71">
        <f t="shared" si="20"/>
        <v>0</v>
      </c>
      <c r="AD32" s="29">
        <v>0</v>
      </c>
      <c r="AE32" s="29">
        <v>0</v>
      </c>
      <c r="AF32" s="71">
        <f t="shared" si="21"/>
        <v>0</v>
      </c>
      <c r="AG32" s="29">
        <v>0</v>
      </c>
      <c r="AH32" s="29">
        <v>0</v>
      </c>
      <c r="AI32" s="71">
        <f t="shared" si="22"/>
        <v>0</v>
      </c>
      <c r="AJ32" s="29">
        <v>0</v>
      </c>
      <c r="AK32" s="29">
        <v>0</v>
      </c>
      <c r="AL32" s="71">
        <f t="shared" si="23"/>
        <v>0</v>
      </c>
      <c r="AM32" s="29">
        <v>0</v>
      </c>
      <c r="AN32" s="29">
        <v>0</v>
      </c>
      <c r="AO32" s="71">
        <f t="shared" si="24"/>
        <v>0</v>
      </c>
      <c r="AP32" s="29">
        <v>0</v>
      </c>
      <c r="AQ32" s="29">
        <v>0</v>
      </c>
      <c r="AR32" s="71">
        <f t="shared" si="25"/>
        <v>0</v>
      </c>
      <c r="AS32" s="73">
        <f t="shared" si="32"/>
        <v>0</v>
      </c>
      <c r="AT32" s="21">
        <f t="shared" si="27"/>
        <v>0</v>
      </c>
      <c r="AU32" s="71">
        <f t="shared" si="28"/>
        <v>0</v>
      </c>
      <c r="AV32" s="21">
        <v>87844.78</v>
      </c>
      <c r="AW32" s="28">
        <v>101174.89</v>
      </c>
      <c r="AX32" s="28">
        <v>115183.8</v>
      </c>
      <c r="AY32" s="30">
        <v>129912.08</v>
      </c>
      <c r="AZ32" s="30">
        <v>145394.29999999999</v>
      </c>
      <c r="BA32" s="30">
        <v>161668.5</v>
      </c>
      <c r="BB32" s="28">
        <v>178773.84</v>
      </c>
      <c r="BC32" s="28">
        <v>196755.33</v>
      </c>
      <c r="BD32" s="28">
        <v>215655.95</v>
      </c>
      <c r="BE32" s="28">
        <f t="shared" si="29"/>
        <v>215655.95</v>
      </c>
      <c r="BF32" s="68">
        <f t="shared" si="31"/>
        <v>215655.95</v>
      </c>
      <c r="BG32" s="14"/>
    </row>
    <row r="33" spans="1:59" ht="15.75" hidden="1" customHeight="1">
      <c r="A33" s="20" t="s">
        <v>22</v>
      </c>
      <c r="B33" s="20"/>
      <c r="C33" s="20"/>
      <c r="D33" s="20"/>
      <c r="E33" s="20"/>
      <c r="F33" s="21">
        <v>0</v>
      </c>
      <c r="G33" s="22">
        <v>0.05</v>
      </c>
      <c r="H33" s="22"/>
      <c r="I33" s="30">
        <v>0</v>
      </c>
      <c r="J33" s="29">
        <v>0</v>
      </c>
      <c r="K33" s="71">
        <f t="shared" si="14"/>
        <v>0</v>
      </c>
      <c r="L33" s="29">
        <v>0</v>
      </c>
      <c r="M33" s="29">
        <v>0</v>
      </c>
      <c r="N33" s="71">
        <f t="shared" si="15"/>
        <v>0</v>
      </c>
      <c r="O33" s="29">
        <v>0</v>
      </c>
      <c r="P33" s="29">
        <v>0</v>
      </c>
      <c r="Q33" s="71">
        <f t="shared" si="16"/>
        <v>0</v>
      </c>
      <c r="R33" s="29">
        <v>0</v>
      </c>
      <c r="S33" s="29">
        <v>0</v>
      </c>
      <c r="T33" s="71">
        <f t="shared" si="17"/>
        <v>0</v>
      </c>
      <c r="U33" s="29">
        <v>0</v>
      </c>
      <c r="V33" s="29">
        <v>0</v>
      </c>
      <c r="W33" s="71">
        <f t="shared" si="18"/>
        <v>0</v>
      </c>
      <c r="X33" s="29">
        <v>0</v>
      </c>
      <c r="Y33" s="29">
        <v>0</v>
      </c>
      <c r="Z33" s="71">
        <f t="shared" si="19"/>
        <v>0</v>
      </c>
      <c r="AA33" s="29">
        <v>0</v>
      </c>
      <c r="AB33" s="29">
        <v>0</v>
      </c>
      <c r="AC33" s="71">
        <f t="shared" si="20"/>
        <v>0</v>
      </c>
      <c r="AD33" s="29">
        <v>0</v>
      </c>
      <c r="AE33" s="29">
        <v>0</v>
      </c>
      <c r="AF33" s="71">
        <f t="shared" si="21"/>
        <v>0</v>
      </c>
      <c r="AG33" s="29">
        <v>0</v>
      </c>
      <c r="AH33" s="29">
        <v>0</v>
      </c>
      <c r="AI33" s="71">
        <f t="shared" si="22"/>
        <v>0</v>
      </c>
      <c r="AJ33" s="29">
        <v>0</v>
      </c>
      <c r="AK33" s="29">
        <v>0</v>
      </c>
      <c r="AL33" s="71">
        <f t="shared" si="23"/>
        <v>0</v>
      </c>
      <c r="AM33" s="29">
        <v>0</v>
      </c>
      <c r="AN33" s="29">
        <v>0</v>
      </c>
      <c r="AO33" s="71">
        <f t="shared" si="24"/>
        <v>0</v>
      </c>
      <c r="AP33" s="29">
        <v>0</v>
      </c>
      <c r="AQ33" s="29">
        <v>0</v>
      </c>
      <c r="AR33" s="71">
        <f t="shared" si="25"/>
        <v>0</v>
      </c>
      <c r="AS33" s="73">
        <f t="shared" si="32"/>
        <v>0</v>
      </c>
      <c r="AT33" s="21">
        <f t="shared" si="27"/>
        <v>0</v>
      </c>
      <c r="AU33" s="71">
        <f t="shared" si="28"/>
        <v>0</v>
      </c>
      <c r="AV33" s="21">
        <v>63328.82</v>
      </c>
      <c r="AW33" s="28">
        <v>74668.83</v>
      </c>
      <c r="AX33" s="28">
        <v>86585.95</v>
      </c>
      <c r="AY33" s="30">
        <v>99115.39</v>
      </c>
      <c r="AZ33" s="30">
        <v>112286.21</v>
      </c>
      <c r="BA33" s="30">
        <v>126130.79</v>
      </c>
      <c r="BB33" s="28">
        <v>140682.06</v>
      </c>
      <c r="BC33" s="28">
        <v>155979</v>
      </c>
      <c r="BD33" s="28">
        <v>172057.88</v>
      </c>
      <c r="BE33" s="28">
        <f t="shared" si="29"/>
        <v>172057.88</v>
      </c>
      <c r="BF33" s="68">
        <f t="shared" si="31"/>
        <v>172057.88</v>
      </c>
      <c r="BG33" s="14"/>
    </row>
    <row r="34" spans="1:59" ht="15.75" hidden="1" customHeight="1">
      <c r="A34" s="20" t="s">
        <v>23</v>
      </c>
      <c r="B34" s="20"/>
      <c r="C34" s="20"/>
      <c r="D34" s="20"/>
      <c r="E34" s="20"/>
      <c r="F34" s="21">
        <v>0</v>
      </c>
      <c r="G34" s="22">
        <v>0.05</v>
      </c>
      <c r="H34" s="22"/>
      <c r="I34" s="30">
        <v>0</v>
      </c>
      <c r="J34" s="29">
        <v>0</v>
      </c>
      <c r="K34" s="71">
        <f t="shared" si="14"/>
        <v>0</v>
      </c>
      <c r="L34" s="29">
        <v>0</v>
      </c>
      <c r="M34" s="29">
        <v>0</v>
      </c>
      <c r="N34" s="71">
        <f t="shared" si="15"/>
        <v>0</v>
      </c>
      <c r="O34" s="29">
        <v>0</v>
      </c>
      <c r="P34" s="29">
        <v>0</v>
      </c>
      <c r="Q34" s="71">
        <f t="shared" si="16"/>
        <v>0</v>
      </c>
      <c r="R34" s="29">
        <v>0</v>
      </c>
      <c r="S34" s="29">
        <v>0</v>
      </c>
      <c r="T34" s="71">
        <f t="shared" si="17"/>
        <v>0</v>
      </c>
      <c r="U34" s="29">
        <v>0</v>
      </c>
      <c r="V34" s="29">
        <v>0</v>
      </c>
      <c r="W34" s="71">
        <f t="shared" si="18"/>
        <v>0</v>
      </c>
      <c r="X34" s="29">
        <v>0</v>
      </c>
      <c r="Y34" s="29">
        <v>0</v>
      </c>
      <c r="Z34" s="71">
        <f t="shared" si="19"/>
        <v>0</v>
      </c>
      <c r="AA34" s="29">
        <v>0</v>
      </c>
      <c r="AB34" s="29">
        <v>0</v>
      </c>
      <c r="AC34" s="71">
        <f t="shared" si="20"/>
        <v>0</v>
      </c>
      <c r="AD34" s="29">
        <v>0</v>
      </c>
      <c r="AE34" s="29">
        <v>0</v>
      </c>
      <c r="AF34" s="71">
        <f t="shared" si="21"/>
        <v>0</v>
      </c>
      <c r="AG34" s="29">
        <v>0</v>
      </c>
      <c r="AH34" s="29">
        <v>0</v>
      </c>
      <c r="AI34" s="71">
        <f t="shared" si="22"/>
        <v>0</v>
      </c>
      <c r="AJ34" s="29">
        <v>0</v>
      </c>
      <c r="AK34" s="29">
        <v>0</v>
      </c>
      <c r="AL34" s="71">
        <f t="shared" si="23"/>
        <v>0</v>
      </c>
      <c r="AM34" s="29">
        <v>0</v>
      </c>
      <c r="AN34" s="29">
        <v>0</v>
      </c>
      <c r="AO34" s="71">
        <f t="shared" si="24"/>
        <v>0</v>
      </c>
      <c r="AP34" s="29">
        <v>0</v>
      </c>
      <c r="AQ34" s="29">
        <v>0</v>
      </c>
      <c r="AR34" s="71">
        <f t="shared" si="25"/>
        <v>0</v>
      </c>
      <c r="AS34" s="73">
        <f t="shared" si="32"/>
        <v>0</v>
      </c>
      <c r="AT34" s="21">
        <f t="shared" si="27"/>
        <v>0</v>
      </c>
      <c r="AU34" s="71">
        <f t="shared" si="28"/>
        <v>0</v>
      </c>
      <c r="AV34" s="21">
        <v>63328.82</v>
      </c>
      <c r="AW34" s="28">
        <v>74668.83</v>
      </c>
      <c r="AX34" s="28">
        <v>86585.95</v>
      </c>
      <c r="AY34" s="30">
        <v>99115.39</v>
      </c>
      <c r="AZ34" s="30">
        <v>112286.21</v>
      </c>
      <c r="BA34" s="30">
        <v>126130.79</v>
      </c>
      <c r="BB34" s="28">
        <v>140682.06</v>
      </c>
      <c r="BC34" s="28">
        <v>155979</v>
      </c>
      <c r="BD34" s="28">
        <v>172057.88</v>
      </c>
      <c r="BE34" s="28">
        <f t="shared" si="29"/>
        <v>172057.88</v>
      </c>
      <c r="BF34" s="68">
        <f t="shared" si="31"/>
        <v>172057.88</v>
      </c>
      <c r="BG34" s="14"/>
    </row>
    <row r="35" spans="1:59" ht="15.75" hidden="1" customHeight="1">
      <c r="A35" s="20" t="s">
        <v>24</v>
      </c>
      <c r="B35" s="20"/>
      <c r="C35" s="20"/>
      <c r="D35" s="20"/>
      <c r="E35" s="20"/>
      <c r="F35" s="21">
        <v>0</v>
      </c>
      <c r="G35" s="22">
        <v>0.05</v>
      </c>
      <c r="H35" s="22"/>
      <c r="I35" s="30">
        <v>0</v>
      </c>
      <c r="J35" s="29">
        <v>0</v>
      </c>
      <c r="K35" s="71">
        <f t="shared" si="14"/>
        <v>0</v>
      </c>
      <c r="L35" s="29">
        <v>0</v>
      </c>
      <c r="M35" s="29">
        <v>0</v>
      </c>
      <c r="N35" s="71">
        <f t="shared" si="15"/>
        <v>0</v>
      </c>
      <c r="O35" s="29">
        <v>0</v>
      </c>
      <c r="P35" s="29">
        <v>0</v>
      </c>
      <c r="Q35" s="71">
        <f t="shared" si="16"/>
        <v>0</v>
      </c>
      <c r="R35" s="29">
        <v>0</v>
      </c>
      <c r="S35" s="29">
        <v>0</v>
      </c>
      <c r="T35" s="71">
        <f t="shared" si="17"/>
        <v>0</v>
      </c>
      <c r="U35" s="29">
        <v>0</v>
      </c>
      <c r="V35" s="29">
        <v>0</v>
      </c>
      <c r="W35" s="71">
        <f t="shared" si="18"/>
        <v>0</v>
      </c>
      <c r="X35" s="29">
        <v>0</v>
      </c>
      <c r="Y35" s="29">
        <v>0</v>
      </c>
      <c r="Z35" s="71">
        <f t="shared" si="19"/>
        <v>0</v>
      </c>
      <c r="AA35" s="29">
        <v>0</v>
      </c>
      <c r="AB35" s="29">
        <v>0</v>
      </c>
      <c r="AC35" s="71">
        <f t="shared" si="20"/>
        <v>0</v>
      </c>
      <c r="AD35" s="29">
        <v>0</v>
      </c>
      <c r="AE35" s="29">
        <v>0</v>
      </c>
      <c r="AF35" s="71">
        <f t="shared" si="21"/>
        <v>0</v>
      </c>
      <c r="AG35" s="29">
        <v>0</v>
      </c>
      <c r="AH35" s="29">
        <v>0</v>
      </c>
      <c r="AI35" s="71">
        <f t="shared" si="22"/>
        <v>0</v>
      </c>
      <c r="AJ35" s="29">
        <v>0</v>
      </c>
      <c r="AK35" s="29">
        <v>0</v>
      </c>
      <c r="AL35" s="71">
        <f t="shared" si="23"/>
        <v>0</v>
      </c>
      <c r="AM35" s="29">
        <v>0</v>
      </c>
      <c r="AN35" s="29">
        <v>0</v>
      </c>
      <c r="AO35" s="71">
        <f t="shared" si="24"/>
        <v>0</v>
      </c>
      <c r="AP35" s="29">
        <v>0</v>
      </c>
      <c r="AQ35" s="29">
        <v>0</v>
      </c>
      <c r="AR35" s="71">
        <f t="shared" si="25"/>
        <v>0</v>
      </c>
      <c r="AS35" s="73">
        <f t="shared" si="32"/>
        <v>0</v>
      </c>
      <c r="AT35" s="21">
        <f t="shared" si="27"/>
        <v>0</v>
      </c>
      <c r="AU35" s="71">
        <f t="shared" si="28"/>
        <v>0</v>
      </c>
      <c r="AV35" s="21">
        <v>29622.27</v>
      </c>
      <c r="AW35" s="28">
        <v>37302.07</v>
      </c>
      <c r="AX35" s="28">
        <v>45372.56</v>
      </c>
      <c r="AY35" s="30">
        <v>53857.87</v>
      </c>
      <c r="AZ35" s="30">
        <v>62777.56</v>
      </c>
      <c r="BA35" s="30">
        <v>72153.53</v>
      </c>
      <c r="BB35" s="28">
        <v>82007.899999999994</v>
      </c>
      <c r="BC35" s="28">
        <v>92367.43</v>
      </c>
      <c r="BD35" s="28">
        <v>103256.5</v>
      </c>
      <c r="BE35" s="28">
        <f t="shared" si="29"/>
        <v>103256.5</v>
      </c>
      <c r="BF35" s="68">
        <f t="shared" si="31"/>
        <v>103256.5</v>
      </c>
      <c r="BG35" s="14"/>
    </row>
    <row r="36" spans="1:59" ht="15.75" hidden="1" customHeight="1">
      <c r="A36" s="20" t="s">
        <v>25</v>
      </c>
      <c r="B36" s="20"/>
      <c r="C36" s="20"/>
      <c r="D36" s="20"/>
      <c r="E36" s="20"/>
      <c r="F36" s="21">
        <v>0</v>
      </c>
      <c r="G36" s="22">
        <v>0.05</v>
      </c>
      <c r="H36" s="22"/>
      <c r="I36" s="30">
        <v>0</v>
      </c>
      <c r="J36" s="29">
        <v>0</v>
      </c>
      <c r="K36" s="71">
        <f t="shared" si="14"/>
        <v>0</v>
      </c>
      <c r="L36" s="29">
        <v>0</v>
      </c>
      <c r="M36" s="29">
        <v>0</v>
      </c>
      <c r="N36" s="71">
        <f t="shared" si="15"/>
        <v>0</v>
      </c>
      <c r="O36" s="29">
        <v>0</v>
      </c>
      <c r="P36" s="29">
        <v>0</v>
      </c>
      <c r="Q36" s="71">
        <f t="shared" si="16"/>
        <v>0</v>
      </c>
      <c r="R36" s="29">
        <v>0</v>
      </c>
      <c r="S36" s="29">
        <v>0</v>
      </c>
      <c r="T36" s="71">
        <f t="shared" si="17"/>
        <v>0</v>
      </c>
      <c r="U36" s="29">
        <v>0</v>
      </c>
      <c r="V36" s="29">
        <v>0</v>
      </c>
      <c r="W36" s="71">
        <f t="shared" si="18"/>
        <v>0</v>
      </c>
      <c r="X36" s="29">
        <v>0</v>
      </c>
      <c r="Y36" s="29">
        <v>0</v>
      </c>
      <c r="Z36" s="71">
        <f t="shared" si="19"/>
        <v>0</v>
      </c>
      <c r="AA36" s="29">
        <v>0</v>
      </c>
      <c r="AB36" s="29">
        <v>0</v>
      </c>
      <c r="AC36" s="71">
        <f t="shared" si="20"/>
        <v>0</v>
      </c>
      <c r="AD36" s="29">
        <v>0</v>
      </c>
      <c r="AE36" s="29">
        <v>0</v>
      </c>
      <c r="AF36" s="71">
        <f t="shared" si="21"/>
        <v>0</v>
      </c>
      <c r="AG36" s="29">
        <v>0</v>
      </c>
      <c r="AH36" s="29">
        <v>0</v>
      </c>
      <c r="AI36" s="71">
        <f t="shared" si="22"/>
        <v>0</v>
      </c>
      <c r="AJ36" s="29">
        <v>0</v>
      </c>
      <c r="AK36" s="29">
        <v>0</v>
      </c>
      <c r="AL36" s="71">
        <f t="shared" si="23"/>
        <v>0</v>
      </c>
      <c r="AM36" s="29">
        <v>0</v>
      </c>
      <c r="AN36" s="29">
        <v>0</v>
      </c>
      <c r="AO36" s="71">
        <f t="shared" si="24"/>
        <v>0</v>
      </c>
      <c r="AP36" s="29">
        <v>0</v>
      </c>
      <c r="AQ36" s="29">
        <v>0</v>
      </c>
      <c r="AR36" s="71">
        <f t="shared" si="25"/>
        <v>0</v>
      </c>
      <c r="AS36" s="73">
        <f t="shared" si="26"/>
        <v>0</v>
      </c>
      <c r="AT36" s="21">
        <f t="shared" si="27"/>
        <v>0</v>
      </c>
      <c r="AU36" s="71">
        <f t="shared" si="28"/>
        <v>0</v>
      </c>
      <c r="AV36" s="21">
        <v>23164.53</v>
      </c>
      <c r="AW36" s="28">
        <v>29170.14</v>
      </c>
      <c r="AX36" s="28">
        <v>35481.22</v>
      </c>
      <c r="AY36" s="30">
        <v>42116.72</v>
      </c>
      <c r="AZ36" s="30">
        <v>49091.91</v>
      </c>
      <c r="BA36" s="30">
        <v>56423.93</v>
      </c>
      <c r="BB36" s="28">
        <v>64130.01</v>
      </c>
      <c r="BC36" s="28">
        <v>72231.13</v>
      </c>
      <c r="BD36" s="28">
        <v>80746.350000000006</v>
      </c>
      <c r="BE36" s="28">
        <f t="shared" si="29"/>
        <v>80746.350000000006</v>
      </c>
      <c r="BF36" s="68">
        <f t="shared" si="31"/>
        <v>80746.350000000006</v>
      </c>
      <c r="BG36" s="14"/>
    </row>
    <row r="37" spans="1:59" ht="15.75" hidden="1" customHeight="1">
      <c r="A37" s="20" t="s">
        <v>26</v>
      </c>
      <c r="B37" s="20"/>
      <c r="C37" s="20"/>
      <c r="D37" s="20"/>
      <c r="E37" s="20"/>
      <c r="F37" s="21">
        <v>0</v>
      </c>
      <c r="G37" s="22">
        <v>0.05</v>
      </c>
      <c r="H37" s="22"/>
      <c r="I37" s="30">
        <v>0</v>
      </c>
      <c r="J37" s="29">
        <v>0</v>
      </c>
      <c r="K37" s="71">
        <f t="shared" si="14"/>
        <v>0</v>
      </c>
      <c r="L37" s="29">
        <v>0</v>
      </c>
      <c r="M37" s="29">
        <v>0</v>
      </c>
      <c r="N37" s="71">
        <f t="shared" si="15"/>
        <v>0</v>
      </c>
      <c r="O37" s="29">
        <v>0</v>
      </c>
      <c r="P37" s="29">
        <v>0</v>
      </c>
      <c r="Q37" s="71">
        <f t="shared" si="16"/>
        <v>0</v>
      </c>
      <c r="R37" s="29">
        <v>0</v>
      </c>
      <c r="S37" s="29">
        <v>0</v>
      </c>
      <c r="T37" s="71">
        <f t="shared" si="17"/>
        <v>0</v>
      </c>
      <c r="U37" s="29">
        <v>0</v>
      </c>
      <c r="V37" s="29">
        <v>0</v>
      </c>
      <c r="W37" s="71">
        <f t="shared" si="18"/>
        <v>0</v>
      </c>
      <c r="X37" s="29">
        <v>0</v>
      </c>
      <c r="Y37" s="29">
        <v>0</v>
      </c>
      <c r="Z37" s="71">
        <f t="shared" si="19"/>
        <v>0</v>
      </c>
      <c r="AA37" s="29">
        <v>0</v>
      </c>
      <c r="AB37" s="29">
        <v>0</v>
      </c>
      <c r="AC37" s="71">
        <f t="shared" si="20"/>
        <v>0</v>
      </c>
      <c r="AD37" s="29">
        <v>0</v>
      </c>
      <c r="AE37" s="29">
        <v>0</v>
      </c>
      <c r="AF37" s="71">
        <f t="shared" si="21"/>
        <v>0</v>
      </c>
      <c r="AG37" s="29">
        <v>0</v>
      </c>
      <c r="AH37" s="29">
        <v>0</v>
      </c>
      <c r="AI37" s="71">
        <f t="shared" si="22"/>
        <v>0</v>
      </c>
      <c r="AJ37" s="29">
        <v>0</v>
      </c>
      <c r="AK37" s="29">
        <v>0</v>
      </c>
      <c r="AL37" s="71">
        <f t="shared" si="23"/>
        <v>0</v>
      </c>
      <c r="AM37" s="29">
        <v>0</v>
      </c>
      <c r="AN37" s="29">
        <v>0</v>
      </c>
      <c r="AO37" s="71">
        <f t="shared" si="24"/>
        <v>0</v>
      </c>
      <c r="AP37" s="29">
        <v>0</v>
      </c>
      <c r="AQ37" s="29">
        <v>0</v>
      </c>
      <c r="AR37" s="71">
        <f t="shared" si="25"/>
        <v>0</v>
      </c>
      <c r="AS37" s="73">
        <f t="shared" si="26"/>
        <v>0</v>
      </c>
      <c r="AT37" s="21">
        <f t="shared" si="27"/>
        <v>0</v>
      </c>
      <c r="AU37" s="71">
        <f t="shared" si="28"/>
        <v>0</v>
      </c>
      <c r="AV37" s="21">
        <v>29.93</v>
      </c>
      <c r="AW37" s="28">
        <v>37.69</v>
      </c>
      <c r="AX37" s="28">
        <v>45.83</v>
      </c>
      <c r="AY37" s="30">
        <v>54.42</v>
      </c>
      <c r="AZ37" s="30">
        <v>63.42</v>
      </c>
      <c r="BA37" s="30">
        <v>72.89</v>
      </c>
      <c r="BB37" s="28">
        <v>82.83</v>
      </c>
      <c r="BC37" s="28">
        <v>93.29</v>
      </c>
      <c r="BD37" s="28">
        <v>104.3</v>
      </c>
      <c r="BE37" s="28">
        <f t="shared" si="29"/>
        <v>104.3</v>
      </c>
      <c r="BF37" s="68">
        <f t="shared" si="31"/>
        <v>104.3</v>
      </c>
      <c r="BG37" s="14"/>
    </row>
    <row r="38" spans="1:59" ht="15.75" hidden="1" customHeight="1">
      <c r="A38" s="20" t="s">
        <v>27</v>
      </c>
      <c r="B38" s="20"/>
      <c r="C38" s="20"/>
      <c r="D38" s="20"/>
      <c r="E38" s="20"/>
      <c r="F38" s="31">
        <v>0</v>
      </c>
      <c r="G38" s="22">
        <v>0.05</v>
      </c>
      <c r="H38" s="22"/>
      <c r="I38" s="30">
        <v>0</v>
      </c>
      <c r="J38" s="29">
        <v>0</v>
      </c>
      <c r="K38" s="71">
        <f t="shared" si="14"/>
        <v>0</v>
      </c>
      <c r="L38" s="29">
        <v>0</v>
      </c>
      <c r="M38" s="29">
        <v>0</v>
      </c>
      <c r="N38" s="71">
        <f>K38-M38</f>
        <v>0</v>
      </c>
      <c r="O38" s="29">
        <v>0</v>
      </c>
      <c r="P38" s="29">
        <v>0</v>
      </c>
      <c r="Q38" s="71">
        <f t="shared" si="16"/>
        <v>0</v>
      </c>
      <c r="R38" s="29">
        <v>0</v>
      </c>
      <c r="S38" s="29">
        <v>0</v>
      </c>
      <c r="T38" s="71">
        <f t="shared" si="17"/>
        <v>0</v>
      </c>
      <c r="U38" s="29">
        <v>0</v>
      </c>
      <c r="V38" s="29">
        <v>0</v>
      </c>
      <c r="W38" s="71">
        <f t="shared" si="18"/>
        <v>0</v>
      </c>
      <c r="X38" s="29">
        <v>0</v>
      </c>
      <c r="Y38" s="29">
        <v>0</v>
      </c>
      <c r="Z38" s="71">
        <f t="shared" si="19"/>
        <v>0</v>
      </c>
      <c r="AA38" s="29">
        <v>0</v>
      </c>
      <c r="AB38" s="29">
        <v>0</v>
      </c>
      <c r="AC38" s="71">
        <f t="shared" si="20"/>
        <v>0</v>
      </c>
      <c r="AD38" s="29">
        <v>0</v>
      </c>
      <c r="AE38" s="29">
        <v>0</v>
      </c>
      <c r="AF38" s="71">
        <f t="shared" si="21"/>
        <v>0</v>
      </c>
      <c r="AG38" s="29">
        <v>0</v>
      </c>
      <c r="AH38" s="29">
        <v>0</v>
      </c>
      <c r="AI38" s="71">
        <f t="shared" si="22"/>
        <v>0</v>
      </c>
      <c r="AJ38" s="29">
        <v>0</v>
      </c>
      <c r="AK38" s="29">
        <v>0</v>
      </c>
      <c r="AL38" s="71">
        <f t="shared" si="23"/>
        <v>0</v>
      </c>
      <c r="AM38" s="29">
        <v>0</v>
      </c>
      <c r="AN38" s="29">
        <v>0</v>
      </c>
      <c r="AO38" s="71">
        <f t="shared" si="24"/>
        <v>0</v>
      </c>
      <c r="AP38" s="29">
        <v>0</v>
      </c>
      <c r="AQ38" s="29">
        <v>0</v>
      </c>
      <c r="AR38" s="71">
        <f t="shared" si="25"/>
        <v>0</v>
      </c>
      <c r="AS38" s="73">
        <f t="shared" si="26"/>
        <v>0</v>
      </c>
      <c r="AT38" s="21">
        <f t="shared" si="27"/>
        <v>0</v>
      </c>
      <c r="AU38" s="83">
        <f t="shared" si="28"/>
        <v>0</v>
      </c>
      <c r="AV38" s="21">
        <v>52816.71</v>
      </c>
      <c r="AW38" s="28">
        <v>66509.87</v>
      </c>
      <c r="AX38" s="28">
        <v>80899.570000000007</v>
      </c>
      <c r="AY38" s="30">
        <v>96028.97</v>
      </c>
      <c r="AZ38" s="30">
        <v>111932.83</v>
      </c>
      <c r="BA38" s="30">
        <v>128650.26</v>
      </c>
      <c r="BB38" s="28">
        <v>146220.68</v>
      </c>
      <c r="BC38" s="28">
        <v>164691.79999999999</v>
      </c>
      <c r="BD38" s="28">
        <v>184107.1</v>
      </c>
      <c r="BE38" s="28">
        <f t="shared" si="29"/>
        <v>184107.1</v>
      </c>
      <c r="BF38" s="68">
        <f t="shared" si="31"/>
        <v>184107.1</v>
      </c>
      <c r="BG38" s="14"/>
    </row>
    <row r="39" spans="1:59" ht="3" customHeight="1">
      <c r="A39" s="20"/>
      <c r="B39" s="20"/>
      <c r="C39" s="20"/>
      <c r="D39" s="20"/>
      <c r="E39" s="20"/>
      <c r="F39" s="32">
        <v>0</v>
      </c>
      <c r="G39" s="22"/>
      <c r="H39" s="22"/>
      <c r="I39" s="30"/>
      <c r="J39" s="29"/>
      <c r="K39" s="71"/>
      <c r="L39" s="29"/>
      <c r="M39" s="29"/>
      <c r="N39" s="71"/>
      <c r="O39" s="29"/>
      <c r="P39" s="29"/>
      <c r="Q39" s="71"/>
      <c r="R39" s="29"/>
      <c r="S39" s="29"/>
      <c r="T39" s="71"/>
      <c r="U39" s="29"/>
      <c r="V39" s="29"/>
      <c r="W39" s="71"/>
      <c r="X39" s="29"/>
      <c r="Y39" s="29"/>
      <c r="Z39" s="71"/>
      <c r="AA39" s="29"/>
      <c r="AB39" s="29"/>
      <c r="AC39" s="71"/>
      <c r="AD39" s="29"/>
      <c r="AE39" s="29"/>
      <c r="AF39" s="71"/>
      <c r="AG39" s="29"/>
      <c r="AH39" s="29"/>
      <c r="AI39" s="71"/>
      <c r="AJ39" s="29"/>
      <c r="AK39" s="29"/>
      <c r="AL39" s="71"/>
      <c r="AM39" s="29"/>
      <c r="AN39" s="29"/>
      <c r="AO39" s="71"/>
      <c r="AP39" s="29"/>
      <c r="AQ39" s="29"/>
      <c r="AR39" s="71"/>
      <c r="AS39" s="73"/>
      <c r="AT39" s="21"/>
      <c r="AU39" s="132">
        <f>SUM(AU16:AU38)</f>
        <v>0</v>
      </c>
      <c r="AV39" s="21"/>
      <c r="AW39" s="28"/>
      <c r="AX39" s="28"/>
      <c r="AY39" s="28"/>
      <c r="AZ39" s="28"/>
      <c r="BA39" s="30"/>
      <c r="BB39" s="30"/>
      <c r="BC39" s="30"/>
      <c r="BD39" s="30"/>
      <c r="BE39" s="30"/>
      <c r="BF39" s="68">
        <f>SUM(BF16:BF38)</f>
        <v>4431784.72</v>
      </c>
      <c r="BG39" s="14"/>
    </row>
    <row r="40" spans="1:59" ht="15.95" customHeight="1">
      <c r="A40" s="174" t="s">
        <v>28</v>
      </c>
      <c r="B40" s="174" t="s">
        <v>135</v>
      </c>
      <c r="C40" s="175">
        <v>34827</v>
      </c>
      <c r="D40" s="175">
        <v>47467</v>
      </c>
      <c r="E40" s="175"/>
      <c r="F40" s="172">
        <v>590816.18999999994</v>
      </c>
      <c r="G40" s="176">
        <v>0.06</v>
      </c>
      <c r="H40" s="44"/>
      <c r="I40" s="30">
        <v>2808.8000000001539</v>
      </c>
      <c r="J40" s="29">
        <v>2437.6299999998464</v>
      </c>
      <c r="K40" s="71">
        <f t="shared" ref="K40:K51" si="33">F40-J40</f>
        <v>588378.56000000006</v>
      </c>
      <c r="L40" s="29">
        <v>2990.12</v>
      </c>
      <c r="M40" s="29">
        <v>2256.31</v>
      </c>
      <c r="N40" s="71">
        <f>K40-M40</f>
        <v>586122.25</v>
      </c>
      <c r="O40" s="29">
        <v>2978.65</v>
      </c>
      <c r="P40" s="29">
        <v>2267.7800000000002</v>
      </c>
      <c r="Q40" s="71">
        <f t="shared" ref="Q40:Q51" si="34">N40-P40</f>
        <v>583854.47</v>
      </c>
      <c r="R40" s="29">
        <v>2775.7</v>
      </c>
      <c r="S40" s="29">
        <v>2470.73</v>
      </c>
      <c r="T40" s="71">
        <f t="shared" ref="T40:T51" si="35">Q40-S40</f>
        <v>581383.74</v>
      </c>
      <c r="U40" s="29">
        <v>3049.88</v>
      </c>
      <c r="V40" s="29">
        <v>2196.5500000000002</v>
      </c>
      <c r="W40" s="71">
        <f t="shared" ref="W40:W51" si="36">T40-V40</f>
        <v>579187.18999999994</v>
      </c>
      <c r="X40" s="74"/>
      <c r="Y40" s="74">
        <v>579187.18999999994</v>
      </c>
      <c r="Z40" s="71">
        <f t="shared" ref="Z40:Z49" si="37">W40-Y40</f>
        <v>0</v>
      </c>
      <c r="AA40" s="29"/>
      <c r="AB40" s="29"/>
      <c r="AC40" s="71">
        <f t="shared" ref="AC40:AC51" si="38">Z40-AB40</f>
        <v>0</v>
      </c>
      <c r="AD40" s="29"/>
      <c r="AE40" s="29"/>
      <c r="AF40" s="71">
        <f t="shared" ref="AF40:AF51" si="39">AC40-AE40</f>
        <v>0</v>
      </c>
      <c r="AG40" s="29"/>
      <c r="AH40" s="29"/>
      <c r="AI40" s="71">
        <f t="shared" ref="AI40:AI51" si="40">AF40-AH40</f>
        <v>0</v>
      </c>
      <c r="AJ40" s="29"/>
      <c r="AK40" s="29"/>
      <c r="AL40" s="71">
        <f t="shared" ref="AL40:AL51" si="41">AI40-AK40</f>
        <v>0</v>
      </c>
      <c r="AM40" s="29"/>
      <c r="AN40" s="29"/>
      <c r="AO40" s="71">
        <f t="shared" ref="AO40:AO51" si="42">AL40-AN40</f>
        <v>0</v>
      </c>
      <c r="AP40" s="29"/>
      <c r="AQ40" s="29"/>
      <c r="AR40" s="71">
        <f>AO40-AQ40</f>
        <v>0</v>
      </c>
      <c r="AS40" s="73">
        <f t="shared" ref="AS40:AS51" si="43">I40+L40+P68+R40+U40+X40+AA40+AD40+AG40+AJ40+AM40+AP40</f>
        <v>11624.500000000153</v>
      </c>
      <c r="AT40" s="21">
        <f t="shared" ref="AT40:AT52" si="44">J40+M40+P40+S40+V40+Y40+AB40+AE40+AH40+AK40+AN40+AQ40</f>
        <v>590816.18999999983</v>
      </c>
      <c r="AU40" s="71">
        <f t="shared" ref="AU40:AU51" si="45">F40-AT40</f>
        <v>0</v>
      </c>
      <c r="AV40" s="21">
        <v>19361.91</v>
      </c>
      <c r="AW40" s="28">
        <v>29588.7</v>
      </c>
      <c r="AX40" s="28">
        <v>40441.22</v>
      </c>
      <c r="AY40" s="30">
        <v>51967.65</v>
      </c>
      <c r="AZ40" s="30">
        <v>64205.41</v>
      </c>
      <c r="BA40" s="30">
        <v>77197.850000000006</v>
      </c>
      <c r="BB40" s="28">
        <v>90988.2</v>
      </c>
      <c r="BC40" s="28">
        <v>105632.09</v>
      </c>
      <c r="BD40" s="28">
        <v>121178.37</v>
      </c>
      <c r="BE40" s="28">
        <f t="shared" ref="BE40:BE46" si="46">BD40+AT40</f>
        <v>711994.55999999982</v>
      </c>
      <c r="BF40" s="68">
        <f t="shared" ref="BF40:BF46" si="47">F40+BD40</f>
        <v>711994.55999999994</v>
      </c>
      <c r="BG40" s="14"/>
    </row>
    <row r="41" spans="1:59" ht="15.95" customHeight="1">
      <c r="A41" s="174" t="s">
        <v>29</v>
      </c>
      <c r="B41" s="174" t="s">
        <v>136</v>
      </c>
      <c r="C41" s="175">
        <v>35205</v>
      </c>
      <c r="D41" s="175">
        <v>47467</v>
      </c>
      <c r="E41" s="175">
        <v>42531</v>
      </c>
      <c r="F41" s="172">
        <v>509857.91</v>
      </c>
      <c r="G41" s="176">
        <v>6.2500000000000003E-3</v>
      </c>
      <c r="H41" s="44" t="s">
        <v>113</v>
      </c>
      <c r="I41" s="30">
        <v>252.49000000002559</v>
      </c>
      <c r="J41" s="29">
        <v>2940.8299999999745</v>
      </c>
      <c r="K41" s="71">
        <f t="shared" si="33"/>
        <v>506917.08</v>
      </c>
      <c r="L41" s="29">
        <v>268.35000000000002</v>
      </c>
      <c r="M41" s="29">
        <v>2924.97</v>
      </c>
      <c r="N41" s="71">
        <f t="shared" ref="N41:N51" si="48">K41-M41</f>
        <v>503992.11000000004</v>
      </c>
      <c r="O41" s="29">
        <v>266.8</v>
      </c>
      <c r="P41" s="29">
        <v>2926.52</v>
      </c>
      <c r="Q41" s="71">
        <f t="shared" si="34"/>
        <v>501065.59</v>
      </c>
      <c r="R41" s="29">
        <v>248.14</v>
      </c>
      <c r="S41" s="29">
        <v>2945.18</v>
      </c>
      <c r="T41" s="71">
        <f t="shared" si="35"/>
        <v>498120.41000000003</v>
      </c>
      <c r="U41" s="29">
        <v>272.2</v>
      </c>
      <c r="V41" s="29">
        <v>2921.12</v>
      </c>
      <c r="W41" s="71">
        <f t="shared" si="36"/>
        <v>495199.29000000004</v>
      </c>
      <c r="X41" s="74"/>
      <c r="Y41" s="74">
        <v>495199.29</v>
      </c>
      <c r="Z41" s="71">
        <f t="shared" si="37"/>
        <v>0</v>
      </c>
      <c r="AA41" s="29"/>
      <c r="AB41" s="29"/>
      <c r="AC41" s="71">
        <f t="shared" si="38"/>
        <v>0</v>
      </c>
      <c r="AD41" s="29"/>
      <c r="AE41" s="29"/>
      <c r="AF41" s="71">
        <f t="shared" si="39"/>
        <v>0</v>
      </c>
      <c r="AG41" s="29"/>
      <c r="AH41" s="29"/>
      <c r="AI41" s="71">
        <f t="shared" si="40"/>
        <v>0</v>
      </c>
      <c r="AJ41" s="29"/>
      <c r="AK41" s="29"/>
      <c r="AL41" s="71">
        <f t="shared" si="41"/>
        <v>0</v>
      </c>
      <c r="AM41" s="29"/>
      <c r="AN41" s="29"/>
      <c r="AO41" s="71">
        <f t="shared" si="42"/>
        <v>0</v>
      </c>
      <c r="AP41" s="29"/>
      <c r="AQ41" s="29"/>
      <c r="AR41" s="71">
        <f t="shared" ref="AR41:AR51" si="49">AO41-AQ41</f>
        <v>0</v>
      </c>
      <c r="AS41" s="73">
        <f t="shared" si="43"/>
        <v>1041.1800000000255</v>
      </c>
      <c r="AT41" s="21">
        <f t="shared" si="44"/>
        <v>509857.91</v>
      </c>
      <c r="AU41" s="71">
        <f t="shared" si="45"/>
        <v>0</v>
      </c>
      <c r="AV41" s="21">
        <v>26170.720000000001</v>
      </c>
      <c r="AW41" s="28">
        <v>39658.89</v>
      </c>
      <c r="AX41" s="28">
        <v>53763.22</v>
      </c>
      <c r="AY41" s="30">
        <v>68518.48</v>
      </c>
      <c r="AZ41" s="30">
        <v>83951.98</v>
      </c>
      <c r="BA41" s="30">
        <v>100094.36</v>
      </c>
      <c r="BB41" s="28">
        <v>116976.37</v>
      </c>
      <c r="BC41" s="28">
        <v>136157.21</v>
      </c>
      <c r="BD41" s="28">
        <v>157122.51</v>
      </c>
      <c r="BE41" s="28">
        <f t="shared" si="46"/>
        <v>666980.41999999993</v>
      </c>
      <c r="BF41" s="68">
        <f t="shared" si="47"/>
        <v>666980.41999999993</v>
      </c>
      <c r="BG41" s="14"/>
    </row>
    <row r="42" spans="1:59" ht="15.95" customHeight="1">
      <c r="A42" s="20" t="s">
        <v>94</v>
      </c>
      <c r="B42" s="20" t="s">
        <v>137</v>
      </c>
      <c r="C42" s="104">
        <v>35961</v>
      </c>
      <c r="D42" s="104">
        <v>48670</v>
      </c>
      <c r="E42" s="104">
        <v>42531</v>
      </c>
      <c r="F42" s="21">
        <v>1090111.83</v>
      </c>
      <c r="G42" s="44">
        <v>2.1250000000000002E-2</v>
      </c>
      <c r="H42" s="44" t="s">
        <v>113</v>
      </c>
      <c r="I42" s="30">
        <v>1835.4699999999254</v>
      </c>
      <c r="J42" s="29">
        <v>4472.8600000000743</v>
      </c>
      <c r="K42" s="71">
        <f t="shared" si="33"/>
        <v>1085638.97</v>
      </c>
      <c r="L42" s="29">
        <v>1954</v>
      </c>
      <c r="M42" s="29">
        <v>4354.33</v>
      </c>
      <c r="N42" s="71">
        <f t="shared" si="48"/>
        <v>1081284.6399999999</v>
      </c>
      <c r="O42" s="29">
        <v>1946.16</v>
      </c>
      <c r="P42" s="29">
        <v>4362.17</v>
      </c>
      <c r="Q42" s="71">
        <f t="shared" si="34"/>
        <v>1076922.47</v>
      </c>
      <c r="R42" s="29">
        <v>1813.26</v>
      </c>
      <c r="S42" s="29">
        <v>4495.07</v>
      </c>
      <c r="T42" s="71">
        <f t="shared" si="35"/>
        <v>1072427.3999999999</v>
      </c>
      <c r="U42" s="29">
        <v>1992.49</v>
      </c>
      <c r="V42" s="29">
        <v>4315.84</v>
      </c>
      <c r="W42" s="71">
        <f t="shared" si="36"/>
        <v>1068111.5599999998</v>
      </c>
      <c r="X42" s="29">
        <v>1860.44</v>
      </c>
      <c r="Y42" s="29">
        <v>4447.8900000000003</v>
      </c>
      <c r="Z42" s="71">
        <f>W42-Y42</f>
        <v>1063663.67</v>
      </c>
      <c r="AA42" s="29"/>
      <c r="AB42" s="29"/>
      <c r="AC42" s="71">
        <f t="shared" si="38"/>
        <v>1063663.67</v>
      </c>
      <c r="AD42" s="29"/>
      <c r="AE42" s="29"/>
      <c r="AF42" s="71">
        <f t="shared" si="39"/>
        <v>1063663.67</v>
      </c>
      <c r="AG42" s="29"/>
      <c r="AH42" s="29"/>
      <c r="AI42" s="71">
        <f t="shared" si="40"/>
        <v>1063663.67</v>
      </c>
      <c r="AJ42" s="29"/>
      <c r="AK42" s="29"/>
      <c r="AL42" s="71">
        <f t="shared" si="41"/>
        <v>1063663.67</v>
      </c>
      <c r="AM42" s="29"/>
      <c r="AN42" s="29"/>
      <c r="AO42" s="71">
        <f t="shared" si="42"/>
        <v>1063663.67</v>
      </c>
      <c r="AP42" s="29"/>
      <c r="AQ42" s="29"/>
      <c r="AR42" s="71">
        <f t="shared" si="49"/>
        <v>1063663.67</v>
      </c>
      <c r="AS42" s="73">
        <f t="shared" si="43"/>
        <v>9455.6599999999253</v>
      </c>
      <c r="AT42" s="21">
        <f t="shared" si="44"/>
        <v>26448.160000000073</v>
      </c>
      <c r="AU42" s="71">
        <f t="shared" si="45"/>
        <v>1063663.67</v>
      </c>
      <c r="AV42" s="21">
        <v>0</v>
      </c>
      <c r="AW42" s="28">
        <v>0</v>
      </c>
      <c r="AX42" s="28">
        <v>18604.349999999999</v>
      </c>
      <c r="AY42" s="30">
        <v>44458.83</v>
      </c>
      <c r="AZ42" s="30">
        <v>71400.800000000003</v>
      </c>
      <c r="BA42" s="30">
        <v>99475.199999999997</v>
      </c>
      <c r="BB42" s="28">
        <v>137843.19</v>
      </c>
      <c r="BC42" s="28">
        <v>179754.34</v>
      </c>
      <c r="BD42" s="28">
        <v>216858.5</v>
      </c>
      <c r="BE42" s="28">
        <f t="shared" si="46"/>
        <v>243306.66000000006</v>
      </c>
      <c r="BF42" s="68">
        <f t="shared" si="47"/>
        <v>1306970.33</v>
      </c>
      <c r="BG42" s="14"/>
    </row>
    <row r="43" spans="1:59" ht="15.95" customHeight="1">
      <c r="A43" s="20" t="s">
        <v>95</v>
      </c>
      <c r="B43" s="20" t="s">
        <v>138</v>
      </c>
      <c r="C43" s="104">
        <v>36180</v>
      </c>
      <c r="D43" s="104">
        <v>48670</v>
      </c>
      <c r="E43" s="104">
        <v>42531</v>
      </c>
      <c r="F43" s="21">
        <v>671455.88</v>
      </c>
      <c r="G43" s="44">
        <v>4.1250000000000002E-2</v>
      </c>
      <c r="H43" s="44" t="s">
        <v>113</v>
      </c>
      <c r="I43" s="30">
        <v>2194.6200000000231</v>
      </c>
      <c r="J43" s="29">
        <v>2354.1499999999769</v>
      </c>
      <c r="K43" s="71">
        <f t="shared" si="33"/>
        <v>669101.73</v>
      </c>
      <c r="L43" s="29">
        <v>2337.7399999999998</v>
      </c>
      <c r="M43" s="29">
        <v>2211.0300000000002</v>
      </c>
      <c r="N43" s="71">
        <f t="shared" si="48"/>
        <v>666890.69999999995</v>
      </c>
      <c r="O43" s="29">
        <v>2330.02</v>
      </c>
      <c r="P43" s="29">
        <v>2218.75</v>
      </c>
      <c r="Q43" s="71">
        <f t="shared" si="34"/>
        <v>664671.94999999995</v>
      </c>
      <c r="R43" s="29">
        <v>2172.44</v>
      </c>
      <c r="S43" s="29">
        <v>2376.33</v>
      </c>
      <c r="T43" s="71">
        <f t="shared" si="35"/>
        <v>662295.62</v>
      </c>
      <c r="U43" s="29">
        <v>2388.61</v>
      </c>
      <c r="V43" s="29">
        <v>2160.16</v>
      </c>
      <c r="W43" s="71">
        <f t="shared" si="36"/>
        <v>660135.46</v>
      </c>
      <c r="X43" s="29">
        <v>2232.02</v>
      </c>
      <c r="Y43" s="29">
        <v>2316.75</v>
      </c>
      <c r="Z43" s="71">
        <f t="shared" si="37"/>
        <v>657818.71</v>
      </c>
      <c r="AA43" s="29"/>
      <c r="AB43" s="29"/>
      <c r="AC43" s="71">
        <f t="shared" si="38"/>
        <v>657818.71</v>
      </c>
      <c r="AD43" s="29"/>
      <c r="AE43" s="29"/>
      <c r="AF43" s="71">
        <f t="shared" si="39"/>
        <v>657818.71</v>
      </c>
      <c r="AG43" s="29"/>
      <c r="AH43" s="29"/>
      <c r="AI43" s="71">
        <f t="shared" si="40"/>
        <v>657818.71</v>
      </c>
      <c r="AJ43" s="29"/>
      <c r="AK43" s="29"/>
      <c r="AL43" s="71">
        <f t="shared" si="41"/>
        <v>657818.71</v>
      </c>
      <c r="AM43" s="29"/>
      <c r="AN43" s="29"/>
      <c r="AO43" s="71">
        <f t="shared" si="42"/>
        <v>657818.71</v>
      </c>
      <c r="AP43" s="29"/>
      <c r="AQ43" s="29"/>
      <c r="AR43" s="71">
        <f t="shared" si="49"/>
        <v>657818.71</v>
      </c>
      <c r="AS43" s="73">
        <f t="shared" si="43"/>
        <v>11325.430000000024</v>
      </c>
      <c r="AT43" s="21">
        <f t="shared" si="44"/>
        <v>13637.169999999976</v>
      </c>
      <c r="AU43" s="71">
        <f t="shared" si="45"/>
        <v>657818.71000000008</v>
      </c>
      <c r="AV43" s="21">
        <v>0</v>
      </c>
      <c r="AW43" s="28">
        <v>0</v>
      </c>
      <c r="AX43" s="28">
        <v>10395.98</v>
      </c>
      <c r="AY43" s="30">
        <v>24863.05</v>
      </c>
      <c r="AZ43" s="30">
        <v>39957.440000000002</v>
      </c>
      <c r="BA43" s="30">
        <v>55705.88</v>
      </c>
      <c r="BB43" s="28">
        <v>72134.820000000007</v>
      </c>
      <c r="BC43" s="28">
        <v>89277.34</v>
      </c>
      <c r="BD43" s="28">
        <v>107162.09</v>
      </c>
      <c r="BE43" s="28">
        <f t="shared" si="46"/>
        <v>120799.25999999998</v>
      </c>
      <c r="BF43" s="68">
        <f t="shared" si="47"/>
        <v>778617.97</v>
      </c>
      <c r="BG43" s="14"/>
    </row>
    <row r="44" spans="1:59" ht="15.95" customHeight="1">
      <c r="A44" s="20" t="s">
        <v>96</v>
      </c>
      <c r="B44" s="20" t="s">
        <v>138</v>
      </c>
      <c r="C44" s="104">
        <v>36222</v>
      </c>
      <c r="D44" s="104">
        <v>48670</v>
      </c>
      <c r="E44" s="104"/>
      <c r="F44" s="21">
        <v>455834.31</v>
      </c>
      <c r="G44" s="44">
        <v>4.4999999999999998E-2</v>
      </c>
      <c r="H44" s="44"/>
      <c r="I44" s="30">
        <v>1625.3099999999745</v>
      </c>
      <c r="J44" s="29">
        <v>1547.6300000000256</v>
      </c>
      <c r="K44" s="71">
        <f t="shared" si="33"/>
        <v>454286.68</v>
      </c>
      <c r="L44" s="29">
        <v>1731.5</v>
      </c>
      <c r="M44" s="29">
        <v>1441.44</v>
      </c>
      <c r="N44" s="71">
        <f t="shared" si="48"/>
        <v>452845.24</v>
      </c>
      <c r="O44" s="29">
        <v>1726.01</v>
      </c>
      <c r="P44" s="29">
        <v>1446.93</v>
      </c>
      <c r="Q44" s="71">
        <f t="shared" si="34"/>
        <v>451398.31</v>
      </c>
      <c r="R44" s="29">
        <v>1609.49</v>
      </c>
      <c r="S44" s="29">
        <v>1563.45</v>
      </c>
      <c r="T44" s="71">
        <f t="shared" si="35"/>
        <v>449834.86</v>
      </c>
      <c r="U44" s="29">
        <v>1769.84</v>
      </c>
      <c r="V44" s="29">
        <v>1403.1</v>
      </c>
      <c r="W44" s="71">
        <f t="shared" si="36"/>
        <v>448431.76</v>
      </c>
      <c r="X44" s="29">
        <v>1654.05</v>
      </c>
      <c r="Y44" s="29">
        <v>1518.89</v>
      </c>
      <c r="Z44" s="71">
        <f t="shared" si="37"/>
        <v>446912.87</v>
      </c>
      <c r="AA44" s="29"/>
      <c r="AB44" s="29"/>
      <c r="AC44" s="71">
        <f t="shared" si="38"/>
        <v>446912.87</v>
      </c>
      <c r="AD44" s="29"/>
      <c r="AE44" s="29"/>
      <c r="AF44" s="71">
        <f t="shared" si="39"/>
        <v>446912.87</v>
      </c>
      <c r="AG44" s="29"/>
      <c r="AH44" s="29"/>
      <c r="AI44" s="71">
        <f t="shared" si="40"/>
        <v>446912.87</v>
      </c>
      <c r="AJ44" s="29"/>
      <c r="AK44" s="29"/>
      <c r="AL44" s="71">
        <f t="shared" si="41"/>
        <v>446912.87</v>
      </c>
      <c r="AM44" s="29"/>
      <c r="AN44" s="29"/>
      <c r="AO44" s="71">
        <f t="shared" si="42"/>
        <v>446912.87</v>
      </c>
      <c r="AP44" s="29"/>
      <c r="AQ44" s="29"/>
      <c r="AR44" s="71">
        <f t="shared" si="49"/>
        <v>446912.87</v>
      </c>
      <c r="AS44" s="73">
        <f t="shared" si="43"/>
        <v>8390.189999999975</v>
      </c>
      <c r="AT44" s="21">
        <f t="shared" si="44"/>
        <v>8921.4400000000242</v>
      </c>
      <c r="AU44" s="71">
        <f t="shared" si="45"/>
        <v>446912.87</v>
      </c>
      <c r="AV44" s="21"/>
      <c r="AW44" s="28"/>
      <c r="AX44" s="28">
        <v>7348.89</v>
      </c>
      <c r="AY44" s="30">
        <v>17547.39</v>
      </c>
      <c r="AZ44" s="30">
        <v>28161.61</v>
      </c>
      <c r="BA44" s="30">
        <v>39208.22</v>
      </c>
      <c r="BB44" s="28">
        <v>50703.67</v>
      </c>
      <c r="BC44" s="28">
        <v>62668.37</v>
      </c>
      <c r="BD44" s="28">
        <v>74355.88</v>
      </c>
      <c r="BE44" s="28">
        <f t="shared" si="46"/>
        <v>83277.320000000036</v>
      </c>
      <c r="BF44" s="68">
        <f t="shared" si="47"/>
        <v>530190.18999999994</v>
      </c>
      <c r="BG44" s="14"/>
    </row>
    <row r="45" spans="1:59" ht="15.95" customHeight="1">
      <c r="A45" s="20" t="s">
        <v>97</v>
      </c>
      <c r="B45" s="20" t="s">
        <v>139</v>
      </c>
      <c r="C45" s="104">
        <v>36250</v>
      </c>
      <c r="D45" s="104">
        <v>48670</v>
      </c>
      <c r="E45" s="104"/>
      <c r="F45" s="21">
        <v>54216.3</v>
      </c>
      <c r="G45" s="44">
        <v>4.4999999999999998E-2</v>
      </c>
      <c r="H45" s="44"/>
      <c r="I45" s="30">
        <v>193.30999999999824</v>
      </c>
      <c r="J45" s="29">
        <v>184.08000000000175</v>
      </c>
      <c r="K45" s="71">
        <f t="shared" si="33"/>
        <v>54032.22</v>
      </c>
      <c r="L45" s="29">
        <v>205.94</v>
      </c>
      <c r="M45" s="29">
        <v>171.45</v>
      </c>
      <c r="N45" s="71">
        <f t="shared" si="48"/>
        <v>53860.770000000004</v>
      </c>
      <c r="O45" s="29">
        <v>205.29</v>
      </c>
      <c r="P45" s="29">
        <v>172.1</v>
      </c>
      <c r="Q45" s="71">
        <f t="shared" si="34"/>
        <v>53688.670000000006</v>
      </c>
      <c r="R45" s="29">
        <v>191.43</v>
      </c>
      <c r="S45" s="29">
        <v>185.96</v>
      </c>
      <c r="T45" s="71">
        <f t="shared" si="35"/>
        <v>53502.710000000006</v>
      </c>
      <c r="U45" s="29">
        <v>210.5</v>
      </c>
      <c r="V45" s="29">
        <v>166.89</v>
      </c>
      <c r="W45" s="71">
        <f t="shared" si="36"/>
        <v>53335.820000000007</v>
      </c>
      <c r="X45" s="29">
        <v>196.73</v>
      </c>
      <c r="Y45" s="29">
        <v>180.66</v>
      </c>
      <c r="Z45" s="71">
        <f t="shared" si="37"/>
        <v>53155.16</v>
      </c>
      <c r="AA45" s="29"/>
      <c r="AB45" s="29"/>
      <c r="AC45" s="71">
        <f t="shared" si="38"/>
        <v>53155.16</v>
      </c>
      <c r="AD45" s="29"/>
      <c r="AE45" s="29"/>
      <c r="AF45" s="71">
        <f t="shared" si="39"/>
        <v>53155.16</v>
      </c>
      <c r="AG45" s="29"/>
      <c r="AH45" s="29"/>
      <c r="AI45" s="71">
        <f t="shared" si="40"/>
        <v>53155.16</v>
      </c>
      <c r="AJ45" s="29"/>
      <c r="AK45" s="29"/>
      <c r="AL45" s="71">
        <f t="shared" si="41"/>
        <v>53155.16</v>
      </c>
      <c r="AM45" s="29"/>
      <c r="AN45" s="29"/>
      <c r="AO45" s="71">
        <f t="shared" si="42"/>
        <v>53155.16</v>
      </c>
      <c r="AP45" s="29"/>
      <c r="AQ45" s="29"/>
      <c r="AR45" s="71">
        <f t="shared" si="49"/>
        <v>53155.16</v>
      </c>
      <c r="AS45" s="73">
        <f t="shared" si="43"/>
        <v>997.90999999999826</v>
      </c>
      <c r="AT45" s="21">
        <f t="shared" si="44"/>
        <v>1061.1400000000017</v>
      </c>
      <c r="AU45" s="71">
        <f t="shared" si="45"/>
        <v>53155.16</v>
      </c>
      <c r="AV45" s="21"/>
      <c r="AW45" s="28"/>
      <c r="AX45" s="28">
        <v>874.09</v>
      </c>
      <c r="AY45" s="30">
        <v>2087.1</v>
      </c>
      <c r="AZ45" s="30">
        <v>3349.55</v>
      </c>
      <c r="BA45" s="30">
        <v>4663.43</v>
      </c>
      <c r="BB45" s="28">
        <v>6030.68</v>
      </c>
      <c r="BC45" s="28">
        <v>7453.76</v>
      </c>
      <c r="BD45" s="28">
        <v>8843.8700000000008</v>
      </c>
      <c r="BE45" s="28">
        <f t="shared" si="46"/>
        <v>9905.010000000002</v>
      </c>
      <c r="BF45" s="68">
        <f t="shared" si="47"/>
        <v>63060.170000000006</v>
      </c>
      <c r="BG45" s="14"/>
    </row>
    <row r="46" spans="1:59">
      <c r="A46" s="174" t="s">
        <v>99</v>
      </c>
      <c r="B46" s="174" t="s">
        <v>140</v>
      </c>
      <c r="C46" s="175">
        <v>38800</v>
      </c>
      <c r="D46" s="175">
        <v>51441</v>
      </c>
      <c r="E46" s="175"/>
      <c r="F46" s="172">
        <v>4371759.76</v>
      </c>
      <c r="G46" s="176">
        <v>4.7500000000000001E-2</v>
      </c>
      <c r="H46" s="44"/>
      <c r="I46" s="30">
        <v>16453.82</v>
      </c>
      <c r="J46" s="29">
        <v>8596.18</v>
      </c>
      <c r="K46" s="71">
        <f t="shared" si="33"/>
        <v>4363163.58</v>
      </c>
      <c r="L46" s="29">
        <v>17553.98</v>
      </c>
      <c r="M46" s="29">
        <v>7496.02</v>
      </c>
      <c r="N46" s="71">
        <f t="shared" si="48"/>
        <v>4355667.5600000005</v>
      </c>
      <c r="O46" s="29">
        <v>17523.830000000002</v>
      </c>
      <c r="P46" s="29">
        <v>7526.17</v>
      </c>
      <c r="Q46" s="71">
        <f t="shared" si="34"/>
        <v>4348141.3900000006</v>
      </c>
      <c r="R46" s="29">
        <v>16364.93</v>
      </c>
      <c r="S46" s="29">
        <v>8685.07</v>
      </c>
      <c r="T46" s="71">
        <f t="shared" si="35"/>
        <v>4339456.32</v>
      </c>
      <c r="U46" s="29">
        <v>18021.79</v>
      </c>
      <c r="V46" s="29">
        <v>7028.21</v>
      </c>
      <c r="W46" s="71">
        <f t="shared" si="36"/>
        <v>4332428.1100000003</v>
      </c>
      <c r="X46" s="74"/>
      <c r="Y46" s="74">
        <v>4332428.1100000003</v>
      </c>
      <c r="Z46" s="71">
        <f t="shared" si="37"/>
        <v>0</v>
      </c>
      <c r="AA46" s="29"/>
      <c r="AB46" s="29"/>
      <c r="AC46" s="71">
        <f t="shared" si="38"/>
        <v>0</v>
      </c>
      <c r="AD46" s="29"/>
      <c r="AE46" s="29"/>
      <c r="AF46" s="71">
        <f t="shared" si="39"/>
        <v>0</v>
      </c>
      <c r="AG46" s="29"/>
      <c r="AH46" s="29"/>
      <c r="AI46" s="71">
        <f t="shared" si="40"/>
        <v>0</v>
      </c>
      <c r="AJ46" s="29"/>
      <c r="AK46" s="29"/>
      <c r="AL46" s="71">
        <f t="shared" si="41"/>
        <v>0</v>
      </c>
      <c r="AM46" s="29"/>
      <c r="AN46" s="29"/>
      <c r="AO46" s="71">
        <f t="shared" si="42"/>
        <v>0</v>
      </c>
      <c r="AP46" s="29"/>
      <c r="AQ46" s="29"/>
      <c r="AR46" s="71">
        <f t="shared" si="49"/>
        <v>0</v>
      </c>
      <c r="AS46" s="73">
        <f t="shared" si="43"/>
        <v>68394.52</v>
      </c>
      <c r="AT46" s="21">
        <f t="shared" si="44"/>
        <v>4371759.7600000007</v>
      </c>
      <c r="AU46" s="71">
        <f t="shared" si="45"/>
        <v>0</v>
      </c>
      <c r="AV46" s="21"/>
      <c r="AW46" s="28"/>
      <c r="AX46" s="28"/>
      <c r="AY46" s="30"/>
      <c r="AZ46" s="30"/>
      <c r="BA46" s="30"/>
      <c r="BB46" s="28"/>
      <c r="BC46" s="28"/>
      <c r="BD46" s="28">
        <v>0</v>
      </c>
      <c r="BE46" s="28">
        <f t="shared" si="46"/>
        <v>4371759.7600000007</v>
      </c>
      <c r="BF46" s="68">
        <f t="shared" si="47"/>
        <v>4371759.76</v>
      </c>
      <c r="BG46" s="14"/>
    </row>
    <row r="47" spans="1:59">
      <c r="A47" s="174" t="s">
        <v>98</v>
      </c>
      <c r="B47" s="174" t="s">
        <v>141</v>
      </c>
      <c r="C47" s="175">
        <v>39538</v>
      </c>
      <c r="D47" s="175">
        <v>51441</v>
      </c>
      <c r="E47" s="175"/>
      <c r="F47" s="172">
        <v>870425.33</v>
      </c>
      <c r="G47" s="176">
        <v>4.2999999999999997E-2</v>
      </c>
      <c r="H47" s="44"/>
      <c r="I47" s="30">
        <v>2965.6299999999719</v>
      </c>
      <c r="J47" s="29">
        <v>1794.3700000000279</v>
      </c>
      <c r="K47" s="71">
        <f t="shared" si="33"/>
        <v>868630.96</v>
      </c>
      <c r="L47" s="29">
        <v>3163.62</v>
      </c>
      <c r="M47" s="29">
        <v>1596.38</v>
      </c>
      <c r="N47" s="71">
        <f t="shared" si="48"/>
        <v>867034.58</v>
      </c>
      <c r="O47" s="29">
        <v>3157.81</v>
      </c>
      <c r="P47" s="29">
        <v>1602.19</v>
      </c>
      <c r="Q47" s="71">
        <f t="shared" si="34"/>
        <v>865432.39</v>
      </c>
      <c r="R47" s="29">
        <v>2948.62</v>
      </c>
      <c r="S47" s="29">
        <v>1811.38</v>
      </c>
      <c r="T47" s="71">
        <f t="shared" si="35"/>
        <v>863621.01</v>
      </c>
      <c r="U47" s="29">
        <v>3246.84</v>
      </c>
      <c r="V47" s="29">
        <v>1513.16</v>
      </c>
      <c r="W47" s="71">
        <f t="shared" si="36"/>
        <v>862107.85</v>
      </c>
      <c r="X47" s="74"/>
      <c r="Y47" s="74">
        <v>862107.85</v>
      </c>
      <c r="Z47" s="71">
        <f t="shared" si="37"/>
        <v>0</v>
      </c>
      <c r="AA47" s="29"/>
      <c r="AB47" s="29"/>
      <c r="AC47" s="71">
        <f t="shared" si="38"/>
        <v>0</v>
      </c>
      <c r="AD47" s="29"/>
      <c r="AE47" s="29"/>
      <c r="AF47" s="71">
        <f t="shared" si="39"/>
        <v>0</v>
      </c>
      <c r="AG47" s="29"/>
      <c r="AH47" s="29"/>
      <c r="AI47" s="71">
        <f t="shared" si="40"/>
        <v>0</v>
      </c>
      <c r="AJ47" s="29"/>
      <c r="AK47" s="29"/>
      <c r="AL47" s="71">
        <f t="shared" si="41"/>
        <v>0</v>
      </c>
      <c r="AM47" s="29"/>
      <c r="AN47" s="29"/>
      <c r="AO47" s="71">
        <f t="shared" si="42"/>
        <v>0</v>
      </c>
      <c r="AP47" s="29"/>
      <c r="AQ47" s="29"/>
      <c r="AR47" s="71">
        <f t="shared" si="49"/>
        <v>0</v>
      </c>
      <c r="AS47" s="73">
        <f t="shared" si="43"/>
        <v>12324.709999999972</v>
      </c>
      <c r="AT47" s="21">
        <f t="shared" si="44"/>
        <v>870425.33</v>
      </c>
      <c r="AU47" s="71">
        <f t="shared" si="45"/>
        <v>0</v>
      </c>
      <c r="AV47" s="21"/>
      <c r="AW47" s="28"/>
      <c r="AX47" s="28"/>
      <c r="AY47" s="30"/>
      <c r="AZ47" s="30"/>
      <c r="BA47" s="30"/>
      <c r="BB47" s="28"/>
      <c r="BC47" s="28"/>
      <c r="BD47" s="28"/>
      <c r="BE47" s="28"/>
      <c r="BF47" s="69"/>
      <c r="BG47" s="14"/>
    </row>
    <row r="48" spans="1:59" ht="14.1" customHeight="1">
      <c r="A48" s="174" t="s">
        <v>100</v>
      </c>
      <c r="B48" s="174" t="s">
        <v>142</v>
      </c>
      <c r="C48" s="175">
        <v>39533</v>
      </c>
      <c r="D48" s="175">
        <v>51441</v>
      </c>
      <c r="E48" s="175"/>
      <c r="F48" s="172">
        <v>854975.12</v>
      </c>
      <c r="G48" s="176">
        <v>3.0599999999999999E-2</v>
      </c>
      <c r="H48" s="44"/>
      <c r="I48" s="30">
        <v>2072.9599999999114</v>
      </c>
      <c r="J48" s="29">
        <v>2027.0400000000884</v>
      </c>
      <c r="K48" s="71">
        <f t="shared" si="33"/>
        <v>852948.08</v>
      </c>
      <c r="L48" s="29">
        <v>2210.67</v>
      </c>
      <c r="M48" s="29">
        <v>1889.33</v>
      </c>
      <c r="N48" s="71">
        <f t="shared" si="48"/>
        <v>851058.75</v>
      </c>
      <c r="O48" s="29">
        <v>2205.7800000000002</v>
      </c>
      <c r="P48" s="29">
        <v>1894.22</v>
      </c>
      <c r="Q48" s="71">
        <f t="shared" si="34"/>
        <v>849164.53</v>
      </c>
      <c r="R48" s="29">
        <v>2058.88</v>
      </c>
      <c r="S48" s="29">
        <v>2041.12</v>
      </c>
      <c r="T48" s="71">
        <f t="shared" si="35"/>
        <v>847123.41</v>
      </c>
      <c r="U48" s="29">
        <v>2266.4</v>
      </c>
      <c r="V48" s="29">
        <v>1833.6</v>
      </c>
      <c r="W48" s="71">
        <f t="shared" si="36"/>
        <v>845289.81</v>
      </c>
      <c r="X48" s="74"/>
      <c r="Y48" s="74">
        <v>845289.81</v>
      </c>
      <c r="Z48" s="71">
        <f t="shared" si="37"/>
        <v>0</v>
      </c>
      <c r="AA48" s="29"/>
      <c r="AB48" s="29"/>
      <c r="AC48" s="71">
        <f t="shared" si="38"/>
        <v>0</v>
      </c>
      <c r="AD48" s="29"/>
      <c r="AE48" s="29"/>
      <c r="AF48" s="71">
        <f t="shared" si="39"/>
        <v>0</v>
      </c>
      <c r="AG48" s="29"/>
      <c r="AH48" s="29"/>
      <c r="AI48" s="71">
        <f t="shared" si="40"/>
        <v>0</v>
      </c>
      <c r="AJ48" s="29"/>
      <c r="AK48" s="29"/>
      <c r="AL48" s="71">
        <f t="shared" si="41"/>
        <v>0</v>
      </c>
      <c r="AM48" s="29"/>
      <c r="AN48" s="29"/>
      <c r="AO48" s="71">
        <f t="shared" si="42"/>
        <v>0</v>
      </c>
      <c r="AP48" s="29"/>
      <c r="AQ48" s="29"/>
      <c r="AR48" s="71">
        <f t="shared" si="49"/>
        <v>0</v>
      </c>
      <c r="AS48" s="73">
        <f t="shared" si="43"/>
        <v>8608.9099999999125</v>
      </c>
      <c r="AT48" s="21">
        <f t="shared" si="44"/>
        <v>854975.12000000011</v>
      </c>
      <c r="AU48" s="71">
        <f t="shared" si="45"/>
        <v>0</v>
      </c>
      <c r="AV48" s="21"/>
      <c r="AW48" s="28"/>
      <c r="AX48" s="28"/>
      <c r="AY48" s="28"/>
      <c r="AZ48" s="28"/>
      <c r="BA48" s="28"/>
      <c r="BB48" s="28"/>
      <c r="BC48" s="28"/>
      <c r="BD48" s="28"/>
      <c r="BE48" s="28"/>
      <c r="BF48" s="68">
        <f>SUM(BF40:BF46)</f>
        <v>8429573.4000000004</v>
      </c>
      <c r="BG48" s="14"/>
    </row>
    <row r="49" spans="1:58" ht="14.1" customHeight="1">
      <c r="A49" s="174" t="s">
        <v>101</v>
      </c>
      <c r="B49" s="174" t="s">
        <v>143</v>
      </c>
      <c r="C49" s="175">
        <v>39792</v>
      </c>
      <c r="D49" s="175">
        <v>51441</v>
      </c>
      <c r="E49" s="175"/>
      <c r="F49" s="172">
        <v>892406.1</v>
      </c>
      <c r="G49" s="176">
        <v>4.53E-2</v>
      </c>
      <c r="H49" s="109"/>
      <c r="I49" s="21">
        <v>3203.1499999999673</v>
      </c>
      <c r="J49" s="21">
        <v>1796.8500000000327</v>
      </c>
      <c r="K49" s="71">
        <f t="shared" si="33"/>
        <v>890609.25</v>
      </c>
      <c r="L49" s="21">
        <v>3417.17</v>
      </c>
      <c r="M49" s="21">
        <v>1582.83</v>
      </c>
      <c r="N49" s="71">
        <f t="shared" si="48"/>
        <v>889026.42</v>
      </c>
      <c r="O49" s="21">
        <v>3411.09</v>
      </c>
      <c r="P49" s="21">
        <v>1588.91</v>
      </c>
      <c r="Q49" s="71">
        <f t="shared" si="34"/>
        <v>887437.51</v>
      </c>
      <c r="R49" s="21">
        <v>3185.32</v>
      </c>
      <c r="S49" s="21">
        <v>1814.68</v>
      </c>
      <c r="T49" s="71">
        <f t="shared" si="35"/>
        <v>885622.83</v>
      </c>
      <c r="U49" s="21">
        <v>3507.65</v>
      </c>
      <c r="V49" s="21">
        <v>1492.35</v>
      </c>
      <c r="W49" s="71">
        <f t="shared" si="36"/>
        <v>884130.48</v>
      </c>
      <c r="X49" s="172"/>
      <c r="Y49" s="172">
        <v>884130.48</v>
      </c>
      <c r="Z49" s="71">
        <f t="shared" si="37"/>
        <v>0</v>
      </c>
      <c r="AA49" s="21"/>
      <c r="AB49" s="21"/>
      <c r="AC49" s="71">
        <f t="shared" si="38"/>
        <v>0</v>
      </c>
      <c r="AD49" s="21"/>
      <c r="AE49" s="21"/>
      <c r="AF49" s="71">
        <f t="shared" si="39"/>
        <v>0</v>
      </c>
      <c r="AG49" s="21"/>
      <c r="AH49" s="21"/>
      <c r="AI49" s="71">
        <f t="shared" si="40"/>
        <v>0</v>
      </c>
      <c r="AJ49" s="21"/>
      <c r="AK49" s="21"/>
      <c r="AL49" s="71">
        <f t="shared" si="41"/>
        <v>0</v>
      </c>
      <c r="AM49" s="21"/>
      <c r="AN49" s="21"/>
      <c r="AO49" s="71">
        <f t="shared" si="42"/>
        <v>0</v>
      </c>
      <c r="AP49" s="21"/>
      <c r="AQ49" s="21"/>
      <c r="AR49" s="71">
        <f t="shared" si="49"/>
        <v>0</v>
      </c>
      <c r="AS49" s="73">
        <f t="shared" si="43"/>
        <v>13313.289999999966</v>
      </c>
      <c r="AT49" s="21">
        <f t="shared" si="44"/>
        <v>892406.1</v>
      </c>
      <c r="AU49" s="71">
        <f t="shared" si="45"/>
        <v>0</v>
      </c>
      <c r="AV49" s="21"/>
      <c r="AW49" s="21"/>
      <c r="AX49" s="21"/>
      <c r="BA49" s="21"/>
      <c r="BB49" s="21"/>
      <c r="BC49" s="21"/>
      <c r="BD49" s="21"/>
      <c r="BE49" s="21"/>
      <c r="BF49" s="35"/>
    </row>
    <row r="50" spans="1:58" ht="14.1" customHeight="1">
      <c r="A50" s="174" t="s">
        <v>102</v>
      </c>
      <c r="B50" s="174" t="s">
        <v>144</v>
      </c>
      <c r="C50" s="175">
        <v>40336</v>
      </c>
      <c r="D50" s="175">
        <v>51441</v>
      </c>
      <c r="E50" s="175">
        <v>42531</v>
      </c>
      <c r="F50" s="172">
        <v>2998443.79</v>
      </c>
      <c r="G50" s="176">
        <v>2.8E-3</v>
      </c>
      <c r="H50" s="109" t="s">
        <v>113</v>
      </c>
      <c r="I50" s="21">
        <v>665.23000000011177</v>
      </c>
      <c r="J50" s="21">
        <v>9758.1299999998882</v>
      </c>
      <c r="K50" s="71">
        <f t="shared" si="33"/>
        <v>2988685.66</v>
      </c>
      <c r="L50" s="21">
        <v>708.79</v>
      </c>
      <c r="M50" s="21">
        <v>9714.57</v>
      </c>
      <c r="N50" s="71">
        <f t="shared" si="48"/>
        <v>2978971.0900000003</v>
      </c>
      <c r="O50" s="21">
        <v>706.49</v>
      </c>
      <c r="P50" s="21">
        <v>9716.8700000000008</v>
      </c>
      <c r="Q50" s="71">
        <f t="shared" si="34"/>
        <v>2969254.22</v>
      </c>
      <c r="R50" s="21">
        <v>658.75</v>
      </c>
      <c r="S50" s="21">
        <v>9764.61</v>
      </c>
      <c r="T50" s="71">
        <f t="shared" si="35"/>
        <v>2959489.6100000003</v>
      </c>
      <c r="U50" s="21">
        <v>724.51</v>
      </c>
      <c r="V50" s="21">
        <v>9698.85</v>
      </c>
      <c r="W50" s="71">
        <f t="shared" si="36"/>
        <v>2949790.7600000002</v>
      </c>
      <c r="X50" s="172"/>
      <c r="Y50" s="172">
        <v>2949790.76</v>
      </c>
      <c r="Z50" s="71">
        <f>W50-Y50</f>
        <v>0</v>
      </c>
      <c r="AA50" s="21"/>
      <c r="AB50" s="21"/>
      <c r="AC50" s="71">
        <f t="shared" si="38"/>
        <v>0</v>
      </c>
      <c r="AD50" s="21"/>
      <c r="AE50" s="21"/>
      <c r="AF50" s="71">
        <f t="shared" si="39"/>
        <v>0</v>
      </c>
      <c r="AG50" s="21"/>
      <c r="AH50" s="21"/>
      <c r="AI50" s="71">
        <f t="shared" si="40"/>
        <v>0</v>
      </c>
      <c r="AJ50" s="21"/>
      <c r="AK50" s="21"/>
      <c r="AL50" s="71">
        <f t="shared" si="41"/>
        <v>0</v>
      </c>
      <c r="AM50" s="21"/>
      <c r="AN50" s="21"/>
      <c r="AO50" s="71">
        <f t="shared" si="42"/>
        <v>0</v>
      </c>
      <c r="AP50" s="21"/>
      <c r="AQ50" s="21"/>
      <c r="AR50" s="71">
        <f t="shared" si="49"/>
        <v>0</v>
      </c>
      <c r="AS50" s="73">
        <f t="shared" si="43"/>
        <v>2757.2800000001116</v>
      </c>
      <c r="AT50" s="21">
        <f t="shared" si="44"/>
        <v>2998443.7899999996</v>
      </c>
      <c r="AU50" s="71">
        <f t="shared" si="45"/>
        <v>0</v>
      </c>
      <c r="AV50" s="21"/>
      <c r="AW50" s="21"/>
      <c r="AX50" s="21"/>
      <c r="BA50" s="21"/>
      <c r="BB50" s="21"/>
      <c r="BC50" s="21"/>
      <c r="BD50" s="21"/>
      <c r="BE50" s="21"/>
      <c r="BF50" s="35"/>
    </row>
    <row r="51" spans="1:58" ht="14.1" customHeight="1">
      <c r="A51" s="174" t="s">
        <v>103</v>
      </c>
      <c r="B51" s="174" t="s">
        <v>145</v>
      </c>
      <c r="C51" s="175">
        <v>40508</v>
      </c>
      <c r="D51" s="175">
        <v>51441</v>
      </c>
      <c r="E51" s="175"/>
      <c r="F51" s="172">
        <v>4783610.54</v>
      </c>
      <c r="G51" s="176">
        <v>4.0500000000000001E-2</v>
      </c>
      <c r="H51" s="109"/>
      <c r="I51" s="31">
        <v>15350.680000000073</v>
      </c>
      <c r="J51" s="31">
        <v>10180.799999999925</v>
      </c>
      <c r="K51" s="71">
        <f t="shared" si="33"/>
        <v>4773429.74</v>
      </c>
      <c r="L51" s="31">
        <v>16374.43</v>
      </c>
      <c r="M51" s="31">
        <v>9157.0499999999993</v>
      </c>
      <c r="N51" s="71">
        <f t="shared" si="48"/>
        <v>4764272.6900000004</v>
      </c>
      <c r="O51" s="31">
        <v>16343.02</v>
      </c>
      <c r="P51" s="31">
        <v>9188.4599999999991</v>
      </c>
      <c r="Q51" s="71">
        <f t="shared" si="34"/>
        <v>4755084.2300000004</v>
      </c>
      <c r="R51" s="31">
        <v>15259.14</v>
      </c>
      <c r="S51" s="31">
        <v>10272.34</v>
      </c>
      <c r="T51" s="83">
        <f t="shared" si="35"/>
        <v>4744811.8900000006</v>
      </c>
      <c r="U51" s="31">
        <v>16801.3</v>
      </c>
      <c r="V51" s="31">
        <v>8730.18</v>
      </c>
      <c r="W51" s="83">
        <f t="shared" si="36"/>
        <v>4736081.7100000009</v>
      </c>
      <c r="X51" s="173"/>
      <c r="Y51" s="173">
        <v>4736081.71</v>
      </c>
      <c r="Z51" s="71">
        <f>W51-Y51</f>
        <v>0</v>
      </c>
      <c r="AA51" s="98"/>
      <c r="AB51" s="31"/>
      <c r="AC51" s="71">
        <f t="shared" si="38"/>
        <v>0</v>
      </c>
      <c r="AD51" s="31"/>
      <c r="AE51" s="31"/>
      <c r="AF51" s="71">
        <f t="shared" si="39"/>
        <v>0</v>
      </c>
      <c r="AG51" s="31"/>
      <c r="AH51" s="31"/>
      <c r="AI51" s="71">
        <f t="shared" si="40"/>
        <v>0</v>
      </c>
      <c r="AJ51" s="31"/>
      <c r="AK51" s="31"/>
      <c r="AL51" s="71">
        <f t="shared" si="41"/>
        <v>0</v>
      </c>
      <c r="AM51" s="31"/>
      <c r="AN51" s="31"/>
      <c r="AO51" s="71">
        <f t="shared" si="42"/>
        <v>0</v>
      </c>
      <c r="AP51" s="31"/>
      <c r="AQ51" s="31"/>
      <c r="AR51" s="71">
        <f t="shared" si="49"/>
        <v>0</v>
      </c>
      <c r="AS51" s="73">
        <f t="shared" si="43"/>
        <v>63785.550000000076</v>
      </c>
      <c r="AT51" s="21">
        <f t="shared" si="44"/>
        <v>4783610.54</v>
      </c>
      <c r="AU51" s="71">
        <f t="shared" si="45"/>
        <v>0</v>
      </c>
      <c r="AV51" s="21"/>
      <c r="AW51" s="21"/>
      <c r="AX51" s="21"/>
      <c r="BA51" s="21"/>
      <c r="BB51" s="21"/>
      <c r="BC51" s="21"/>
      <c r="BD51" s="21"/>
      <c r="BE51" s="21"/>
      <c r="BF51" s="35"/>
    </row>
    <row r="52" spans="1:58" ht="14.1" customHeight="1">
      <c r="A52" s="20"/>
      <c r="B52" s="20"/>
      <c r="C52" s="20"/>
      <c r="D52" s="20"/>
      <c r="E52" s="20"/>
      <c r="F52" s="21">
        <v>0</v>
      </c>
      <c r="G52" s="22"/>
      <c r="H52" s="22"/>
      <c r="I52" s="73">
        <f>SUM(I40:I51)</f>
        <v>49621.470000000139</v>
      </c>
      <c r="J52" s="21">
        <f>SUM(J40:J51)</f>
        <v>48090.549999999857</v>
      </c>
      <c r="K52" s="71"/>
      <c r="L52" s="21">
        <f>SUM(L40:L51)</f>
        <v>52916.31</v>
      </c>
      <c r="M52" s="21">
        <f>SUM(M40:M51)</f>
        <v>44795.710000000006</v>
      </c>
      <c r="N52" s="71"/>
      <c r="O52" s="21">
        <f>SUM(O40:O51)</f>
        <v>52800.95</v>
      </c>
      <c r="P52" s="21">
        <f>SUM(P40:P51)</f>
        <v>44911.07</v>
      </c>
      <c r="Q52" s="71"/>
      <c r="R52" s="21">
        <f>SUM(R40:R51)</f>
        <v>49286.1</v>
      </c>
      <c r="S52" s="21">
        <f>SUM(S40:S51)</f>
        <v>48425.919999999998</v>
      </c>
      <c r="T52" s="71"/>
      <c r="U52" s="21">
        <f>SUM(U40:U51)</f>
        <v>54252.010000000009</v>
      </c>
      <c r="V52" s="21">
        <f>SUM(V40:V51)</f>
        <v>43460.009999999995</v>
      </c>
      <c r="W52" s="71"/>
      <c r="X52" s="21">
        <f>SUM(X40:X51)</f>
        <v>5943.24</v>
      </c>
      <c r="Y52" s="21">
        <f>SUM(Y40:Y51)</f>
        <v>15692679.390000001</v>
      </c>
      <c r="Z52" s="71"/>
      <c r="AA52" s="21">
        <f>SUM(AA40:AA51)</f>
        <v>0</v>
      </c>
      <c r="AB52" s="21">
        <f>SUM(AB40:AB51)</f>
        <v>0</v>
      </c>
      <c r="AC52" s="71"/>
      <c r="AD52" s="21">
        <f>SUM(AD40:AD51)</f>
        <v>0</v>
      </c>
      <c r="AE52" s="21">
        <f>SUM(AE40:AE51)</f>
        <v>0</v>
      </c>
      <c r="AF52" s="71"/>
      <c r="AG52" s="21">
        <f>SUM(AG40:AG51)</f>
        <v>0</v>
      </c>
      <c r="AH52" s="21">
        <f>SUM(AH40:AH51)</f>
        <v>0</v>
      </c>
      <c r="AI52" s="71"/>
      <c r="AJ52" s="21">
        <f>SUM(AJ40:AJ51)</f>
        <v>0</v>
      </c>
      <c r="AK52" s="21">
        <f>SUM(AK40:AK51)</f>
        <v>0</v>
      </c>
      <c r="AL52" s="71"/>
      <c r="AM52" s="21">
        <f>SUM(AM40:AM51)</f>
        <v>0</v>
      </c>
      <c r="AN52" s="21">
        <f>SUM(AN40:AN51)</f>
        <v>0</v>
      </c>
      <c r="AO52" s="71"/>
      <c r="AP52" s="21">
        <f>SUM(AP40:AP51)</f>
        <v>0</v>
      </c>
      <c r="AQ52" s="21">
        <f>SUM(AQ40:AQ51)</f>
        <v>0</v>
      </c>
      <c r="AR52" s="71"/>
      <c r="AS52" s="73">
        <f>I52+L52+O52+R52+U52+X52+AA52+AD52+AG52+AJ52+AM52+AP52</f>
        <v>264820.08000000019</v>
      </c>
      <c r="AT52" s="21">
        <f t="shared" si="44"/>
        <v>15922362.65</v>
      </c>
      <c r="AU52" s="71"/>
      <c r="AV52" s="21"/>
      <c r="AW52" s="21"/>
      <c r="AX52" s="21"/>
      <c r="BA52" s="21"/>
      <c r="BB52" s="21"/>
      <c r="BC52" s="21"/>
      <c r="BD52" s="21"/>
      <c r="BE52" s="21"/>
      <c r="BF52" s="35"/>
    </row>
    <row r="53" spans="1:58" ht="14.1" customHeight="1">
      <c r="A53" s="177" t="s">
        <v>159</v>
      </c>
      <c r="B53" s="178"/>
      <c r="C53" s="178"/>
      <c r="D53" s="33"/>
      <c r="E53" s="33"/>
      <c r="F53" s="32">
        <f>SUM(F40:F51)</f>
        <v>18143913.059999999</v>
      </c>
      <c r="G53" s="34"/>
      <c r="H53" s="146"/>
      <c r="I53" s="31"/>
      <c r="J53" s="31"/>
      <c r="K53" s="83"/>
      <c r="L53" s="31"/>
      <c r="M53" s="31"/>
      <c r="N53" s="83"/>
      <c r="O53" s="31"/>
      <c r="P53" s="31"/>
      <c r="Q53" s="83"/>
      <c r="R53" s="31"/>
      <c r="S53" s="31"/>
      <c r="T53" s="83"/>
      <c r="U53" s="31"/>
      <c r="V53" s="31"/>
      <c r="W53" s="83"/>
      <c r="X53" s="172">
        <v>25392.94</v>
      </c>
      <c r="Y53" s="31"/>
      <c r="Z53" s="83"/>
      <c r="AA53" s="31"/>
      <c r="AB53" s="31"/>
      <c r="AC53" s="83"/>
      <c r="AD53" s="31"/>
      <c r="AE53" s="31"/>
      <c r="AF53" s="83"/>
      <c r="AG53" s="31"/>
      <c r="AH53" s="31"/>
      <c r="AI53" s="83"/>
      <c r="AJ53" s="31"/>
      <c r="AK53" s="31"/>
      <c r="AL53" s="83"/>
      <c r="AM53" s="31"/>
      <c r="AN53" s="31"/>
      <c r="AO53" s="83"/>
      <c r="AP53" s="31"/>
      <c r="AQ53" s="31"/>
      <c r="AR53" s="83"/>
      <c r="AS53" s="21"/>
      <c r="AT53" s="21"/>
      <c r="AU53" s="112">
        <f>SUM(AU40:AU52)</f>
        <v>2221550.41</v>
      </c>
      <c r="AV53" s="21"/>
      <c r="AW53" s="21"/>
      <c r="AX53" s="21"/>
      <c r="BA53" s="21"/>
      <c r="BB53" s="21"/>
      <c r="BC53" s="21"/>
      <c r="BD53" s="21"/>
      <c r="BE53" s="21"/>
      <c r="BF53" s="35"/>
    </row>
    <row r="54" spans="1:58" ht="14.1" customHeight="1">
      <c r="A54" s="33"/>
      <c r="B54" s="33"/>
      <c r="C54" s="33"/>
      <c r="D54" s="33"/>
      <c r="E54" s="33"/>
      <c r="F54" s="32"/>
      <c r="G54" s="34"/>
      <c r="H54" s="146"/>
      <c r="I54" s="31"/>
      <c r="J54" s="31"/>
      <c r="K54" s="83"/>
      <c r="L54" s="31"/>
      <c r="M54" s="31"/>
      <c r="N54" s="83"/>
      <c r="O54" s="31"/>
      <c r="P54" s="31"/>
      <c r="Q54" s="83"/>
      <c r="R54" s="31"/>
      <c r="S54" s="31"/>
      <c r="T54" s="83"/>
      <c r="U54" s="31"/>
      <c r="V54" s="31"/>
      <c r="W54" s="83"/>
      <c r="X54" s="31"/>
      <c r="Y54" s="31"/>
      <c r="Z54" s="83"/>
      <c r="AA54" s="31"/>
      <c r="AB54" s="31"/>
      <c r="AC54" s="83"/>
      <c r="AD54" s="31"/>
      <c r="AE54" s="31"/>
      <c r="AF54" s="83"/>
      <c r="AG54" s="31"/>
      <c r="AH54" s="31"/>
      <c r="AI54" s="83"/>
      <c r="AJ54" s="31"/>
      <c r="AK54" s="31"/>
      <c r="AL54" s="83"/>
      <c r="AM54" s="31"/>
      <c r="AN54" s="31"/>
      <c r="AO54" s="83"/>
      <c r="AP54" s="31"/>
      <c r="AQ54" s="31"/>
      <c r="AR54" s="83"/>
      <c r="AS54" s="21"/>
      <c r="AT54" s="21"/>
      <c r="AU54" s="83"/>
      <c r="AV54" s="21"/>
      <c r="AW54" s="21"/>
      <c r="AX54" s="21"/>
      <c r="BA54" s="21"/>
      <c r="BB54" s="21"/>
      <c r="BC54" s="21"/>
      <c r="BD54" s="21"/>
      <c r="BE54" s="21"/>
      <c r="BF54" s="35"/>
    </row>
    <row r="55" spans="1:58" ht="14.1" customHeight="1">
      <c r="A55" s="33"/>
      <c r="B55" s="33"/>
      <c r="C55" s="33"/>
      <c r="D55" s="33"/>
      <c r="E55" s="33"/>
      <c r="F55" s="21">
        <f>F53</f>
        <v>18143913.059999999</v>
      </c>
      <c r="G55" s="21"/>
      <c r="H55" s="71"/>
      <c r="I55" s="21"/>
      <c r="J55" s="21"/>
      <c r="K55" s="71">
        <f>SUM(K5:K51)</f>
        <v>18095822.510000002</v>
      </c>
      <c r="L55" s="21"/>
      <c r="M55" s="21"/>
      <c r="N55" s="71">
        <f>SUM(N5:N51)</f>
        <v>18051026.800000001</v>
      </c>
      <c r="O55" s="21"/>
      <c r="P55" s="21"/>
      <c r="Q55" s="71">
        <f>SUM(Q5:Q51)</f>
        <v>18006115.730000004</v>
      </c>
      <c r="R55" s="21"/>
      <c r="S55" s="21"/>
      <c r="T55" s="71">
        <f>SUM(T5:T51)</f>
        <v>17957689.810000002</v>
      </c>
      <c r="U55" s="21"/>
      <c r="V55" s="21"/>
      <c r="W55" s="71">
        <f>SUM(W5:W51)</f>
        <v>17914229.800000001</v>
      </c>
      <c r="X55" s="21"/>
      <c r="Y55" s="21"/>
      <c r="Z55" s="71">
        <f>SUM(Z5:Z51)</f>
        <v>2221550.41</v>
      </c>
      <c r="AA55" s="21"/>
      <c r="AB55" s="21"/>
      <c r="AC55" s="71">
        <f>SUM(AC5:AC51)</f>
        <v>2221550.41</v>
      </c>
      <c r="AD55" s="21"/>
      <c r="AE55" s="21"/>
      <c r="AF55" s="71">
        <f>SUM(AF5:AF51)</f>
        <v>2221550.41</v>
      </c>
      <c r="AG55" s="21"/>
      <c r="AH55" s="21"/>
      <c r="AI55" s="71">
        <f>SUM(AI5:AI51)</f>
        <v>2221550.41</v>
      </c>
      <c r="AJ55" s="21"/>
      <c r="AK55" s="21"/>
      <c r="AL55" s="21">
        <f>SUM(AL5:AL51)</f>
        <v>2221550.41</v>
      </c>
      <c r="AM55" s="73"/>
      <c r="AN55" s="21"/>
      <c r="AO55" s="71">
        <f>SUM(AO5:AO51)</f>
        <v>2221550.41</v>
      </c>
      <c r="AP55" s="21"/>
      <c r="AQ55" s="21"/>
      <c r="AR55" s="71">
        <f>SUM(AR5:AR52)</f>
        <v>2221550.41</v>
      </c>
      <c r="AS55" s="21">
        <f>SUM(AS5:AS51)</f>
        <v>212019.13000000015</v>
      </c>
      <c r="AT55" s="21">
        <f>SUM(AT5:AT51)</f>
        <v>15922362.649999999</v>
      </c>
      <c r="AU55" s="71">
        <f>SUM(AU5:AU52)</f>
        <v>2221550.41</v>
      </c>
      <c r="AV55" s="21">
        <f t="shared" ref="AV55:BE55" si="50">SUM(AV5:AV49)</f>
        <v>4690646.3600000013</v>
      </c>
      <c r="AW55" s="21">
        <f t="shared" si="50"/>
        <v>5029847.1399999987</v>
      </c>
      <c r="AX55" s="21">
        <f t="shared" si="50"/>
        <v>5420304.8699999982</v>
      </c>
      <c r="AY55" s="21">
        <f t="shared" si="50"/>
        <v>5840833.3299999982</v>
      </c>
      <c r="AZ55" s="21">
        <f t="shared" si="50"/>
        <v>6256830.2200000016</v>
      </c>
      <c r="BA55" s="21">
        <f t="shared" si="50"/>
        <v>6684601.4799999995</v>
      </c>
      <c r="BB55" s="21">
        <f t="shared" si="50"/>
        <v>7140993.839999998</v>
      </c>
      <c r="BC55" s="21">
        <f t="shared" si="50"/>
        <v>7599907.3099999987</v>
      </c>
      <c r="BD55" s="21">
        <f t="shared" si="50"/>
        <v>8066778.5599999987</v>
      </c>
      <c r="BE55" s="21">
        <f t="shared" si="50"/>
        <v>13589280.329999998</v>
      </c>
      <c r="BF55" s="35">
        <f>BF15+BF39+BF48</f>
        <v>14338945.73</v>
      </c>
    </row>
    <row r="56" spans="1:58" ht="14.1" customHeight="1">
      <c r="A56" s="33" t="s">
        <v>30</v>
      </c>
      <c r="B56" s="33"/>
      <c r="C56" s="33"/>
      <c r="D56" s="33"/>
      <c r="E56" s="33"/>
      <c r="F56" s="31">
        <v>0</v>
      </c>
      <c r="G56" s="31"/>
      <c r="H56" s="83"/>
      <c r="I56" s="31"/>
      <c r="J56" s="31"/>
      <c r="K56" s="83">
        <f>SUM(F56:J56)</f>
        <v>0</v>
      </c>
      <c r="L56" s="31"/>
      <c r="M56" s="31"/>
      <c r="N56" s="83">
        <v>0</v>
      </c>
      <c r="O56" s="31"/>
      <c r="P56" s="31"/>
      <c r="Q56" s="93">
        <v>0</v>
      </c>
      <c r="R56" s="31"/>
      <c r="S56" s="31"/>
      <c r="T56" s="96">
        <v>0</v>
      </c>
      <c r="U56" s="31"/>
      <c r="V56" s="31"/>
      <c r="W56" s="96">
        <f>SUM(T56:V56)</f>
        <v>0</v>
      </c>
      <c r="X56" s="31"/>
      <c r="Y56" s="31"/>
      <c r="Z56" s="96">
        <f>SUM(W56:Y56)</f>
        <v>0</v>
      </c>
      <c r="AA56" s="31"/>
      <c r="AB56" s="31"/>
      <c r="AC56" s="83">
        <f>SUM(Z56:AB56)</f>
        <v>0</v>
      </c>
      <c r="AD56" s="31"/>
      <c r="AE56" s="31"/>
      <c r="AF56" s="83">
        <f>SUM(AC56:AE56)</f>
        <v>0</v>
      </c>
      <c r="AG56" s="31"/>
      <c r="AH56" s="31"/>
      <c r="AI56" s="83">
        <f>SUM(AF56:AH56)</f>
        <v>0</v>
      </c>
      <c r="AJ56" s="31"/>
      <c r="AK56" s="31"/>
      <c r="AL56" s="31">
        <f>SUM(AI56:AK56)</f>
        <v>0</v>
      </c>
      <c r="AM56" s="98"/>
      <c r="AN56" s="31"/>
      <c r="AO56" s="83">
        <f>SUM(AL56:AN56)</f>
        <v>0</v>
      </c>
      <c r="AP56" s="31"/>
      <c r="AQ56" s="31"/>
      <c r="AR56" s="83">
        <f>SUM(AO56:AQ56)</f>
        <v>0</v>
      </c>
      <c r="AT56" s="36"/>
      <c r="AU56" s="71"/>
    </row>
    <row r="57" spans="1:58" ht="15.75">
      <c r="E57" s="128" t="s">
        <v>128</v>
      </c>
      <c r="F57" s="37">
        <f>SUM(F55:F56)</f>
        <v>18143913.059999999</v>
      </c>
      <c r="H57" s="94"/>
      <c r="K57" s="129">
        <f>SUM(K55:K56)</f>
        <v>18095822.510000002</v>
      </c>
      <c r="N57" s="129">
        <f>SUM(N55:N56)</f>
        <v>18051026.800000001</v>
      </c>
      <c r="Q57" s="129">
        <f>SUM(Q55:Q56)</f>
        <v>18006115.730000004</v>
      </c>
      <c r="T57" s="129">
        <f>SUM(T55:T56)</f>
        <v>17957689.810000002</v>
      </c>
      <c r="W57" s="129">
        <f>SUM(W55:W56)</f>
        <v>17914229.800000001</v>
      </c>
      <c r="Z57" s="129">
        <f>SUM(Z55:Z56)</f>
        <v>2221550.41</v>
      </c>
      <c r="AA57" s="21"/>
      <c r="AC57" s="129">
        <f>SUM(AC55:AC56)</f>
        <v>2221550.41</v>
      </c>
      <c r="AE57" s="36"/>
      <c r="AF57" s="129">
        <f>SUM(AF55:AF56)</f>
        <v>2221550.41</v>
      </c>
      <c r="AG57" s="21"/>
      <c r="AH57" s="29"/>
      <c r="AI57" s="129">
        <f>SUM(AI55:AI56)</f>
        <v>2221550.41</v>
      </c>
      <c r="AL57" s="130">
        <f>SUM(AL55:AL56)</f>
        <v>2221550.41</v>
      </c>
      <c r="AM57" s="73"/>
      <c r="AN57" s="21"/>
      <c r="AO57" s="129">
        <f>SUM(AO55:AO56)</f>
        <v>2221550.41</v>
      </c>
      <c r="AR57" s="129">
        <f>SUM(AR55:AR56)</f>
        <v>2221550.41</v>
      </c>
      <c r="AU57" s="150"/>
    </row>
    <row r="58" spans="1:58" ht="15.75">
      <c r="J58" s="100" t="s">
        <v>132</v>
      </c>
      <c r="K58" s="147"/>
      <c r="M58" s="100" t="s">
        <v>147</v>
      </c>
      <c r="N58" s="148"/>
      <c r="P58" s="100" t="s">
        <v>151</v>
      </c>
      <c r="S58" s="1" t="s">
        <v>154</v>
      </c>
      <c r="V58" s="1" t="s">
        <v>156</v>
      </c>
      <c r="W58" s="148"/>
      <c r="Z58" s="148"/>
      <c r="AC58" s="148"/>
      <c r="AF58" s="148"/>
      <c r="AG58" s="21"/>
      <c r="AI58" s="148"/>
      <c r="AL58" s="148"/>
      <c r="AN58" s="100"/>
      <c r="AO58" s="36"/>
      <c r="AR58" s="84"/>
    </row>
    <row r="59" spans="1:58">
      <c r="J59" s="100" t="s">
        <v>133</v>
      </c>
      <c r="K59" s="101"/>
      <c r="M59" s="100" t="s">
        <v>149</v>
      </c>
      <c r="N59" s="101"/>
      <c r="P59" s="100" t="s">
        <v>152</v>
      </c>
      <c r="Q59" s="100"/>
      <c r="S59" s="100" t="s">
        <v>155</v>
      </c>
      <c r="V59" s="1" t="s">
        <v>158</v>
      </c>
      <c r="W59" s="149"/>
      <c r="Y59" s="100"/>
      <c r="AB59" s="100"/>
      <c r="AE59" s="100"/>
      <c r="AH59" s="100"/>
      <c r="AK59" s="100"/>
      <c r="AN59" s="101"/>
      <c r="AO59" s="75"/>
      <c r="AQ59" s="100"/>
      <c r="AR59" s="75"/>
    </row>
    <row r="60" spans="1:58">
      <c r="B60" s="170"/>
      <c r="C60" s="170"/>
      <c r="J60" s="101" t="s">
        <v>146</v>
      </c>
      <c r="S60" s="100" t="s">
        <v>153</v>
      </c>
      <c r="W60" s="103"/>
      <c r="Y60" s="100"/>
      <c r="AB60" s="100"/>
      <c r="AE60" s="100"/>
      <c r="AH60" s="100"/>
      <c r="AI60" s="100"/>
      <c r="AJ60" s="100"/>
      <c r="AK60" s="100"/>
      <c r="AN60" s="101"/>
      <c r="AR60" s="101"/>
    </row>
    <row r="61" spans="1:58">
      <c r="S61" s="100"/>
      <c r="W61" s="103"/>
      <c r="Y61" s="100"/>
      <c r="AB61" s="100"/>
      <c r="AE61" s="100"/>
      <c r="AH61" s="100"/>
      <c r="AI61" s="100"/>
      <c r="AJ61" s="100"/>
      <c r="AK61" s="100"/>
      <c r="AN61" s="107" t="s">
        <v>126</v>
      </c>
      <c r="AR61" s="101"/>
    </row>
    <row r="62" spans="1:58">
      <c r="F62" s="114" t="s">
        <v>118</v>
      </c>
      <c r="G62" s="114"/>
      <c r="H62" s="114"/>
      <c r="I62" s="114"/>
      <c r="J62" s="114"/>
      <c r="K62" s="114"/>
      <c r="L62" s="122">
        <f>I52+L52</f>
        <v>102537.78000000014</v>
      </c>
      <c r="M62" s="122"/>
      <c r="N62" s="122"/>
      <c r="O62" s="122">
        <f>L62+O52</f>
        <v>155338.73000000016</v>
      </c>
      <c r="P62" s="122"/>
      <c r="Q62" s="122"/>
      <c r="R62" s="122">
        <f>O62+R52</f>
        <v>204624.83000000016</v>
      </c>
      <c r="S62" s="122"/>
      <c r="T62" s="122"/>
      <c r="U62" s="122">
        <f>R62+U52</f>
        <v>258876.84000000017</v>
      </c>
      <c r="V62" s="122"/>
      <c r="W62" s="123" t="s">
        <v>109</v>
      </c>
      <c r="X62" s="122">
        <f>U62+X52+X53</f>
        <v>290213.02000000019</v>
      </c>
      <c r="Y62" s="122"/>
      <c r="Z62" s="122"/>
      <c r="AA62" s="122">
        <f>X62+AA52</f>
        <v>290213.02000000019</v>
      </c>
      <c r="AB62" s="122"/>
      <c r="AC62" s="122"/>
      <c r="AD62" s="122">
        <f>AA62+AD52</f>
        <v>290213.02000000019</v>
      </c>
      <c r="AE62" s="124" t="s">
        <v>110</v>
      </c>
      <c r="AF62" s="122"/>
      <c r="AG62" s="122">
        <f>AD62+AG52</f>
        <v>290213.02000000019</v>
      </c>
      <c r="AH62" s="122"/>
      <c r="AI62" s="122"/>
      <c r="AJ62" s="122">
        <f>AG62+AJ52</f>
        <v>290213.02000000019</v>
      </c>
      <c r="AK62" s="122"/>
      <c r="AL62" s="122"/>
      <c r="AM62" s="122">
        <f>AJ62+AM52</f>
        <v>290213.02000000019</v>
      </c>
      <c r="AO62" s="122"/>
      <c r="AP62" s="122">
        <f>AM62+AP52</f>
        <v>290213.02000000019</v>
      </c>
      <c r="AQ62" s="114"/>
      <c r="AR62" s="114"/>
      <c r="AS62" s="125"/>
    </row>
    <row r="65" spans="5:16">
      <c r="E65" s="169"/>
      <c r="F65" s="169"/>
    </row>
    <row r="66" spans="5:16">
      <c r="E66" s="169"/>
      <c r="F66" s="169"/>
    </row>
    <row r="67" spans="5:16">
      <c r="E67" s="169"/>
      <c r="F67" s="169"/>
      <c r="N67" s="75"/>
    </row>
    <row r="68" spans="5:16">
      <c r="E68" s="169"/>
      <c r="F68" s="169"/>
      <c r="N68" s="75"/>
      <c r="P68" s="29"/>
    </row>
    <row r="69" spans="5:16">
      <c r="E69" s="169"/>
      <c r="F69" s="169"/>
      <c r="P69" s="29"/>
    </row>
    <row r="70" spans="5:16">
      <c r="E70" s="169"/>
      <c r="F70" s="169"/>
      <c r="P70" s="29"/>
    </row>
    <row r="71" spans="5:16">
      <c r="E71" s="169"/>
      <c r="F71" s="169"/>
      <c r="P71" s="29"/>
    </row>
    <row r="72" spans="5:16">
      <c r="E72" s="169"/>
      <c r="F72" s="169"/>
      <c r="P72" s="29"/>
    </row>
    <row r="73" spans="5:16">
      <c r="E73" s="169"/>
      <c r="F73" s="169"/>
      <c r="P73" s="29"/>
    </row>
    <row r="74" spans="5:16">
      <c r="E74" s="169"/>
      <c r="F74" s="169"/>
      <c r="P74" s="29"/>
    </row>
    <row r="75" spans="5:16">
      <c r="E75" s="169"/>
      <c r="F75" s="169"/>
      <c r="P75" s="29"/>
    </row>
    <row r="76" spans="5:16">
      <c r="E76" s="169"/>
      <c r="F76" s="169"/>
      <c r="P76" s="29"/>
    </row>
    <row r="77" spans="5:16">
      <c r="P77" s="21"/>
    </row>
    <row r="78" spans="5:16">
      <c r="P78" s="21"/>
    </row>
    <row r="79" spans="5:16">
      <c r="P79" s="31"/>
    </row>
  </sheetData>
  <mergeCells count="4">
    <mergeCell ref="F1:T1"/>
    <mergeCell ref="U1:AF1"/>
    <mergeCell ref="AG1:AR1"/>
    <mergeCell ref="AS1:BF1"/>
  </mergeCells>
  <phoneticPr fontId="20" type="noConversion"/>
  <printOptions horizontalCentered="1"/>
  <pageMargins left="0.25" right="0.5" top="1" bottom="0.25" header="0" footer="0"/>
  <pageSetup scale="57" orientation="landscape" r:id="rId1"/>
  <headerFooter alignWithMargins="0">
    <oddHeader>&amp;C&amp;"Arial,Bold"&amp;14RUS PRINCIPAL &amp; INTEREST PAYMENTS - 2016</oddHeader>
  </headerFooter>
  <colBreaks count="4" manualBreakCount="4">
    <brk id="17" min="1" max="58" man="1"/>
    <brk id="26" min="1" max="58" man="1"/>
    <brk id="35" min="1" max="58" man="1"/>
    <brk id="14037" min="1" max="1472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AA56"/>
  <sheetViews>
    <sheetView zoomScale="80" zoomScaleNormal="80" workbookViewId="0">
      <pane xSplit="8" ySplit="5" topLeftCell="L6" activePane="bottomRight" state="frozen"/>
      <selection pane="topRight" activeCell="I1" sqref="I1"/>
      <selection pane="bottomLeft" activeCell="A13" sqref="A13"/>
      <selection pane="bottomRight" activeCell="A8" sqref="A8"/>
    </sheetView>
  </sheetViews>
  <sheetFormatPr defaultColWidth="9.6640625" defaultRowHeight="15" outlineLevelRow="1" outlineLevelCol="1"/>
  <cols>
    <col min="1" max="1" width="8.88671875" style="1" bestFit="1" customWidth="1"/>
    <col min="2" max="2" width="8.5546875" style="1" bestFit="1" customWidth="1"/>
    <col min="3" max="3" width="8.5546875" style="1" customWidth="1"/>
    <col min="4" max="4" width="6.77734375" style="1" customWidth="1"/>
    <col min="5" max="5" width="7.33203125" style="1" customWidth="1"/>
    <col min="6" max="6" width="10.6640625" style="1" customWidth="1"/>
    <col min="7" max="7" width="6.77734375" style="1" customWidth="1"/>
    <col min="8" max="8" width="1.5546875" style="1" bestFit="1" customWidth="1"/>
    <col min="9" max="9" width="6.77734375" style="1" bestFit="1" customWidth="1" outlineLevel="1"/>
    <col min="10" max="10" width="11.88671875" style="1" customWidth="1" outlineLevel="1"/>
    <col min="11" max="11" width="12.109375" style="1" customWidth="1" outlineLevel="1"/>
    <col min="12" max="12" width="15" style="1" customWidth="1" outlineLevel="1"/>
    <col min="13" max="13" width="3.77734375" style="1" customWidth="1" outlineLevel="1"/>
    <col min="14" max="15" width="11.88671875" style="1" customWidth="1" outlineLevel="1"/>
    <col min="16" max="16" width="15" style="1" customWidth="1" outlineLevel="1"/>
    <col min="17" max="17" width="4.44140625" style="1" customWidth="1"/>
    <col min="18" max="18" width="13.109375" style="1" customWidth="1"/>
    <col min="19" max="19" width="12.21875" style="1" customWidth="1"/>
    <col min="20" max="20" width="15" style="1" bestFit="1" customWidth="1"/>
    <col min="21" max="21" width="4.44140625" style="1" customWidth="1"/>
    <col min="22" max="22" width="11.88671875" style="1" bestFit="1" customWidth="1"/>
    <col min="23" max="23" width="12.109375" style="1" customWidth="1"/>
    <col min="24" max="24" width="15" style="1" bestFit="1" customWidth="1"/>
    <col min="25" max="26" width="9.6640625" style="1" customWidth="1"/>
    <col min="27" max="27" width="12.33203125" style="1" bestFit="1" customWidth="1"/>
    <col min="28" max="16384" width="9.6640625" style="1"/>
  </cols>
  <sheetData>
    <row r="1" spans="1:27" ht="18" customHeight="1">
      <c r="B1" s="2"/>
      <c r="C1" s="186" t="s">
        <v>258</v>
      </c>
      <c r="D1" s="2"/>
      <c r="E1" s="2"/>
      <c r="F1" s="186"/>
      <c r="J1" s="186"/>
      <c r="K1" s="186"/>
      <c r="L1" s="370">
        <v>45350</v>
      </c>
      <c r="M1" s="186"/>
      <c r="N1" s="186"/>
      <c r="O1" s="186"/>
      <c r="P1" s="370">
        <v>45443</v>
      </c>
      <c r="Q1" s="186"/>
      <c r="R1" s="186"/>
      <c r="T1" s="370">
        <v>45535</v>
      </c>
      <c r="V1" s="186"/>
      <c r="W1" s="186"/>
      <c r="X1" s="370">
        <v>45626</v>
      </c>
      <c r="Y1" s="186"/>
      <c r="Z1" s="186"/>
      <c r="AA1" s="186"/>
    </row>
    <row r="2" spans="1:27">
      <c r="B2" s="5"/>
      <c r="C2" s="6" t="s">
        <v>112</v>
      </c>
      <c r="D2" s="6" t="s">
        <v>114</v>
      </c>
      <c r="E2" s="6" t="s">
        <v>160</v>
      </c>
      <c r="J2" s="4"/>
      <c r="K2" s="4"/>
      <c r="L2" s="4"/>
      <c r="M2" s="4"/>
      <c r="N2" s="4"/>
      <c r="O2" s="4"/>
      <c r="P2" s="4"/>
      <c r="Q2" s="4"/>
    </row>
    <row r="3" spans="1:27" ht="15.75">
      <c r="B3" s="6" t="s">
        <v>1</v>
      </c>
      <c r="C3" s="6" t="s">
        <v>73</v>
      </c>
      <c r="D3" s="6" t="s">
        <v>73</v>
      </c>
      <c r="E3" s="6" t="s">
        <v>73</v>
      </c>
      <c r="F3" s="6" t="s">
        <v>31</v>
      </c>
      <c r="G3" s="6" t="s">
        <v>32</v>
      </c>
      <c r="H3" s="6"/>
      <c r="I3" s="6"/>
      <c r="J3" s="401" t="s">
        <v>37</v>
      </c>
      <c r="K3" s="402"/>
      <c r="L3" s="403"/>
      <c r="M3" s="78"/>
      <c r="N3" s="402" t="s">
        <v>40</v>
      </c>
      <c r="O3" s="402"/>
      <c r="P3" s="403"/>
      <c r="Q3" s="190"/>
      <c r="R3" s="10" t="s">
        <v>43</v>
      </c>
      <c r="S3" s="11"/>
      <c r="T3" s="78"/>
      <c r="U3" s="134"/>
      <c r="V3" s="133" t="s">
        <v>46</v>
      </c>
      <c r="W3" s="11"/>
      <c r="X3" s="11"/>
      <c r="Y3" s="12" t="s">
        <v>48</v>
      </c>
      <c r="Z3" s="11"/>
      <c r="AA3" s="80"/>
    </row>
    <row r="4" spans="1:27">
      <c r="F4" s="15">
        <v>45291</v>
      </c>
      <c r="G4" s="16"/>
      <c r="H4" s="16"/>
      <c r="I4" s="16"/>
      <c r="J4" s="17" t="s">
        <v>34</v>
      </c>
      <c r="K4" s="18" t="s">
        <v>35</v>
      </c>
      <c r="L4" s="82" t="s">
        <v>36</v>
      </c>
      <c r="M4" s="82"/>
      <c r="N4" s="18" t="s">
        <v>34</v>
      </c>
      <c r="O4" s="18" t="s">
        <v>35</v>
      </c>
      <c r="P4" s="82" t="s">
        <v>36</v>
      </c>
      <c r="Q4" s="191"/>
      <c r="R4" s="18" t="s">
        <v>34</v>
      </c>
      <c r="S4" s="18" t="s">
        <v>35</v>
      </c>
      <c r="T4" s="82" t="s">
        <v>36</v>
      </c>
      <c r="U4" s="135"/>
      <c r="V4" s="18" t="s">
        <v>34</v>
      </c>
      <c r="W4" s="18" t="s">
        <v>35</v>
      </c>
      <c r="X4" s="18" t="s">
        <v>36</v>
      </c>
      <c r="Y4" s="17" t="s">
        <v>34</v>
      </c>
      <c r="Z4" s="18" t="s">
        <v>35</v>
      </c>
      <c r="AA4" s="82" t="s">
        <v>36</v>
      </c>
    </row>
    <row r="5" spans="1:27" ht="18" customHeight="1">
      <c r="F5" s="15"/>
      <c r="G5" s="16"/>
      <c r="H5" s="16"/>
      <c r="I5" s="16"/>
      <c r="J5" s="23"/>
      <c r="K5" s="24"/>
      <c r="L5" s="113"/>
      <c r="M5" s="113"/>
      <c r="N5" s="24"/>
      <c r="O5" s="24"/>
      <c r="P5" s="113"/>
      <c r="Q5" s="192"/>
      <c r="R5" s="24"/>
      <c r="S5" s="24"/>
      <c r="T5" s="113"/>
      <c r="U5" s="136"/>
      <c r="V5" s="24"/>
      <c r="W5" s="24"/>
      <c r="X5" s="24"/>
      <c r="Y5" s="38"/>
      <c r="Z5" s="39"/>
      <c r="AA5" s="88"/>
    </row>
    <row r="6" spans="1:27">
      <c r="B6" s="20"/>
      <c r="C6" s="104"/>
      <c r="D6" s="187"/>
      <c r="E6" s="20"/>
      <c r="F6" s="21">
        <v>0</v>
      </c>
      <c r="G6" s="41"/>
      <c r="H6" s="41"/>
      <c r="I6" s="41"/>
      <c r="J6" s="28"/>
      <c r="K6" s="21"/>
      <c r="L6" s="71">
        <f t="shared" ref="L6:L11" si="0">F6-K6</f>
        <v>0</v>
      </c>
      <c r="M6" s="71"/>
      <c r="N6" s="21"/>
      <c r="O6" s="21"/>
      <c r="P6" s="71">
        <f t="shared" ref="P6:P20" si="1">L6-O6</f>
        <v>0</v>
      </c>
      <c r="Q6" s="193"/>
      <c r="R6" s="21"/>
      <c r="S6" s="21"/>
      <c r="T6" s="71">
        <f t="shared" ref="T6:T11" si="2">P6-S6</f>
        <v>0</v>
      </c>
      <c r="U6" s="137"/>
      <c r="V6" s="21"/>
      <c r="W6" s="21"/>
      <c r="X6" s="21">
        <f t="shared" ref="X6:X11" si="3">T6-W6</f>
        <v>0</v>
      </c>
      <c r="Y6" s="28">
        <f t="shared" ref="Y6:Z11" si="4">J6+N6+R6+V6</f>
        <v>0</v>
      </c>
      <c r="Z6" s="21">
        <f t="shared" si="4"/>
        <v>0</v>
      </c>
      <c r="AA6" s="71">
        <f t="shared" ref="AA6:AA11" si="5">F6-Z6</f>
        <v>0</v>
      </c>
    </row>
    <row r="7" spans="1:27">
      <c r="A7" s="1" t="s">
        <v>213</v>
      </c>
      <c r="B7" s="20">
        <v>9012001</v>
      </c>
      <c r="C7" s="104">
        <v>36129</v>
      </c>
      <c r="D7" s="187">
        <v>45759</v>
      </c>
      <c r="E7" s="20"/>
      <c r="F7" s="21">
        <f>'[2]CFC Payts'!AA7</f>
        <v>49269.73000000001</v>
      </c>
      <c r="G7" s="41">
        <v>6.5500000000000003E-2</v>
      </c>
      <c r="H7" s="41"/>
      <c r="I7" s="41"/>
      <c r="J7" s="28">
        <v>791.39</v>
      </c>
      <c r="K7" s="21">
        <v>9536.48</v>
      </c>
      <c r="L7" s="71">
        <f t="shared" si="0"/>
        <v>39733.250000000015</v>
      </c>
      <c r="M7" s="71"/>
      <c r="N7" s="21">
        <v>638.21</v>
      </c>
      <c r="O7" s="21">
        <v>9692.64</v>
      </c>
      <c r="P7" s="71">
        <f t="shared" si="1"/>
        <v>30040.610000000015</v>
      </c>
      <c r="Q7" s="193"/>
      <c r="R7" s="21">
        <v>488.81</v>
      </c>
      <c r="S7" s="21">
        <v>9851.36</v>
      </c>
      <c r="T7" s="71">
        <f t="shared" si="2"/>
        <v>20189.250000000015</v>
      </c>
      <c r="U7" s="137"/>
      <c r="V7" s="21">
        <v>330.6</v>
      </c>
      <c r="W7" s="21">
        <v>10012.67</v>
      </c>
      <c r="X7" s="21">
        <f t="shared" si="3"/>
        <v>10176.580000000014</v>
      </c>
      <c r="Y7" s="28">
        <f t="shared" si="4"/>
        <v>2249.0099999999998</v>
      </c>
      <c r="Z7" s="21">
        <f t="shared" si="4"/>
        <v>39093.15</v>
      </c>
      <c r="AA7" s="71">
        <f t="shared" si="5"/>
        <v>10176.580000000009</v>
      </c>
    </row>
    <row r="8" spans="1:27">
      <c r="A8" s="1" t="s">
        <v>214</v>
      </c>
      <c r="B8" s="20">
        <v>9013001</v>
      </c>
      <c r="C8" s="104">
        <v>36129</v>
      </c>
      <c r="D8" s="187">
        <v>46626</v>
      </c>
      <c r="E8" s="20"/>
      <c r="F8" s="21">
        <f>'[2]CFC Payts'!AA8</f>
        <v>178134.74</v>
      </c>
      <c r="G8" s="41">
        <v>6.6000000000000003E-2</v>
      </c>
      <c r="H8" s="41"/>
      <c r="I8" s="41"/>
      <c r="J8" s="28">
        <v>2883.55</v>
      </c>
      <c r="K8" s="21">
        <v>11415.12</v>
      </c>
      <c r="L8" s="71">
        <f t="shared" si="0"/>
        <v>166719.62</v>
      </c>
      <c r="M8" s="71"/>
      <c r="N8" s="21">
        <v>2698.77</v>
      </c>
      <c r="O8" s="21">
        <v>11603.47</v>
      </c>
      <c r="P8" s="71">
        <f t="shared" si="1"/>
        <v>155116.15</v>
      </c>
      <c r="Q8" s="193"/>
      <c r="R8" s="21">
        <v>2543.2800000000002</v>
      </c>
      <c r="S8" s="21">
        <v>11794.92</v>
      </c>
      <c r="T8" s="71">
        <f t="shared" si="2"/>
        <v>143321.22999999998</v>
      </c>
      <c r="U8" s="137"/>
      <c r="V8" s="21">
        <v>2364.8000000000002</v>
      </c>
      <c r="W8" s="21">
        <v>11989.54</v>
      </c>
      <c r="X8" s="21">
        <f t="shared" si="3"/>
        <v>131331.68999999997</v>
      </c>
      <c r="Y8" s="28">
        <f t="shared" si="4"/>
        <v>10490.400000000001</v>
      </c>
      <c r="Z8" s="21">
        <f t="shared" si="4"/>
        <v>46803.05</v>
      </c>
      <c r="AA8" s="71">
        <f t="shared" si="5"/>
        <v>131331.69</v>
      </c>
    </row>
    <row r="9" spans="1:27">
      <c r="B9" s="20">
        <v>9014001</v>
      </c>
      <c r="C9" s="104">
        <v>36129</v>
      </c>
      <c r="D9" s="187">
        <v>47467</v>
      </c>
      <c r="E9" s="20"/>
      <c r="F9" s="21">
        <f>'[2]CFC Payts'!AA9</f>
        <v>275245.32</v>
      </c>
      <c r="G9" s="41">
        <v>6.6500000000000004E-2</v>
      </c>
      <c r="H9" s="41"/>
      <c r="I9" s="41"/>
      <c r="J9" s="28">
        <v>4489.9399999999996</v>
      </c>
      <c r="K9" s="21">
        <v>9426.19</v>
      </c>
      <c r="L9" s="71">
        <f t="shared" si="0"/>
        <v>265819.13</v>
      </c>
      <c r="M9" s="71"/>
      <c r="N9" s="21">
        <v>4336.17</v>
      </c>
      <c r="O9" s="21">
        <v>9582.9</v>
      </c>
      <c r="P9" s="71">
        <f t="shared" si="1"/>
        <v>256236.23</v>
      </c>
      <c r="Q9" s="193"/>
      <c r="R9" s="21">
        <v>4233.2700000000004</v>
      </c>
      <c r="S9" s="21">
        <v>9742.2099999999991</v>
      </c>
      <c r="T9" s="71">
        <f t="shared" si="2"/>
        <v>246494.02000000002</v>
      </c>
      <c r="U9" s="137"/>
      <c r="V9" s="21">
        <v>4097.96</v>
      </c>
      <c r="W9" s="21">
        <v>9904.18</v>
      </c>
      <c r="X9" s="21">
        <f t="shared" si="3"/>
        <v>236589.84000000003</v>
      </c>
      <c r="Y9" s="28">
        <f t="shared" si="4"/>
        <v>17157.34</v>
      </c>
      <c r="Z9" s="21">
        <f t="shared" si="4"/>
        <v>38655.479999999996</v>
      </c>
      <c r="AA9" s="71">
        <f t="shared" si="5"/>
        <v>236589.84000000003</v>
      </c>
    </row>
    <row r="10" spans="1:27" ht="18" customHeight="1">
      <c r="B10" s="20">
        <v>9015001</v>
      </c>
      <c r="C10" s="104">
        <v>35982</v>
      </c>
      <c r="D10" s="187">
        <v>48670</v>
      </c>
      <c r="E10" s="20"/>
      <c r="F10" s="21">
        <f>'[2]CFC Payts'!AA10</f>
        <v>494101.19</v>
      </c>
      <c r="G10" s="41">
        <v>6.6500000000000004E-2</v>
      </c>
      <c r="H10" s="41"/>
      <c r="I10" s="41"/>
      <c r="J10" s="28">
        <v>8060.02</v>
      </c>
      <c r="K10" s="21">
        <v>9772.44</v>
      </c>
      <c r="L10" s="71">
        <f t="shared" si="0"/>
        <v>484328.75</v>
      </c>
      <c r="M10" s="71"/>
      <c r="N10" s="21">
        <v>7900.62</v>
      </c>
      <c r="O10" s="21">
        <v>9934.9</v>
      </c>
      <c r="P10" s="71">
        <f t="shared" si="1"/>
        <v>474393.85</v>
      </c>
      <c r="Q10" s="193"/>
      <c r="R10" s="21">
        <v>7837.36</v>
      </c>
      <c r="S10" s="21">
        <v>10100.07</v>
      </c>
      <c r="T10" s="71">
        <f t="shared" si="2"/>
        <v>464293.77999999997</v>
      </c>
      <c r="U10" s="137"/>
      <c r="V10" s="21">
        <v>7718.89</v>
      </c>
      <c r="W10" s="21">
        <v>10267.99</v>
      </c>
      <c r="X10" s="21">
        <f t="shared" si="3"/>
        <v>454025.79</v>
      </c>
      <c r="Y10" s="28">
        <f t="shared" si="4"/>
        <v>31516.89</v>
      </c>
      <c r="Z10" s="21">
        <f t="shared" si="4"/>
        <v>40075.4</v>
      </c>
      <c r="AA10" s="71">
        <f t="shared" si="5"/>
        <v>454025.79</v>
      </c>
    </row>
    <row r="11" spans="1:27">
      <c r="B11" s="20">
        <v>9015002</v>
      </c>
      <c r="C11" s="104">
        <v>35796</v>
      </c>
      <c r="D11" s="187">
        <v>48670</v>
      </c>
      <c r="E11" s="187"/>
      <c r="F11" s="21">
        <f>'[2]CFC Payts'!AA11</f>
        <v>202688.71000000002</v>
      </c>
      <c r="G11" s="41">
        <v>3.6499999999999998E-2</v>
      </c>
      <c r="H11" s="41"/>
      <c r="I11" s="41"/>
      <c r="J11" s="28">
        <v>1849.53</v>
      </c>
      <c r="K11" s="21">
        <v>4629.9399999999996</v>
      </c>
      <c r="L11" s="71">
        <f t="shared" si="0"/>
        <v>198058.77000000002</v>
      </c>
      <c r="M11" s="71"/>
      <c r="N11" s="21">
        <v>1807.29</v>
      </c>
      <c r="O11" s="21">
        <v>4672.18</v>
      </c>
      <c r="P11" s="71">
        <f t="shared" si="1"/>
        <v>193386.59000000003</v>
      </c>
      <c r="Q11" s="193"/>
      <c r="R11" s="21">
        <v>1764.66</v>
      </c>
      <c r="S11" s="21">
        <v>4714.82</v>
      </c>
      <c r="T11" s="71">
        <f t="shared" si="2"/>
        <v>188671.77000000002</v>
      </c>
      <c r="U11" s="137"/>
      <c r="V11" s="21">
        <v>1721.63</v>
      </c>
      <c r="W11" s="21">
        <v>4757.84</v>
      </c>
      <c r="X11" s="21">
        <f t="shared" si="3"/>
        <v>183913.93000000002</v>
      </c>
      <c r="Y11" s="28">
        <f t="shared" si="4"/>
        <v>7143.11</v>
      </c>
      <c r="Z11" s="21">
        <f t="shared" si="4"/>
        <v>18774.78</v>
      </c>
      <c r="AA11" s="71">
        <f t="shared" si="5"/>
        <v>183913.93000000002</v>
      </c>
    </row>
    <row r="12" spans="1:27">
      <c r="A12" s="188"/>
      <c r="B12" s="20"/>
      <c r="C12" s="104"/>
      <c r="D12" s="187"/>
      <c r="E12" s="187"/>
      <c r="F12" s="32">
        <f>SUM(F6:F11)</f>
        <v>1199439.69</v>
      </c>
      <c r="G12" s="41"/>
      <c r="H12" s="41"/>
      <c r="I12" s="41"/>
      <c r="J12" s="232">
        <f>SUM(J6:J11)</f>
        <v>18074.43</v>
      </c>
      <c r="K12" s="233">
        <f>SUM(K6:K11)</f>
        <v>44780.170000000006</v>
      </c>
      <c r="L12" s="233">
        <f>SUM(L6:L11)</f>
        <v>1154659.52</v>
      </c>
      <c r="M12" s="234"/>
      <c r="N12" s="233">
        <f>SUM(N6:N11)</f>
        <v>17381.060000000001</v>
      </c>
      <c r="O12" s="233">
        <f>SUM(O6:O11)</f>
        <v>45486.090000000004</v>
      </c>
      <c r="P12" s="233">
        <f>SUM(P6:P11)</f>
        <v>1109173.43</v>
      </c>
      <c r="Q12" s="235"/>
      <c r="R12" s="233">
        <f>SUM(R6:R11)</f>
        <v>16867.38</v>
      </c>
      <c r="S12" s="233">
        <f>SUM(S6:S11)</f>
        <v>46203.38</v>
      </c>
      <c r="T12" s="233">
        <f>SUM(T6:T11)</f>
        <v>1062970.05</v>
      </c>
      <c r="U12" s="236"/>
      <c r="V12" s="233">
        <f t="shared" ref="V12:AA12" si="6">SUM(V6:V11)</f>
        <v>16233.880000000001</v>
      </c>
      <c r="W12" s="233">
        <f t="shared" si="6"/>
        <v>46932.22</v>
      </c>
      <c r="X12" s="233">
        <f t="shared" si="6"/>
        <v>1016037.83</v>
      </c>
      <c r="Y12" s="233">
        <f t="shared" si="6"/>
        <v>68556.75</v>
      </c>
      <c r="Z12" s="233">
        <f t="shared" si="6"/>
        <v>183401.86000000002</v>
      </c>
      <c r="AA12" s="237">
        <f t="shared" si="6"/>
        <v>1016037.8300000001</v>
      </c>
    </row>
    <row r="13" spans="1:27" outlineLevel="1">
      <c r="A13" s="189">
        <v>40868</v>
      </c>
      <c r="B13" s="18"/>
      <c r="C13" s="104"/>
      <c r="D13" s="187"/>
      <c r="E13" s="33"/>
      <c r="F13" s="21"/>
      <c r="G13" s="185"/>
      <c r="H13" s="42"/>
      <c r="I13" s="87"/>
      <c r="J13" s="238"/>
      <c r="K13" s="238"/>
      <c r="L13" s="239">
        <f t="shared" ref="L13:L20" si="7">F13-K13</f>
        <v>0</v>
      </c>
      <c r="M13" s="239"/>
      <c r="N13" s="238"/>
      <c r="O13" s="238"/>
      <c r="P13" s="239">
        <f t="shared" si="1"/>
        <v>0</v>
      </c>
      <c r="Q13" s="240"/>
      <c r="R13" s="238"/>
      <c r="S13" s="238"/>
      <c r="T13" s="239">
        <f t="shared" ref="T13:T20" si="8">P13-S13</f>
        <v>0</v>
      </c>
      <c r="U13" s="241"/>
      <c r="V13" s="238"/>
      <c r="W13" s="238"/>
      <c r="X13" s="238">
        <f t="shared" ref="X13:X20" si="9">T13-W13</f>
        <v>0</v>
      </c>
      <c r="Y13" s="242">
        <f t="shared" ref="Y13:Z20" si="10">J13+N13+R13+V13</f>
        <v>0</v>
      </c>
      <c r="Z13" s="238">
        <f t="shared" si="10"/>
        <v>0</v>
      </c>
      <c r="AA13" s="239">
        <f t="shared" ref="AA13:AA20" si="11">F13-Z13</f>
        <v>0</v>
      </c>
    </row>
    <row r="14" spans="1:27" outlineLevel="1">
      <c r="B14" s="18"/>
      <c r="C14" s="104"/>
      <c r="D14" s="187"/>
      <c r="E14" s="33"/>
      <c r="F14" s="21"/>
      <c r="G14" s="185"/>
      <c r="H14" s="42"/>
      <c r="I14" s="87"/>
      <c r="J14" s="238"/>
      <c r="K14" s="238"/>
      <c r="L14" s="239">
        <f t="shared" si="7"/>
        <v>0</v>
      </c>
      <c r="M14" s="239"/>
      <c r="N14" s="238"/>
      <c r="O14" s="238"/>
      <c r="P14" s="239">
        <f t="shared" si="1"/>
        <v>0</v>
      </c>
      <c r="Q14" s="240"/>
      <c r="R14" s="238"/>
      <c r="S14" s="238"/>
      <c r="T14" s="239">
        <f t="shared" si="8"/>
        <v>0</v>
      </c>
      <c r="U14" s="241"/>
      <c r="V14" s="238"/>
      <c r="W14" s="238"/>
      <c r="X14" s="238">
        <f t="shared" si="9"/>
        <v>0</v>
      </c>
      <c r="Y14" s="242">
        <f t="shared" si="10"/>
        <v>0</v>
      </c>
      <c r="Z14" s="238">
        <f t="shared" si="10"/>
        <v>0</v>
      </c>
      <c r="AA14" s="239">
        <f t="shared" si="11"/>
        <v>0</v>
      </c>
    </row>
    <row r="15" spans="1:27" outlineLevel="1">
      <c r="B15" s="18">
        <v>9016011</v>
      </c>
      <c r="C15" s="104"/>
      <c r="D15" s="187">
        <v>44804</v>
      </c>
      <c r="E15" s="33"/>
      <c r="F15" s="21">
        <v>0</v>
      </c>
      <c r="G15" s="185">
        <v>4.5999999999999999E-2</v>
      </c>
      <c r="H15" s="42"/>
      <c r="I15" s="87"/>
      <c r="J15" s="238"/>
      <c r="K15" s="238"/>
      <c r="L15" s="239">
        <f t="shared" si="7"/>
        <v>0</v>
      </c>
      <c r="M15" s="239"/>
      <c r="N15" s="238"/>
      <c r="O15" s="238"/>
      <c r="P15" s="239">
        <f t="shared" si="1"/>
        <v>0</v>
      </c>
      <c r="Q15" s="240"/>
      <c r="R15" s="238"/>
      <c r="S15" s="238"/>
      <c r="T15" s="239">
        <f t="shared" si="8"/>
        <v>0</v>
      </c>
      <c r="U15" s="241"/>
      <c r="V15" s="238"/>
      <c r="W15" s="238"/>
      <c r="X15" s="238">
        <f t="shared" si="9"/>
        <v>0</v>
      </c>
      <c r="Y15" s="242">
        <f t="shared" si="10"/>
        <v>0</v>
      </c>
      <c r="Z15" s="238">
        <f t="shared" si="10"/>
        <v>0</v>
      </c>
      <c r="AA15" s="239">
        <f t="shared" si="11"/>
        <v>0</v>
      </c>
    </row>
    <row r="16" spans="1:27" outlineLevel="1">
      <c r="B16" s="18">
        <v>9016012</v>
      </c>
      <c r="C16" s="104"/>
      <c r="D16" s="187">
        <v>45169</v>
      </c>
      <c r="E16" s="33"/>
      <c r="F16" s="21">
        <f>'[2]CFC Payts'!AA16</f>
        <v>0</v>
      </c>
      <c r="G16" s="185">
        <v>4.7E-2</v>
      </c>
      <c r="H16" s="42"/>
      <c r="I16" s="87"/>
      <c r="J16" s="238"/>
      <c r="K16" s="238"/>
      <c r="L16" s="239">
        <f t="shared" si="7"/>
        <v>0</v>
      </c>
      <c r="M16" s="239"/>
      <c r="N16" s="238"/>
      <c r="O16" s="238"/>
      <c r="P16" s="239">
        <f t="shared" si="1"/>
        <v>0</v>
      </c>
      <c r="Q16" s="240"/>
      <c r="R16" s="238"/>
      <c r="S16" s="238"/>
      <c r="T16" s="239">
        <f t="shared" si="8"/>
        <v>0</v>
      </c>
      <c r="U16" s="241"/>
      <c r="V16" s="238"/>
      <c r="W16" s="238"/>
      <c r="X16" s="238">
        <f t="shared" si="9"/>
        <v>0</v>
      </c>
      <c r="Y16" s="242">
        <f t="shared" si="10"/>
        <v>0</v>
      </c>
      <c r="Z16" s="238">
        <f t="shared" si="10"/>
        <v>0</v>
      </c>
      <c r="AA16" s="239">
        <f t="shared" si="11"/>
        <v>0</v>
      </c>
    </row>
    <row r="17" spans="1:27" outlineLevel="1">
      <c r="B17" s="18">
        <v>9016013</v>
      </c>
      <c r="C17" s="104"/>
      <c r="D17" s="187">
        <v>45535</v>
      </c>
      <c r="E17" s="33"/>
      <c r="F17" s="21">
        <f>'[2]CFC Payts'!AA17</f>
        <v>127666.21</v>
      </c>
      <c r="G17" s="185">
        <v>4.8000000000000001E-2</v>
      </c>
      <c r="H17" s="42"/>
      <c r="I17" s="87">
        <f>F17*G17/12*3</f>
        <v>1531.9945200000002</v>
      </c>
      <c r="J17" s="238">
        <v>1531.99</v>
      </c>
      <c r="K17" s="238">
        <v>42048.81</v>
      </c>
      <c r="L17" s="239">
        <f t="shared" si="7"/>
        <v>85617.400000000009</v>
      </c>
      <c r="M17" s="239"/>
      <c r="N17" s="238">
        <v>1027.4100000000001</v>
      </c>
      <c r="O17" s="238">
        <v>42553.39</v>
      </c>
      <c r="P17" s="239">
        <f t="shared" si="1"/>
        <v>43064.010000000009</v>
      </c>
      <c r="Q17" s="240"/>
      <c r="R17" s="238">
        <v>516.71</v>
      </c>
      <c r="S17" s="238">
        <v>43064.01</v>
      </c>
      <c r="T17" s="239">
        <f t="shared" si="8"/>
        <v>0</v>
      </c>
      <c r="U17" s="241"/>
      <c r="V17" s="238"/>
      <c r="W17" s="238"/>
      <c r="X17" s="238">
        <f t="shared" si="9"/>
        <v>0</v>
      </c>
      <c r="Y17" s="242">
        <f t="shared" si="10"/>
        <v>3076.11</v>
      </c>
      <c r="Z17" s="238">
        <f t="shared" si="10"/>
        <v>127666.20999999999</v>
      </c>
      <c r="AA17" s="239">
        <f t="shared" si="11"/>
        <v>0</v>
      </c>
    </row>
    <row r="18" spans="1:27" outlineLevel="1">
      <c r="B18" s="18">
        <v>9016014</v>
      </c>
      <c r="C18" s="104"/>
      <c r="D18" s="187">
        <v>45900</v>
      </c>
      <c r="E18" s="33"/>
      <c r="F18" s="21">
        <f>'[2]CFC Payts'!AA18</f>
        <v>152424.06</v>
      </c>
      <c r="G18" s="185">
        <v>4.9000000000000002E-2</v>
      </c>
      <c r="H18" s="42"/>
      <c r="I18" s="87">
        <f>F18*G18/12*3</f>
        <v>1867.194735</v>
      </c>
      <c r="J18" s="238">
        <v>1862.08</v>
      </c>
      <c r="K18" s="238"/>
      <c r="L18" s="239">
        <f t="shared" si="7"/>
        <v>152424.06</v>
      </c>
      <c r="M18" s="239"/>
      <c r="N18" s="238">
        <v>1882.54</v>
      </c>
      <c r="O18" s="238"/>
      <c r="P18" s="239">
        <f t="shared" si="1"/>
        <v>152424.06</v>
      </c>
      <c r="Q18" s="240"/>
      <c r="R18" s="238">
        <f>(F18*G18)/366*92</f>
        <v>1877.3979849180328</v>
      </c>
      <c r="S18" s="238"/>
      <c r="T18" s="239">
        <f t="shared" si="8"/>
        <v>152424.06</v>
      </c>
      <c r="U18" s="241"/>
      <c r="V18" s="238">
        <f>(T18*G18)/366*91</f>
        <v>1856.9914850819673</v>
      </c>
      <c r="W18" s="238">
        <f>F18/4</f>
        <v>38106.014999999999</v>
      </c>
      <c r="X18" s="238">
        <f t="shared" si="9"/>
        <v>114318.045</v>
      </c>
      <c r="Y18" s="242">
        <f t="shared" si="10"/>
        <v>7479.0094700000009</v>
      </c>
      <c r="Z18" s="238">
        <f t="shared" si="10"/>
        <v>38106.014999999999</v>
      </c>
      <c r="AA18" s="239">
        <f t="shared" si="11"/>
        <v>114318.045</v>
      </c>
    </row>
    <row r="19" spans="1:27" outlineLevel="1">
      <c r="B19" s="18">
        <v>9016015</v>
      </c>
      <c r="C19" s="104"/>
      <c r="D19" s="187">
        <v>46265</v>
      </c>
      <c r="E19" s="33"/>
      <c r="F19" s="21">
        <f>'[2]CFC Payts'!AA19</f>
        <v>102295.74</v>
      </c>
      <c r="G19" s="185">
        <v>4.9500000000000002E-2</v>
      </c>
      <c r="H19" s="42"/>
      <c r="I19" s="87">
        <f>F19*G19/12*3</f>
        <v>1265.9097825000001</v>
      </c>
      <c r="J19" s="238">
        <v>1262.44</v>
      </c>
      <c r="K19" s="238"/>
      <c r="L19" s="239">
        <f t="shared" si="7"/>
        <v>102295.74</v>
      </c>
      <c r="M19" s="239"/>
      <c r="N19" s="238">
        <v>1276.31</v>
      </c>
      <c r="O19" s="238"/>
      <c r="P19" s="239">
        <f t="shared" si="1"/>
        <v>102295.74</v>
      </c>
      <c r="Q19" s="240"/>
      <c r="R19" s="238">
        <f>(F19*G19)/366*92</f>
        <v>1272.827322295082</v>
      </c>
      <c r="S19" s="238"/>
      <c r="T19" s="239">
        <f t="shared" si="8"/>
        <v>102295.74</v>
      </c>
      <c r="U19" s="241"/>
      <c r="V19" s="238">
        <f>(T19*G19)/366*91</f>
        <v>1258.9922427049182</v>
      </c>
      <c r="W19" s="238"/>
      <c r="X19" s="238">
        <f t="shared" si="9"/>
        <v>102295.74</v>
      </c>
      <c r="Y19" s="242">
        <f t="shared" si="10"/>
        <v>5070.5695649999998</v>
      </c>
      <c r="Z19" s="238">
        <f t="shared" si="10"/>
        <v>0</v>
      </c>
      <c r="AA19" s="239">
        <f t="shared" si="11"/>
        <v>102295.74</v>
      </c>
    </row>
    <row r="20" spans="1:27" outlineLevel="1">
      <c r="A20" s="188"/>
      <c r="B20" s="18">
        <v>9016016</v>
      </c>
      <c r="C20" s="104"/>
      <c r="D20" s="187">
        <v>46630</v>
      </c>
      <c r="E20" s="33"/>
      <c r="F20" s="21">
        <f>'[2]CFC Payts'!AA20</f>
        <v>96918.96</v>
      </c>
      <c r="G20" s="185">
        <v>5.0500000000000003E-2</v>
      </c>
      <c r="H20" s="42"/>
      <c r="I20" s="87">
        <f>F20*G20/12*3</f>
        <v>1223.6018700000002</v>
      </c>
      <c r="J20" s="238">
        <v>1220.25</v>
      </c>
      <c r="K20" s="238"/>
      <c r="L20" s="239">
        <f t="shared" si="7"/>
        <v>96918.96</v>
      </c>
      <c r="M20" s="239"/>
      <c r="N20" s="238">
        <v>1233.6600000000001</v>
      </c>
      <c r="O20" s="238"/>
      <c r="P20" s="239">
        <f t="shared" si="1"/>
        <v>96918.96</v>
      </c>
      <c r="Q20" s="240"/>
      <c r="R20" s="238">
        <f>(F20*G20)/366*92</f>
        <v>1230.2882190163937</v>
      </c>
      <c r="S20" s="238"/>
      <c r="T20" s="239">
        <f t="shared" si="8"/>
        <v>96918.96</v>
      </c>
      <c r="U20" s="241"/>
      <c r="V20" s="238">
        <f>(T20*G20)/366*91</f>
        <v>1216.9155209836067</v>
      </c>
      <c r="W20" s="238"/>
      <c r="X20" s="238">
        <f t="shared" si="9"/>
        <v>96918.96</v>
      </c>
      <c r="Y20" s="242">
        <f t="shared" si="10"/>
        <v>4901.1137400000007</v>
      </c>
      <c r="Z20" s="238">
        <f t="shared" si="10"/>
        <v>0</v>
      </c>
      <c r="AA20" s="239">
        <f t="shared" si="11"/>
        <v>96918.96</v>
      </c>
    </row>
    <row r="21" spans="1:27">
      <c r="A21" s="189" t="s">
        <v>105</v>
      </c>
      <c r="B21" s="18">
        <v>9016</v>
      </c>
      <c r="C21" s="205">
        <v>40868</v>
      </c>
      <c r="D21" s="206">
        <v>11636</v>
      </c>
      <c r="E21" s="207"/>
      <c r="F21" s="32">
        <f>SUM(F13:F20)</f>
        <v>479304.97000000003</v>
      </c>
      <c r="G21" s="185"/>
      <c r="H21" s="42"/>
      <c r="I21" s="87"/>
      <c r="J21" s="232">
        <f>SUM(J13:J20)</f>
        <v>5876.76</v>
      </c>
      <c r="K21" s="233">
        <f>SUM(K13:K20)</f>
        <v>42048.81</v>
      </c>
      <c r="L21" s="237">
        <f>SUM(L13:L20)</f>
        <v>437256.16000000003</v>
      </c>
      <c r="M21" s="234"/>
      <c r="N21" s="233">
        <f>SUM(N13:N20)</f>
        <v>5419.92</v>
      </c>
      <c r="O21" s="233">
        <f>SUM(O13:O20)</f>
        <v>42553.39</v>
      </c>
      <c r="P21" s="237">
        <f>SUM(P13:P20)</f>
        <v>394702.77</v>
      </c>
      <c r="Q21" s="235"/>
      <c r="R21" s="233">
        <f>SUM(R13:R20)</f>
        <v>4897.2235262295089</v>
      </c>
      <c r="S21" s="233">
        <f>SUM(S13:S20)</f>
        <v>43064.01</v>
      </c>
      <c r="T21" s="237">
        <f>SUM(T13:T20)</f>
        <v>351638.76</v>
      </c>
      <c r="U21" s="236"/>
      <c r="V21" s="233">
        <f t="shared" ref="V21:AA21" si="12">SUM(V13:V20)</f>
        <v>4332.8992487704927</v>
      </c>
      <c r="W21" s="233">
        <f t="shared" si="12"/>
        <v>38106.014999999999</v>
      </c>
      <c r="X21" s="237">
        <f t="shared" si="12"/>
        <v>313532.745</v>
      </c>
      <c r="Y21" s="233">
        <f t="shared" si="12"/>
        <v>20526.802775000004</v>
      </c>
      <c r="Z21" s="233">
        <f t="shared" si="12"/>
        <v>165772.22499999998</v>
      </c>
      <c r="AA21" s="237">
        <f t="shared" si="12"/>
        <v>313532.745</v>
      </c>
    </row>
    <row r="22" spans="1:27" ht="15" customHeight="1" outlineLevel="1">
      <c r="A22" s="106">
        <v>42538</v>
      </c>
      <c r="B22" s="18"/>
      <c r="C22" s="205"/>
      <c r="D22" s="187"/>
      <c r="E22" s="105"/>
      <c r="F22" s="21"/>
      <c r="G22" s="194"/>
      <c r="H22" s="42"/>
      <c r="I22" s="87"/>
      <c r="J22" s="238"/>
      <c r="K22" s="238"/>
      <c r="L22" s="239">
        <f t="shared" ref="L22:L40" si="13">F22-K22</f>
        <v>0</v>
      </c>
      <c r="M22" s="241"/>
      <c r="N22" s="238"/>
      <c r="O22" s="238"/>
      <c r="P22" s="239">
        <f t="shared" ref="P22:P40" si="14">L22-O22</f>
        <v>0</v>
      </c>
      <c r="Q22" s="240"/>
      <c r="R22" s="238"/>
      <c r="S22" s="238"/>
      <c r="T22" s="239">
        <f t="shared" ref="T22:T40" si="15">P22-S22</f>
        <v>0</v>
      </c>
      <c r="U22" s="241"/>
      <c r="V22" s="238"/>
      <c r="W22" s="238"/>
      <c r="X22" s="238">
        <f t="shared" ref="X22:X40" si="16">T22-W22</f>
        <v>0</v>
      </c>
      <c r="Y22" s="242">
        <f t="shared" ref="Y22:Y40" si="17">J22+N22+R22+V22</f>
        <v>0</v>
      </c>
      <c r="Z22" s="238">
        <f t="shared" ref="Z22:Z40" si="18">K22+O22+S22+W22</f>
        <v>0</v>
      </c>
      <c r="AA22" s="239">
        <f t="shared" ref="AA22:AA40" si="19">F22-Z22</f>
        <v>0</v>
      </c>
    </row>
    <row r="23" spans="1:27" ht="15" customHeight="1" outlineLevel="1">
      <c r="B23" s="18">
        <v>9019007</v>
      </c>
      <c r="C23" s="205"/>
      <c r="D23" s="187">
        <v>44895</v>
      </c>
      <c r="E23" s="105"/>
      <c r="F23" s="21">
        <v>0</v>
      </c>
      <c r="G23" s="194">
        <v>3.4000000000000002E-2</v>
      </c>
      <c r="H23" s="42"/>
      <c r="I23" s="87"/>
      <c r="J23" s="238"/>
      <c r="K23" s="238"/>
      <c r="L23" s="239">
        <f t="shared" si="13"/>
        <v>0</v>
      </c>
      <c r="M23" s="241"/>
      <c r="N23" s="238"/>
      <c r="O23" s="238"/>
      <c r="P23" s="239">
        <f t="shared" si="14"/>
        <v>0</v>
      </c>
      <c r="Q23" s="240"/>
      <c r="R23" s="238"/>
      <c r="S23" s="238"/>
      <c r="T23" s="239">
        <f t="shared" si="15"/>
        <v>0</v>
      </c>
      <c r="U23" s="241"/>
      <c r="V23" s="238"/>
      <c r="W23" s="238"/>
      <c r="X23" s="238">
        <f t="shared" si="16"/>
        <v>0</v>
      </c>
      <c r="Y23" s="242">
        <f t="shared" si="17"/>
        <v>0</v>
      </c>
      <c r="Z23" s="238">
        <f t="shared" si="18"/>
        <v>0</v>
      </c>
      <c r="AA23" s="239">
        <f t="shared" si="19"/>
        <v>0</v>
      </c>
    </row>
    <row r="24" spans="1:27" ht="15" customHeight="1" outlineLevel="1">
      <c r="B24" s="18">
        <v>9019008</v>
      </c>
      <c r="C24" s="205"/>
      <c r="D24" s="187">
        <v>45260</v>
      </c>
      <c r="E24" s="105"/>
      <c r="F24" s="21">
        <f>'[2]CFC Payts'!AA24</f>
        <v>0</v>
      </c>
      <c r="G24" s="194">
        <v>3.4500000000000003E-2</v>
      </c>
      <c r="H24" s="42"/>
      <c r="I24" s="87"/>
      <c r="J24" s="238"/>
      <c r="K24" s="238"/>
      <c r="L24" s="239">
        <f t="shared" si="13"/>
        <v>0</v>
      </c>
      <c r="M24" s="241"/>
      <c r="N24" s="238"/>
      <c r="O24" s="238"/>
      <c r="P24" s="239">
        <f t="shared" si="14"/>
        <v>0</v>
      </c>
      <c r="Q24" s="240"/>
      <c r="R24" s="238"/>
      <c r="S24" s="238"/>
      <c r="T24" s="239">
        <f t="shared" si="15"/>
        <v>0</v>
      </c>
      <c r="U24" s="241"/>
      <c r="V24" s="238"/>
      <c r="W24" s="238"/>
      <c r="X24" s="238">
        <f t="shared" si="16"/>
        <v>0</v>
      </c>
      <c r="Y24" s="242">
        <f t="shared" si="17"/>
        <v>0</v>
      </c>
      <c r="Z24" s="238">
        <f t="shared" si="18"/>
        <v>0</v>
      </c>
      <c r="AA24" s="239">
        <f t="shared" si="19"/>
        <v>0</v>
      </c>
    </row>
    <row r="25" spans="1:27" ht="15" customHeight="1" outlineLevel="1">
      <c r="B25" s="18">
        <v>9019009</v>
      </c>
      <c r="C25" s="205"/>
      <c r="D25" s="187">
        <v>45626</v>
      </c>
      <c r="E25" s="105"/>
      <c r="F25" s="21">
        <f>'[2]CFC Payts'!AA25</f>
        <v>624807.27</v>
      </c>
      <c r="G25" s="194">
        <v>3.5499999999999997E-2</v>
      </c>
      <c r="H25" s="42"/>
      <c r="I25" s="87"/>
      <c r="J25" s="238">
        <v>5545.16</v>
      </c>
      <c r="K25" s="238">
        <v>154133.85</v>
      </c>
      <c r="L25" s="239">
        <f t="shared" si="13"/>
        <v>470673.42000000004</v>
      </c>
      <c r="M25" s="241"/>
      <c r="N25" s="238">
        <v>4177.2299999999996</v>
      </c>
      <c r="O25" s="238">
        <v>155501.78</v>
      </c>
      <c r="P25" s="239">
        <f t="shared" si="14"/>
        <v>315171.64</v>
      </c>
      <c r="Q25" s="240"/>
      <c r="R25" s="238">
        <v>2797.16</v>
      </c>
      <c r="S25" s="238">
        <v>156881.85999999999</v>
      </c>
      <c r="T25" s="239">
        <f t="shared" si="15"/>
        <v>158289.78000000003</v>
      </c>
      <c r="U25" s="241"/>
      <c r="V25" s="238">
        <v>1404.82</v>
      </c>
      <c r="W25" s="238">
        <v>158289.78</v>
      </c>
      <c r="X25" s="238">
        <f t="shared" si="16"/>
        <v>0</v>
      </c>
      <c r="Y25" s="242">
        <f t="shared" si="17"/>
        <v>13924.369999999999</v>
      </c>
      <c r="Z25" s="238">
        <f t="shared" si="18"/>
        <v>624807.27</v>
      </c>
      <c r="AA25" s="239">
        <f t="shared" si="19"/>
        <v>0</v>
      </c>
    </row>
    <row r="26" spans="1:27" ht="15" customHeight="1" outlineLevel="1">
      <c r="B26" s="18">
        <v>9019010</v>
      </c>
      <c r="C26" s="205"/>
      <c r="D26" s="187">
        <v>45991</v>
      </c>
      <c r="E26" s="105"/>
      <c r="F26" s="21">
        <f>'[2]CFC Payts'!AA26</f>
        <v>647507.16</v>
      </c>
      <c r="G26" s="194">
        <v>3.5999999999999997E-2</v>
      </c>
      <c r="H26" s="42"/>
      <c r="I26" s="87"/>
      <c r="J26" s="238">
        <v>5811.6</v>
      </c>
      <c r="K26" s="238"/>
      <c r="L26" s="239">
        <f t="shared" si="13"/>
        <v>647507.16</v>
      </c>
      <c r="M26" s="241"/>
      <c r="N26" s="238">
        <v>5875.46</v>
      </c>
      <c r="O26" s="238"/>
      <c r="P26" s="239">
        <f t="shared" si="14"/>
        <v>647507.16</v>
      </c>
      <c r="Q26" s="240"/>
      <c r="R26" s="238">
        <f>(F26*G26)/366*92</f>
        <v>5859.4090544262299</v>
      </c>
      <c r="S26" s="238"/>
      <c r="T26" s="239">
        <f t="shared" si="15"/>
        <v>647507.16</v>
      </c>
      <c r="U26" s="241"/>
      <c r="V26" s="238">
        <f>(F26*G26)/366*91</f>
        <v>5795.7198255737703</v>
      </c>
      <c r="W26" s="238"/>
      <c r="X26" s="238">
        <f t="shared" si="16"/>
        <v>647507.16</v>
      </c>
      <c r="Y26" s="242">
        <f t="shared" si="17"/>
        <v>23342.188880000002</v>
      </c>
      <c r="Z26" s="238">
        <f t="shared" si="18"/>
        <v>0</v>
      </c>
      <c r="AA26" s="239">
        <f t="shared" si="19"/>
        <v>647507.16</v>
      </c>
    </row>
    <row r="27" spans="1:27" ht="15" customHeight="1" outlineLevel="1">
      <c r="B27" s="18">
        <v>9019011</v>
      </c>
      <c r="C27" s="205"/>
      <c r="D27" s="187">
        <v>46356</v>
      </c>
      <c r="E27" s="105"/>
      <c r="F27" s="21">
        <f>'[2]CFC Payts'!AA27</f>
        <v>670123.30000000005</v>
      </c>
      <c r="G27" s="194">
        <v>3.6499999999999998E-2</v>
      </c>
      <c r="H27" s="42"/>
      <c r="I27" s="87"/>
      <c r="J27" s="238">
        <v>6098.12</v>
      </c>
      <c r="K27" s="238"/>
      <c r="L27" s="239">
        <f t="shared" si="13"/>
        <v>670123.30000000005</v>
      </c>
      <c r="M27" s="241"/>
      <c r="N27" s="238">
        <v>6165.13</v>
      </c>
      <c r="O27" s="238"/>
      <c r="P27" s="239">
        <f t="shared" si="14"/>
        <v>670123.30000000005</v>
      </c>
      <c r="Q27" s="240"/>
      <c r="R27" s="238">
        <f t="shared" ref="R27:R40" si="20">(F27*G27)/366*92</f>
        <v>6148.2897306010937</v>
      </c>
      <c r="S27" s="238"/>
      <c r="T27" s="239">
        <f t="shared" si="15"/>
        <v>670123.30000000005</v>
      </c>
      <c r="U27" s="241"/>
      <c r="V27" s="238">
        <f t="shared" ref="V27:V40" si="21">(F27*G27)/366*91</f>
        <v>6081.4604943989079</v>
      </c>
      <c r="W27" s="238"/>
      <c r="X27" s="238">
        <f t="shared" si="16"/>
        <v>670123.30000000005</v>
      </c>
      <c r="Y27" s="242">
        <f t="shared" si="17"/>
        <v>24493.000225</v>
      </c>
      <c r="Z27" s="238">
        <f t="shared" si="18"/>
        <v>0</v>
      </c>
      <c r="AA27" s="239">
        <f t="shared" si="19"/>
        <v>670123.30000000005</v>
      </c>
    </row>
    <row r="28" spans="1:27" ht="15" customHeight="1" outlineLevel="1">
      <c r="B28" s="18">
        <v>9019012</v>
      </c>
      <c r="C28" s="205"/>
      <c r="D28" s="187">
        <v>46721</v>
      </c>
      <c r="E28" s="105"/>
      <c r="F28" s="21">
        <f>'[2]CFC Payts'!AA28</f>
        <v>693852.08</v>
      </c>
      <c r="G28" s="194">
        <v>3.6999999999999998E-2</v>
      </c>
      <c r="H28" s="42"/>
      <c r="I28" s="87"/>
      <c r="J28" s="238">
        <v>6400.55</v>
      </c>
      <c r="K28" s="238"/>
      <c r="L28" s="239">
        <f t="shared" si="13"/>
        <v>693852.08</v>
      </c>
      <c r="M28" s="241"/>
      <c r="N28" s="238">
        <v>6470.88</v>
      </c>
      <c r="O28" s="238"/>
      <c r="P28" s="239">
        <f t="shared" si="14"/>
        <v>693852.08</v>
      </c>
      <c r="Q28" s="240"/>
      <c r="R28" s="238">
        <f t="shared" si="20"/>
        <v>6453.2034981420757</v>
      </c>
      <c r="S28" s="238"/>
      <c r="T28" s="239">
        <f t="shared" si="15"/>
        <v>693852.08</v>
      </c>
      <c r="U28" s="241"/>
      <c r="V28" s="238">
        <f t="shared" si="21"/>
        <v>6383.0599818579221</v>
      </c>
      <c r="W28" s="238"/>
      <c r="X28" s="238">
        <f t="shared" si="16"/>
        <v>693852.08</v>
      </c>
      <c r="Y28" s="242">
        <f t="shared" si="17"/>
        <v>25707.693479999998</v>
      </c>
      <c r="Z28" s="238">
        <f t="shared" si="18"/>
        <v>0</v>
      </c>
      <c r="AA28" s="239">
        <f t="shared" si="19"/>
        <v>693852.08</v>
      </c>
    </row>
    <row r="29" spans="1:27" ht="15" customHeight="1" outlineLevel="1">
      <c r="B29" s="18">
        <v>9019013</v>
      </c>
      <c r="C29" s="205"/>
      <c r="D29" s="187">
        <v>47087</v>
      </c>
      <c r="E29" s="105"/>
      <c r="F29" s="21">
        <f>'[2]CFC Payts'!AA29</f>
        <v>717856.35</v>
      </c>
      <c r="G29" s="194">
        <v>3.7499999999999999E-2</v>
      </c>
      <c r="H29" s="42"/>
      <c r="I29" s="87"/>
      <c r="J29" s="238">
        <v>6711.47</v>
      </c>
      <c r="K29" s="238"/>
      <c r="L29" s="239">
        <f t="shared" si="13"/>
        <v>717856.35</v>
      </c>
      <c r="M29" s="241"/>
      <c r="N29" s="238">
        <v>6785.22</v>
      </c>
      <c r="O29" s="238"/>
      <c r="P29" s="239">
        <f t="shared" si="14"/>
        <v>717856.35</v>
      </c>
      <c r="Q29" s="240"/>
      <c r="R29" s="238">
        <f t="shared" si="20"/>
        <v>6766.6787090163934</v>
      </c>
      <c r="S29" s="238"/>
      <c r="T29" s="239">
        <f t="shared" si="15"/>
        <v>717856.35</v>
      </c>
      <c r="U29" s="241"/>
      <c r="V29" s="238">
        <f t="shared" si="21"/>
        <v>6693.1278534836065</v>
      </c>
      <c r="W29" s="238"/>
      <c r="X29" s="238">
        <f t="shared" si="16"/>
        <v>717856.35</v>
      </c>
      <c r="Y29" s="242">
        <f t="shared" si="17"/>
        <v>26956.4965625</v>
      </c>
      <c r="Z29" s="238">
        <f t="shared" si="18"/>
        <v>0</v>
      </c>
      <c r="AA29" s="239">
        <f t="shared" si="19"/>
        <v>717856.35</v>
      </c>
    </row>
    <row r="30" spans="1:27" ht="15" customHeight="1" outlineLevel="1">
      <c r="B30" s="18">
        <v>9019014</v>
      </c>
      <c r="C30" s="205"/>
      <c r="D30" s="187">
        <v>47452</v>
      </c>
      <c r="E30" s="105"/>
      <c r="F30" s="21">
        <f>'[2]CFC Payts'!AA30</f>
        <v>738073.55</v>
      </c>
      <c r="G30" s="194">
        <v>3.7999999999999999E-2</v>
      </c>
      <c r="H30" s="42"/>
      <c r="I30" s="87"/>
      <c r="J30" s="238">
        <v>6992.49</v>
      </c>
      <c r="K30" s="238"/>
      <c r="L30" s="239">
        <f t="shared" si="13"/>
        <v>738073.55</v>
      </c>
      <c r="M30" s="241"/>
      <c r="N30" s="238">
        <v>7069.33</v>
      </c>
      <c r="O30" s="238"/>
      <c r="P30" s="239">
        <f t="shared" si="14"/>
        <v>738073.55</v>
      </c>
      <c r="Q30" s="240"/>
      <c r="R30" s="238">
        <f t="shared" si="20"/>
        <v>7050.0140185792352</v>
      </c>
      <c r="S30" s="238"/>
      <c r="T30" s="239">
        <f t="shared" si="15"/>
        <v>738073.55</v>
      </c>
      <c r="U30" s="241"/>
      <c r="V30" s="238">
        <f t="shared" si="21"/>
        <v>6973.3834314207652</v>
      </c>
      <c r="W30" s="238"/>
      <c r="X30" s="238">
        <f t="shared" si="16"/>
        <v>738073.55</v>
      </c>
      <c r="Y30" s="242">
        <f t="shared" si="17"/>
        <v>28085.217449999996</v>
      </c>
      <c r="Z30" s="238">
        <f t="shared" si="18"/>
        <v>0</v>
      </c>
      <c r="AA30" s="239">
        <f t="shared" si="19"/>
        <v>738073.55</v>
      </c>
    </row>
    <row r="31" spans="1:27" ht="15" customHeight="1" outlineLevel="1">
      <c r="B31" s="18">
        <v>9019015</v>
      </c>
      <c r="C31" s="205"/>
      <c r="D31" s="187">
        <v>47817</v>
      </c>
      <c r="E31" s="105"/>
      <c r="F31" s="21">
        <f>'[2]CFC Payts'!AA31</f>
        <v>665482.38</v>
      </c>
      <c r="G31" s="194">
        <v>3.85E-2</v>
      </c>
      <c r="H31" s="42"/>
      <c r="I31" s="87"/>
      <c r="J31" s="238">
        <v>6387.72</v>
      </c>
      <c r="K31" s="238"/>
      <c r="L31" s="239">
        <f t="shared" si="13"/>
        <v>665482.38</v>
      </c>
      <c r="M31" s="241"/>
      <c r="N31" s="238">
        <v>6457.91</v>
      </c>
      <c r="O31" s="238"/>
      <c r="P31" s="239">
        <f t="shared" si="14"/>
        <v>665482.38</v>
      </c>
      <c r="Q31" s="240"/>
      <c r="R31" s="238">
        <f t="shared" si="20"/>
        <v>6440.2693714754096</v>
      </c>
      <c r="S31" s="238"/>
      <c r="T31" s="239">
        <f t="shared" si="15"/>
        <v>665482.38</v>
      </c>
      <c r="U31" s="241"/>
      <c r="V31" s="238">
        <f t="shared" si="21"/>
        <v>6370.2664435245897</v>
      </c>
      <c r="W31" s="238"/>
      <c r="X31" s="238">
        <f t="shared" si="16"/>
        <v>665482.38</v>
      </c>
      <c r="Y31" s="242">
        <f t="shared" si="17"/>
        <v>25656.165815</v>
      </c>
      <c r="Z31" s="238">
        <f t="shared" si="18"/>
        <v>0</v>
      </c>
      <c r="AA31" s="239">
        <f t="shared" si="19"/>
        <v>665482.38</v>
      </c>
    </row>
    <row r="32" spans="1:27" ht="15" customHeight="1" outlineLevel="1">
      <c r="B32" s="18">
        <v>9019016</v>
      </c>
      <c r="C32" s="205"/>
      <c r="D32" s="187">
        <v>48182</v>
      </c>
      <c r="E32" s="105"/>
      <c r="F32" s="21">
        <f>'[2]CFC Payts'!AA32</f>
        <v>690285.68</v>
      </c>
      <c r="G32" s="194">
        <v>3.9E-2</v>
      </c>
      <c r="H32" s="42"/>
      <c r="I32" s="87"/>
      <c r="J32" s="238">
        <v>6711.85</v>
      </c>
      <c r="K32" s="238"/>
      <c r="L32" s="239">
        <f t="shared" si="13"/>
        <v>690285.68</v>
      </c>
      <c r="M32" s="241"/>
      <c r="N32" s="238">
        <v>6785.6</v>
      </c>
      <c r="O32" s="238"/>
      <c r="P32" s="239">
        <f t="shared" si="14"/>
        <v>690285.68</v>
      </c>
      <c r="Q32" s="240"/>
      <c r="R32" s="238">
        <f t="shared" si="20"/>
        <v>6767.0628957377048</v>
      </c>
      <c r="S32" s="238"/>
      <c r="T32" s="239">
        <f t="shared" si="15"/>
        <v>690285.68</v>
      </c>
      <c r="U32" s="241"/>
      <c r="V32" s="238">
        <f t="shared" si="21"/>
        <v>6693.5078642622948</v>
      </c>
      <c r="W32" s="238"/>
      <c r="X32" s="238">
        <f t="shared" si="16"/>
        <v>690285.68</v>
      </c>
      <c r="Y32" s="242">
        <f t="shared" si="17"/>
        <v>26958.020759999999</v>
      </c>
      <c r="Z32" s="238">
        <f t="shared" si="18"/>
        <v>0</v>
      </c>
      <c r="AA32" s="239">
        <f t="shared" si="19"/>
        <v>690285.68</v>
      </c>
    </row>
    <row r="33" spans="1:27" ht="15" customHeight="1" outlineLevel="1">
      <c r="B33" s="18">
        <v>9019017</v>
      </c>
      <c r="C33" s="205"/>
      <c r="D33" s="187">
        <v>48548</v>
      </c>
      <c r="E33" s="105"/>
      <c r="F33" s="21">
        <f>'[2]CFC Payts'!AA33</f>
        <v>715641.43</v>
      </c>
      <c r="G33" s="194">
        <v>3.9E-2</v>
      </c>
      <c r="H33" s="42"/>
      <c r="I33" s="87"/>
      <c r="J33" s="238">
        <v>6958.39</v>
      </c>
      <c r="K33" s="238"/>
      <c r="L33" s="239">
        <f t="shared" si="13"/>
        <v>715641.43</v>
      </c>
      <c r="M33" s="241"/>
      <c r="N33" s="238">
        <v>7034.85</v>
      </c>
      <c r="O33" s="238"/>
      <c r="P33" s="239">
        <f t="shared" si="14"/>
        <v>715641.43</v>
      </c>
      <c r="Q33" s="240"/>
      <c r="R33" s="238">
        <f t="shared" si="20"/>
        <v>7015.6323793442625</v>
      </c>
      <c r="S33" s="238"/>
      <c r="T33" s="239">
        <f t="shared" si="15"/>
        <v>715641.43</v>
      </c>
      <c r="U33" s="241"/>
      <c r="V33" s="238">
        <f t="shared" si="21"/>
        <v>6939.3755056557384</v>
      </c>
      <c r="W33" s="238"/>
      <c r="X33" s="238">
        <f t="shared" si="16"/>
        <v>715641.43</v>
      </c>
      <c r="Y33" s="242">
        <f t="shared" si="17"/>
        <v>27948.247885000001</v>
      </c>
      <c r="Z33" s="238">
        <f t="shared" si="18"/>
        <v>0</v>
      </c>
      <c r="AA33" s="239">
        <f t="shared" si="19"/>
        <v>715641.43</v>
      </c>
    </row>
    <row r="34" spans="1:27" ht="15" customHeight="1" outlineLevel="1">
      <c r="B34" s="18">
        <v>9019018</v>
      </c>
      <c r="C34" s="205"/>
      <c r="D34" s="187">
        <v>48913</v>
      </c>
      <c r="E34" s="105"/>
      <c r="F34" s="21">
        <f>'[2]CFC Payts'!AA34</f>
        <v>743272.23</v>
      </c>
      <c r="G34" s="194">
        <v>3.95E-2</v>
      </c>
      <c r="H34" s="42"/>
      <c r="I34" s="87"/>
      <c r="J34" s="238">
        <v>7319.7</v>
      </c>
      <c r="K34" s="238"/>
      <c r="L34" s="239">
        <f t="shared" si="13"/>
        <v>743272.23</v>
      </c>
      <c r="M34" s="241"/>
      <c r="N34" s="238">
        <v>7400.14</v>
      </c>
      <c r="O34" s="238"/>
      <c r="P34" s="239">
        <f t="shared" si="14"/>
        <v>743272.23</v>
      </c>
      <c r="Q34" s="240"/>
      <c r="R34" s="238">
        <f t="shared" si="20"/>
        <v>7379.9215404918032</v>
      </c>
      <c r="S34" s="238"/>
      <c r="T34" s="239">
        <f t="shared" si="15"/>
        <v>743272.23</v>
      </c>
      <c r="U34" s="241"/>
      <c r="V34" s="238">
        <f t="shared" si="21"/>
        <v>7299.705002008197</v>
      </c>
      <c r="W34" s="238"/>
      <c r="X34" s="238">
        <f t="shared" si="16"/>
        <v>743272.23</v>
      </c>
      <c r="Y34" s="242">
        <f t="shared" si="17"/>
        <v>29399.466542499998</v>
      </c>
      <c r="Z34" s="238">
        <f t="shared" si="18"/>
        <v>0</v>
      </c>
      <c r="AA34" s="239">
        <f t="shared" si="19"/>
        <v>743272.23</v>
      </c>
    </row>
    <row r="35" spans="1:27" ht="15" customHeight="1" outlineLevel="1">
      <c r="B35" s="18">
        <v>9019019</v>
      </c>
      <c r="C35" s="205"/>
      <c r="D35" s="187">
        <v>49278</v>
      </c>
      <c r="E35" s="105"/>
      <c r="F35" s="21">
        <f>'[2]CFC Payts'!AA35</f>
        <v>771562.48</v>
      </c>
      <c r="G35" s="194">
        <v>3.95E-2</v>
      </c>
      <c r="H35" s="42"/>
      <c r="I35" s="87"/>
      <c r="J35" s="238">
        <v>7598.31</v>
      </c>
      <c r="K35" s="238"/>
      <c r="L35" s="239">
        <f t="shared" si="13"/>
        <v>771562.48</v>
      </c>
      <c r="M35" s="241"/>
      <c r="N35" s="238">
        <v>7681.8</v>
      </c>
      <c r="O35" s="238"/>
      <c r="P35" s="239">
        <f t="shared" si="14"/>
        <v>771562.48</v>
      </c>
      <c r="Q35" s="240"/>
      <c r="R35" s="238">
        <f t="shared" si="20"/>
        <v>7660.8143506010929</v>
      </c>
      <c r="S35" s="238"/>
      <c r="T35" s="239">
        <f t="shared" si="15"/>
        <v>771562.48</v>
      </c>
      <c r="U35" s="241"/>
      <c r="V35" s="238">
        <f t="shared" si="21"/>
        <v>7577.5446293989071</v>
      </c>
      <c r="W35" s="238"/>
      <c r="X35" s="238">
        <f t="shared" si="16"/>
        <v>771562.48</v>
      </c>
      <c r="Y35" s="242">
        <f t="shared" si="17"/>
        <v>30518.468980000001</v>
      </c>
      <c r="Z35" s="238">
        <f t="shared" si="18"/>
        <v>0</v>
      </c>
      <c r="AA35" s="239">
        <f t="shared" si="19"/>
        <v>771562.48</v>
      </c>
    </row>
    <row r="36" spans="1:27" ht="15" customHeight="1" outlineLevel="1">
      <c r="B36" s="18">
        <v>9019020</v>
      </c>
      <c r="C36" s="205"/>
      <c r="D36" s="187">
        <v>49643</v>
      </c>
      <c r="E36" s="105"/>
      <c r="F36" s="21">
        <f>'[2]CFC Payts'!AA36</f>
        <v>801063.06</v>
      </c>
      <c r="G36" s="194">
        <v>0.04</v>
      </c>
      <c r="H36" s="42"/>
      <c r="I36" s="87"/>
      <c r="J36" s="238">
        <v>7988.68</v>
      </c>
      <c r="K36" s="238"/>
      <c r="L36" s="239">
        <f t="shared" si="13"/>
        <v>801063.06</v>
      </c>
      <c r="M36" s="241"/>
      <c r="N36" s="238">
        <v>8076.47</v>
      </c>
      <c r="O36" s="238"/>
      <c r="P36" s="239">
        <f t="shared" si="14"/>
        <v>801063.06</v>
      </c>
      <c r="Q36" s="240"/>
      <c r="R36" s="238">
        <f t="shared" si="20"/>
        <v>8054.4045377049179</v>
      </c>
      <c r="S36" s="238"/>
      <c r="T36" s="239">
        <f t="shared" si="15"/>
        <v>801063.06</v>
      </c>
      <c r="U36" s="241"/>
      <c r="V36" s="238">
        <f t="shared" si="21"/>
        <v>7966.8566622950821</v>
      </c>
      <c r="W36" s="238"/>
      <c r="X36" s="238">
        <f t="shared" si="16"/>
        <v>801063.06</v>
      </c>
      <c r="Y36" s="242">
        <f t="shared" si="17"/>
        <v>32086.411200000002</v>
      </c>
      <c r="Z36" s="238">
        <f t="shared" si="18"/>
        <v>0</v>
      </c>
      <c r="AA36" s="239">
        <f t="shared" si="19"/>
        <v>801063.06</v>
      </c>
    </row>
    <row r="37" spans="1:27" ht="15" customHeight="1" outlineLevel="1">
      <c r="B37" s="18">
        <v>9019021</v>
      </c>
      <c r="C37" s="205"/>
      <c r="D37" s="187">
        <v>50009</v>
      </c>
      <c r="E37" s="105"/>
      <c r="F37" s="21">
        <f>'[2]CFC Payts'!AA37</f>
        <v>831668.48</v>
      </c>
      <c r="G37" s="194">
        <v>0.04</v>
      </c>
      <c r="H37" s="42"/>
      <c r="I37" s="87"/>
      <c r="J37" s="238">
        <v>8293.9</v>
      </c>
      <c r="K37" s="238"/>
      <c r="L37" s="239">
        <f t="shared" si="13"/>
        <v>831668.48</v>
      </c>
      <c r="M37" s="241"/>
      <c r="N37" s="238">
        <v>8385.0400000000009</v>
      </c>
      <c r="O37" s="238"/>
      <c r="P37" s="239">
        <f t="shared" si="14"/>
        <v>831668.48</v>
      </c>
      <c r="Q37" s="240"/>
      <c r="R37" s="238">
        <f t="shared" si="20"/>
        <v>8362.1311650273219</v>
      </c>
      <c r="S37" s="238"/>
      <c r="T37" s="239">
        <f t="shared" si="15"/>
        <v>831668.48</v>
      </c>
      <c r="U37" s="241"/>
      <c r="V37" s="238">
        <f t="shared" si="21"/>
        <v>8271.2384349726763</v>
      </c>
      <c r="W37" s="238"/>
      <c r="X37" s="238">
        <f t="shared" si="16"/>
        <v>831668.48</v>
      </c>
      <c r="Y37" s="242">
        <f t="shared" si="17"/>
        <v>33312.309600000001</v>
      </c>
      <c r="Z37" s="238">
        <f t="shared" si="18"/>
        <v>0</v>
      </c>
      <c r="AA37" s="239">
        <f t="shared" si="19"/>
        <v>831668.48</v>
      </c>
    </row>
    <row r="38" spans="1:27" ht="15" customHeight="1" outlineLevel="1">
      <c r="B38" s="18">
        <v>9019022</v>
      </c>
      <c r="C38" s="205"/>
      <c r="D38" s="187">
        <v>50374</v>
      </c>
      <c r="E38" s="105"/>
      <c r="F38" s="21">
        <f>'[2]CFC Payts'!AA38</f>
        <v>863941.13</v>
      </c>
      <c r="G38" s="194">
        <v>0.04</v>
      </c>
      <c r="H38" s="42"/>
      <c r="I38" s="87"/>
      <c r="J38" s="238">
        <v>8615.74</v>
      </c>
      <c r="K38" s="238"/>
      <c r="L38" s="239">
        <f t="shared" si="13"/>
        <v>863941.13</v>
      </c>
      <c r="M38" s="241"/>
      <c r="N38" s="238">
        <v>8710.42</v>
      </c>
      <c r="O38" s="238"/>
      <c r="P38" s="239">
        <f t="shared" si="14"/>
        <v>863941.13</v>
      </c>
      <c r="Q38" s="240"/>
      <c r="R38" s="238">
        <f t="shared" si="20"/>
        <v>8686.6211978142073</v>
      </c>
      <c r="S38" s="238"/>
      <c r="T38" s="239">
        <f t="shared" si="15"/>
        <v>863941.13</v>
      </c>
      <c r="U38" s="241"/>
      <c r="V38" s="238">
        <f t="shared" si="21"/>
        <v>8592.2014021857922</v>
      </c>
      <c r="W38" s="238"/>
      <c r="X38" s="238">
        <f t="shared" si="16"/>
        <v>863941.13</v>
      </c>
      <c r="Y38" s="242">
        <f t="shared" si="17"/>
        <v>34604.982599999996</v>
      </c>
      <c r="Z38" s="238">
        <f t="shared" si="18"/>
        <v>0</v>
      </c>
      <c r="AA38" s="239">
        <f t="shared" si="19"/>
        <v>863941.13</v>
      </c>
    </row>
    <row r="39" spans="1:27" ht="15" customHeight="1" outlineLevel="1">
      <c r="B39" s="18">
        <v>9019023</v>
      </c>
      <c r="C39" s="205"/>
      <c r="D39" s="187">
        <v>50739</v>
      </c>
      <c r="E39" s="105"/>
      <c r="F39" s="21">
        <f>'[2]CFC Payts'!AA39</f>
        <v>897191.42</v>
      </c>
      <c r="G39" s="194">
        <v>0.04</v>
      </c>
      <c r="H39" s="42"/>
      <c r="I39" s="87"/>
      <c r="J39" s="238">
        <v>8947.33</v>
      </c>
      <c r="K39" s="238"/>
      <c r="L39" s="239">
        <f t="shared" si="13"/>
        <v>897191.42</v>
      </c>
      <c r="M39" s="241"/>
      <c r="N39" s="238">
        <v>9045.66</v>
      </c>
      <c r="O39" s="238"/>
      <c r="P39" s="239">
        <f t="shared" si="14"/>
        <v>897191.42</v>
      </c>
      <c r="Q39" s="240"/>
      <c r="R39" s="238">
        <f t="shared" si="20"/>
        <v>9020.9410535519128</v>
      </c>
      <c r="S39" s="238"/>
      <c r="T39" s="239">
        <f t="shared" si="15"/>
        <v>897191.42</v>
      </c>
      <c r="U39" s="241"/>
      <c r="V39" s="238">
        <f t="shared" si="21"/>
        <v>8922.8873464480876</v>
      </c>
      <c r="W39" s="238"/>
      <c r="X39" s="238">
        <f t="shared" si="16"/>
        <v>897191.42</v>
      </c>
      <c r="Y39" s="242">
        <f t="shared" si="17"/>
        <v>35936.818399999996</v>
      </c>
      <c r="Z39" s="238">
        <f t="shared" si="18"/>
        <v>0</v>
      </c>
      <c r="AA39" s="239">
        <f t="shared" si="19"/>
        <v>897191.42</v>
      </c>
    </row>
    <row r="40" spans="1:27" ht="15" customHeight="1" outlineLevel="1">
      <c r="B40" s="18">
        <v>9019024</v>
      </c>
      <c r="C40" s="205"/>
      <c r="D40" s="187">
        <v>51104</v>
      </c>
      <c r="E40" s="105"/>
      <c r="F40" s="21">
        <f>'[2]CFC Payts'!AA40</f>
        <v>468387</v>
      </c>
      <c r="G40" s="194">
        <v>0.04</v>
      </c>
      <c r="H40" s="42"/>
      <c r="I40" s="87"/>
      <c r="J40" s="238">
        <v>4671.04</v>
      </c>
      <c r="K40" s="238"/>
      <c r="L40" s="239">
        <f t="shared" si="13"/>
        <v>468387</v>
      </c>
      <c r="M40" s="241"/>
      <c r="N40" s="238">
        <v>4722.37</v>
      </c>
      <c r="O40" s="238"/>
      <c r="P40" s="239">
        <f t="shared" si="14"/>
        <v>468387</v>
      </c>
      <c r="Q40" s="240"/>
      <c r="R40" s="238">
        <f t="shared" si="20"/>
        <v>4709.464918032787</v>
      </c>
      <c r="S40" s="238"/>
      <c r="T40" s="239">
        <f t="shared" si="15"/>
        <v>468387</v>
      </c>
      <c r="U40" s="241"/>
      <c r="V40" s="238">
        <f t="shared" si="21"/>
        <v>4658.2750819672128</v>
      </c>
      <c r="W40" s="238"/>
      <c r="X40" s="238">
        <f t="shared" si="16"/>
        <v>468387</v>
      </c>
      <c r="Y40" s="243">
        <f t="shared" si="17"/>
        <v>18761.150000000001</v>
      </c>
      <c r="Z40" s="244">
        <f t="shared" si="18"/>
        <v>0</v>
      </c>
      <c r="AA40" s="245">
        <f t="shared" si="19"/>
        <v>468387</v>
      </c>
    </row>
    <row r="41" spans="1:27">
      <c r="A41" s="188" t="s">
        <v>105</v>
      </c>
      <c r="B41" s="18">
        <v>9019</v>
      </c>
      <c r="C41" s="205">
        <v>42538</v>
      </c>
      <c r="D41" s="206">
        <v>51644</v>
      </c>
      <c r="E41" s="207"/>
      <c r="F41" s="32">
        <f>SUM(F22:F40)</f>
        <v>11540715.000000002</v>
      </c>
      <c r="G41" s="194"/>
      <c r="H41" s="42"/>
      <c r="I41" s="87"/>
      <c r="J41" s="203">
        <f>SUM(J22:J40)</f>
        <v>111052.05</v>
      </c>
      <c r="K41" s="203">
        <f>SUM(K22:K40)</f>
        <v>154133.85</v>
      </c>
      <c r="L41" s="203">
        <f>SUM(L22:L40)</f>
        <v>11386581.150000002</v>
      </c>
      <c r="M41" s="238"/>
      <c r="N41" s="203">
        <f>SUM(N22:N40)</f>
        <v>110843.51</v>
      </c>
      <c r="O41" s="203">
        <f>SUM(O22:O40)</f>
        <v>155501.78</v>
      </c>
      <c r="P41" s="203">
        <f>SUM(P22:P40)</f>
        <v>11231079.370000001</v>
      </c>
      <c r="Q41" s="238"/>
      <c r="R41" s="203">
        <f>SUM(R22:R40)</f>
        <v>109172.01842054645</v>
      </c>
      <c r="S41" s="203">
        <f>SUM(S22:S40)</f>
        <v>156881.85999999999</v>
      </c>
      <c r="T41" s="203">
        <f>SUM(T22:T40)</f>
        <v>11074197.510000002</v>
      </c>
      <c r="U41" s="238"/>
      <c r="V41" s="203">
        <f t="shared" ref="V41:AA41" si="22">SUM(V22:V40)</f>
        <v>106623.42995945354</v>
      </c>
      <c r="W41" s="203">
        <f t="shared" si="22"/>
        <v>158289.78</v>
      </c>
      <c r="X41" s="204">
        <f t="shared" si="22"/>
        <v>10915907.730000002</v>
      </c>
      <c r="Y41" s="203">
        <f t="shared" si="22"/>
        <v>437691.00837999996</v>
      </c>
      <c r="Z41" s="203">
        <f t="shared" si="22"/>
        <v>624807.27</v>
      </c>
      <c r="AA41" s="204">
        <f t="shared" si="22"/>
        <v>10915907.730000002</v>
      </c>
    </row>
    <row r="42" spans="1:27">
      <c r="B42" s="33"/>
      <c r="C42" s="33"/>
      <c r="D42" s="33"/>
      <c r="E42" s="33"/>
      <c r="F42" s="32"/>
      <c r="G42" s="34"/>
      <c r="H42" s="42"/>
      <c r="I42" s="42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21"/>
      <c r="Z42" s="21"/>
      <c r="AA42" s="21"/>
    </row>
    <row r="43" spans="1:27" ht="18">
      <c r="A43" s="188"/>
      <c r="B43" s="33"/>
      <c r="C43" s="33"/>
      <c r="D43" s="33"/>
      <c r="E43" s="126" t="s">
        <v>128</v>
      </c>
      <c r="F43" s="127">
        <f>SUM(F6:F11)+F21+F41</f>
        <v>13219459.660000002</v>
      </c>
      <c r="G43" s="21"/>
      <c r="H43" s="34"/>
      <c r="I43" s="34"/>
      <c r="J43" s="211"/>
      <c r="K43" s="211"/>
      <c r="L43" s="212"/>
      <c r="M43" s="211"/>
      <c r="N43" s="211"/>
      <c r="O43" s="211"/>
      <c r="P43" s="212"/>
      <c r="Q43" s="211"/>
      <c r="R43" s="211"/>
      <c r="S43" s="211"/>
      <c r="T43" s="212"/>
      <c r="U43" s="211"/>
      <c r="V43" s="211"/>
      <c r="W43" s="211"/>
      <c r="X43" s="212"/>
      <c r="Y43" s="32">
        <f>Y41+Y21+Y12</f>
        <v>526774.561155</v>
      </c>
      <c r="Z43" s="32"/>
      <c r="AA43" s="127"/>
    </row>
    <row r="44" spans="1:27">
      <c r="R44" s="345"/>
    </row>
    <row r="45" spans="1:27">
      <c r="R45" s="345"/>
    </row>
    <row r="46" spans="1:27">
      <c r="R46" s="345"/>
    </row>
    <row r="47" spans="1:27">
      <c r="R47" s="345"/>
    </row>
    <row r="48" spans="1:27">
      <c r="R48" s="345"/>
    </row>
    <row r="49" spans="18:18">
      <c r="R49" s="345"/>
    </row>
    <row r="50" spans="18:18">
      <c r="R50" s="345"/>
    </row>
    <row r="51" spans="18:18">
      <c r="R51" s="345"/>
    </row>
    <row r="52" spans="18:18">
      <c r="R52" s="345"/>
    </row>
    <row r="53" spans="18:18">
      <c r="R53" s="345"/>
    </row>
    <row r="54" spans="18:18">
      <c r="R54" s="345"/>
    </row>
    <row r="55" spans="18:18">
      <c r="R55" s="345"/>
    </row>
    <row r="56" spans="18:18">
      <c r="R56" s="345"/>
    </row>
  </sheetData>
  <dataConsolidate/>
  <mergeCells count="2">
    <mergeCell ref="J3:L3"/>
    <mergeCell ref="N3:P3"/>
  </mergeCells>
  <pageMargins left="0.25" right="0.5" top="1" bottom="0.25" header="0" footer="0"/>
  <pageSetup scale="76" fitToWidth="0" orientation="landscape" copies="3" r:id="rId1"/>
  <headerFooter alignWithMargins="0"/>
  <colBreaks count="4" manualBreakCount="4">
    <brk id="12" max="46" man="1"/>
    <brk id="16" max="46" man="1"/>
    <brk id="20" max="46" man="1"/>
    <brk id="24" max="1048575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03B70-85D0-43E7-A81B-B61AF7CA56CA}">
  <dimension ref="A1:K7"/>
  <sheetViews>
    <sheetView workbookViewId="0">
      <selection activeCell="D3" sqref="D3"/>
    </sheetView>
  </sheetViews>
  <sheetFormatPr defaultRowHeight="15"/>
  <cols>
    <col min="1" max="1" width="8.88671875" style="385"/>
    <col min="2" max="2" width="18.6640625" style="385" bestFit="1" customWidth="1"/>
    <col min="3" max="3" width="8.88671875" style="385"/>
    <col min="4" max="4" width="9.5546875" style="385" bestFit="1" customWidth="1"/>
    <col min="5" max="5" width="17.88671875" style="385" bestFit="1" customWidth="1"/>
    <col min="6" max="6" width="8.88671875" style="385"/>
    <col min="7" max="7" width="7.109375" style="385" customWidth="1"/>
    <col min="8" max="8" width="7.44140625" style="386" customWidth="1"/>
    <col min="9" max="9" width="8.88671875" style="385"/>
    <col min="10" max="10" width="11.77734375" style="385" bestFit="1" customWidth="1"/>
    <col min="11" max="11" width="10.21875" style="387" bestFit="1" customWidth="1"/>
    <col min="12" max="257" width="8.88671875" style="385"/>
    <col min="258" max="258" width="18.6640625" style="385" bestFit="1" customWidth="1"/>
    <col min="259" max="259" width="8.88671875" style="385"/>
    <col min="260" max="260" width="9.5546875" style="385" bestFit="1" customWidth="1"/>
    <col min="261" max="262" width="8.88671875" style="385"/>
    <col min="263" max="263" width="7.109375" style="385" customWidth="1"/>
    <col min="264" max="264" width="7.44140625" style="385" customWidth="1"/>
    <col min="265" max="265" width="8.88671875" style="385"/>
    <col min="266" max="266" width="11.77734375" style="385" bestFit="1" customWidth="1"/>
    <col min="267" max="267" width="10.21875" style="385" bestFit="1" customWidth="1"/>
    <col min="268" max="513" width="8.88671875" style="385"/>
    <col min="514" max="514" width="18.6640625" style="385" bestFit="1" customWidth="1"/>
    <col min="515" max="515" width="8.88671875" style="385"/>
    <col min="516" max="516" width="9.5546875" style="385" bestFit="1" customWidth="1"/>
    <col min="517" max="518" width="8.88671875" style="385"/>
    <col min="519" max="519" width="7.109375" style="385" customWidth="1"/>
    <col min="520" max="520" width="7.44140625" style="385" customWidth="1"/>
    <col min="521" max="521" width="8.88671875" style="385"/>
    <col min="522" max="522" width="11.77734375" style="385" bestFit="1" customWidth="1"/>
    <col min="523" max="523" width="10.21875" style="385" bestFit="1" customWidth="1"/>
    <col min="524" max="769" width="8.88671875" style="385"/>
    <col min="770" max="770" width="18.6640625" style="385" bestFit="1" customWidth="1"/>
    <col min="771" max="771" width="8.88671875" style="385"/>
    <col min="772" max="772" width="9.5546875" style="385" bestFit="1" customWidth="1"/>
    <col min="773" max="774" width="8.88671875" style="385"/>
    <col min="775" max="775" width="7.109375" style="385" customWidth="1"/>
    <col min="776" max="776" width="7.44140625" style="385" customWidth="1"/>
    <col min="777" max="777" width="8.88671875" style="385"/>
    <col min="778" max="778" width="11.77734375" style="385" bestFit="1" customWidth="1"/>
    <col min="779" max="779" width="10.21875" style="385" bestFit="1" customWidth="1"/>
    <col min="780" max="1025" width="8.88671875" style="385"/>
    <col min="1026" max="1026" width="18.6640625" style="385" bestFit="1" customWidth="1"/>
    <col min="1027" max="1027" width="8.88671875" style="385"/>
    <col min="1028" max="1028" width="9.5546875" style="385" bestFit="1" customWidth="1"/>
    <col min="1029" max="1030" width="8.88671875" style="385"/>
    <col min="1031" max="1031" width="7.109375" style="385" customWidth="1"/>
    <col min="1032" max="1032" width="7.44140625" style="385" customWidth="1"/>
    <col min="1033" max="1033" width="8.88671875" style="385"/>
    <col min="1034" max="1034" width="11.77734375" style="385" bestFit="1" customWidth="1"/>
    <col min="1035" max="1035" width="10.21875" style="385" bestFit="1" customWidth="1"/>
    <col min="1036" max="1281" width="8.88671875" style="385"/>
    <col min="1282" max="1282" width="18.6640625" style="385" bestFit="1" customWidth="1"/>
    <col min="1283" max="1283" width="8.88671875" style="385"/>
    <col min="1284" max="1284" width="9.5546875" style="385" bestFit="1" customWidth="1"/>
    <col min="1285" max="1286" width="8.88671875" style="385"/>
    <col min="1287" max="1287" width="7.109375" style="385" customWidth="1"/>
    <col min="1288" max="1288" width="7.44140625" style="385" customWidth="1"/>
    <col min="1289" max="1289" width="8.88671875" style="385"/>
    <col min="1290" max="1290" width="11.77734375" style="385" bestFit="1" customWidth="1"/>
    <col min="1291" max="1291" width="10.21875" style="385" bestFit="1" customWidth="1"/>
    <col min="1292" max="1537" width="8.88671875" style="385"/>
    <col min="1538" max="1538" width="18.6640625" style="385" bestFit="1" customWidth="1"/>
    <col min="1539" max="1539" width="8.88671875" style="385"/>
    <col min="1540" max="1540" width="9.5546875" style="385" bestFit="1" customWidth="1"/>
    <col min="1541" max="1542" width="8.88671875" style="385"/>
    <col min="1543" max="1543" width="7.109375" style="385" customWidth="1"/>
    <col min="1544" max="1544" width="7.44140625" style="385" customWidth="1"/>
    <col min="1545" max="1545" width="8.88671875" style="385"/>
    <col min="1546" max="1546" width="11.77734375" style="385" bestFit="1" customWidth="1"/>
    <col min="1547" max="1547" width="10.21875" style="385" bestFit="1" customWidth="1"/>
    <col min="1548" max="1793" width="8.88671875" style="385"/>
    <col min="1794" max="1794" width="18.6640625" style="385" bestFit="1" customWidth="1"/>
    <col min="1795" max="1795" width="8.88671875" style="385"/>
    <col min="1796" max="1796" width="9.5546875" style="385" bestFit="1" customWidth="1"/>
    <col min="1797" max="1798" width="8.88671875" style="385"/>
    <col min="1799" max="1799" width="7.109375" style="385" customWidth="1"/>
    <col min="1800" max="1800" width="7.44140625" style="385" customWidth="1"/>
    <col min="1801" max="1801" width="8.88671875" style="385"/>
    <col min="1802" max="1802" width="11.77734375" style="385" bestFit="1" customWidth="1"/>
    <col min="1803" max="1803" width="10.21875" style="385" bestFit="1" customWidth="1"/>
    <col min="1804" max="2049" width="8.88671875" style="385"/>
    <col min="2050" max="2050" width="18.6640625" style="385" bestFit="1" customWidth="1"/>
    <col min="2051" max="2051" width="8.88671875" style="385"/>
    <col min="2052" max="2052" width="9.5546875" style="385" bestFit="1" customWidth="1"/>
    <col min="2053" max="2054" width="8.88671875" style="385"/>
    <col min="2055" max="2055" width="7.109375" style="385" customWidth="1"/>
    <col min="2056" max="2056" width="7.44140625" style="385" customWidth="1"/>
    <col min="2057" max="2057" width="8.88671875" style="385"/>
    <col min="2058" max="2058" width="11.77734375" style="385" bestFit="1" customWidth="1"/>
    <col min="2059" max="2059" width="10.21875" style="385" bestFit="1" customWidth="1"/>
    <col min="2060" max="2305" width="8.88671875" style="385"/>
    <col min="2306" max="2306" width="18.6640625" style="385" bestFit="1" customWidth="1"/>
    <col min="2307" max="2307" width="8.88671875" style="385"/>
    <col min="2308" max="2308" width="9.5546875" style="385" bestFit="1" customWidth="1"/>
    <col min="2309" max="2310" width="8.88671875" style="385"/>
    <col min="2311" max="2311" width="7.109375" style="385" customWidth="1"/>
    <col min="2312" max="2312" width="7.44140625" style="385" customWidth="1"/>
    <col min="2313" max="2313" width="8.88671875" style="385"/>
    <col min="2314" max="2314" width="11.77734375" style="385" bestFit="1" customWidth="1"/>
    <col min="2315" max="2315" width="10.21875" style="385" bestFit="1" customWidth="1"/>
    <col min="2316" max="2561" width="8.88671875" style="385"/>
    <col min="2562" max="2562" width="18.6640625" style="385" bestFit="1" customWidth="1"/>
    <col min="2563" max="2563" width="8.88671875" style="385"/>
    <col min="2564" max="2564" width="9.5546875" style="385" bestFit="1" customWidth="1"/>
    <col min="2565" max="2566" width="8.88671875" style="385"/>
    <col min="2567" max="2567" width="7.109375" style="385" customWidth="1"/>
    <col min="2568" max="2568" width="7.44140625" style="385" customWidth="1"/>
    <col min="2569" max="2569" width="8.88671875" style="385"/>
    <col min="2570" max="2570" width="11.77734375" style="385" bestFit="1" customWidth="1"/>
    <col min="2571" max="2571" width="10.21875" style="385" bestFit="1" customWidth="1"/>
    <col min="2572" max="2817" width="8.88671875" style="385"/>
    <col min="2818" max="2818" width="18.6640625" style="385" bestFit="1" customWidth="1"/>
    <col min="2819" max="2819" width="8.88671875" style="385"/>
    <col min="2820" max="2820" width="9.5546875" style="385" bestFit="1" customWidth="1"/>
    <col min="2821" max="2822" width="8.88671875" style="385"/>
    <col min="2823" max="2823" width="7.109375" style="385" customWidth="1"/>
    <col min="2824" max="2824" width="7.44140625" style="385" customWidth="1"/>
    <col min="2825" max="2825" width="8.88671875" style="385"/>
    <col min="2826" max="2826" width="11.77734375" style="385" bestFit="1" customWidth="1"/>
    <col min="2827" max="2827" width="10.21875" style="385" bestFit="1" customWidth="1"/>
    <col min="2828" max="3073" width="8.88671875" style="385"/>
    <col min="3074" max="3074" width="18.6640625" style="385" bestFit="1" customWidth="1"/>
    <col min="3075" max="3075" width="8.88671875" style="385"/>
    <col min="3076" max="3076" width="9.5546875" style="385" bestFit="1" customWidth="1"/>
    <col min="3077" max="3078" width="8.88671875" style="385"/>
    <col min="3079" max="3079" width="7.109375" style="385" customWidth="1"/>
    <col min="3080" max="3080" width="7.44140625" style="385" customWidth="1"/>
    <col min="3081" max="3081" width="8.88671875" style="385"/>
    <col min="3082" max="3082" width="11.77734375" style="385" bestFit="1" customWidth="1"/>
    <col min="3083" max="3083" width="10.21875" style="385" bestFit="1" customWidth="1"/>
    <col min="3084" max="3329" width="8.88671875" style="385"/>
    <col min="3330" max="3330" width="18.6640625" style="385" bestFit="1" customWidth="1"/>
    <col min="3331" max="3331" width="8.88671875" style="385"/>
    <col min="3332" max="3332" width="9.5546875" style="385" bestFit="1" customWidth="1"/>
    <col min="3333" max="3334" width="8.88671875" style="385"/>
    <col min="3335" max="3335" width="7.109375" style="385" customWidth="1"/>
    <col min="3336" max="3336" width="7.44140625" style="385" customWidth="1"/>
    <col min="3337" max="3337" width="8.88671875" style="385"/>
    <col min="3338" max="3338" width="11.77734375" style="385" bestFit="1" customWidth="1"/>
    <col min="3339" max="3339" width="10.21875" style="385" bestFit="1" customWidth="1"/>
    <col min="3340" max="3585" width="8.88671875" style="385"/>
    <col min="3586" max="3586" width="18.6640625" style="385" bestFit="1" customWidth="1"/>
    <col min="3587" max="3587" width="8.88671875" style="385"/>
    <col min="3588" max="3588" width="9.5546875" style="385" bestFit="1" customWidth="1"/>
    <col min="3589" max="3590" width="8.88671875" style="385"/>
    <col min="3591" max="3591" width="7.109375" style="385" customWidth="1"/>
    <col min="3592" max="3592" width="7.44140625" style="385" customWidth="1"/>
    <col min="3593" max="3593" width="8.88671875" style="385"/>
    <col min="3594" max="3594" width="11.77734375" style="385" bestFit="1" customWidth="1"/>
    <col min="3595" max="3595" width="10.21875" style="385" bestFit="1" customWidth="1"/>
    <col min="3596" max="3841" width="8.88671875" style="385"/>
    <col min="3842" max="3842" width="18.6640625" style="385" bestFit="1" customWidth="1"/>
    <col min="3843" max="3843" width="8.88671875" style="385"/>
    <col min="3844" max="3844" width="9.5546875" style="385" bestFit="1" customWidth="1"/>
    <col min="3845" max="3846" width="8.88671875" style="385"/>
    <col min="3847" max="3847" width="7.109375" style="385" customWidth="1"/>
    <col min="3848" max="3848" width="7.44140625" style="385" customWidth="1"/>
    <col min="3849" max="3849" width="8.88671875" style="385"/>
    <col min="3850" max="3850" width="11.77734375" style="385" bestFit="1" customWidth="1"/>
    <col min="3851" max="3851" width="10.21875" style="385" bestFit="1" customWidth="1"/>
    <col min="3852" max="4097" width="8.88671875" style="385"/>
    <col min="4098" max="4098" width="18.6640625" style="385" bestFit="1" customWidth="1"/>
    <col min="4099" max="4099" width="8.88671875" style="385"/>
    <col min="4100" max="4100" width="9.5546875" style="385" bestFit="1" customWidth="1"/>
    <col min="4101" max="4102" width="8.88671875" style="385"/>
    <col min="4103" max="4103" width="7.109375" style="385" customWidth="1"/>
    <col min="4104" max="4104" width="7.44140625" style="385" customWidth="1"/>
    <col min="4105" max="4105" width="8.88671875" style="385"/>
    <col min="4106" max="4106" width="11.77734375" style="385" bestFit="1" customWidth="1"/>
    <col min="4107" max="4107" width="10.21875" style="385" bestFit="1" customWidth="1"/>
    <col min="4108" max="4353" width="8.88671875" style="385"/>
    <col min="4354" max="4354" width="18.6640625" style="385" bestFit="1" customWidth="1"/>
    <col min="4355" max="4355" width="8.88671875" style="385"/>
    <col min="4356" max="4356" width="9.5546875" style="385" bestFit="1" customWidth="1"/>
    <col min="4357" max="4358" width="8.88671875" style="385"/>
    <col min="4359" max="4359" width="7.109375" style="385" customWidth="1"/>
    <col min="4360" max="4360" width="7.44140625" style="385" customWidth="1"/>
    <col min="4361" max="4361" width="8.88671875" style="385"/>
    <col min="4362" max="4362" width="11.77734375" style="385" bestFit="1" customWidth="1"/>
    <col min="4363" max="4363" width="10.21875" style="385" bestFit="1" customWidth="1"/>
    <col min="4364" max="4609" width="8.88671875" style="385"/>
    <col min="4610" max="4610" width="18.6640625" style="385" bestFit="1" customWidth="1"/>
    <col min="4611" max="4611" width="8.88671875" style="385"/>
    <col min="4612" max="4612" width="9.5546875" style="385" bestFit="1" customWidth="1"/>
    <col min="4613" max="4614" width="8.88671875" style="385"/>
    <col min="4615" max="4615" width="7.109375" style="385" customWidth="1"/>
    <col min="4616" max="4616" width="7.44140625" style="385" customWidth="1"/>
    <col min="4617" max="4617" width="8.88671875" style="385"/>
    <col min="4618" max="4618" width="11.77734375" style="385" bestFit="1" customWidth="1"/>
    <col min="4619" max="4619" width="10.21875" style="385" bestFit="1" customWidth="1"/>
    <col min="4620" max="4865" width="8.88671875" style="385"/>
    <col min="4866" max="4866" width="18.6640625" style="385" bestFit="1" customWidth="1"/>
    <col min="4867" max="4867" width="8.88671875" style="385"/>
    <col min="4868" max="4868" width="9.5546875" style="385" bestFit="1" customWidth="1"/>
    <col min="4869" max="4870" width="8.88671875" style="385"/>
    <col min="4871" max="4871" width="7.109375" style="385" customWidth="1"/>
    <col min="4872" max="4872" width="7.44140625" style="385" customWidth="1"/>
    <col min="4873" max="4873" width="8.88671875" style="385"/>
    <col min="4874" max="4874" width="11.77734375" style="385" bestFit="1" customWidth="1"/>
    <col min="4875" max="4875" width="10.21875" style="385" bestFit="1" customWidth="1"/>
    <col min="4876" max="5121" width="8.88671875" style="385"/>
    <col min="5122" max="5122" width="18.6640625" style="385" bestFit="1" customWidth="1"/>
    <col min="5123" max="5123" width="8.88671875" style="385"/>
    <col min="5124" max="5124" width="9.5546875" style="385" bestFit="1" customWidth="1"/>
    <col min="5125" max="5126" width="8.88671875" style="385"/>
    <col min="5127" max="5127" width="7.109375" style="385" customWidth="1"/>
    <col min="5128" max="5128" width="7.44140625" style="385" customWidth="1"/>
    <col min="5129" max="5129" width="8.88671875" style="385"/>
    <col min="5130" max="5130" width="11.77734375" style="385" bestFit="1" customWidth="1"/>
    <col min="5131" max="5131" width="10.21875" style="385" bestFit="1" customWidth="1"/>
    <col min="5132" max="5377" width="8.88671875" style="385"/>
    <col min="5378" max="5378" width="18.6640625" style="385" bestFit="1" customWidth="1"/>
    <col min="5379" max="5379" width="8.88671875" style="385"/>
    <col min="5380" max="5380" width="9.5546875" style="385" bestFit="1" customWidth="1"/>
    <col min="5381" max="5382" width="8.88671875" style="385"/>
    <col min="5383" max="5383" width="7.109375" style="385" customWidth="1"/>
    <col min="5384" max="5384" width="7.44140625" style="385" customWidth="1"/>
    <col min="5385" max="5385" width="8.88671875" style="385"/>
    <col min="5386" max="5386" width="11.77734375" style="385" bestFit="1" customWidth="1"/>
    <col min="5387" max="5387" width="10.21875" style="385" bestFit="1" customWidth="1"/>
    <col min="5388" max="5633" width="8.88671875" style="385"/>
    <col min="5634" max="5634" width="18.6640625" style="385" bestFit="1" customWidth="1"/>
    <col min="5635" max="5635" width="8.88671875" style="385"/>
    <col min="5636" max="5636" width="9.5546875" style="385" bestFit="1" customWidth="1"/>
    <col min="5637" max="5638" width="8.88671875" style="385"/>
    <col min="5639" max="5639" width="7.109375" style="385" customWidth="1"/>
    <col min="5640" max="5640" width="7.44140625" style="385" customWidth="1"/>
    <col min="5641" max="5641" width="8.88671875" style="385"/>
    <col min="5642" max="5642" width="11.77734375" style="385" bestFit="1" customWidth="1"/>
    <col min="5643" max="5643" width="10.21875" style="385" bestFit="1" customWidth="1"/>
    <col min="5644" max="5889" width="8.88671875" style="385"/>
    <col min="5890" max="5890" width="18.6640625" style="385" bestFit="1" customWidth="1"/>
    <col min="5891" max="5891" width="8.88671875" style="385"/>
    <col min="5892" max="5892" width="9.5546875" style="385" bestFit="1" customWidth="1"/>
    <col min="5893" max="5894" width="8.88671875" style="385"/>
    <col min="5895" max="5895" width="7.109375" style="385" customWidth="1"/>
    <col min="5896" max="5896" width="7.44140625" style="385" customWidth="1"/>
    <col min="5897" max="5897" width="8.88671875" style="385"/>
    <col min="5898" max="5898" width="11.77734375" style="385" bestFit="1" customWidth="1"/>
    <col min="5899" max="5899" width="10.21875" style="385" bestFit="1" customWidth="1"/>
    <col min="5900" max="6145" width="8.88671875" style="385"/>
    <col min="6146" max="6146" width="18.6640625" style="385" bestFit="1" customWidth="1"/>
    <col min="6147" max="6147" width="8.88671875" style="385"/>
    <col min="6148" max="6148" width="9.5546875" style="385" bestFit="1" customWidth="1"/>
    <col min="6149" max="6150" width="8.88671875" style="385"/>
    <col min="6151" max="6151" width="7.109375" style="385" customWidth="1"/>
    <col min="6152" max="6152" width="7.44140625" style="385" customWidth="1"/>
    <col min="6153" max="6153" width="8.88671875" style="385"/>
    <col min="6154" max="6154" width="11.77734375" style="385" bestFit="1" customWidth="1"/>
    <col min="6155" max="6155" width="10.21875" style="385" bestFit="1" customWidth="1"/>
    <col min="6156" max="6401" width="8.88671875" style="385"/>
    <col min="6402" max="6402" width="18.6640625" style="385" bestFit="1" customWidth="1"/>
    <col min="6403" max="6403" width="8.88671875" style="385"/>
    <col min="6404" max="6404" width="9.5546875" style="385" bestFit="1" customWidth="1"/>
    <col min="6405" max="6406" width="8.88671875" style="385"/>
    <col min="6407" max="6407" width="7.109375" style="385" customWidth="1"/>
    <col min="6408" max="6408" width="7.44140625" style="385" customWidth="1"/>
    <col min="6409" max="6409" width="8.88671875" style="385"/>
    <col min="6410" max="6410" width="11.77734375" style="385" bestFit="1" customWidth="1"/>
    <col min="6411" max="6411" width="10.21875" style="385" bestFit="1" customWidth="1"/>
    <col min="6412" max="6657" width="8.88671875" style="385"/>
    <col min="6658" max="6658" width="18.6640625" style="385" bestFit="1" customWidth="1"/>
    <col min="6659" max="6659" width="8.88671875" style="385"/>
    <col min="6660" max="6660" width="9.5546875" style="385" bestFit="1" customWidth="1"/>
    <col min="6661" max="6662" width="8.88671875" style="385"/>
    <col min="6663" max="6663" width="7.109375" style="385" customWidth="1"/>
    <col min="6664" max="6664" width="7.44140625" style="385" customWidth="1"/>
    <col min="6665" max="6665" width="8.88671875" style="385"/>
    <col min="6666" max="6666" width="11.77734375" style="385" bestFit="1" customWidth="1"/>
    <col min="6667" max="6667" width="10.21875" style="385" bestFit="1" customWidth="1"/>
    <col min="6668" max="6913" width="8.88671875" style="385"/>
    <col min="6914" max="6914" width="18.6640625" style="385" bestFit="1" customWidth="1"/>
    <col min="6915" max="6915" width="8.88671875" style="385"/>
    <col min="6916" max="6916" width="9.5546875" style="385" bestFit="1" customWidth="1"/>
    <col min="6917" max="6918" width="8.88671875" style="385"/>
    <col min="6919" max="6919" width="7.109375" style="385" customWidth="1"/>
    <col min="6920" max="6920" width="7.44140625" style="385" customWidth="1"/>
    <col min="6921" max="6921" width="8.88671875" style="385"/>
    <col min="6922" max="6922" width="11.77734375" style="385" bestFit="1" customWidth="1"/>
    <col min="6923" max="6923" width="10.21875" style="385" bestFit="1" customWidth="1"/>
    <col min="6924" max="7169" width="8.88671875" style="385"/>
    <col min="7170" max="7170" width="18.6640625" style="385" bestFit="1" customWidth="1"/>
    <col min="7171" max="7171" width="8.88671875" style="385"/>
    <col min="7172" max="7172" width="9.5546875" style="385" bestFit="1" customWidth="1"/>
    <col min="7173" max="7174" width="8.88671875" style="385"/>
    <col min="7175" max="7175" width="7.109375" style="385" customWidth="1"/>
    <col min="7176" max="7176" width="7.44140625" style="385" customWidth="1"/>
    <col min="7177" max="7177" width="8.88671875" style="385"/>
    <col min="7178" max="7178" width="11.77734375" style="385" bestFit="1" customWidth="1"/>
    <col min="7179" max="7179" width="10.21875" style="385" bestFit="1" customWidth="1"/>
    <col min="7180" max="7425" width="8.88671875" style="385"/>
    <col min="7426" max="7426" width="18.6640625" style="385" bestFit="1" customWidth="1"/>
    <col min="7427" max="7427" width="8.88671875" style="385"/>
    <col min="7428" max="7428" width="9.5546875" style="385" bestFit="1" customWidth="1"/>
    <col min="7429" max="7430" width="8.88671875" style="385"/>
    <col min="7431" max="7431" width="7.109375" style="385" customWidth="1"/>
    <col min="7432" max="7432" width="7.44140625" style="385" customWidth="1"/>
    <col min="7433" max="7433" width="8.88671875" style="385"/>
    <col min="7434" max="7434" width="11.77734375" style="385" bestFit="1" customWidth="1"/>
    <col min="7435" max="7435" width="10.21875" style="385" bestFit="1" customWidth="1"/>
    <col min="7436" max="7681" width="8.88671875" style="385"/>
    <col min="7682" max="7682" width="18.6640625" style="385" bestFit="1" customWidth="1"/>
    <col min="7683" max="7683" width="8.88671875" style="385"/>
    <col min="7684" max="7684" width="9.5546875" style="385" bestFit="1" customWidth="1"/>
    <col min="7685" max="7686" width="8.88671875" style="385"/>
    <col min="7687" max="7687" width="7.109375" style="385" customWidth="1"/>
    <col min="7688" max="7688" width="7.44140625" style="385" customWidth="1"/>
    <col min="7689" max="7689" width="8.88671875" style="385"/>
    <col min="7690" max="7690" width="11.77734375" style="385" bestFit="1" customWidth="1"/>
    <col min="7691" max="7691" width="10.21875" style="385" bestFit="1" customWidth="1"/>
    <col min="7692" max="7937" width="8.88671875" style="385"/>
    <col min="7938" max="7938" width="18.6640625" style="385" bestFit="1" customWidth="1"/>
    <col min="7939" max="7939" width="8.88671875" style="385"/>
    <col min="7940" max="7940" width="9.5546875" style="385" bestFit="1" customWidth="1"/>
    <col min="7941" max="7942" width="8.88671875" style="385"/>
    <col min="7943" max="7943" width="7.109375" style="385" customWidth="1"/>
    <col min="7944" max="7944" width="7.44140625" style="385" customWidth="1"/>
    <col min="7945" max="7945" width="8.88671875" style="385"/>
    <col min="7946" max="7946" width="11.77734375" style="385" bestFit="1" customWidth="1"/>
    <col min="7947" max="7947" width="10.21875" style="385" bestFit="1" customWidth="1"/>
    <col min="7948" max="8193" width="8.88671875" style="385"/>
    <col min="8194" max="8194" width="18.6640625" style="385" bestFit="1" customWidth="1"/>
    <col min="8195" max="8195" width="8.88671875" style="385"/>
    <col min="8196" max="8196" width="9.5546875" style="385" bestFit="1" customWidth="1"/>
    <col min="8197" max="8198" width="8.88671875" style="385"/>
    <col min="8199" max="8199" width="7.109375" style="385" customWidth="1"/>
    <col min="8200" max="8200" width="7.44140625" style="385" customWidth="1"/>
    <col min="8201" max="8201" width="8.88671875" style="385"/>
    <col min="8202" max="8202" width="11.77734375" style="385" bestFit="1" customWidth="1"/>
    <col min="8203" max="8203" width="10.21875" style="385" bestFit="1" customWidth="1"/>
    <col min="8204" max="8449" width="8.88671875" style="385"/>
    <col min="8450" max="8450" width="18.6640625" style="385" bestFit="1" customWidth="1"/>
    <col min="8451" max="8451" width="8.88671875" style="385"/>
    <col min="8452" max="8452" width="9.5546875" style="385" bestFit="1" customWidth="1"/>
    <col min="8453" max="8454" width="8.88671875" style="385"/>
    <col min="8455" max="8455" width="7.109375" style="385" customWidth="1"/>
    <col min="8456" max="8456" width="7.44140625" style="385" customWidth="1"/>
    <col min="8457" max="8457" width="8.88671875" style="385"/>
    <col min="8458" max="8458" width="11.77734375" style="385" bestFit="1" customWidth="1"/>
    <col min="8459" max="8459" width="10.21875" style="385" bestFit="1" customWidth="1"/>
    <col min="8460" max="8705" width="8.88671875" style="385"/>
    <col min="8706" max="8706" width="18.6640625" style="385" bestFit="1" customWidth="1"/>
    <col min="8707" max="8707" width="8.88671875" style="385"/>
    <col min="8708" max="8708" width="9.5546875" style="385" bestFit="1" customWidth="1"/>
    <col min="8709" max="8710" width="8.88671875" style="385"/>
    <col min="8711" max="8711" width="7.109375" style="385" customWidth="1"/>
    <col min="8712" max="8712" width="7.44140625" style="385" customWidth="1"/>
    <col min="8713" max="8713" width="8.88671875" style="385"/>
    <col min="8714" max="8714" width="11.77734375" style="385" bestFit="1" customWidth="1"/>
    <col min="8715" max="8715" width="10.21875" style="385" bestFit="1" customWidth="1"/>
    <col min="8716" max="8961" width="8.88671875" style="385"/>
    <col min="8962" max="8962" width="18.6640625" style="385" bestFit="1" customWidth="1"/>
    <col min="8963" max="8963" width="8.88671875" style="385"/>
    <col min="8964" max="8964" width="9.5546875" style="385" bestFit="1" customWidth="1"/>
    <col min="8965" max="8966" width="8.88671875" style="385"/>
    <col min="8967" max="8967" width="7.109375" style="385" customWidth="1"/>
    <col min="8968" max="8968" width="7.44140625" style="385" customWidth="1"/>
    <col min="8969" max="8969" width="8.88671875" style="385"/>
    <col min="8970" max="8970" width="11.77734375" style="385" bestFit="1" customWidth="1"/>
    <col min="8971" max="8971" width="10.21875" style="385" bestFit="1" customWidth="1"/>
    <col min="8972" max="9217" width="8.88671875" style="385"/>
    <col min="9218" max="9218" width="18.6640625" style="385" bestFit="1" customWidth="1"/>
    <col min="9219" max="9219" width="8.88671875" style="385"/>
    <col min="9220" max="9220" width="9.5546875" style="385" bestFit="1" customWidth="1"/>
    <col min="9221" max="9222" width="8.88671875" style="385"/>
    <col min="9223" max="9223" width="7.109375" style="385" customWidth="1"/>
    <col min="9224" max="9224" width="7.44140625" style="385" customWidth="1"/>
    <col min="9225" max="9225" width="8.88671875" style="385"/>
    <col min="9226" max="9226" width="11.77734375" style="385" bestFit="1" customWidth="1"/>
    <col min="9227" max="9227" width="10.21875" style="385" bestFit="1" customWidth="1"/>
    <col min="9228" max="9473" width="8.88671875" style="385"/>
    <col min="9474" max="9474" width="18.6640625" style="385" bestFit="1" customWidth="1"/>
    <col min="9475" max="9475" width="8.88671875" style="385"/>
    <col min="9476" max="9476" width="9.5546875" style="385" bestFit="1" customWidth="1"/>
    <col min="9477" max="9478" width="8.88671875" style="385"/>
    <col min="9479" max="9479" width="7.109375" style="385" customWidth="1"/>
    <col min="9480" max="9480" width="7.44140625" style="385" customWidth="1"/>
    <col min="9481" max="9481" width="8.88671875" style="385"/>
    <col min="9482" max="9482" width="11.77734375" style="385" bestFit="1" customWidth="1"/>
    <col min="9483" max="9483" width="10.21875" style="385" bestFit="1" customWidth="1"/>
    <col min="9484" max="9729" width="8.88671875" style="385"/>
    <col min="9730" max="9730" width="18.6640625" style="385" bestFit="1" customWidth="1"/>
    <col min="9731" max="9731" width="8.88671875" style="385"/>
    <col min="9732" max="9732" width="9.5546875" style="385" bestFit="1" customWidth="1"/>
    <col min="9733" max="9734" width="8.88671875" style="385"/>
    <col min="9735" max="9735" width="7.109375" style="385" customWidth="1"/>
    <col min="9736" max="9736" width="7.44140625" style="385" customWidth="1"/>
    <col min="9737" max="9737" width="8.88671875" style="385"/>
    <col min="9738" max="9738" width="11.77734375" style="385" bestFit="1" customWidth="1"/>
    <col min="9739" max="9739" width="10.21875" style="385" bestFit="1" customWidth="1"/>
    <col min="9740" max="9985" width="8.88671875" style="385"/>
    <col min="9986" max="9986" width="18.6640625" style="385" bestFit="1" customWidth="1"/>
    <col min="9987" max="9987" width="8.88671875" style="385"/>
    <col min="9988" max="9988" width="9.5546875" style="385" bestFit="1" customWidth="1"/>
    <col min="9989" max="9990" width="8.88671875" style="385"/>
    <col min="9991" max="9991" width="7.109375" style="385" customWidth="1"/>
    <col min="9992" max="9992" width="7.44140625" style="385" customWidth="1"/>
    <col min="9993" max="9993" width="8.88671875" style="385"/>
    <col min="9994" max="9994" width="11.77734375" style="385" bestFit="1" customWidth="1"/>
    <col min="9995" max="9995" width="10.21875" style="385" bestFit="1" customWidth="1"/>
    <col min="9996" max="10241" width="8.88671875" style="385"/>
    <col min="10242" max="10242" width="18.6640625" style="385" bestFit="1" customWidth="1"/>
    <col min="10243" max="10243" width="8.88671875" style="385"/>
    <col min="10244" max="10244" width="9.5546875" style="385" bestFit="1" customWidth="1"/>
    <col min="10245" max="10246" width="8.88671875" style="385"/>
    <col min="10247" max="10247" width="7.109375" style="385" customWidth="1"/>
    <col min="10248" max="10248" width="7.44140625" style="385" customWidth="1"/>
    <col min="10249" max="10249" width="8.88671875" style="385"/>
    <col min="10250" max="10250" width="11.77734375" style="385" bestFit="1" customWidth="1"/>
    <col min="10251" max="10251" width="10.21875" style="385" bestFit="1" customWidth="1"/>
    <col min="10252" max="10497" width="8.88671875" style="385"/>
    <col min="10498" max="10498" width="18.6640625" style="385" bestFit="1" customWidth="1"/>
    <col min="10499" max="10499" width="8.88671875" style="385"/>
    <col min="10500" max="10500" width="9.5546875" style="385" bestFit="1" customWidth="1"/>
    <col min="10501" max="10502" width="8.88671875" style="385"/>
    <col min="10503" max="10503" width="7.109375" style="385" customWidth="1"/>
    <col min="10504" max="10504" width="7.44140625" style="385" customWidth="1"/>
    <col min="10505" max="10505" width="8.88671875" style="385"/>
    <col min="10506" max="10506" width="11.77734375" style="385" bestFit="1" customWidth="1"/>
    <col min="10507" max="10507" width="10.21875" style="385" bestFit="1" customWidth="1"/>
    <col min="10508" max="10753" width="8.88671875" style="385"/>
    <col min="10754" max="10754" width="18.6640625" style="385" bestFit="1" customWidth="1"/>
    <col min="10755" max="10755" width="8.88671875" style="385"/>
    <col min="10756" max="10756" width="9.5546875" style="385" bestFit="1" customWidth="1"/>
    <col min="10757" max="10758" width="8.88671875" style="385"/>
    <col min="10759" max="10759" width="7.109375" style="385" customWidth="1"/>
    <col min="10760" max="10760" width="7.44140625" style="385" customWidth="1"/>
    <col min="10761" max="10761" width="8.88671875" style="385"/>
    <col min="10762" max="10762" width="11.77734375" style="385" bestFit="1" customWidth="1"/>
    <col min="10763" max="10763" width="10.21875" style="385" bestFit="1" customWidth="1"/>
    <col min="10764" max="11009" width="8.88671875" style="385"/>
    <col min="11010" max="11010" width="18.6640625" style="385" bestFit="1" customWidth="1"/>
    <col min="11011" max="11011" width="8.88671875" style="385"/>
    <col min="11012" max="11012" width="9.5546875" style="385" bestFit="1" customWidth="1"/>
    <col min="11013" max="11014" width="8.88671875" style="385"/>
    <col min="11015" max="11015" width="7.109375" style="385" customWidth="1"/>
    <col min="11016" max="11016" width="7.44140625" style="385" customWidth="1"/>
    <col min="11017" max="11017" width="8.88671875" style="385"/>
    <col min="11018" max="11018" width="11.77734375" style="385" bestFit="1" customWidth="1"/>
    <col min="11019" max="11019" width="10.21875" style="385" bestFit="1" customWidth="1"/>
    <col min="11020" max="11265" width="8.88671875" style="385"/>
    <col min="11266" max="11266" width="18.6640625" style="385" bestFit="1" customWidth="1"/>
    <col min="11267" max="11267" width="8.88671875" style="385"/>
    <col min="11268" max="11268" width="9.5546875" style="385" bestFit="1" customWidth="1"/>
    <col min="11269" max="11270" width="8.88671875" style="385"/>
    <col min="11271" max="11271" width="7.109375" style="385" customWidth="1"/>
    <col min="11272" max="11272" width="7.44140625" style="385" customWidth="1"/>
    <col min="11273" max="11273" width="8.88671875" style="385"/>
    <col min="11274" max="11274" width="11.77734375" style="385" bestFit="1" customWidth="1"/>
    <col min="11275" max="11275" width="10.21875" style="385" bestFit="1" customWidth="1"/>
    <col min="11276" max="11521" width="8.88671875" style="385"/>
    <col min="11522" max="11522" width="18.6640625" style="385" bestFit="1" customWidth="1"/>
    <col min="11523" max="11523" width="8.88671875" style="385"/>
    <col min="11524" max="11524" width="9.5546875" style="385" bestFit="1" customWidth="1"/>
    <col min="11525" max="11526" width="8.88671875" style="385"/>
    <col min="11527" max="11527" width="7.109375" style="385" customWidth="1"/>
    <col min="11528" max="11528" width="7.44140625" style="385" customWidth="1"/>
    <col min="11529" max="11529" width="8.88671875" style="385"/>
    <col min="11530" max="11530" width="11.77734375" style="385" bestFit="1" customWidth="1"/>
    <col min="11531" max="11531" width="10.21875" style="385" bestFit="1" customWidth="1"/>
    <col min="11532" max="11777" width="8.88671875" style="385"/>
    <col min="11778" max="11778" width="18.6640625" style="385" bestFit="1" customWidth="1"/>
    <col min="11779" max="11779" width="8.88671875" style="385"/>
    <col min="11780" max="11780" width="9.5546875" style="385" bestFit="1" customWidth="1"/>
    <col min="11781" max="11782" width="8.88671875" style="385"/>
    <col min="11783" max="11783" width="7.109375" style="385" customWidth="1"/>
    <col min="11784" max="11784" width="7.44140625" style="385" customWidth="1"/>
    <col min="11785" max="11785" width="8.88671875" style="385"/>
    <col min="11786" max="11786" width="11.77734375" style="385" bestFit="1" customWidth="1"/>
    <col min="11787" max="11787" width="10.21875" style="385" bestFit="1" customWidth="1"/>
    <col min="11788" max="12033" width="8.88671875" style="385"/>
    <col min="12034" max="12034" width="18.6640625" style="385" bestFit="1" customWidth="1"/>
    <col min="12035" max="12035" width="8.88671875" style="385"/>
    <col min="12036" max="12036" width="9.5546875" style="385" bestFit="1" customWidth="1"/>
    <col min="12037" max="12038" width="8.88671875" style="385"/>
    <col min="12039" max="12039" width="7.109375" style="385" customWidth="1"/>
    <col min="12040" max="12040" width="7.44140625" style="385" customWidth="1"/>
    <col min="12041" max="12041" width="8.88671875" style="385"/>
    <col min="12042" max="12042" width="11.77734375" style="385" bestFit="1" customWidth="1"/>
    <col min="12043" max="12043" width="10.21875" style="385" bestFit="1" customWidth="1"/>
    <col min="12044" max="12289" width="8.88671875" style="385"/>
    <col min="12290" max="12290" width="18.6640625" style="385" bestFit="1" customWidth="1"/>
    <col min="12291" max="12291" width="8.88671875" style="385"/>
    <col min="12292" max="12292" width="9.5546875" style="385" bestFit="1" customWidth="1"/>
    <col min="12293" max="12294" width="8.88671875" style="385"/>
    <col min="12295" max="12295" width="7.109375" style="385" customWidth="1"/>
    <col min="12296" max="12296" width="7.44140625" style="385" customWidth="1"/>
    <col min="12297" max="12297" width="8.88671875" style="385"/>
    <col min="12298" max="12298" width="11.77734375" style="385" bestFit="1" customWidth="1"/>
    <col min="12299" max="12299" width="10.21875" style="385" bestFit="1" customWidth="1"/>
    <col min="12300" max="12545" width="8.88671875" style="385"/>
    <col min="12546" max="12546" width="18.6640625" style="385" bestFit="1" customWidth="1"/>
    <col min="12547" max="12547" width="8.88671875" style="385"/>
    <col min="12548" max="12548" width="9.5546875" style="385" bestFit="1" customWidth="1"/>
    <col min="12549" max="12550" width="8.88671875" style="385"/>
    <col min="12551" max="12551" width="7.109375" style="385" customWidth="1"/>
    <col min="12552" max="12552" width="7.44140625" style="385" customWidth="1"/>
    <col min="12553" max="12553" width="8.88671875" style="385"/>
    <col min="12554" max="12554" width="11.77734375" style="385" bestFit="1" customWidth="1"/>
    <col min="12555" max="12555" width="10.21875" style="385" bestFit="1" customWidth="1"/>
    <col min="12556" max="12801" width="8.88671875" style="385"/>
    <col min="12802" max="12802" width="18.6640625" style="385" bestFit="1" customWidth="1"/>
    <col min="12803" max="12803" width="8.88671875" style="385"/>
    <col min="12804" max="12804" width="9.5546875" style="385" bestFit="1" customWidth="1"/>
    <col min="12805" max="12806" width="8.88671875" style="385"/>
    <col min="12807" max="12807" width="7.109375" style="385" customWidth="1"/>
    <col min="12808" max="12808" width="7.44140625" style="385" customWidth="1"/>
    <col min="12809" max="12809" width="8.88671875" style="385"/>
    <col min="12810" max="12810" width="11.77734375" style="385" bestFit="1" customWidth="1"/>
    <col min="12811" max="12811" width="10.21875" style="385" bestFit="1" customWidth="1"/>
    <col min="12812" max="13057" width="8.88671875" style="385"/>
    <col min="13058" max="13058" width="18.6640625" style="385" bestFit="1" customWidth="1"/>
    <col min="13059" max="13059" width="8.88671875" style="385"/>
    <col min="13060" max="13060" width="9.5546875" style="385" bestFit="1" customWidth="1"/>
    <col min="13061" max="13062" width="8.88671875" style="385"/>
    <col min="13063" max="13063" width="7.109375" style="385" customWidth="1"/>
    <col min="13064" max="13064" width="7.44140625" style="385" customWidth="1"/>
    <col min="13065" max="13065" width="8.88671875" style="385"/>
    <col min="13066" max="13066" width="11.77734375" style="385" bestFit="1" customWidth="1"/>
    <col min="13067" max="13067" width="10.21875" style="385" bestFit="1" customWidth="1"/>
    <col min="13068" max="13313" width="8.88671875" style="385"/>
    <col min="13314" max="13314" width="18.6640625" style="385" bestFit="1" customWidth="1"/>
    <col min="13315" max="13315" width="8.88671875" style="385"/>
    <col min="13316" max="13316" width="9.5546875" style="385" bestFit="1" customWidth="1"/>
    <col min="13317" max="13318" width="8.88671875" style="385"/>
    <col min="13319" max="13319" width="7.109375" style="385" customWidth="1"/>
    <col min="13320" max="13320" width="7.44140625" style="385" customWidth="1"/>
    <col min="13321" max="13321" width="8.88671875" style="385"/>
    <col min="13322" max="13322" width="11.77734375" style="385" bestFit="1" customWidth="1"/>
    <col min="13323" max="13323" width="10.21875" style="385" bestFit="1" customWidth="1"/>
    <col min="13324" max="13569" width="8.88671875" style="385"/>
    <col min="13570" max="13570" width="18.6640625" style="385" bestFit="1" customWidth="1"/>
    <col min="13571" max="13571" width="8.88671875" style="385"/>
    <col min="13572" max="13572" width="9.5546875" style="385" bestFit="1" customWidth="1"/>
    <col min="13573" max="13574" width="8.88671875" style="385"/>
    <col min="13575" max="13575" width="7.109375" style="385" customWidth="1"/>
    <col min="13576" max="13576" width="7.44140625" style="385" customWidth="1"/>
    <col min="13577" max="13577" width="8.88671875" style="385"/>
    <col min="13578" max="13578" width="11.77734375" style="385" bestFit="1" customWidth="1"/>
    <col min="13579" max="13579" width="10.21875" style="385" bestFit="1" customWidth="1"/>
    <col min="13580" max="13825" width="8.88671875" style="385"/>
    <col min="13826" max="13826" width="18.6640625" style="385" bestFit="1" customWidth="1"/>
    <col min="13827" max="13827" width="8.88671875" style="385"/>
    <col min="13828" max="13828" width="9.5546875" style="385" bestFit="1" customWidth="1"/>
    <col min="13829" max="13830" width="8.88671875" style="385"/>
    <col min="13831" max="13831" width="7.109375" style="385" customWidth="1"/>
    <col min="13832" max="13832" width="7.44140625" style="385" customWidth="1"/>
    <col min="13833" max="13833" width="8.88671875" style="385"/>
    <col min="13834" max="13834" width="11.77734375" style="385" bestFit="1" customWidth="1"/>
    <col min="13835" max="13835" width="10.21875" style="385" bestFit="1" customWidth="1"/>
    <col min="13836" max="14081" width="8.88671875" style="385"/>
    <col min="14082" max="14082" width="18.6640625" style="385" bestFit="1" customWidth="1"/>
    <col min="14083" max="14083" width="8.88671875" style="385"/>
    <col min="14084" max="14084" width="9.5546875" style="385" bestFit="1" customWidth="1"/>
    <col min="14085" max="14086" width="8.88671875" style="385"/>
    <col min="14087" max="14087" width="7.109375" style="385" customWidth="1"/>
    <col min="14088" max="14088" width="7.44140625" style="385" customWidth="1"/>
    <col min="14089" max="14089" width="8.88671875" style="385"/>
    <col min="14090" max="14090" width="11.77734375" style="385" bestFit="1" customWidth="1"/>
    <col min="14091" max="14091" width="10.21875" style="385" bestFit="1" customWidth="1"/>
    <col min="14092" max="14337" width="8.88671875" style="385"/>
    <col min="14338" max="14338" width="18.6640625" style="385" bestFit="1" customWidth="1"/>
    <col min="14339" max="14339" width="8.88671875" style="385"/>
    <col min="14340" max="14340" width="9.5546875" style="385" bestFit="1" customWidth="1"/>
    <col min="14341" max="14342" width="8.88671875" style="385"/>
    <col min="14343" max="14343" width="7.109375" style="385" customWidth="1"/>
    <col min="14344" max="14344" width="7.44140625" style="385" customWidth="1"/>
    <col min="14345" max="14345" width="8.88671875" style="385"/>
    <col min="14346" max="14346" width="11.77734375" style="385" bestFit="1" customWidth="1"/>
    <col min="14347" max="14347" width="10.21875" style="385" bestFit="1" customWidth="1"/>
    <col min="14348" max="14593" width="8.88671875" style="385"/>
    <col min="14594" max="14594" width="18.6640625" style="385" bestFit="1" customWidth="1"/>
    <col min="14595" max="14595" width="8.88671875" style="385"/>
    <col min="14596" max="14596" width="9.5546875" style="385" bestFit="1" customWidth="1"/>
    <col min="14597" max="14598" width="8.88671875" style="385"/>
    <col min="14599" max="14599" width="7.109375" style="385" customWidth="1"/>
    <col min="14600" max="14600" width="7.44140625" style="385" customWidth="1"/>
    <col min="14601" max="14601" width="8.88671875" style="385"/>
    <col min="14602" max="14602" width="11.77734375" style="385" bestFit="1" customWidth="1"/>
    <col min="14603" max="14603" width="10.21875" style="385" bestFit="1" customWidth="1"/>
    <col min="14604" max="14849" width="8.88671875" style="385"/>
    <col min="14850" max="14850" width="18.6640625" style="385" bestFit="1" customWidth="1"/>
    <col min="14851" max="14851" width="8.88671875" style="385"/>
    <col min="14852" max="14852" width="9.5546875" style="385" bestFit="1" customWidth="1"/>
    <col min="14853" max="14854" width="8.88671875" style="385"/>
    <col min="14855" max="14855" width="7.109375" style="385" customWidth="1"/>
    <col min="14856" max="14856" width="7.44140625" style="385" customWidth="1"/>
    <col min="14857" max="14857" width="8.88671875" style="385"/>
    <col min="14858" max="14858" width="11.77734375" style="385" bestFit="1" customWidth="1"/>
    <col min="14859" max="14859" width="10.21875" style="385" bestFit="1" customWidth="1"/>
    <col min="14860" max="15105" width="8.88671875" style="385"/>
    <col min="15106" max="15106" width="18.6640625" style="385" bestFit="1" customWidth="1"/>
    <col min="15107" max="15107" width="8.88671875" style="385"/>
    <col min="15108" max="15108" width="9.5546875" style="385" bestFit="1" customWidth="1"/>
    <col min="15109" max="15110" width="8.88671875" style="385"/>
    <col min="15111" max="15111" width="7.109375" style="385" customWidth="1"/>
    <col min="15112" max="15112" width="7.44140625" style="385" customWidth="1"/>
    <col min="15113" max="15113" width="8.88671875" style="385"/>
    <col min="15114" max="15114" width="11.77734375" style="385" bestFit="1" customWidth="1"/>
    <col min="15115" max="15115" width="10.21875" style="385" bestFit="1" customWidth="1"/>
    <col min="15116" max="15361" width="8.88671875" style="385"/>
    <col min="15362" max="15362" width="18.6640625" style="385" bestFit="1" customWidth="1"/>
    <col min="15363" max="15363" width="8.88671875" style="385"/>
    <col min="15364" max="15364" width="9.5546875" style="385" bestFit="1" customWidth="1"/>
    <col min="15365" max="15366" width="8.88671875" style="385"/>
    <col min="15367" max="15367" width="7.109375" style="385" customWidth="1"/>
    <col min="15368" max="15368" width="7.44140625" style="385" customWidth="1"/>
    <col min="15369" max="15369" width="8.88671875" style="385"/>
    <col min="15370" max="15370" width="11.77734375" style="385" bestFit="1" customWidth="1"/>
    <col min="15371" max="15371" width="10.21875" style="385" bestFit="1" customWidth="1"/>
    <col min="15372" max="15617" width="8.88671875" style="385"/>
    <col min="15618" max="15618" width="18.6640625" style="385" bestFit="1" customWidth="1"/>
    <col min="15619" max="15619" width="8.88671875" style="385"/>
    <col min="15620" max="15620" width="9.5546875" style="385" bestFit="1" customWidth="1"/>
    <col min="15621" max="15622" width="8.88671875" style="385"/>
    <col min="15623" max="15623" width="7.109375" style="385" customWidth="1"/>
    <col min="15624" max="15624" width="7.44140625" style="385" customWidth="1"/>
    <col min="15625" max="15625" width="8.88671875" style="385"/>
    <col min="15626" max="15626" width="11.77734375" style="385" bestFit="1" customWidth="1"/>
    <col min="15627" max="15627" width="10.21875" style="385" bestFit="1" customWidth="1"/>
    <col min="15628" max="15873" width="8.88671875" style="385"/>
    <col min="15874" max="15874" width="18.6640625" style="385" bestFit="1" customWidth="1"/>
    <col min="15875" max="15875" width="8.88671875" style="385"/>
    <col min="15876" max="15876" width="9.5546875" style="385" bestFit="1" customWidth="1"/>
    <col min="15877" max="15878" width="8.88671875" style="385"/>
    <col min="15879" max="15879" width="7.109375" style="385" customWidth="1"/>
    <col min="15880" max="15880" width="7.44140625" style="385" customWidth="1"/>
    <col min="15881" max="15881" width="8.88671875" style="385"/>
    <col min="15882" max="15882" width="11.77734375" style="385" bestFit="1" customWidth="1"/>
    <col min="15883" max="15883" width="10.21875" style="385" bestFit="1" customWidth="1"/>
    <col min="15884" max="16129" width="8.88671875" style="385"/>
    <col min="16130" max="16130" width="18.6640625" style="385" bestFit="1" customWidth="1"/>
    <col min="16131" max="16131" width="8.88671875" style="385"/>
    <col min="16132" max="16132" width="9.5546875" style="385" bestFit="1" customWidth="1"/>
    <col min="16133" max="16134" width="8.88671875" style="385"/>
    <col min="16135" max="16135" width="7.109375" style="385" customWidth="1"/>
    <col min="16136" max="16136" width="7.44140625" style="385" customWidth="1"/>
    <col min="16137" max="16137" width="8.88671875" style="385"/>
    <col min="16138" max="16138" width="11.77734375" style="385" bestFit="1" customWidth="1"/>
    <col min="16139" max="16139" width="10.21875" style="385" bestFit="1" customWidth="1"/>
    <col min="16140" max="16384" width="8.88671875" style="385"/>
  </cols>
  <sheetData>
    <row r="1" spans="1:11">
      <c r="A1" s="384" t="s">
        <v>264</v>
      </c>
    </row>
    <row r="2" spans="1:11">
      <c r="G2" s="410" t="s">
        <v>265</v>
      </c>
      <c r="H2" s="410"/>
      <c r="J2" s="410" t="s">
        <v>266</v>
      </c>
      <c r="K2" s="410"/>
    </row>
    <row r="3" spans="1:11">
      <c r="B3" s="385" t="s">
        <v>272</v>
      </c>
      <c r="D3" s="414">
        <f>AVERAGE(K6,K7)*H4</f>
        <v>86596.054980000001</v>
      </c>
      <c r="E3" s="384" t="s">
        <v>268</v>
      </c>
      <c r="G3" s="388">
        <v>2023</v>
      </c>
      <c r="H3" s="389">
        <v>4.3400000000000001E-2</v>
      </c>
      <c r="J3" s="390">
        <v>44927</v>
      </c>
      <c r="K3" s="387">
        <v>1540625.1</v>
      </c>
    </row>
    <row r="4" spans="1:11">
      <c r="G4" s="388">
        <v>2024</v>
      </c>
      <c r="H4" s="389">
        <v>5.3800000000000001E-2</v>
      </c>
      <c r="J4" s="390">
        <v>45291</v>
      </c>
      <c r="K4" s="387">
        <v>1591502.1</v>
      </c>
    </row>
    <row r="5" spans="1:11">
      <c r="J5" s="388"/>
    </row>
    <row r="6" spans="1:11">
      <c r="J6" s="390">
        <v>45292</v>
      </c>
      <c r="K6" s="387">
        <f>K4</f>
        <v>1591502.1</v>
      </c>
    </row>
    <row r="7" spans="1:11">
      <c r="J7" s="390">
        <v>45519</v>
      </c>
      <c r="K7" s="387">
        <v>1627682.1</v>
      </c>
    </row>
  </sheetData>
  <mergeCells count="2">
    <mergeCell ref="G2:H2"/>
    <mergeCell ref="J2:K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AB83"/>
  <sheetViews>
    <sheetView zoomScale="87" zoomScaleNormal="87" workbookViewId="0">
      <selection activeCell="B12" sqref="B12"/>
    </sheetView>
  </sheetViews>
  <sheetFormatPr defaultColWidth="9.6640625" defaultRowHeight="17.100000000000001" customHeight="1"/>
  <cols>
    <col min="1" max="2" width="9.6640625" style="45" customWidth="1"/>
    <col min="3" max="3" width="2.6640625" style="45" customWidth="1"/>
    <col min="4" max="4" width="10.33203125" style="45" customWidth="1"/>
    <col min="5" max="5" width="2.6640625" style="45" customWidth="1"/>
    <col min="6" max="6" width="9.6640625" style="45" customWidth="1"/>
    <col min="7" max="7" width="2.6640625" style="45" customWidth="1"/>
    <col min="8" max="8" width="10.33203125" style="45" customWidth="1"/>
    <col min="9" max="9" width="2.6640625" style="45" customWidth="1"/>
    <col min="10" max="10" width="9.6640625" style="45" customWidth="1"/>
    <col min="11" max="11" width="2.6640625" style="45" customWidth="1"/>
    <col min="12" max="12" width="10" style="45" customWidth="1"/>
    <col min="13" max="13" width="2.6640625" style="45" customWidth="1"/>
    <col min="14" max="14" width="9.77734375" style="45" customWidth="1"/>
    <col min="15" max="15" width="2.6640625" style="45" customWidth="1"/>
    <col min="16" max="16" width="10" style="45" customWidth="1"/>
    <col min="17" max="17" width="2.6640625" style="45" customWidth="1"/>
    <col min="18" max="18" width="9.88671875" style="45" customWidth="1"/>
    <col min="19" max="19" width="2.6640625" style="45" customWidth="1"/>
    <col min="20" max="20" width="9.88671875" style="45" customWidth="1"/>
    <col min="21" max="21" width="2.6640625" style="45" customWidth="1"/>
    <col min="22" max="22" width="9.88671875" style="45" customWidth="1"/>
    <col min="23" max="23" width="2.6640625" style="45" customWidth="1"/>
    <col min="24" max="24" width="9.6640625" style="45" customWidth="1"/>
    <col min="25" max="25" width="2.6640625" style="45" customWidth="1"/>
    <col min="26" max="26" width="9.6640625" style="45" customWidth="1"/>
    <col min="27" max="27" width="2.6640625" style="45" customWidth="1"/>
    <col min="28" max="16384" width="9.6640625" style="45"/>
  </cols>
  <sheetData>
    <row r="1" spans="1:28" ht="17.100000000000001" customHeight="1">
      <c r="A1" s="46" t="s">
        <v>76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28" ht="17.100000000000001" customHeight="1">
      <c r="A2" s="47" t="s">
        <v>77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28" ht="17.100000000000001" customHeight="1">
      <c r="A3" s="49">
        <f>DATE(2005,2,24)</f>
        <v>38407</v>
      </c>
      <c r="B3" s="50" t="s">
        <v>81</v>
      </c>
      <c r="C3" s="48"/>
      <c r="D3" s="50" t="s">
        <v>81</v>
      </c>
      <c r="E3" s="50" t="s">
        <v>81</v>
      </c>
      <c r="F3" s="50" t="s">
        <v>81</v>
      </c>
      <c r="G3" s="50" t="s">
        <v>81</v>
      </c>
      <c r="H3" s="50" t="s">
        <v>81</v>
      </c>
      <c r="I3" s="50" t="s">
        <v>81</v>
      </c>
      <c r="J3" s="50" t="s">
        <v>81</v>
      </c>
      <c r="K3" s="50" t="s">
        <v>81</v>
      </c>
      <c r="L3" s="50" t="s">
        <v>81</v>
      </c>
      <c r="M3" s="50" t="s">
        <v>81</v>
      </c>
      <c r="N3" s="50" t="s">
        <v>81</v>
      </c>
      <c r="O3" s="50" t="s">
        <v>81</v>
      </c>
      <c r="P3" s="50" t="s">
        <v>81</v>
      </c>
      <c r="Q3" s="50" t="s">
        <v>81</v>
      </c>
      <c r="R3" s="50" t="s">
        <v>81</v>
      </c>
      <c r="S3" s="50" t="s">
        <v>81</v>
      </c>
      <c r="T3" s="50" t="s">
        <v>81</v>
      </c>
      <c r="U3" s="50" t="s">
        <v>81</v>
      </c>
      <c r="V3" s="50" t="s">
        <v>81</v>
      </c>
      <c r="W3" s="50" t="s">
        <v>81</v>
      </c>
      <c r="X3" s="50" t="s">
        <v>81</v>
      </c>
      <c r="Y3" s="50" t="s">
        <v>81</v>
      </c>
      <c r="Z3" s="50" t="s">
        <v>81</v>
      </c>
      <c r="AA3" s="48"/>
      <c r="AB3" s="48"/>
    </row>
    <row r="4" spans="1:28" ht="17.100000000000001" customHeight="1">
      <c r="A4" s="48"/>
      <c r="B4" s="51" t="s">
        <v>60</v>
      </c>
      <c r="C4" s="51"/>
      <c r="D4" s="51" t="s">
        <v>61</v>
      </c>
      <c r="E4" s="51"/>
      <c r="F4" s="51" t="s">
        <v>62</v>
      </c>
      <c r="G4" s="51"/>
      <c r="H4" s="51" t="s">
        <v>63</v>
      </c>
      <c r="I4" s="51"/>
      <c r="J4" s="51" t="s">
        <v>64</v>
      </c>
      <c r="K4" s="51"/>
      <c r="L4" s="51" t="s">
        <v>65</v>
      </c>
      <c r="M4" s="51"/>
      <c r="N4" s="51" t="s">
        <v>66</v>
      </c>
      <c r="O4" s="51"/>
      <c r="P4" s="51" t="s">
        <v>67</v>
      </c>
      <c r="Q4" s="51"/>
      <c r="R4" s="51" t="s">
        <v>68</v>
      </c>
      <c r="S4" s="51"/>
      <c r="T4" s="51" t="s">
        <v>85</v>
      </c>
      <c r="U4" s="51"/>
      <c r="V4" s="51" t="s">
        <v>70</v>
      </c>
      <c r="W4" s="51"/>
      <c r="X4" s="51" t="s">
        <v>71</v>
      </c>
      <c r="Y4" s="51"/>
      <c r="Z4" s="51" t="s">
        <v>72</v>
      </c>
      <c r="AA4" s="51"/>
      <c r="AB4" s="51" t="s">
        <v>89</v>
      </c>
    </row>
    <row r="5" spans="1:28" ht="15" customHeight="1">
      <c r="A5" s="48"/>
      <c r="B5" s="52">
        <v>1000000</v>
      </c>
      <c r="C5" s="52"/>
      <c r="D5" s="52">
        <v>1300000</v>
      </c>
      <c r="E5" s="52"/>
      <c r="F5" s="52">
        <v>1000000</v>
      </c>
      <c r="G5" s="52"/>
      <c r="H5" s="52">
        <v>1106000</v>
      </c>
      <c r="I5" s="52"/>
      <c r="J5" s="52">
        <v>1000000</v>
      </c>
      <c r="K5" s="52"/>
      <c r="L5" s="52">
        <v>1000000</v>
      </c>
      <c r="M5" s="52"/>
      <c r="N5" s="52">
        <v>1000000</v>
      </c>
      <c r="O5" s="52"/>
      <c r="P5" s="52">
        <v>1000000</v>
      </c>
      <c r="Q5" s="52"/>
      <c r="R5" s="52">
        <v>2500000</v>
      </c>
      <c r="S5" s="52"/>
      <c r="T5" s="52">
        <v>1300000</v>
      </c>
      <c r="U5" s="52"/>
      <c r="V5" s="52">
        <v>1688571.54</v>
      </c>
      <c r="W5" s="52"/>
      <c r="X5" s="52">
        <v>2000000</v>
      </c>
      <c r="Y5" s="52"/>
      <c r="Z5" s="52">
        <v>1398000</v>
      </c>
      <c r="AA5" s="52"/>
      <c r="AB5" s="51"/>
    </row>
    <row r="6" spans="1:28" ht="15" customHeight="1">
      <c r="A6" s="48"/>
      <c r="B6" s="53" t="s">
        <v>82</v>
      </c>
      <c r="C6" s="53"/>
      <c r="D6" s="54" t="s">
        <v>82</v>
      </c>
      <c r="E6" s="54"/>
      <c r="F6" s="54" t="s">
        <v>82</v>
      </c>
      <c r="G6" s="54"/>
      <c r="H6" s="54" t="s">
        <v>82</v>
      </c>
      <c r="I6" s="54"/>
      <c r="J6" s="54" t="s">
        <v>82</v>
      </c>
      <c r="K6" s="54"/>
      <c r="L6" s="54" t="s">
        <v>84</v>
      </c>
      <c r="M6" s="54"/>
      <c r="N6" s="54" t="s">
        <v>84</v>
      </c>
      <c r="O6" s="54"/>
      <c r="P6" s="54" t="s">
        <v>84</v>
      </c>
      <c r="Q6" s="54"/>
      <c r="R6" s="54" t="s">
        <v>84</v>
      </c>
      <c r="S6" s="54"/>
      <c r="T6" s="54" t="s">
        <v>84</v>
      </c>
      <c r="U6" s="54"/>
      <c r="V6" s="54" t="s">
        <v>86</v>
      </c>
      <c r="W6" s="54"/>
      <c r="X6" s="54" t="s">
        <v>87</v>
      </c>
      <c r="Y6" s="54"/>
      <c r="Z6" s="54" t="s">
        <v>88</v>
      </c>
      <c r="AA6" s="54"/>
      <c r="AB6" s="51"/>
    </row>
    <row r="7" spans="1:28" ht="6.95" customHeight="1">
      <c r="A7" s="36"/>
      <c r="B7" s="53"/>
      <c r="C7" s="53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</row>
    <row r="8" spans="1:28" ht="15" customHeight="1">
      <c r="A8" s="36" t="s">
        <v>78</v>
      </c>
      <c r="B8" s="54">
        <v>36893</v>
      </c>
      <c r="C8" s="54"/>
      <c r="D8" s="54">
        <v>36893</v>
      </c>
      <c r="E8" s="54"/>
      <c r="F8" s="54">
        <v>36815</v>
      </c>
      <c r="G8" s="54"/>
      <c r="H8" s="54">
        <v>37078</v>
      </c>
      <c r="I8" s="54"/>
      <c r="J8" s="54">
        <v>37438</v>
      </c>
      <c r="K8" s="54"/>
      <c r="L8" s="54">
        <v>37452</v>
      </c>
      <c r="M8" s="54"/>
      <c r="N8" s="54">
        <v>37519</v>
      </c>
      <c r="O8" s="54"/>
      <c r="P8" s="54">
        <v>37683</v>
      </c>
      <c r="Q8" s="54"/>
      <c r="R8" s="54">
        <v>37733</v>
      </c>
      <c r="S8" s="54"/>
      <c r="T8" s="54">
        <v>37803</v>
      </c>
      <c r="U8" s="54"/>
      <c r="V8" s="54">
        <v>38260</v>
      </c>
      <c r="W8" s="54"/>
      <c r="X8" s="54">
        <v>38394</v>
      </c>
      <c r="Y8" s="54"/>
      <c r="Z8" s="54">
        <v>38471</v>
      </c>
      <c r="AA8" s="54"/>
      <c r="AB8" s="54"/>
    </row>
    <row r="9" spans="1:28" ht="6.95" customHeight="1">
      <c r="A9" s="36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</row>
    <row r="10" spans="1:28" ht="15" customHeight="1">
      <c r="A10" s="36" t="s">
        <v>79</v>
      </c>
      <c r="B10" s="54">
        <v>38720</v>
      </c>
      <c r="C10" s="54"/>
      <c r="D10" s="54">
        <v>38720</v>
      </c>
      <c r="E10" s="54"/>
      <c r="F10" s="54">
        <v>38625</v>
      </c>
      <c r="G10" s="54"/>
      <c r="H10" s="54">
        <v>38898</v>
      </c>
      <c r="I10" s="54"/>
      <c r="J10" s="54">
        <v>39265</v>
      </c>
      <c r="K10" s="54"/>
      <c r="L10" s="54">
        <v>49674</v>
      </c>
      <c r="M10" s="54"/>
      <c r="N10" s="54">
        <v>49674</v>
      </c>
      <c r="O10" s="54"/>
      <c r="P10" s="54">
        <v>49674</v>
      </c>
      <c r="Q10" s="54"/>
      <c r="R10" s="54">
        <v>49674</v>
      </c>
      <c r="S10" s="54"/>
      <c r="T10" s="54">
        <v>49674</v>
      </c>
      <c r="U10" s="54"/>
      <c r="V10" s="54">
        <v>38625</v>
      </c>
      <c r="W10" s="54"/>
      <c r="X10" s="54">
        <v>38533</v>
      </c>
      <c r="Y10" s="54"/>
      <c r="Z10" s="54">
        <v>49674</v>
      </c>
      <c r="AA10" s="54"/>
      <c r="AB10" s="54"/>
    </row>
    <row r="11" spans="1:28" ht="15" customHeight="1">
      <c r="A11" s="36" t="s">
        <v>32</v>
      </c>
      <c r="B11" s="55">
        <v>4.965E-2</v>
      </c>
      <c r="C11" s="55"/>
      <c r="D11" s="55">
        <v>4.965E-2</v>
      </c>
      <c r="E11" s="55"/>
      <c r="F11" s="55">
        <v>5.6869999999999997E-2</v>
      </c>
      <c r="G11" s="55"/>
      <c r="H11" s="55">
        <v>4.8980000000000003E-2</v>
      </c>
      <c r="I11" s="55"/>
      <c r="J11" s="55">
        <v>4.0500000000000001E-2</v>
      </c>
      <c r="K11" s="55"/>
      <c r="L11" s="55">
        <v>5.3159999999999999E-2</v>
      </c>
      <c r="M11" s="55"/>
      <c r="N11" s="55">
        <v>4.6300000000000001E-2</v>
      </c>
      <c r="O11" s="55"/>
      <c r="P11" s="55">
        <v>4.5539999999999997E-2</v>
      </c>
      <c r="Q11" s="55"/>
      <c r="R11" s="55">
        <v>4.7870000000000003E-2</v>
      </c>
      <c r="S11" s="55"/>
      <c r="T11" s="55">
        <v>4.3920000000000001E-2</v>
      </c>
      <c r="U11" s="55"/>
      <c r="V11" s="55">
        <v>1.23E-2</v>
      </c>
      <c r="W11" s="55"/>
      <c r="X11" s="55">
        <v>2.6769999999999999E-2</v>
      </c>
      <c r="Y11" s="55"/>
      <c r="Z11" s="55">
        <v>4.6300000000000001E-2</v>
      </c>
      <c r="AA11" s="55"/>
      <c r="AB11" s="54"/>
    </row>
    <row r="12" spans="1:28" ht="15" customHeight="1">
      <c r="A12" s="3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</row>
    <row r="13" spans="1:28" ht="15" customHeight="1">
      <c r="A13" s="36" t="s">
        <v>31</v>
      </c>
      <c r="B13" s="57">
        <v>937705.75</v>
      </c>
      <c r="C13" s="55"/>
      <c r="D13" s="57">
        <v>1219017.51</v>
      </c>
      <c r="E13" s="55"/>
      <c r="F13" s="57">
        <v>948305.88</v>
      </c>
      <c r="G13" s="55"/>
      <c r="H13" s="57">
        <v>1026322.89</v>
      </c>
      <c r="I13" s="55"/>
      <c r="J13" s="57">
        <v>916371.88</v>
      </c>
      <c r="K13" s="57"/>
      <c r="L13" s="57">
        <v>1000000</v>
      </c>
      <c r="M13" s="57"/>
      <c r="N13" s="57">
        <v>1000000</v>
      </c>
      <c r="O13" s="57"/>
      <c r="P13" s="57">
        <v>1000000</v>
      </c>
      <c r="Q13" s="57"/>
      <c r="R13" s="57">
        <v>2500000</v>
      </c>
      <c r="S13" s="57"/>
      <c r="T13" s="57">
        <v>1300000</v>
      </c>
      <c r="U13" s="55"/>
      <c r="V13" s="57">
        <v>1650487.92</v>
      </c>
      <c r="W13" s="55"/>
      <c r="X13" s="52">
        <v>1989434.38</v>
      </c>
      <c r="Y13" s="55"/>
      <c r="Z13" s="52"/>
      <c r="AA13" s="55"/>
      <c r="AB13" s="54"/>
    </row>
    <row r="14" spans="1:28" ht="15" customHeight="1">
      <c r="A14" s="36" t="s">
        <v>79</v>
      </c>
      <c r="B14" s="54">
        <v>48947</v>
      </c>
      <c r="C14" s="55"/>
      <c r="D14" s="54">
        <v>48947</v>
      </c>
      <c r="E14" s="55"/>
      <c r="F14" s="54">
        <v>48947</v>
      </c>
      <c r="G14" s="55"/>
      <c r="H14" s="54">
        <v>48947</v>
      </c>
      <c r="I14" s="55"/>
      <c r="J14" s="70">
        <v>49674</v>
      </c>
      <c r="K14" s="55"/>
      <c r="L14" s="54">
        <v>49674</v>
      </c>
      <c r="M14" s="54"/>
      <c r="N14" s="54">
        <v>49674</v>
      </c>
      <c r="O14" s="54"/>
      <c r="P14" s="54">
        <v>49674</v>
      </c>
      <c r="Q14" s="54"/>
      <c r="R14" s="54">
        <v>49674</v>
      </c>
      <c r="S14" s="54"/>
      <c r="T14" s="54">
        <v>49674</v>
      </c>
      <c r="U14" s="55"/>
      <c r="V14" s="54">
        <v>49674</v>
      </c>
      <c r="W14" s="55"/>
      <c r="X14" s="54">
        <v>49674</v>
      </c>
      <c r="Y14" s="55"/>
      <c r="Z14" s="54">
        <v>49674</v>
      </c>
      <c r="AA14" s="55"/>
      <c r="AB14" s="54"/>
    </row>
    <row r="15" spans="1:28" ht="15" customHeight="1">
      <c r="A15" s="36" t="s">
        <v>32</v>
      </c>
      <c r="B15" s="55">
        <v>4.512E-2</v>
      </c>
      <c r="C15" s="55"/>
      <c r="D15" s="55">
        <v>4.512E-2</v>
      </c>
      <c r="E15" s="55"/>
      <c r="F15" s="55">
        <v>4.4720000000000003E-2</v>
      </c>
      <c r="G15" s="55"/>
      <c r="H15" s="55">
        <v>5.2979999999999999E-2</v>
      </c>
      <c r="I15" s="55"/>
      <c r="J15" s="55">
        <v>4.4080000000000001E-2</v>
      </c>
      <c r="K15" s="55"/>
      <c r="L15" s="55">
        <v>5.3159999999999999E-2</v>
      </c>
      <c r="M15" s="55"/>
      <c r="N15" s="55">
        <v>4.6300000000000001E-2</v>
      </c>
      <c r="O15" s="55"/>
      <c r="P15" s="55">
        <v>4.5539999999999997E-2</v>
      </c>
      <c r="Q15" s="55"/>
      <c r="R15" s="55">
        <v>4.7870000000000003E-2</v>
      </c>
      <c r="S15" s="55"/>
      <c r="T15" s="55">
        <v>4.3920000000000001E-2</v>
      </c>
      <c r="U15" s="55"/>
      <c r="V15" s="55">
        <v>4.4740000000000002E-2</v>
      </c>
      <c r="W15" s="55"/>
      <c r="X15" s="55">
        <v>4.2070000000000003E-2</v>
      </c>
      <c r="Y15" s="55"/>
      <c r="Z15" s="55">
        <v>4.6300000000000001E-2</v>
      </c>
      <c r="AA15" s="55"/>
      <c r="AB15" s="54"/>
    </row>
    <row r="16" spans="1:28" ht="15" customHeight="1">
      <c r="A16" s="3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8"/>
      <c r="AA16" s="56"/>
      <c r="AB16" s="56"/>
    </row>
    <row r="17" spans="1:28" ht="15" customHeight="1">
      <c r="A17" s="36" t="s">
        <v>80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59"/>
      <c r="AA17" s="48"/>
      <c r="AB17" s="48"/>
    </row>
    <row r="18" spans="1:28" ht="18" customHeight="1">
      <c r="A18" s="60">
        <v>38047</v>
      </c>
      <c r="B18" s="59">
        <v>11935.68</v>
      </c>
      <c r="C18" s="59"/>
      <c r="D18" s="59">
        <v>15516.39</v>
      </c>
      <c r="E18" s="59"/>
      <c r="F18" s="59">
        <v>13731.58</v>
      </c>
      <c r="G18" s="59"/>
      <c r="H18" s="59">
        <v>13010.17</v>
      </c>
      <c r="I18" s="59"/>
      <c r="J18" s="59">
        <v>9958.34</v>
      </c>
      <c r="K18" s="59"/>
      <c r="L18" s="59">
        <v>13104.54</v>
      </c>
      <c r="M18" s="59"/>
      <c r="N18" s="59">
        <v>11398.48</v>
      </c>
      <c r="O18" s="59"/>
      <c r="P18" s="59">
        <v>11247.61</v>
      </c>
      <c r="Q18" s="59"/>
      <c r="R18" s="59">
        <v>29387.7</v>
      </c>
      <c r="S18" s="59"/>
      <c r="T18" s="59">
        <v>14146.83</v>
      </c>
      <c r="U18" s="59"/>
      <c r="V18" s="59"/>
      <c r="W18" s="59"/>
      <c r="X18" s="59"/>
      <c r="Y18" s="59"/>
      <c r="Z18" s="59"/>
      <c r="AA18" s="59"/>
      <c r="AB18" s="59">
        <f t="shared" ref="AB18:AB33" si="0">SUM(B18:Z18)</f>
        <v>143437.32</v>
      </c>
    </row>
    <row r="19" spans="1:28" ht="15.95" customHeight="1">
      <c r="A19" s="60">
        <v>38139</v>
      </c>
      <c r="B19" s="59">
        <v>11891.23</v>
      </c>
      <c r="C19" s="59"/>
      <c r="D19" s="59">
        <v>15458.6</v>
      </c>
      <c r="E19" s="59"/>
      <c r="F19" s="59">
        <v>13686.57</v>
      </c>
      <c r="G19" s="59"/>
      <c r="H19" s="59">
        <v>12961.15</v>
      </c>
      <c r="I19" s="59"/>
      <c r="J19" s="59">
        <v>9919.4699999999993</v>
      </c>
      <c r="K19" s="59"/>
      <c r="L19" s="59">
        <v>13064.18</v>
      </c>
      <c r="M19" s="59"/>
      <c r="N19" s="59">
        <v>11358.53</v>
      </c>
      <c r="O19" s="59"/>
      <c r="P19" s="59">
        <v>11207.62</v>
      </c>
      <c r="Q19" s="59"/>
      <c r="R19" s="59">
        <v>29287.68</v>
      </c>
      <c r="S19" s="59"/>
      <c r="T19" s="59">
        <v>14095</v>
      </c>
      <c r="U19" s="59"/>
      <c r="V19" s="59"/>
      <c r="W19" s="59"/>
      <c r="X19" s="59"/>
      <c r="Y19" s="59"/>
      <c r="Z19" s="59"/>
      <c r="AA19" s="59"/>
      <c r="AB19" s="59">
        <f t="shared" si="0"/>
        <v>142930.03</v>
      </c>
    </row>
    <row r="20" spans="1:28" ht="18" customHeight="1">
      <c r="A20" s="60">
        <v>38231</v>
      </c>
      <c r="B20" s="59">
        <v>11976.41</v>
      </c>
      <c r="C20" s="59"/>
      <c r="D20" s="59">
        <v>15569.33</v>
      </c>
      <c r="E20" s="59"/>
      <c r="F20" s="59">
        <v>13790.82</v>
      </c>
      <c r="G20" s="59"/>
      <c r="H20" s="59">
        <v>13053.41</v>
      </c>
      <c r="I20" s="59"/>
      <c r="J20" s="59">
        <v>9988.7800000000007</v>
      </c>
      <c r="K20" s="59"/>
      <c r="L20" s="59">
        <v>13166.4</v>
      </c>
      <c r="M20" s="59"/>
      <c r="N20" s="59">
        <v>11442.49</v>
      </c>
      <c r="O20" s="59"/>
      <c r="P20" s="59">
        <v>11289.9</v>
      </c>
      <c r="Q20" s="59"/>
      <c r="R20" s="59">
        <v>29507.200000000001</v>
      </c>
      <c r="S20" s="59"/>
      <c r="T20" s="59">
        <v>14196.91</v>
      </c>
      <c r="U20" s="59"/>
      <c r="V20" s="59"/>
      <c r="W20" s="59"/>
      <c r="X20" s="59"/>
      <c r="Y20" s="59"/>
      <c r="Z20" s="59"/>
      <c r="AA20" s="59"/>
      <c r="AB20" s="59">
        <f t="shared" si="0"/>
        <v>143981.65</v>
      </c>
    </row>
    <row r="21" spans="1:28" ht="18" customHeight="1">
      <c r="A21" s="60">
        <v>38322</v>
      </c>
      <c r="B21" s="59">
        <v>12322.13</v>
      </c>
      <c r="C21" s="59"/>
      <c r="D21" s="59">
        <v>16018.77</v>
      </c>
      <c r="E21" s="59"/>
      <c r="F21" s="59">
        <v>14195.63</v>
      </c>
      <c r="G21" s="59"/>
      <c r="H21" s="59">
        <v>13429.59</v>
      </c>
      <c r="I21" s="59"/>
      <c r="J21" s="59">
        <v>10275.129999999999</v>
      </c>
      <c r="K21" s="59"/>
      <c r="L21" s="59">
        <v>13555.63</v>
      </c>
      <c r="M21" s="59"/>
      <c r="N21" s="59">
        <v>11775.45</v>
      </c>
      <c r="O21" s="59"/>
      <c r="P21" s="59">
        <v>11617.81</v>
      </c>
      <c r="Q21" s="59"/>
      <c r="R21" s="59">
        <v>30369.09</v>
      </c>
      <c r="S21" s="59"/>
      <c r="T21" s="59">
        <v>14607.57</v>
      </c>
      <c r="U21" s="59"/>
      <c r="V21" s="59">
        <v>9621.31</v>
      </c>
      <c r="W21" s="59"/>
      <c r="X21" s="59"/>
      <c r="Y21" s="59"/>
      <c r="Z21" s="59"/>
      <c r="AA21" s="59"/>
      <c r="AB21" s="59">
        <f t="shared" si="0"/>
        <v>157788.11000000002</v>
      </c>
    </row>
    <row r="22" spans="1:28" ht="18" customHeight="1">
      <c r="A22" s="60">
        <v>38412</v>
      </c>
      <c r="B22" s="59">
        <v>11276.38</v>
      </c>
      <c r="C22" s="59"/>
      <c r="D22" s="59">
        <v>14659.29</v>
      </c>
      <c r="E22" s="59"/>
      <c r="F22" s="59">
        <v>12997.83</v>
      </c>
      <c r="G22" s="59"/>
      <c r="H22" s="59">
        <v>12289.21</v>
      </c>
      <c r="I22" s="59"/>
      <c r="J22" s="59">
        <v>9400.61</v>
      </c>
      <c r="K22" s="59"/>
      <c r="L22" s="59">
        <v>12414.07</v>
      </c>
      <c r="M22" s="59"/>
      <c r="N22" s="59">
        <v>10778.3</v>
      </c>
      <c r="O22" s="59"/>
      <c r="P22" s="59">
        <v>10633.37</v>
      </c>
      <c r="Q22" s="59"/>
      <c r="R22" s="59">
        <v>27800.79</v>
      </c>
      <c r="S22" s="59"/>
      <c r="T22" s="59">
        <v>13368.08</v>
      </c>
      <c r="U22" s="59"/>
      <c r="V22" s="59">
        <v>8786.9500000000007</v>
      </c>
      <c r="W22" s="59"/>
      <c r="X22" s="59">
        <v>7040.88</v>
      </c>
      <c r="Y22" s="59"/>
      <c r="Z22" s="59"/>
      <c r="AA22" s="59"/>
      <c r="AB22" s="59">
        <f t="shared" si="0"/>
        <v>151445.76000000001</v>
      </c>
    </row>
    <row r="23" spans="1:28" ht="18" customHeight="1">
      <c r="A23" s="60">
        <v>38504</v>
      </c>
      <c r="B23" s="59">
        <v>11742.1</v>
      </c>
      <c r="C23" s="59"/>
      <c r="D23" s="59">
        <v>15264.72</v>
      </c>
      <c r="E23" s="59"/>
      <c r="F23" s="59">
        <v>13539.89</v>
      </c>
      <c r="G23" s="59"/>
      <c r="H23" s="59">
        <v>12796.27</v>
      </c>
      <c r="I23" s="59"/>
      <c r="J23" s="59">
        <v>9788.2099999999991</v>
      </c>
      <c r="K23" s="59"/>
      <c r="L23" s="59">
        <v>12935.21</v>
      </c>
      <c r="M23" s="59"/>
      <c r="N23" s="59">
        <v>11226.64</v>
      </c>
      <c r="O23" s="59"/>
      <c r="P23" s="59">
        <v>11075.19</v>
      </c>
      <c r="Q23" s="59"/>
      <c r="R23" s="59">
        <v>28959.75</v>
      </c>
      <c r="S23" s="59"/>
      <c r="T23" s="59">
        <v>13922.19</v>
      </c>
      <c r="U23" s="59"/>
      <c r="V23" s="59">
        <v>9136.68</v>
      </c>
      <c r="W23" s="59"/>
      <c r="X23" s="59">
        <v>13348.33</v>
      </c>
      <c r="Y23" s="59"/>
      <c r="Z23" s="59">
        <v>10598.22</v>
      </c>
      <c r="AA23" s="59"/>
      <c r="AB23" s="59">
        <f t="shared" si="0"/>
        <v>174333.39999999997</v>
      </c>
    </row>
    <row r="24" spans="1:28" ht="18" customHeight="1">
      <c r="A24" s="60">
        <v>38596</v>
      </c>
      <c r="B24" s="59">
        <v>11823.64</v>
      </c>
      <c r="C24" s="59"/>
      <c r="D24" s="59">
        <v>15370.74</v>
      </c>
      <c r="E24" s="59"/>
      <c r="F24" s="59">
        <v>13640.3</v>
      </c>
      <c r="G24" s="59" t="s">
        <v>83</v>
      </c>
      <c r="H24" s="59">
        <v>12884.54</v>
      </c>
      <c r="I24" s="59"/>
      <c r="J24" s="59">
        <v>9854.6299999999992</v>
      </c>
      <c r="K24" s="59"/>
      <c r="L24" s="59">
        <v>13034.17</v>
      </c>
      <c r="M24" s="59"/>
      <c r="N24" s="59">
        <v>11307.5</v>
      </c>
      <c r="O24" s="59"/>
      <c r="P24" s="59">
        <v>11154.38</v>
      </c>
      <c r="Q24" s="59"/>
      <c r="R24" s="59">
        <v>29171.43</v>
      </c>
      <c r="S24" s="59"/>
      <c r="T24" s="59">
        <v>14020.15</v>
      </c>
      <c r="U24" s="59"/>
      <c r="V24" s="59">
        <v>9184.16</v>
      </c>
      <c r="W24" s="59" t="s">
        <v>83</v>
      </c>
      <c r="X24" s="59">
        <v>21095.85</v>
      </c>
      <c r="Y24" s="59"/>
      <c r="Z24" s="59">
        <v>15726.39</v>
      </c>
      <c r="AA24" s="59"/>
      <c r="AB24" s="59">
        <f t="shared" si="0"/>
        <v>188267.88</v>
      </c>
    </row>
    <row r="25" spans="1:28" ht="18" customHeight="1">
      <c r="A25" s="60">
        <v>38691</v>
      </c>
      <c r="B25" s="59">
        <v>12161.22</v>
      </c>
      <c r="C25" s="59" t="s">
        <v>83</v>
      </c>
      <c r="D25" s="59">
        <v>15809.58</v>
      </c>
      <c r="E25" s="59" t="s">
        <v>83</v>
      </c>
      <c r="F25" s="59">
        <v>11037.76</v>
      </c>
      <c r="G25" s="48"/>
      <c r="H25" s="59">
        <v>13251.77</v>
      </c>
      <c r="I25" s="59"/>
      <c r="J25" s="59">
        <v>10134.19</v>
      </c>
      <c r="K25" s="59"/>
      <c r="L25" s="59">
        <v>13415.98</v>
      </c>
      <c r="M25" s="59"/>
      <c r="N25" s="59">
        <v>11633.3</v>
      </c>
      <c r="O25" s="59"/>
      <c r="P25" s="59">
        <v>11475.14</v>
      </c>
      <c r="Q25" s="59"/>
      <c r="R25" s="59">
        <v>30015.27</v>
      </c>
      <c r="S25" s="59"/>
      <c r="T25" s="59">
        <v>14421.61</v>
      </c>
      <c r="U25" s="59"/>
      <c r="V25" s="59">
        <v>19219.37</v>
      </c>
      <c r="W25" s="48"/>
      <c r="X25" s="59">
        <v>21696.92</v>
      </c>
      <c r="Y25" s="48"/>
      <c r="Z25" s="59">
        <v>16177.56</v>
      </c>
      <c r="AA25" s="48"/>
      <c r="AB25" s="59">
        <f t="shared" si="0"/>
        <v>200449.66999999998</v>
      </c>
    </row>
    <row r="26" spans="1:28" ht="18" customHeight="1">
      <c r="A26" s="60">
        <v>38777</v>
      </c>
      <c r="B26" s="59">
        <v>13110.08</v>
      </c>
      <c r="C26" s="59"/>
      <c r="D26" s="59">
        <v>10084.68</v>
      </c>
      <c r="E26" s="59"/>
      <c r="F26" s="59">
        <v>10067.92</v>
      </c>
      <c r="G26" s="59"/>
      <c r="H26" s="59">
        <v>12091.65</v>
      </c>
      <c r="I26" s="59"/>
      <c r="J26" s="59">
        <v>9245.2099999999991</v>
      </c>
      <c r="K26" s="59"/>
      <c r="L26" s="59">
        <v>12251.47</v>
      </c>
      <c r="M26" s="59"/>
      <c r="N26" s="59">
        <v>10617.94</v>
      </c>
      <c r="O26" s="59"/>
      <c r="P26" s="59">
        <v>10472.950000000001</v>
      </c>
      <c r="Q26" s="59"/>
      <c r="R26" s="59">
        <v>27398.94</v>
      </c>
      <c r="S26" s="48"/>
      <c r="T26" s="48">
        <v>13160.35</v>
      </c>
      <c r="U26" s="48"/>
      <c r="V26" s="59">
        <v>17539.68</v>
      </c>
      <c r="W26" s="48"/>
      <c r="X26" s="59">
        <v>19796.32</v>
      </c>
      <c r="Y26" s="48"/>
      <c r="Z26" s="59">
        <v>14763.58</v>
      </c>
      <c r="AA26" s="48"/>
      <c r="AB26" s="59">
        <f t="shared" si="0"/>
        <v>180600.77</v>
      </c>
    </row>
    <row r="27" spans="1:28" ht="18" customHeight="1">
      <c r="A27" s="60">
        <v>38869</v>
      </c>
      <c r="B27" s="59">
        <v>13644.16</v>
      </c>
      <c r="C27" s="59"/>
      <c r="D27" s="59">
        <v>10791.71</v>
      </c>
      <c r="E27" s="59"/>
      <c r="F27" s="59">
        <v>10477.799999999999</v>
      </c>
      <c r="G27" s="59"/>
      <c r="H27" s="59">
        <v>12587.22</v>
      </c>
      <c r="I27" s="59" t="s">
        <v>83</v>
      </c>
      <c r="J27" s="59">
        <v>9624.1</v>
      </c>
      <c r="K27" s="59"/>
      <c r="L27" s="59">
        <v>12762.98</v>
      </c>
      <c r="M27" s="59"/>
      <c r="N27" s="59">
        <v>11057.05</v>
      </c>
      <c r="O27" s="59"/>
      <c r="P27" s="59">
        <v>10905.57</v>
      </c>
      <c r="Q27" s="59"/>
      <c r="R27" s="59">
        <v>28534.63</v>
      </c>
      <c r="S27" s="48"/>
      <c r="T27" s="59">
        <v>13702.64</v>
      </c>
      <c r="U27" s="48"/>
      <c r="V27" s="59">
        <v>18263.34</v>
      </c>
      <c r="W27" s="48"/>
      <c r="X27" s="59">
        <v>20609.68</v>
      </c>
      <c r="Y27" s="48"/>
      <c r="Z27" s="59">
        <v>15372.6</v>
      </c>
      <c r="AA27" s="48"/>
      <c r="AB27" s="59">
        <f t="shared" si="0"/>
        <v>188333.47999999998</v>
      </c>
    </row>
    <row r="28" spans="1:28" ht="18" customHeight="1">
      <c r="A28" s="60">
        <v>38961</v>
      </c>
      <c r="B28" s="59">
        <v>14029.22</v>
      </c>
      <c r="C28" s="59"/>
      <c r="D28" s="59">
        <v>10791.71</v>
      </c>
      <c r="E28" s="59"/>
      <c r="F28" s="59">
        <v>10773.18</v>
      </c>
      <c r="G28" s="59"/>
      <c r="H28" s="59">
        <v>14003.32</v>
      </c>
      <c r="I28" s="59"/>
      <c r="J28" s="59">
        <v>9897.6299999999992</v>
      </c>
      <c r="K28" s="59"/>
      <c r="L28" s="59">
        <v>13137.26</v>
      </c>
      <c r="M28" s="59"/>
      <c r="N28" s="59">
        <v>11376.11</v>
      </c>
      <c r="O28" s="59"/>
      <c r="P28" s="59">
        <v>11219.66</v>
      </c>
      <c r="Q28" s="59"/>
      <c r="R28" s="59">
        <v>29361.22</v>
      </c>
      <c r="S28" s="48"/>
      <c r="T28" s="59">
        <v>14095.66</v>
      </c>
      <c r="U28" s="48"/>
      <c r="V28" s="59">
        <v>18788.28</v>
      </c>
      <c r="W28" s="48"/>
      <c r="X28" s="59">
        <v>21197.93</v>
      </c>
      <c r="Y28" s="48"/>
      <c r="Z28" s="59">
        <v>15814.33</v>
      </c>
      <c r="AA28" s="48"/>
      <c r="AB28" s="59">
        <f t="shared" si="0"/>
        <v>194485.50999999998</v>
      </c>
    </row>
    <row r="29" spans="1:28" ht="18" customHeight="1">
      <c r="A29" s="60">
        <v>39052</v>
      </c>
      <c r="B29" s="59">
        <v>13671.73</v>
      </c>
      <c r="C29" s="59"/>
      <c r="D29" s="59">
        <v>10516.72</v>
      </c>
      <c r="E29" s="59"/>
      <c r="F29" s="59">
        <v>10498.31</v>
      </c>
      <c r="G29" s="59"/>
      <c r="H29" s="59">
        <v>13654.98</v>
      </c>
      <c r="I29" s="59"/>
      <c r="J29" s="59">
        <v>9647.01</v>
      </c>
      <c r="K29" s="59"/>
      <c r="L29" s="59">
        <v>12817.26</v>
      </c>
      <c r="M29" s="59"/>
      <c r="N29" s="59">
        <v>11093.31</v>
      </c>
      <c r="O29" s="59"/>
      <c r="P29" s="59">
        <v>10940.09</v>
      </c>
      <c r="Q29" s="59"/>
      <c r="R29" s="59">
        <v>28634.79</v>
      </c>
      <c r="S29" s="48"/>
      <c r="T29" s="59">
        <v>13742.63</v>
      </c>
      <c r="U29" s="48"/>
      <c r="V29" s="59">
        <v>18318.939999999999</v>
      </c>
      <c r="W29" s="48"/>
      <c r="X29" s="59">
        <v>20663.900000000001</v>
      </c>
      <c r="Y29" s="48"/>
      <c r="Z29" s="59">
        <v>15419.14</v>
      </c>
      <c r="AA29" s="48"/>
      <c r="AB29" s="59">
        <f t="shared" si="0"/>
        <v>189618.81</v>
      </c>
    </row>
    <row r="30" spans="1:28" ht="18" customHeight="1">
      <c r="A30" s="60">
        <v>39142</v>
      </c>
      <c r="B30" s="59">
        <v>13312.84</v>
      </c>
      <c r="C30" s="59"/>
      <c r="D30" s="59">
        <v>10240.64</v>
      </c>
      <c r="E30" s="59"/>
      <c r="F30" s="59">
        <v>10222.4</v>
      </c>
      <c r="G30" s="59"/>
      <c r="H30" s="59">
        <v>13304.28</v>
      </c>
      <c r="I30" s="59"/>
      <c r="J30" s="59">
        <v>9395.6299999999992</v>
      </c>
      <c r="K30" s="59"/>
      <c r="L30" s="59">
        <v>12494.84</v>
      </c>
      <c r="M30" s="59"/>
      <c r="N30" s="59">
        <v>10809.04</v>
      </c>
      <c r="O30" s="59"/>
      <c r="P30" s="59">
        <v>10659.15</v>
      </c>
      <c r="Q30" s="59"/>
      <c r="R30" s="59">
        <v>27904.22</v>
      </c>
      <c r="S30" s="48"/>
      <c r="T30" s="59">
        <v>13388.09</v>
      </c>
      <c r="U30" s="48"/>
      <c r="V30" s="59">
        <v>17847.439999999999</v>
      </c>
      <c r="W30" s="48"/>
      <c r="X30" s="59">
        <v>20127.939999999999</v>
      </c>
      <c r="Y30" s="48"/>
      <c r="Z30" s="59">
        <v>15022.16</v>
      </c>
      <c r="AA30" s="48"/>
      <c r="AB30" s="59">
        <f t="shared" si="0"/>
        <v>184728.66999999998</v>
      </c>
    </row>
    <row r="31" spans="1:28" ht="18" customHeight="1">
      <c r="A31" s="60">
        <v>39234</v>
      </c>
      <c r="B31" s="59">
        <v>13394.35</v>
      </c>
      <c r="C31" s="59"/>
      <c r="D31" s="59">
        <v>10303.35</v>
      </c>
      <c r="E31" s="59"/>
      <c r="F31" s="59">
        <v>10284.69</v>
      </c>
      <c r="G31" s="59"/>
      <c r="H31" s="59">
        <v>13393.02</v>
      </c>
      <c r="I31" s="59"/>
      <c r="J31" s="59">
        <v>9455.3700000000008</v>
      </c>
      <c r="K31" s="59" t="s">
        <v>83</v>
      </c>
      <c r="L31" s="59">
        <v>12585.12</v>
      </c>
      <c r="M31" s="59"/>
      <c r="N31" s="59">
        <v>10882.27</v>
      </c>
      <c r="O31" s="59"/>
      <c r="P31" s="59">
        <v>10730.81</v>
      </c>
      <c r="Q31" s="59"/>
      <c r="R31" s="59">
        <v>28096.27</v>
      </c>
      <c r="S31" s="48"/>
      <c r="T31" s="59">
        <v>13476.56</v>
      </c>
      <c r="U31" s="48"/>
      <c r="V31" s="59">
        <v>17966.419999999998</v>
      </c>
      <c r="W31" s="48"/>
      <c r="X31" s="59">
        <v>20258.25</v>
      </c>
      <c r="Y31" s="48"/>
      <c r="Z31" s="59">
        <v>15122.18</v>
      </c>
      <c r="AA31" s="48"/>
      <c r="AB31" s="59">
        <f t="shared" si="0"/>
        <v>185948.66000000003</v>
      </c>
    </row>
    <row r="32" spans="1:28" ht="17.100000000000001" customHeight="1">
      <c r="A32" s="60">
        <v>39326</v>
      </c>
      <c r="B32" s="59">
        <v>10252.969999999999</v>
      </c>
      <c r="C32" s="59"/>
      <c r="D32" s="59">
        <v>13328.86</v>
      </c>
      <c r="E32" s="59"/>
      <c r="F32" s="59">
        <v>10234.09</v>
      </c>
      <c r="G32" s="59"/>
      <c r="H32" s="59">
        <v>13335.12</v>
      </c>
      <c r="I32" s="59"/>
      <c r="J32" s="59">
        <v>10000</v>
      </c>
      <c r="K32" s="59"/>
      <c r="L32" s="59">
        <v>12537.77</v>
      </c>
      <c r="M32" s="59"/>
      <c r="N32" s="59">
        <v>10836.25</v>
      </c>
      <c r="O32" s="59"/>
      <c r="P32" s="59">
        <v>10684.84</v>
      </c>
      <c r="Q32" s="59"/>
      <c r="R32" s="59">
        <v>27980.560000000001</v>
      </c>
      <c r="S32" s="48"/>
      <c r="T32" s="48">
        <v>13417.24</v>
      </c>
      <c r="U32" s="48"/>
      <c r="V32" s="59">
        <v>17888.419999999998</v>
      </c>
      <c r="W32" s="48"/>
      <c r="X32" s="59">
        <v>20166.28</v>
      </c>
      <c r="Y32" s="48"/>
      <c r="Z32" s="59">
        <v>15056.41</v>
      </c>
      <c r="AA32" s="48"/>
      <c r="AB32" s="59">
        <f t="shared" si="0"/>
        <v>185718.81</v>
      </c>
    </row>
    <row r="33" spans="1:28" ht="17.100000000000001" customHeight="1">
      <c r="A33" s="60">
        <v>39417</v>
      </c>
      <c r="B33" s="59">
        <v>10202.030000000001</v>
      </c>
      <c r="C33" s="59"/>
      <c r="D33" s="59">
        <v>13262.63</v>
      </c>
      <c r="E33" s="59"/>
      <c r="F33" s="59">
        <v>10182.93</v>
      </c>
      <c r="G33" s="59"/>
      <c r="H33" s="59">
        <v>13276.44</v>
      </c>
      <c r="I33" s="59"/>
      <c r="J33" s="59">
        <v>10000</v>
      </c>
      <c r="K33" s="59"/>
      <c r="L33" s="59">
        <v>12489.79</v>
      </c>
      <c r="M33" s="59"/>
      <c r="N33" s="59">
        <v>10789.7</v>
      </c>
      <c r="O33" s="59"/>
      <c r="P33" s="59">
        <v>10638.35</v>
      </c>
      <c r="Q33" s="59"/>
      <c r="R33" s="59">
        <v>27863.47</v>
      </c>
      <c r="S33" s="48"/>
      <c r="T33" s="48">
        <v>13357.28</v>
      </c>
      <c r="U33" s="48"/>
      <c r="V33" s="59">
        <v>17809.55</v>
      </c>
      <c r="W33" s="48"/>
      <c r="X33" s="59">
        <v>20073.349999999999</v>
      </c>
      <c r="Y33" s="48"/>
      <c r="Z33" s="59">
        <v>14989.9</v>
      </c>
      <c r="AA33" s="48"/>
      <c r="AB33" s="59">
        <f t="shared" si="0"/>
        <v>184935.42</v>
      </c>
    </row>
    <row r="34" spans="1:28" ht="17.100000000000001" customHeight="1">
      <c r="A34" s="60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48"/>
      <c r="T34" s="48"/>
      <c r="U34" s="48"/>
      <c r="V34" s="48"/>
      <c r="W34" s="48"/>
      <c r="X34" s="59"/>
      <c r="Y34" s="48"/>
      <c r="Z34" s="59"/>
      <c r="AA34" s="48"/>
      <c r="AB34" s="48"/>
    </row>
    <row r="35" spans="1:28" ht="17.100000000000001" customHeight="1">
      <c r="X35" s="59"/>
      <c r="Z35" s="59"/>
    </row>
    <row r="36" spans="1:28" ht="17.100000000000001" customHeight="1">
      <c r="X36" s="59"/>
      <c r="Z36" s="59"/>
    </row>
    <row r="37" spans="1:28" ht="17.100000000000001" customHeight="1">
      <c r="X37" s="59"/>
      <c r="Z37" s="59"/>
    </row>
    <row r="38" spans="1:28" ht="17.100000000000001" customHeight="1">
      <c r="X38" s="59"/>
      <c r="Z38" s="59"/>
    </row>
    <row r="39" spans="1:28" ht="17.100000000000001" customHeight="1">
      <c r="X39" s="59"/>
      <c r="Z39" s="59"/>
    </row>
    <row r="40" spans="1:28" ht="17.100000000000001" customHeight="1">
      <c r="X40" s="59"/>
      <c r="Z40" s="59"/>
    </row>
    <row r="41" spans="1:28" ht="17.100000000000001" customHeight="1">
      <c r="X41" s="59"/>
      <c r="Z41" s="59"/>
    </row>
    <row r="42" spans="1:28" ht="17.100000000000001" customHeight="1">
      <c r="X42" s="59"/>
    </row>
    <row r="43" spans="1:28" ht="17.100000000000001" customHeight="1">
      <c r="X43" s="59"/>
    </row>
    <row r="44" spans="1:28" ht="17.100000000000001" customHeight="1">
      <c r="X44" s="59"/>
    </row>
    <row r="45" spans="1:28" ht="17.100000000000001" customHeight="1">
      <c r="X45" s="59"/>
    </row>
    <row r="46" spans="1:28" ht="17.100000000000001" customHeight="1">
      <c r="X46" s="59"/>
    </row>
    <row r="47" spans="1:28" ht="17.100000000000001" customHeight="1">
      <c r="X47" s="59"/>
    </row>
    <row r="48" spans="1:28" ht="17.100000000000001" customHeight="1">
      <c r="X48" s="59"/>
    </row>
    <row r="49" spans="24:24" ht="17.100000000000001" customHeight="1">
      <c r="X49" s="59"/>
    </row>
    <row r="50" spans="24:24" ht="17.100000000000001" customHeight="1">
      <c r="X50" s="59"/>
    </row>
    <row r="51" spans="24:24" ht="17.100000000000001" customHeight="1">
      <c r="X51" s="59"/>
    </row>
    <row r="52" spans="24:24" ht="17.100000000000001" customHeight="1">
      <c r="X52" s="59"/>
    </row>
    <row r="53" spans="24:24" ht="17.100000000000001" customHeight="1">
      <c r="X53" s="59"/>
    </row>
    <row r="54" spans="24:24" ht="17.100000000000001" customHeight="1">
      <c r="X54" s="59"/>
    </row>
    <row r="55" spans="24:24" ht="17.100000000000001" customHeight="1">
      <c r="X55" s="59"/>
    </row>
    <row r="56" spans="24:24" ht="17.100000000000001" customHeight="1">
      <c r="X56" s="59"/>
    </row>
    <row r="57" spans="24:24" ht="17.100000000000001" customHeight="1">
      <c r="X57" s="59"/>
    </row>
    <row r="58" spans="24:24" ht="17.100000000000001" customHeight="1">
      <c r="X58" s="59"/>
    </row>
    <row r="59" spans="24:24" ht="17.100000000000001" customHeight="1">
      <c r="X59" s="59"/>
    </row>
    <row r="60" spans="24:24" ht="17.100000000000001" customHeight="1">
      <c r="X60" s="59"/>
    </row>
    <row r="61" spans="24:24" ht="17.100000000000001" customHeight="1">
      <c r="X61" s="59"/>
    </row>
    <row r="62" spans="24:24" ht="17.100000000000001" customHeight="1">
      <c r="X62" s="59"/>
    </row>
    <row r="63" spans="24:24" ht="17.100000000000001" customHeight="1">
      <c r="X63" s="59"/>
    </row>
    <row r="64" spans="24:24" ht="17.100000000000001" customHeight="1">
      <c r="X64" s="59"/>
    </row>
    <row r="65" spans="24:24" ht="17.100000000000001" customHeight="1">
      <c r="X65" s="59"/>
    </row>
    <row r="66" spans="24:24" ht="17.100000000000001" customHeight="1">
      <c r="X66" s="59"/>
    </row>
    <row r="67" spans="24:24" ht="17.100000000000001" customHeight="1">
      <c r="X67" s="59"/>
    </row>
    <row r="68" spans="24:24" ht="17.100000000000001" customHeight="1">
      <c r="X68" s="59"/>
    </row>
    <row r="69" spans="24:24" ht="17.100000000000001" customHeight="1">
      <c r="X69" s="59"/>
    </row>
    <row r="70" spans="24:24" ht="17.100000000000001" customHeight="1">
      <c r="X70" s="59"/>
    </row>
    <row r="71" spans="24:24" ht="17.100000000000001" customHeight="1">
      <c r="X71" s="59"/>
    </row>
    <row r="72" spans="24:24" ht="17.100000000000001" customHeight="1">
      <c r="X72" s="59"/>
    </row>
    <row r="73" spans="24:24" ht="17.100000000000001" customHeight="1">
      <c r="X73" s="59"/>
    </row>
    <row r="74" spans="24:24" ht="17.100000000000001" customHeight="1">
      <c r="X74" s="59"/>
    </row>
    <row r="75" spans="24:24" ht="17.100000000000001" customHeight="1">
      <c r="X75" s="59"/>
    </row>
    <row r="76" spans="24:24" ht="17.100000000000001" customHeight="1">
      <c r="X76" s="59"/>
    </row>
    <row r="77" spans="24:24" ht="17.100000000000001" customHeight="1">
      <c r="X77" s="59"/>
    </row>
    <row r="78" spans="24:24" ht="17.100000000000001" customHeight="1">
      <c r="X78" s="59"/>
    </row>
    <row r="79" spans="24:24" ht="17.100000000000001" customHeight="1">
      <c r="X79" s="59"/>
    </row>
    <row r="80" spans="24:24" ht="17.100000000000001" customHeight="1">
      <c r="X80" s="59"/>
    </row>
    <row r="81" spans="24:24" ht="17.100000000000001" customHeight="1">
      <c r="X81" s="59"/>
    </row>
    <row r="82" spans="24:24" ht="17.100000000000001" customHeight="1">
      <c r="X82" s="59"/>
    </row>
    <row r="83" spans="24:24" ht="17.100000000000001" customHeight="1">
      <c r="X83" s="59"/>
    </row>
  </sheetData>
  <phoneticPr fontId="20" type="noConversion"/>
  <pageMargins left="0.25" right="0.5" top="0.25" bottom="0.25" header="0" footer="0"/>
  <pageSetup scale="5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/>
  <dimension ref="A1:AE43"/>
  <sheetViews>
    <sheetView zoomScale="90" zoomScaleNormal="90" workbookViewId="0">
      <pane xSplit="7" ySplit="4" topLeftCell="K18" activePane="bottomRight" state="frozen"/>
      <selection pane="topRight" activeCell="H1" sqref="H1"/>
      <selection pane="bottomLeft" activeCell="A5" sqref="A5"/>
      <selection pane="bottomRight" activeCell="O23" sqref="O23"/>
    </sheetView>
  </sheetViews>
  <sheetFormatPr defaultColWidth="9.6640625" defaultRowHeight="15"/>
  <cols>
    <col min="1" max="1" width="8.5546875" style="249" bestFit="1" customWidth="1"/>
    <col min="2" max="2" width="13.109375" style="249" customWidth="1"/>
    <col min="3" max="3" width="8.5546875" style="249" bestFit="1" customWidth="1"/>
    <col min="4" max="4" width="11" style="249" customWidth="1"/>
    <col min="5" max="5" width="12.21875" style="249" customWidth="1"/>
    <col min="6" max="6" width="6.88671875" style="249" bestFit="1" customWidth="1"/>
    <col min="7" max="7" width="1.77734375" style="249" bestFit="1" customWidth="1"/>
    <col min="8" max="8" width="6.88671875" style="249" bestFit="1" customWidth="1"/>
    <col min="9" max="9" width="9.6640625" style="249" customWidth="1"/>
    <col min="10" max="10" width="9.88671875" style="249" bestFit="1" customWidth="1"/>
    <col min="11" max="11" width="8.6640625" style="249" customWidth="1"/>
    <col min="12" max="12" width="11.6640625" style="249" customWidth="1"/>
    <col min="13" max="13" width="6.109375" style="249" customWidth="1"/>
    <col min="14" max="16" width="9.6640625" style="249" customWidth="1"/>
    <col min="17" max="17" width="11.6640625" style="249" customWidth="1"/>
    <col min="18" max="18" width="6" style="249" customWidth="1"/>
    <col min="19" max="19" width="9.6640625" style="249" customWidth="1"/>
    <col min="20" max="20" width="12.44140625" style="249" customWidth="1"/>
    <col min="21" max="21" width="9.6640625" style="249" customWidth="1"/>
    <col min="22" max="22" width="11.6640625" style="249" customWidth="1"/>
    <col min="23" max="23" width="4.88671875" style="249" bestFit="1" customWidth="1"/>
    <col min="24" max="24" width="9.6640625" style="249" customWidth="1"/>
    <col min="25" max="25" width="11.5546875" style="249" customWidth="1"/>
    <col min="26" max="26" width="9.6640625" style="249" customWidth="1"/>
    <col min="27" max="27" width="11.6640625" style="249" customWidth="1"/>
    <col min="28" max="29" width="10.6640625" style="249" customWidth="1"/>
    <col min="30" max="30" width="13.6640625" style="249" customWidth="1"/>
    <col min="31" max="16384" width="9.6640625" style="249"/>
  </cols>
  <sheetData>
    <row r="1" spans="1:31" ht="18" customHeight="1">
      <c r="A1" s="248">
        <f ca="1">NOW()</f>
        <v>45685.410198726851</v>
      </c>
      <c r="B1" s="398" t="s">
        <v>173</v>
      </c>
      <c r="C1" s="398"/>
      <c r="D1" s="398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400" t="s">
        <v>173</v>
      </c>
      <c r="AC1" s="400"/>
      <c r="AD1" s="400"/>
    </row>
    <row r="2" spans="1:31">
      <c r="A2" s="250" t="s">
        <v>0</v>
      </c>
      <c r="B2" s="251" t="s">
        <v>112</v>
      </c>
      <c r="C2" s="252" t="s">
        <v>111</v>
      </c>
      <c r="D2" s="252" t="s">
        <v>115</v>
      </c>
      <c r="I2" s="253"/>
      <c r="J2" s="253"/>
      <c r="K2" s="253"/>
      <c r="L2" s="253"/>
      <c r="M2" s="253"/>
      <c r="N2" s="253"/>
      <c r="O2" s="253"/>
      <c r="P2" s="253"/>
      <c r="Q2" s="253"/>
      <c r="R2" s="253"/>
    </row>
    <row r="3" spans="1:31" ht="15.75">
      <c r="A3" s="252" t="s">
        <v>1</v>
      </c>
      <c r="B3" s="252" t="s">
        <v>73</v>
      </c>
      <c r="C3" s="252" t="s">
        <v>73</v>
      </c>
      <c r="D3" s="252" t="s">
        <v>73</v>
      </c>
      <c r="E3" s="252" t="s">
        <v>31</v>
      </c>
      <c r="F3" s="252" t="s">
        <v>32</v>
      </c>
      <c r="G3" s="252"/>
      <c r="H3" s="252"/>
      <c r="I3" s="254" t="s">
        <v>38</v>
      </c>
      <c r="J3" s="255"/>
      <c r="K3" s="256"/>
      <c r="L3" s="257"/>
      <c r="M3" s="258"/>
      <c r="N3" s="254" t="s">
        <v>41</v>
      </c>
      <c r="O3" s="255"/>
      <c r="P3" s="256"/>
      <c r="Q3" s="257"/>
      <c r="R3" s="258"/>
      <c r="S3" s="254" t="s">
        <v>44</v>
      </c>
      <c r="T3" s="255"/>
      <c r="U3" s="259"/>
      <c r="V3" s="257"/>
      <c r="W3" s="257"/>
      <c r="X3" s="260" t="s">
        <v>47</v>
      </c>
      <c r="Y3" s="255"/>
      <c r="Z3" s="259"/>
      <c r="AA3" s="261"/>
      <c r="AB3" s="262" t="s">
        <v>48</v>
      </c>
      <c r="AC3" s="259"/>
      <c r="AD3" s="259"/>
      <c r="AE3" s="263"/>
    </row>
    <row r="4" spans="1:31" ht="20.25" customHeight="1">
      <c r="E4" s="264">
        <v>43100</v>
      </c>
      <c r="F4" s="265"/>
      <c r="G4" s="265"/>
      <c r="H4" s="265"/>
      <c r="I4" s="266" t="s">
        <v>34</v>
      </c>
      <c r="J4" s="267" t="s">
        <v>74</v>
      </c>
      <c r="K4" s="267" t="s">
        <v>35</v>
      </c>
      <c r="L4" s="268" t="s">
        <v>36</v>
      </c>
      <c r="M4" s="267"/>
      <c r="N4" s="266" t="s">
        <v>34</v>
      </c>
      <c r="O4" s="267" t="s">
        <v>74</v>
      </c>
      <c r="P4" s="267" t="s">
        <v>35</v>
      </c>
      <c r="Q4" s="268" t="s">
        <v>36</v>
      </c>
      <c r="R4" s="267"/>
      <c r="S4" s="266" t="s">
        <v>34</v>
      </c>
      <c r="T4" s="269" t="s">
        <v>75</v>
      </c>
      <c r="U4" s="269" t="s">
        <v>35</v>
      </c>
      <c r="V4" s="270" t="s">
        <v>36</v>
      </c>
      <c r="W4" s="269"/>
      <c r="X4" s="271" t="s">
        <v>34</v>
      </c>
      <c r="Y4" s="269" t="s">
        <v>75</v>
      </c>
      <c r="Z4" s="269" t="s">
        <v>35</v>
      </c>
      <c r="AA4" s="272" t="s">
        <v>36</v>
      </c>
      <c r="AB4" s="271" t="s">
        <v>34</v>
      </c>
      <c r="AC4" s="267" t="s">
        <v>35</v>
      </c>
      <c r="AD4" s="267" t="s">
        <v>36</v>
      </c>
      <c r="AE4" s="263"/>
    </row>
    <row r="5" spans="1:31" ht="27" customHeight="1">
      <c r="A5" s="273" t="s">
        <v>60</v>
      </c>
      <c r="B5" s="274">
        <v>38807</v>
      </c>
      <c r="C5" s="274">
        <v>48947</v>
      </c>
      <c r="D5" s="274"/>
      <c r="E5" s="275">
        <f>'[3]FFB Payts'!AD5</f>
        <v>671401.29</v>
      </c>
      <c r="F5" s="276">
        <v>4.512E-2</v>
      </c>
      <c r="G5" s="276" t="s">
        <v>164</v>
      </c>
      <c r="H5" s="276"/>
      <c r="I5" s="277">
        <v>7469.66</v>
      </c>
      <c r="J5" s="278">
        <v>206.94</v>
      </c>
      <c r="K5" s="278">
        <v>7312.02</v>
      </c>
      <c r="L5" s="279">
        <f t="shared" ref="L5:L24" si="0">E5-K5</f>
        <v>664089.27</v>
      </c>
      <c r="M5" s="275"/>
      <c r="N5" s="277"/>
      <c r="O5" s="278"/>
      <c r="P5" s="278"/>
      <c r="Q5" s="279">
        <f>L5-P5</f>
        <v>664089.27</v>
      </c>
      <c r="R5" s="275"/>
      <c r="S5" s="277"/>
      <c r="T5" s="278"/>
      <c r="U5" s="278"/>
      <c r="V5" s="280">
        <f>Q5-U5</f>
        <v>664089.27</v>
      </c>
      <c r="W5" s="275"/>
      <c r="X5" s="277"/>
      <c r="Y5" s="278"/>
      <c r="Z5" s="278"/>
      <c r="AA5" s="280">
        <f>V5-Z5</f>
        <v>664089.27</v>
      </c>
      <c r="AB5" s="281">
        <f>I5+J5+N5+O5+S5+T5+X5+Y5</f>
        <v>7676.5999999999995</v>
      </c>
      <c r="AC5" s="278">
        <f>K5+P5+U5+Z5</f>
        <v>7312.02</v>
      </c>
      <c r="AD5" s="282">
        <f t="shared" ref="AD5:AD22" si="1">E5-AC5</f>
        <v>664089.27</v>
      </c>
      <c r="AE5" s="263"/>
    </row>
    <row r="6" spans="1:31" ht="27" customHeight="1">
      <c r="A6" s="273" t="s">
        <v>61</v>
      </c>
      <c r="B6" s="274">
        <v>38807</v>
      </c>
      <c r="C6" s="274">
        <v>48947</v>
      </c>
      <c r="D6" s="274"/>
      <c r="E6" s="275">
        <f>'[3]FFB Payts'!AD6</f>
        <v>872821.34999999986</v>
      </c>
      <c r="F6" s="276">
        <v>4.512E-2</v>
      </c>
      <c r="G6" s="276" t="s">
        <v>164</v>
      </c>
      <c r="H6" s="276"/>
      <c r="I6" s="277">
        <v>9710.56</v>
      </c>
      <c r="J6" s="278">
        <v>269.02</v>
      </c>
      <c r="K6" s="278">
        <v>9505.6299999999992</v>
      </c>
      <c r="L6" s="279">
        <f t="shared" si="0"/>
        <v>863315.71999999986</v>
      </c>
      <c r="M6" s="275"/>
      <c r="N6" s="277"/>
      <c r="O6" s="278"/>
      <c r="P6" s="278"/>
      <c r="Q6" s="279">
        <f>L6-P6</f>
        <v>863315.71999999986</v>
      </c>
      <c r="R6" s="275"/>
      <c r="S6" s="277"/>
      <c r="T6" s="278"/>
      <c r="U6" s="278"/>
      <c r="V6" s="279">
        <f t="shared" ref="V6:V25" si="2">Q6-U6</f>
        <v>863315.71999999986</v>
      </c>
      <c r="W6" s="275"/>
      <c r="X6" s="277"/>
      <c r="Y6" s="278"/>
      <c r="Z6" s="278"/>
      <c r="AA6" s="279">
        <f t="shared" ref="AA6:AA23" si="3">V6-Z6</f>
        <v>863315.71999999986</v>
      </c>
      <c r="AB6" s="277">
        <f t="shared" ref="AB6:AB25" si="4">I6+J6+N6+O6+S6+T6+X6+Y6</f>
        <v>9979.58</v>
      </c>
      <c r="AC6" s="278">
        <f t="shared" ref="AC6:AC25" si="5">K6+P6+U6+Z6</f>
        <v>9505.6299999999992</v>
      </c>
      <c r="AD6" s="275">
        <f t="shared" si="1"/>
        <v>863315.71999999986</v>
      </c>
      <c r="AE6" s="263"/>
    </row>
    <row r="7" spans="1:31" ht="27" customHeight="1">
      <c r="A7" s="273" t="s">
        <v>62</v>
      </c>
      <c r="B7" s="274">
        <v>38720</v>
      </c>
      <c r="C7" s="274">
        <v>48947</v>
      </c>
      <c r="D7" s="274"/>
      <c r="E7" s="275">
        <f>'[3]FFB Payts'!AD7</f>
        <v>675185.2699999999</v>
      </c>
      <c r="F7" s="276">
        <v>4.4720000000000003E-2</v>
      </c>
      <c r="G7" s="276" t="s">
        <v>164</v>
      </c>
      <c r="H7" s="276"/>
      <c r="I7" s="283">
        <v>7445.17</v>
      </c>
      <c r="J7" s="278">
        <v>208.11</v>
      </c>
      <c r="K7" s="278">
        <v>7377.71</v>
      </c>
      <c r="L7" s="279">
        <f t="shared" si="0"/>
        <v>667807.55999999994</v>
      </c>
      <c r="M7" s="275"/>
      <c r="N7" s="283"/>
      <c r="O7" s="278"/>
      <c r="P7" s="278"/>
      <c r="Q7" s="279">
        <f>L7-P7</f>
        <v>667807.55999999994</v>
      </c>
      <c r="R7" s="275"/>
      <c r="S7" s="277"/>
      <c r="T7" s="278"/>
      <c r="U7" s="278"/>
      <c r="V7" s="279">
        <f t="shared" si="2"/>
        <v>667807.55999999994</v>
      </c>
      <c r="W7" s="275"/>
      <c r="X7" s="283"/>
      <c r="Y7" s="278"/>
      <c r="Z7" s="278"/>
      <c r="AA7" s="279">
        <f t="shared" si="3"/>
        <v>667807.55999999994</v>
      </c>
      <c r="AB7" s="277">
        <f t="shared" si="4"/>
        <v>7653.28</v>
      </c>
      <c r="AC7" s="278">
        <f t="shared" si="5"/>
        <v>7377.71</v>
      </c>
      <c r="AD7" s="275">
        <f t="shared" si="1"/>
        <v>667807.55999999994</v>
      </c>
      <c r="AE7" s="263"/>
    </row>
    <row r="8" spans="1:31" ht="27" customHeight="1">
      <c r="A8" s="273" t="s">
        <v>63</v>
      </c>
      <c r="B8" s="274">
        <v>38992</v>
      </c>
      <c r="C8" s="274">
        <v>48947</v>
      </c>
      <c r="D8" s="274"/>
      <c r="E8" s="275">
        <f>'[3]FFB Payts'!AD8</f>
        <v>764211.78</v>
      </c>
      <c r="F8" s="276">
        <v>5.2979999999999999E-2</v>
      </c>
      <c r="G8" s="276" t="s">
        <v>164</v>
      </c>
      <c r="H8" s="276"/>
      <c r="I8" s="283">
        <v>9983.33</v>
      </c>
      <c r="J8" s="278">
        <v>235.54</v>
      </c>
      <c r="K8" s="278">
        <v>7793.88</v>
      </c>
      <c r="L8" s="279">
        <f>E8-K8</f>
        <v>756417.9</v>
      </c>
      <c r="M8" s="275"/>
      <c r="N8" s="283"/>
      <c r="O8" s="278"/>
      <c r="P8" s="278"/>
      <c r="Q8" s="279">
        <f t="shared" ref="Q8:Q20" si="6">L8-P8</f>
        <v>756417.9</v>
      </c>
      <c r="R8" s="275"/>
      <c r="S8" s="283"/>
      <c r="T8" s="278"/>
      <c r="U8" s="278"/>
      <c r="V8" s="279">
        <f t="shared" si="2"/>
        <v>756417.9</v>
      </c>
      <c r="W8" s="275"/>
      <c r="X8" s="283"/>
      <c r="Y8" s="278"/>
      <c r="Z8" s="278"/>
      <c r="AA8" s="279">
        <f t="shared" si="3"/>
        <v>756417.9</v>
      </c>
      <c r="AB8" s="277">
        <f t="shared" si="4"/>
        <v>10218.870000000001</v>
      </c>
      <c r="AC8" s="278">
        <f t="shared" si="5"/>
        <v>7793.88</v>
      </c>
      <c r="AD8" s="278">
        <f t="shared" si="1"/>
        <v>756417.9</v>
      </c>
      <c r="AE8" s="263"/>
    </row>
    <row r="9" spans="1:31" ht="27" customHeight="1">
      <c r="A9" s="273" t="s">
        <v>64</v>
      </c>
      <c r="B9" s="274">
        <v>39721</v>
      </c>
      <c r="C9" s="274">
        <v>49674</v>
      </c>
      <c r="D9" s="274"/>
      <c r="E9" s="275">
        <f>'[3]FFB Payts'!AD9</f>
        <v>714200.95</v>
      </c>
      <c r="F9" s="276">
        <v>4.4080000000000001E-2</v>
      </c>
      <c r="G9" s="276" t="s">
        <v>164</v>
      </c>
      <c r="H9" s="276"/>
      <c r="I9" s="283">
        <v>7762.68</v>
      </c>
      <c r="J9" s="278">
        <v>220.13</v>
      </c>
      <c r="K9" s="278">
        <v>6655.14</v>
      </c>
      <c r="L9" s="279">
        <f t="shared" si="0"/>
        <v>707545.80999999994</v>
      </c>
      <c r="M9" s="275"/>
      <c r="N9" s="283"/>
      <c r="O9" s="278"/>
      <c r="P9" s="278"/>
      <c r="Q9" s="279">
        <f t="shared" si="6"/>
        <v>707545.80999999994</v>
      </c>
      <c r="R9" s="275"/>
      <c r="S9" s="283"/>
      <c r="T9" s="278"/>
      <c r="U9" s="278"/>
      <c r="V9" s="279">
        <f t="shared" si="2"/>
        <v>707545.80999999994</v>
      </c>
      <c r="W9" s="275"/>
      <c r="X9" s="283"/>
      <c r="Y9" s="278"/>
      <c r="Z9" s="278"/>
      <c r="AA9" s="279">
        <f t="shared" si="3"/>
        <v>707545.80999999994</v>
      </c>
      <c r="AB9" s="277">
        <f t="shared" si="4"/>
        <v>7982.81</v>
      </c>
      <c r="AC9" s="278">
        <f t="shared" si="5"/>
        <v>6655.14</v>
      </c>
      <c r="AD9" s="275">
        <f t="shared" si="1"/>
        <v>707545.80999999994</v>
      </c>
      <c r="AE9" s="263"/>
    </row>
    <row r="10" spans="1:31" ht="27" customHeight="1">
      <c r="A10" s="273" t="s">
        <v>65</v>
      </c>
      <c r="B10" s="274">
        <v>37529</v>
      </c>
      <c r="C10" s="274">
        <v>49674</v>
      </c>
      <c r="D10" s="274"/>
      <c r="E10" s="275">
        <f>'[3]FFB Payts'!AD10</f>
        <v>746102.29</v>
      </c>
      <c r="F10" s="276">
        <v>5.3159999999999999E-2</v>
      </c>
      <c r="G10" s="276" t="s">
        <v>164</v>
      </c>
      <c r="H10" s="276"/>
      <c r="I10" s="283">
        <v>9779.8700000000008</v>
      </c>
      <c r="J10" s="278">
        <v>229.96</v>
      </c>
      <c r="K10" s="278">
        <v>6378.1</v>
      </c>
      <c r="L10" s="279">
        <f t="shared" si="0"/>
        <v>739724.19000000006</v>
      </c>
      <c r="M10" s="275"/>
      <c r="N10" s="283"/>
      <c r="O10" s="278"/>
      <c r="P10" s="278"/>
      <c r="Q10" s="279">
        <f t="shared" si="6"/>
        <v>739724.19000000006</v>
      </c>
      <c r="R10" s="275"/>
      <c r="S10" s="283"/>
      <c r="T10" s="278"/>
      <c r="U10" s="278"/>
      <c r="V10" s="279">
        <f t="shared" si="2"/>
        <v>739724.19000000006</v>
      </c>
      <c r="W10" s="275"/>
      <c r="X10" s="283"/>
      <c r="Y10" s="278"/>
      <c r="Z10" s="278"/>
      <c r="AA10" s="279">
        <f t="shared" si="3"/>
        <v>739724.19000000006</v>
      </c>
      <c r="AB10" s="277">
        <f t="shared" si="4"/>
        <v>10009.83</v>
      </c>
      <c r="AC10" s="278">
        <f t="shared" si="5"/>
        <v>6378.1</v>
      </c>
      <c r="AD10" s="275">
        <f t="shared" si="1"/>
        <v>739724.19000000006</v>
      </c>
      <c r="AE10" s="263"/>
    </row>
    <row r="11" spans="1:31" ht="27" customHeight="1">
      <c r="A11" s="273" t="s">
        <v>66</v>
      </c>
      <c r="B11" s="274">
        <v>37621</v>
      </c>
      <c r="C11" s="274">
        <v>49674</v>
      </c>
      <c r="D11" s="274"/>
      <c r="E11" s="275">
        <f>'[3]FFB Payts'!AD11</f>
        <v>723864.10000000009</v>
      </c>
      <c r="F11" s="276">
        <v>4.6300000000000001E-2</v>
      </c>
      <c r="G11" s="276" t="s">
        <v>164</v>
      </c>
      <c r="H11" s="276"/>
      <c r="I11" s="283">
        <v>8263.9500000000007</v>
      </c>
      <c r="J11" s="278">
        <v>223.11</v>
      </c>
      <c r="K11" s="278">
        <v>6605.19</v>
      </c>
      <c r="L11" s="279">
        <f t="shared" si="0"/>
        <v>717258.91000000015</v>
      </c>
      <c r="M11" s="275"/>
      <c r="N11" s="283"/>
      <c r="O11" s="278"/>
      <c r="P11" s="278"/>
      <c r="Q11" s="279">
        <f t="shared" si="6"/>
        <v>717258.91000000015</v>
      </c>
      <c r="R11" s="275"/>
      <c r="S11" s="283"/>
      <c r="T11" s="278"/>
      <c r="U11" s="278"/>
      <c r="V11" s="279">
        <f t="shared" si="2"/>
        <v>717258.91000000015</v>
      </c>
      <c r="W11" s="275"/>
      <c r="X11" s="283"/>
      <c r="Y11" s="278"/>
      <c r="Z11" s="278"/>
      <c r="AA11" s="279">
        <f t="shared" si="3"/>
        <v>717258.91000000015</v>
      </c>
      <c r="AB11" s="277">
        <f t="shared" si="4"/>
        <v>8487.0600000000013</v>
      </c>
      <c r="AC11" s="278">
        <f t="shared" si="5"/>
        <v>6605.19</v>
      </c>
      <c r="AD11" s="275">
        <f t="shared" si="1"/>
        <v>717258.91000000015</v>
      </c>
      <c r="AE11" s="263"/>
    </row>
    <row r="12" spans="1:31" ht="27" customHeight="1">
      <c r="A12" s="273" t="s">
        <v>67</v>
      </c>
      <c r="B12" s="274">
        <v>37802</v>
      </c>
      <c r="C12" s="274">
        <v>49674</v>
      </c>
      <c r="D12" s="274"/>
      <c r="E12" s="275">
        <f>'[3]FFB Payts'!AD12</f>
        <v>723773.91</v>
      </c>
      <c r="F12" s="276">
        <v>4.5539999999999997E-2</v>
      </c>
      <c r="G12" s="276" t="s">
        <v>164</v>
      </c>
      <c r="H12" s="276"/>
      <c r="I12" s="283">
        <v>8127.29</v>
      </c>
      <c r="J12" s="278">
        <v>223.08</v>
      </c>
      <c r="K12" s="278">
        <v>6652</v>
      </c>
      <c r="L12" s="279">
        <f t="shared" si="0"/>
        <v>717121.91</v>
      </c>
      <c r="M12" s="275"/>
      <c r="N12" s="283"/>
      <c r="O12" s="278"/>
      <c r="P12" s="278"/>
      <c r="Q12" s="279">
        <f t="shared" si="6"/>
        <v>717121.91</v>
      </c>
      <c r="R12" s="275"/>
      <c r="S12" s="283"/>
      <c r="T12" s="278"/>
      <c r="U12" s="278"/>
      <c r="V12" s="279">
        <f t="shared" si="2"/>
        <v>717121.91</v>
      </c>
      <c r="W12" s="275"/>
      <c r="X12" s="283"/>
      <c r="Y12" s="278"/>
      <c r="Z12" s="278"/>
      <c r="AA12" s="279">
        <f t="shared" si="3"/>
        <v>717121.91</v>
      </c>
      <c r="AB12" s="277">
        <f t="shared" si="4"/>
        <v>8350.3700000000008</v>
      </c>
      <c r="AC12" s="278">
        <f t="shared" si="5"/>
        <v>6652</v>
      </c>
      <c r="AD12" s="275">
        <f t="shared" si="1"/>
        <v>717121.91</v>
      </c>
      <c r="AE12" s="263"/>
    </row>
    <row r="13" spans="1:31" ht="27" customHeight="1">
      <c r="A13" s="273" t="s">
        <v>68</v>
      </c>
      <c r="B13" s="274">
        <v>38898</v>
      </c>
      <c r="C13" s="274">
        <v>49674</v>
      </c>
      <c r="D13" s="274"/>
      <c r="E13" s="275">
        <f>'[3]FFB Payts'!AD13</f>
        <v>1817439.22</v>
      </c>
      <c r="F13" s="276">
        <v>4.7870000000000003E-2</v>
      </c>
      <c r="G13" s="276" t="s">
        <v>164</v>
      </c>
      <c r="H13" s="276"/>
      <c r="I13" s="283">
        <v>21452.26</v>
      </c>
      <c r="J13" s="278">
        <v>560.16999999999996</v>
      </c>
      <c r="K13" s="278">
        <v>16339.09</v>
      </c>
      <c r="L13" s="279">
        <f t="shared" si="0"/>
        <v>1801100.13</v>
      </c>
      <c r="M13" s="275"/>
      <c r="N13" s="283"/>
      <c r="O13" s="278"/>
      <c r="P13" s="278"/>
      <c r="Q13" s="279">
        <f t="shared" si="6"/>
        <v>1801100.13</v>
      </c>
      <c r="R13" s="275"/>
      <c r="S13" s="283"/>
      <c r="T13" s="278"/>
      <c r="U13" s="278"/>
      <c r="V13" s="279">
        <f t="shared" si="2"/>
        <v>1801100.13</v>
      </c>
      <c r="W13" s="275"/>
      <c r="X13" s="283"/>
      <c r="Y13" s="278"/>
      <c r="Z13" s="278"/>
      <c r="AA13" s="279">
        <f t="shared" si="3"/>
        <v>1801100.13</v>
      </c>
      <c r="AB13" s="277">
        <f t="shared" si="4"/>
        <v>22012.429999999997</v>
      </c>
      <c r="AC13" s="278">
        <f t="shared" si="5"/>
        <v>16339.09</v>
      </c>
      <c r="AD13" s="275">
        <f t="shared" si="1"/>
        <v>1801100.13</v>
      </c>
      <c r="AE13" s="263"/>
    </row>
    <row r="14" spans="1:31" ht="27" customHeight="1">
      <c r="A14" s="273" t="s">
        <v>69</v>
      </c>
      <c r="B14" s="274">
        <v>37894</v>
      </c>
      <c r="C14" s="274">
        <v>49674</v>
      </c>
      <c r="D14" s="274"/>
      <c r="E14" s="275">
        <f>'[3]FFB Payts'!AD14</f>
        <v>937103.21</v>
      </c>
      <c r="F14" s="276">
        <v>4.3920000000000001E-2</v>
      </c>
      <c r="G14" s="276" t="s">
        <v>164</v>
      </c>
      <c r="H14" s="276"/>
      <c r="I14" s="283">
        <v>10148.44</v>
      </c>
      <c r="J14" s="278">
        <v>288.83</v>
      </c>
      <c r="K14" s="278">
        <v>8745.3799999999992</v>
      </c>
      <c r="L14" s="279">
        <f t="shared" si="0"/>
        <v>928357.83</v>
      </c>
      <c r="M14" s="275"/>
      <c r="N14" s="283"/>
      <c r="O14" s="278"/>
      <c r="P14" s="278"/>
      <c r="Q14" s="279">
        <f t="shared" si="6"/>
        <v>928357.83</v>
      </c>
      <c r="R14" s="275"/>
      <c r="S14" s="283"/>
      <c r="T14" s="278"/>
      <c r="U14" s="278"/>
      <c r="V14" s="279">
        <f t="shared" si="2"/>
        <v>928357.83</v>
      </c>
      <c r="W14" s="275"/>
      <c r="X14" s="283"/>
      <c r="Y14" s="278"/>
      <c r="Z14" s="278"/>
      <c r="AA14" s="279">
        <f t="shared" si="3"/>
        <v>928357.83</v>
      </c>
      <c r="AB14" s="277">
        <f t="shared" si="4"/>
        <v>10437.27</v>
      </c>
      <c r="AC14" s="278">
        <f t="shared" si="5"/>
        <v>8745.3799999999992</v>
      </c>
      <c r="AD14" s="275">
        <f t="shared" si="1"/>
        <v>928357.83</v>
      </c>
      <c r="AE14" s="263"/>
    </row>
    <row r="15" spans="1:31" ht="27" customHeight="1">
      <c r="A15" s="273" t="s">
        <v>70</v>
      </c>
      <c r="B15" s="274">
        <v>38720</v>
      </c>
      <c r="C15" s="274">
        <v>49674</v>
      </c>
      <c r="D15" s="274"/>
      <c r="E15" s="275">
        <f>'[3]FFB Payts'!AD15</f>
        <v>1229994.6599999997</v>
      </c>
      <c r="F15" s="276">
        <v>4.4740000000000002E-2</v>
      </c>
      <c r="G15" s="276" t="s">
        <v>164</v>
      </c>
      <c r="H15" s="276"/>
      <c r="I15" s="283">
        <v>13569.03</v>
      </c>
      <c r="J15" s="278">
        <v>379.11</v>
      </c>
      <c r="K15" s="278">
        <v>11390.31</v>
      </c>
      <c r="L15" s="279">
        <f t="shared" si="0"/>
        <v>1218604.3499999996</v>
      </c>
      <c r="M15" s="275"/>
      <c r="N15" s="283"/>
      <c r="O15" s="278"/>
      <c r="P15" s="278"/>
      <c r="Q15" s="279">
        <f t="shared" si="6"/>
        <v>1218604.3499999996</v>
      </c>
      <c r="R15" s="275"/>
      <c r="S15" s="283"/>
      <c r="T15" s="278"/>
      <c r="U15" s="278"/>
      <c r="V15" s="279">
        <f t="shared" si="2"/>
        <v>1218604.3499999996</v>
      </c>
      <c r="W15" s="275"/>
      <c r="X15" s="283"/>
      <c r="Y15" s="278"/>
      <c r="Z15" s="278"/>
      <c r="AA15" s="279">
        <f t="shared" si="3"/>
        <v>1218604.3499999996</v>
      </c>
      <c r="AB15" s="277">
        <f t="shared" si="4"/>
        <v>13948.140000000001</v>
      </c>
      <c r="AC15" s="278">
        <f t="shared" si="5"/>
        <v>11390.31</v>
      </c>
      <c r="AD15" s="275">
        <f t="shared" si="1"/>
        <v>1218604.3499999996</v>
      </c>
      <c r="AE15" s="263"/>
    </row>
    <row r="16" spans="1:31" ht="27" customHeight="1">
      <c r="A16" s="273" t="s">
        <v>71</v>
      </c>
      <c r="B16" s="274">
        <v>38394</v>
      </c>
      <c r="C16" s="274">
        <v>49674</v>
      </c>
      <c r="D16" s="274"/>
      <c r="E16" s="275">
        <f>'[3]FFB Payts'!AD16</f>
        <v>1460832.3399999999</v>
      </c>
      <c r="F16" s="276">
        <v>4.2070000000000003E-2</v>
      </c>
      <c r="G16" s="276" t="s">
        <v>164</v>
      </c>
      <c r="H16" s="276"/>
      <c r="I16" s="283">
        <v>15153.83</v>
      </c>
      <c r="J16" s="278">
        <v>450.26</v>
      </c>
      <c r="K16" s="278">
        <v>13872.55</v>
      </c>
      <c r="L16" s="279">
        <f t="shared" si="0"/>
        <v>1446959.7899999998</v>
      </c>
      <c r="M16" s="275"/>
      <c r="N16" s="283"/>
      <c r="O16" s="278"/>
      <c r="P16" s="278"/>
      <c r="Q16" s="279">
        <f t="shared" si="6"/>
        <v>1446959.7899999998</v>
      </c>
      <c r="R16" s="275"/>
      <c r="S16" s="283"/>
      <c r="T16" s="278"/>
      <c r="U16" s="278"/>
      <c r="V16" s="279">
        <f t="shared" si="2"/>
        <v>1446959.7899999998</v>
      </c>
      <c r="W16" s="275"/>
      <c r="X16" s="283"/>
      <c r="Y16" s="278"/>
      <c r="Z16" s="278"/>
      <c r="AA16" s="279">
        <f t="shared" si="3"/>
        <v>1446959.7899999998</v>
      </c>
      <c r="AB16" s="277">
        <f t="shared" si="4"/>
        <v>15604.09</v>
      </c>
      <c r="AC16" s="278">
        <f t="shared" si="5"/>
        <v>13872.55</v>
      </c>
      <c r="AD16" s="275">
        <f t="shared" si="1"/>
        <v>1446959.7899999998</v>
      </c>
      <c r="AE16" s="263"/>
    </row>
    <row r="17" spans="1:31" ht="27" customHeight="1">
      <c r="A17" s="273" t="s">
        <v>72</v>
      </c>
      <c r="B17" s="274">
        <v>38533</v>
      </c>
      <c r="C17" s="274">
        <v>49674</v>
      </c>
      <c r="D17" s="274"/>
      <c r="E17" s="275">
        <f>'[3]FFB Payts'!AD17</f>
        <v>1037423.2999999998</v>
      </c>
      <c r="F17" s="276">
        <v>4.4630000000000003E-2</v>
      </c>
      <c r="G17" s="276" t="s">
        <v>164</v>
      </c>
      <c r="H17" s="284" t="s">
        <v>32</v>
      </c>
      <c r="I17" s="283">
        <v>11416.49</v>
      </c>
      <c r="J17" s="278">
        <v>319.75</v>
      </c>
      <c r="K17" s="278">
        <v>9616.98</v>
      </c>
      <c r="L17" s="279">
        <f t="shared" si="0"/>
        <v>1027806.3199999998</v>
      </c>
      <c r="M17" s="284" t="s">
        <v>32</v>
      </c>
      <c r="N17" s="283"/>
      <c r="O17" s="278"/>
      <c r="P17" s="278"/>
      <c r="Q17" s="279">
        <f t="shared" si="6"/>
        <v>1027806.3199999998</v>
      </c>
      <c r="R17" s="284" t="s">
        <v>32</v>
      </c>
      <c r="S17" s="283"/>
      <c r="T17" s="278"/>
      <c r="U17" s="278"/>
      <c r="V17" s="279">
        <f t="shared" si="2"/>
        <v>1027806.3199999998</v>
      </c>
      <c r="W17" s="284" t="s">
        <v>32</v>
      </c>
      <c r="X17" s="277"/>
      <c r="Y17" s="278"/>
      <c r="Z17" s="278"/>
      <c r="AA17" s="279">
        <f t="shared" si="3"/>
        <v>1027806.3199999998</v>
      </c>
      <c r="AB17" s="277">
        <f t="shared" si="4"/>
        <v>11736.24</v>
      </c>
      <c r="AC17" s="278">
        <f t="shared" si="5"/>
        <v>9616.98</v>
      </c>
      <c r="AD17" s="275">
        <f t="shared" si="1"/>
        <v>1027806.3199999998</v>
      </c>
      <c r="AE17" s="263"/>
    </row>
    <row r="18" spans="1:31" ht="23.25" customHeight="1">
      <c r="A18" s="273" t="s">
        <v>106</v>
      </c>
      <c r="B18" s="274">
        <v>40990</v>
      </c>
      <c r="C18" s="274">
        <v>53327</v>
      </c>
      <c r="D18" s="274"/>
      <c r="E18" s="275">
        <f>'[3]FFB Payts'!AD18</f>
        <v>2568603.7599999998</v>
      </c>
      <c r="F18" s="276">
        <v>5.0899999999999999E-3</v>
      </c>
      <c r="G18" s="276" t="s">
        <v>164</v>
      </c>
      <c r="H18" s="276"/>
      <c r="I18" s="283">
        <v>16144.2</v>
      </c>
      <c r="J18" s="278">
        <v>791.69</v>
      </c>
      <c r="K18" s="278">
        <v>16004.47</v>
      </c>
      <c r="L18" s="279">
        <f t="shared" si="0"/>
        <v>2552599.2899999996</v>
      </c>
      <c r="M18" s="285"/>
      <c r="N18" s="283"/>
      <c r="P18" s="278"/>
      <c r="Q18" s="279">
        <f t="shared" si="6"/>
        <v>2552599.2899999996</v>
      </c>
      <c r="R18" s="275"/>
      <c r="S18" s="283"/>
      <c r="T18" s="278"/>
      <c r="U18" s="278"/>
      <c r="V18" s="279">
        <f t="shared" si="2"/>
        <v>2552599.2899999996</v>
      </c>
      <c r="W18" s="275"/>
      <c r="X18" s="277"/>
      <c r="Y18" s="278"/>
      <c r="Z18" s="278"/>
      <c r="AA18" s="279">
        <f t="shared" si="3"/>
        <v>2552599.2899999996</v>
      </c>
      <c r="AB18" s="277">
        <f t="shared" si="4"/>
        <v>16935.89</v>
      </c>
      <c r="AC18" s="278">
        <f t="shared" si="5"/>
        <v>16004.47</v>
      </c>
      <c r="AD18" s="275">
        <f t="shared" si="1"/>
        <v>2552599.2899999996</v>
      </c>
      <c r="AE18" s="263"/>
    </row>
    <row r="19" spans="1:31" ht="23.25" customHeight="1">
      <c r="A19" s="273" t="s">
        <v>107</v>
      </c>
      <c r="B19" s="274">
        <v>41341</v>
      </c>
      <c r="C19" s="274">
        <v>43283</v>
      </c>
      <c r="D19" s="274">
        <v>43283</v>
      </c>
      <c r="E19" s="275">
        <f>'[3]FFB Payts'!AD19</f>
        <v>4300103.24</v>
      </c>
      <c r="F19" s="276">
        <v>5.0899999999999999E-3</v>
      </c>
      <c r="G19" s="276" t="s">
        <v>113</v>
      </c>
      <c r="H19" s="276">
        <v>1.738E-2</v>
      </c>
      <c r="I19" s="283">
        <v>16169.56</v>
      </c>
      <c r="J19" s="278"/>
      <c r="K19" s="278">
        <v>31627.59</v>
      </c>
      <c r="L19" s="279">
        <f t="shared" si="0"/>
        <v>4268475.6500000004</v>
      </c>
      <c r="M19" s="285">
        <v>2.3400000000000001E-2</v>
      </c>
      <c r="N19" s="283">
        <f>(L19*H19)/365*78.97</f>
        <v>16050.621517148193</v>
      </c>
      <c r="P19" s="278">
        <v>30054.55</v>
      </c>
      <c r="Q19" s="279">
        <f t="shared" si="6"/>
        <v>4238421.1000000006</v>
      </c>
      <c r="R19" s="285">
        <v>2.12E-2</v>
      </c>
      <c r="S19" s="283">
        <f>(Q19*M19)/365*78.97</f>
        <v>21457.999654377538</v>
      </c>
      <c r="T19" s="278"/>
      <c r="U19" s="278">
        <v>30054.55</v>
      </c>
      <c r="V19" s="279">
        <f>Q19-U19</f>
        <v>4208366.5500000007</v>
      </c>
      <c r="W19" s="275"/>
      <c r="X19" s="277">
        <f>(V19*R19)/365*78.97</f>
        <v>19302.728155655343</v>
      </c>
      <c r="Y19" s="278"/>
      <c r="Z19" s="278"/>
      <c r="AA19" s="279">
        <f t="shared" si="3"/>
        <v>4208366.5500000007</v>
      </c>
      <c r="AB19" s="277">
        <f t="shared" si="4"/>
        <v>72980.909327181085</v>
      </c>
      <c r="AC19" s="278">
        <f t="shared" si="5"/>
        <v>91736.69</v>
      </c>
      <c r="AD19" s="275">
        <f t="shared" si="1"/>
        <v>4208366.55</v>
      </c>
      <c r="AE19" s="263"/>
    </row>
    <row r="20" spans="1:31" ht="23.25" customHeight="1">
      <c r="A20" s="273" t="s">
        <v>108</v>
      </c>
      <c r="B20" s="274">
        <v>41740</v>
      </c>
      <c r="C20" s="274">
        <v>43283</v>
      </c>
      <c r="D20" s="274">
        <v>43283</v>
      </c>
      <c r="E20" s="275">
        <f>'[3]FFB Payts'!AD20</f>
        <v>1787628.26</v>
      </c>
      <c r="F20" s="276">
        <f>'[3]FFB Payts'!$W$19</f>
        <v>1.065E-2</v>
      </c>
      <c r="G20" s="276" t="s">
        <v>113</v>
      </c>
      <c r="H20" s="276">
        <v>1.738E-2</v>
      </c>
      <c r="I20" s="283">
        <v>6721.97</v>
      </c>
      <c r="J20" s="278"/>
      <c r="K20" s="278">
        <v>13148.14</v>
      </c>
      <c r="L20" s="279">
        <f t="shared" si="0"/>
        <v>1774480.12</v>
      </c>
      <c r="M20" s="285">
        <v>2.3400000000000001E-2</v>
      </c>
      <c r="N20" s="283">
        <f t="shared" ref="N20:N25" si="7">(L20*H20)/365*78.97</f>
        <v>6672.5246039118683</v>
      </c>
      <c r="P20" s="278">
        <v>12494.2</v>
      </c>
      <c r="Q20" s="279">
        <f t="shared" si="6"/>
        <v>1761985.9200000002</v>
      </c>
      <c r="R20" s="285">
        <v>2.12E-2</v>
      </c>
      <c r="S20" s="283">
        <f t="shared" ref="S20:S25" si="8">(Q20*M20)/365*78.97</f>
        <v>8920.4664591675628</v>
      </c>
      <c r="T20" s="278"/>
      <c r="U20" s="278">
        <v>12494.2</v>
      </c>
      <c r="V20" s="279">
        <f t="shared" si="2"/>
        <v>1749491.7200000002</v>
      </c>
      <c r="W20" s="275"/>
      <c r="X20" s="277">
        <f t="shared" ref="X20:X25" si="9">(V20*R20)/365*78.97</f>
        <v>8024.4823449920013</v>
      </c>
      <c r="Y20" s="278"/>
      <c r="Z20" s="278"/>
      <c r="AA20" s="279">
        <f t="shared" si="3"/>
        <v>1749491.7200000002</v>
      </c>
      <c r="AB20" s="277">
        <f t="shared" si="4"/>
        <v>30339.443408071435</v>
      </c>
      <c r="AC20" s="278">
        <f t="shared" si="5"/>
        <v>38136.54</v>
      </c>
      <c r="AD20" s="275">
        <f t="shared" si="1"/>
        <v>1749491.72</v>
      </c>
      <c r="AE20" s="263"/>
    </row>
    <row r="21" spans="1:31" ht="27" customHeight="1">
      <c r="A21" s="273" t="s">
        <v>162</v>
      </c>
      <c r="B21" s="274">
        <v>42038</v>
      </c>
      <c r="C21" s="274">
        <v>54423</v>
      </c>
      <c r="D21" s="274"/>
      <c r="E21" s="275">
        <f>'[3]FFB Payts'!AD21</f>
        <v>1250026.5299999998</v>
      </c>
      <c r="F21" s="276">
        <f>'[3]FFB Payts'!$W$20</f>
        <v>1.065E-2</v>
      </c>
      <c r="G21" s="276" t="s">
        <v>164</v>
      </c>
      <c r="H21" s="276"/>
      <c r="I21" s="283">
        <v>8020.03</v>
      </c>
      <c r="J21" s="278">
        <v>385.28</v>
      </c>
      <c r="K21" s="278">
        <v>6696.05</v>
      </c>
      <c r="L21" s="279">
        <f t="shared" si="0"/>
        <v>1243330.4799999997</v>
      </c>
      <c r="M21" s="285"/>
      <c r="N21" s="283">
        <f t="shared" si="7"/>
        <v>0</v>
      </c>
      <c r="O21" s="278"/>
      <c r="P21" s="278"/>
      <c r="Q21" s="279">
        <f>L21-P21</f>
        <v>1243330.4799999997</v>
      </c>
      <c r="R21" s="285"/>
      <c r="S21" s="283">
        <f t="shared" si="8"/>
        <v>0</v>
      </c>
      <c r="T21" s="278"/>
      <c r="U21" s="278"/>
      <c r="V21" s="279">
        <f t="shared" si="2"/>
        <v>1243330.4799999997</v>
      </c>
      <c r="W21" s="275"/>
      <c r="X21" s="277">
        <f t="shared" si="9"/>
        <v>0</v>
      </c>
      <c r="Y21" s="278"/>
      <c r="Z21" s="278"/>
      <c r="AA21" s="279">
        <f t="shared" si="3"/>
        <v>1243330.4799999997</v>
      </c>
      <c r="AB21" s="277">
        <f t="shared" si="4"/>
        <v>8405.31</v>
      </c>
      <c r="AC21" s="278">
        <f t="shared" si="5"/>
        <v>6696.05</v>
      </c>
      <c r="AD21" s="275">
        <f t="shared" si="1"/>
        <v>1243330.4799999997</v>
      </c>
      <c r="AE21" s="263"/>
    </row>
    <row r="22" spans="1:31" ht="27" customHeight="1">
      <c r="A22" s="273" t="s">
        <v>163</v>
      </c>
      <c r="B22" s="274">
        <v>42282</v>
      </c>
      <c r="C22" s="274">
        <v>54423</v>
      </c>
      <c r="D22" s="274"/>
      <c r="E22" s="275">
        <f>'[3]FFB Payts'!AD22</f>
        <v>5096262.01</v>
      </c>
      <c r="F22" s="276">
        <v>5.0899999999999999E-3</v>
      </c>
      <c r="G22" s="276" t="s">
        <v>164</v>
      </c>
      <c r="H22" s="286"/>
      <c r="I22" s="278">
        <v>32697.06</v>
      </c>
      <c r="J22" s="278">
        <v>1570.77</v>
      </c>
      <c r="K22" s="278">
        <v>27299.27</v>
      </c>
      <c r="L22" s="279">
        <f>E22-K22</f>
        <v>5068962.74</v>
      </c>
      <c r="M22" s="285"/>
      <c r="N22" s="283">
        <f t="shared" si="7"/>
        <v>0</v>
      </c>
      <c r="O22" s="278"/>
      <c r="P22" s="278"/>
      <c r="Q22" s="279">
        <f>L22-P22</f>
        <v>5068962.74</v>
      </c>
      <c r="R22" s="285"/>
      <c r="S22" s="283">
        <f t="shared" si="8"/>
        <v>0</v>
      </c>
      <c r="T22" s="278"/>
      <c r="U22" s="278"/>
      <c r="V22" s="279">
        <f t="shared" si="2"/>
        <v>5068962.74</v>
      </c>
      <c r="W22" s="275"/>
      <c r="X22" s="277">
        <f t="shared" si="9"/>
        <v>0</v>
      </c>
      <c r="Y22" s="278"/>
      <c r="Z22" s="278"/>
      <c r="AA22" s="279">
        <f t="shared" si="3"/>
        <v>5068962.74</v>
      </c>
      <c r="AB22" s="277">
        <f t="shared" si="4"/>
        <v>34267.83</v>
      </c>
      <c r="AC22" s="278">
        <f t="shared" si="5"/>
        <v>27299.27</v>
      </c>
      <c r="AD22" s="275">
        <f t="shared" si="1"/>
        <v>5068962.74</v>
      </c>
      <c r="AE22" s="263"/>
    </row>
    <row r="23" spans="1:31" ht="27" customHeight="1">
      <c r="A23" s="273" t="s">
        <v>165</v>
      </c>
      <c r="B23" s="274">
        <v>42632</v>
      </c>
      <c r="C23" s="274">
        <v>43283</v>
      </c>
      <c r="D23" s="274">
        <v>43283</v>
      </c>
      <c r="E23" s="275">
        <f>'[3]FFB Payts'!AD23</f>
        <v>3862781.2199999997</v>
      </c>
      <c r="F23" s="276">
        <f>'[3]FFB Payts'!$W$23</f>
        <v>1.065E-2</v>
      </c>
      <c r="G23" s="276" t="s">
        <v>113</v>
      </c>
      <c r="H23" s="286">
        <v>1.738E-2</v>
      </c>
      <c r="I23" s="278">
        <v>14525.11</v>
      </c>
      <c r="J23" s="278"/>
      <c r="K23" s="278">
        <v>25114.67</v>
      </c>
      <c r="L23" s="279">
        <f t="shared" si="0"/>
        <v>3837666.55</v>
      </c>
      <c r="M23" s="285">
        <v>2.3400000000000001E-2</v>
      </c>
      <c r="N23" s="283">
        <f t="shared" si="7"/>
        <v>14430.662923676244</v>
      </c>
      <c r="O23" s="278"/>
      <c r="P23" s="278">
        <v>23712.36</v>
      </c>
      <c r="Q23" s="279">
        <f>L23-P23</f>
        <v>3813954.19</v>
      </c>
      <c r="R23" s="285">
        <v>2.12E-2</v>
      </c>
      <c r="S23" s="283">
        <f t="shared" si="8"/>
        <v>19309.03649258252</v>
      </c>
      <c r="T23" s="278"/>
      <c r="U23" s="278">
        <v>23712.36</v>
      </c>
      <c r="V23" s="279">
        <f t="shared" si="2"/>
        <v>3790241.83</v>
      </c>
      <c r="W23" s="275"/>
      <c r="X23" s="277">
        <f t="shared" si="9"/>
        <v>17384.894309808547</v>
      </c>
      <c r="Y23" s="278"/>
      <c r="Z23" s="278"/>
      <c r="AA23" s="279">
        <f t="shared" si="3"/>
        <v>3790241.83</v>
      </c>
      <c r="AB23" s="277">
        <f t="shared" si="4"/>
        <v>65649.70372606731</v>
      </c>
      <c r="AC23" s="278">
        <f t="shared" si="5"/>
        <v>72539.39</v>
      </c>
      <c r="AD23" s="275">
        <f>E23-AC23</f>
        <v>3790241.8299999996</v>
      </c>
      <c r="AE23" s="263"/>
    </row>
    <row r="24" spans="1:31" ht="27" customHeight="1">
      <c r="A24" s="273" t="s">
        <v>172</v>
      </c>
      <c r="B24" s="274">
        <v>42905</v>
      </c>
      <c r="C24" s="274">
        <v>43283</v>
      </c>
      <c r="D24" s="274">
        <v>43283</v>
      </c>
      <c r="E24" s="275">
        <f>'[3]FFB Payts'!AD24</f>
        <v>4541164.55</v>
      </c>
      <c r="F24" s="276">
        <f>'[3]FFB Payts'!$W$24</f>
        <v>1.065E-2</v>
      </c>
      <c r="G24" s="276" t="s">
        <v>113</v>
      </c>
      <c r="H24" s="286">
        <v>1.738E-2</v>
      </c>
      <c r="I24" s="278">
        <v>17076.02</v>
      </c>
      <c r="J24" s="278"/>
      <c r="K24" s="278">
        <v>29525.32</v>
      </c>
      <c r="L24" s="279">
        <f t="shared" si="0"/>
        <v>4511639.2299999995</v>
      </c>
      <c r="M24" s="285">
        <v>2.3400000000000001E-2</v>
      </c>
      <c r="N24" s="283">
        <f t="shared" si="7"/>
        <v>16964.982265424867</v>
      </c>
      <c r="O24" s="278"/>
      <c r="P24" s="278">
        <v>27876.74</v>
      </c>
      <c r="Q24" s="279">
        <f>L24-P24</f>
        <v>4483762.4899999993</v>
      </c>
      <c r="R24" s="285">
        <v>2.12E-2</v>
      </c>
      <c r="S24" s="283">
        <f t="shared" si="8"/>
        <v>22700.097911632925</v>
      </c>
      <c r="T24" s="278"/>
      <c r="U24" s="278">
        <v>27876.74</v>
      </c>
      <c r="V24" s="279">
        <f>Q24-U24</f>
        <v>4455885.7499999991</v>
      </c>
      <c r="W24" s="275"/>
      <c r="X24" s="277">
        <f t="shared" si="9"/>
        <v>20438.037015789039</v>
      </c>
      <c r="Y24" s="278"/>
      <c r="Z24" s="278"/>
      <c r="AA24" s="279">
        <f>V24-Z24</f>
        <v>4455885.7499999991</v>
      </c>
      <c r="AB24" s="277">
        <f t="shared" si="4"/>
        <v>77179.137192846829</v>
      </c>
      <c r="AC24" s="278">
        <f t="shared" si="5"/>
        <v>85278.8</v>
      </c>
      <c r="AD24" s="275">
        <f>E24-AC24</f>
        <v>4455885.75</v>
      </c>
      <c r="AE24" s="263"/>
    </row>
    <row r="25" spans="1:31" ht="27" customHeight="1">
      <c r="A25" s="20" t="s">
        <v>177</v>
      </c>
      <c r="B25" s="274">
        <v>43165</v>
      </c>
      <c r="C25" s="274">
        <v>43283</v>
      </c>
      <c r="D25" s="274">
        <v>43283</v>
      </c>
      <c r="E25" s="275">
        <v>2300000</v>
      </c>
      <c r="F25" s="276">
        <v>1.7520000000000001E-2</v>
      </c>
      <c r="G25" s="44" t="s">
        <v>113</v>
      </c>
      <c r="H25" s="286">
        <v>1.7520000000000001E-2</v>
      </c>
      <c r="I25" s="278"/>
      <c r="J25" s="278"/>
      <c r="K25" s="278"/>
      <c r="L25" s="279">
        <f>E25-K25</f>
        <v>2300000</v>
      </c>
      <c r="M25" s="285">
        <v>2.3400000000000001E-2</v>
      </c>
      <c r="N25" s="283">
        <f t="shared" si="7"/>
        <v>8718.2880000000005</v>
      </c>
      <c r="O25" s="278"/>
      <c r="P25" s="278">
        <v>11229.21</v>
      </c>
      <c r="Q25" s="279">
        <f>L25-P25</f>
        <v>2288770.79</v>
      </c>
      <c r="R25" s="285">
        <v>2.12E-2</v>
      </c>
      <c r="S25" s="283">
        <f t="shared" si="8"/>
        <v>11587.438261094301</v>
      </c>
      <c r="T25" s="278"/>
      <c r="U25" s="278">
        <v>11229.21</v>
      </c>
      <c r="V25" s="279">
        <f t="shared" si="2"/>
        <v>2277541.58</v>
      </c>
      <c r="W25" s="275"/>
      <c r="X25" s="277">
        <f t="shared" si="9"/>
        <v>10446.515402024988</v>
      </c>
      <c r="Y25" s="278"/>
      <c r="Z25" s="278"/>
      <c r="AA25" s="279">
        <f>V25-Z25</f>
        <v>2277541.58</v>
      </c>
      <c r="AB25" s="277">
        <f t="shared" si="4"/>
        <v>30752.24166311929</v>
      </c>
      <c r="AC25" s="278">
        <f t="shared" si="5"/>
        <v>22458.42</v>
      </c>
      <c r="AD25" s="275">
        <f>E25-AC25</f>
        <v>2277541.58</v>
      </c>
      <c r="AE25" s="263"/>
    </row>
    <row r="26" spans="1:31" ht="27" customHeight="1">
      <c r="A26" s="273"/>
      <c r="B26" s="274"/>
      <c r="C26" s="274"/>
      <c r="D26" s="274"/>
      <c r="E26" s="275"/>
      <c r="F26" s="276"/>
      <c r="G26" s="276"/>
      <c r="H26" s="286"/>
      <c r="I26" s="278"/>
      <c r="J26" s="278"/>
      <c r="K26" s="278"/>
      <c r="L26" s="279"/>
      <c r="M26" s="279"/>
      <c r="N26" s="278"/>
      <c r="O26" s="278"/>
      <c r="P26" s="278"/>
      <c r="Q26" s="279"/>
      <c r="R26" s="275"/>
      <c r="S26" s="283"/>
      <c r="T26" s="278"/>
      <c r="U26" s="278"/>
      <c r="V26" s="279"/>
      <c r="W26" s="275"/>
      <c r="X26" s="277"/>
      <c r="Y26" s="278"/>
      <c r="Z26" s="278"/>
      <c r="AA26" s="279"/>
      <c r="AB26" s="277"/>
      <c r="AC26" s="278"/>
      <c r="AD26" s="275"/>
      <c r="AE26" s="263"/>
    </row>
    <row r="27" spans="1:31" ht="25.5" customHeight="1">
      <c r="A27" s="273"/>
      <c r="B27" s="273"/>
      <c r="C27" s="273"/>
      <c r="D27" s="287" t="s">
        <v>175</v>
      </c>
      <c r="E27" s="288">
        <f>SUM(E5:E24)</f>
        <v>35780923.239999995</v>
      </c>
      <c r="F27" s="289"/>
      <c r="G27" s="289"/>
      <c r="H27" s="289"/>
      <c r="I27" s="277">
        <f>SUM(I5:I25)</f>
        <v>251636.50999999998</v>
      </c>
      <c r="J27" s="278">
        <f>SUM(J5:J25)</f>
        <v>6561.75</v>
      </c>
      <c r="K27" s="278">
        <f>SUM(K5:K25)</f>
        <v>267659.49</v>
      </c>
      <c r="L27" s="129">
        <f>SUM(L5:L25)</f>
        <v>37813263.75</v>
      </c>
      <c r="M27" s="275"/>
      <c r="N27" s="277">
        <f>SUM(N5:N25)</f>
        <v>62837.079310161178</v>
      </c>
      <c r="O27" s="278">
        <f>SUM(O5:O25)</f>
        <v>0</v>
      </c>
      <c r="P27" s="278">
        <f>SUM(P5:P25)</f>
        <v>105367.06</v>
      </c>
      <c r="Q27" s="324">
        <f>SUM(Q5:Q25)</f>
        <v>37707896.689999998</v>
      </c>
      <c r="R27" s="275"/>
      <c r="S27" s="290">
        <f>SUM(S4:S25)</f>
        <v>83975.038778854854</v>
      </c>
      <c r="T27" s="275">
        <f>SUM(T4:T25)</f>
        <v>0</v>
      </c>
      <c r="U27" s="275">
        <f>SUM(U4:U25)</f>
        <v>105367.06</v>
      </c>
      <c r="V27" s="129">
        <f>SUM(V4:V25)</f>
        <v>37602529.629999995</v>
      </c>
      <c r="W27" s="275"/>
      <c r="X27" s="291">
        <f>SUM(X4:X25)</f>
        <v>75596.65722826992</v>
      </c>
      <c r="Y27" s="275">
        <f>SUM(Y4:Y25)</f>
        <v>0</v>
      </c>
      <c r="Z27" s="275">
        <f>SUM(Z4:Z25)</f>
        <v>0</v>
      </c>
      <c r="AA27" s="129">
        <f>SUM(AA4:AA25)</f>
        <v>37602529.629999995</v>
      </c>
      <c r="AB27" s="278">
        <f>SUM(AB5:AB23)</f>
        <v>372675.65646131983</v>
      </c>
      <c r="AC27" s="278">
        <f>SUM(AC5:AC23)</f>
        <v>370656.39</v>
      </c>
      <c r="AD27" s="292">
        <f>SUM(AD5:AD23)</f>
        <v>30869102.299999997</v>
      </c>
      <c r="AE27" s="263"/>
    </row>
    <row r="28" spans="1:31">
      <c r="A28" s="273"/>
      <c r="B28" s="273"/>
      <c r="C28" s="273"/>
      <c r="D28" s="287" t="s">
        <v>176</v>
      </c>
      <c r="E28" s="288">
        <f>E27+E25</f>
        <v>38080923.239999995</v>
      </c>
      <c r="F28" s="289"/>
      <c r="G28" s="289"/>
      <c r="H28" s="289"/>
      <c r="I28" s="290"/>
      <c r="J28" s="275"/>
      <c r="K28" s="278"/>
      <c r="L28" s="293"/>
      <c r="M28" s="294"/>
      <c r="N28" s="290"/>
      <c r="O28" s="275"/>
      <c r="P28" s="278"/>
      <c r="Q28" s="295"/>
      <c r="R28" s="296"/>
      <c r="S28" s="290"/>
      <c r="T28" s="275"/>
      <c r="U28" s="278"/>
      <c r="V28" s="296"/>
      <c r="W28" s="296"/>
      <c r="X28" s="290"/>
      <c r="Y28" s="275"/>
      <c r="Z28" s="278"/>
      <c r="AA28" s="296"/>
      <c r="AB28" s="291"/>
      <c r="AC28" s="275"/>
      <c r="AD28" s="296"/>
      <c r="AE28" s="263"/>
    </row>
    <row r="29" spans="1:31">
      <c r="A29" s="297"/>
      <c r="B29" s="273"/>
      <c r="C29" s="273"/>
      <c r="D29" s="273"/>
      <c r="E29" s="275"/>
      <c r="F29" s="289"/>
      <c r="G29" s="289"/>
      <c r="H29" s="289"/>
      <c r="I29" s="290"/>
      <c r="J29" s="298"/>
      <c r="K29" s="278"/>
      <c r="L29" s="279"/>
      <c r="M29" s="275"/>
      <c r="N29" s="290"/>
      <c r="O29" s="298"/>
      <c r="P29" s="278"/>
      <c r="Q29" s="279"/>
      <c r="R29" s="275"/>
      <c r="S29" s="283"/>
      <c r="T29" s="298"/>
      <c r="U29" s="275"/>
      <c r="X29" s="290"/>
      <c r="Y29" s="298"/>
      <c r="Z29" s="278"/>
      <c r="AA29" s="299"/>
      <c r="AB29" s="291"/>
      <c r="AC29" s="294"/>
      <c r="AD29" s="292"/>
      <c r="AE29" s="263"/>
    </row>
    <row r="30" spans="1:31">
      <c r="A30" s="300"/>
      <c r="E30" s="275"/>
      <c r="F30" s="289"/>
      <c r="G30" s="289"/>
      <c r="H30" s="289"/>
      <c r="I30" s="275"/>
      <c r="J30" s="298">
        <v>261828.99</v>
      </c>
      <c r="K30" s="298"/>
      <c r="N30" s="275"/>
      <c r="O30" s="298"/>
      <c r="P30" s="298"/>
      <c r="S30" s="278"/>
      <c r="T30" s="298"/>
      <c r="U30" s="298"/>
      <c r="X30" s="275"/>
      <c r="Z30" s="301"/>
      <c r="AA30" s="301"/>
    </row>
    <row r="31" spans="1:31">
      <c r="A31" s="300"/>
      <c r="I31" s="275"/>
      <c r="J31" s="298"/>
      <c r="K31" s="298"/>
      <c r="L31" s="301"/>
      <c r="N31" s="275"/>
      <c r="O31" s="298"/>
      <c r="Q31" s="301"/>
      <c r="S31" s="278"/>
      <c r="U31" s="298"/>
      <c r="V31" s="301"/>
      <c r="X31" s="275"/>
      <c r="Z31" s="302"/>
      <c r="AA31" s="301"/>
    </row>
    <row r="32" spans="1:31" ht="15.75" thickBot="1">
      <c r="A32" s="300"/>
      <c r="I32" s="275"/>
      <c r="J32" s="298"/>
      <c r="K32" s="298"/>
      <c r="N32" s="275"/>
      <c r="P32" s="301"/>
      <c r="S32" s="278"/>
      <c r="U32" s="301"/>
      <c r="X32" s="275"/>
      <c r="Z32" s="302"/>
      <c r="AA32" s="301"/>
    </row>
    <row r="33" spans="1:27">
      <c r="A33" s="300"/>
      <c r="E33" s="303" t="s">
        <v>123</v>
      </c>
      <c r="H33" s="304"/>
      <c r="I33" s="305" t="s">
        <v>124</v>
      </c>
      <c r="J33" s="305" t="s">
        <v>125</v>
      </c>
      <c r="K33" s="306"/>
      <c r="L33" s="307"/>
      <c r="M33" s="307"/>
      <c r="N33" s="305" t="s">
        <v>124</v>
      </c>
      <c r="O33" s="305" t="s">
        <v>125</v>
      </c>
      <c r="P33" s="306"/>
      <c r="Q33" s="307"/>
      <c r="R33" s="307"/>
      <c r="S33" s="305" t="s">
        <v>124</v>
      </c>
      <c r="T33" s="305" t="s">
        <v>125</v>
      </c>
      <c r="U33" s="306"/>
      <c r="V33" s="307"/>
      <c r="W33" s="307"/>
      <c r="X33" s="305" t="s">
        <v>124</v>
      </c>
      <c r="Y33" s="308" t="s">
        <v>125</v>
      </c>
      <c r="Z33" s="301"/>
      <c r="AA33" s="301"/>
    </row>
    <row r="34" spans="1:27">
      <c r="E34" s="114"/>
      <c r="H34" s="309" t="s">
        <v>33</v>
      </c>
      <c r="I34" s="167">
        <f>E35</f>
        <v>93350</v>
      </c>
      <c r="J34" s="310">
        <f>E35</f>
        <v>93350</v>
      </c>
      <c r="K34" s="153"/>
      <c r="L34" s="153"/>
      <c r="M34" s="154" t="s">
        <v>39</v>
      </c>
      <c r="N34" s="167">
        <f>I36+E35</f>
        <v>351548.26</v>
      </c>
      <c r="O34" s="310">
        <f>E35</f>
        <v>93350</v>
      </c>
      <c r="P34" s="114"/>
      <c r="Q34" s="114"/>
      <c r="R34" s="311" t="s">
        <v>121</v>
      </c>
      <c r="S34" s="167">
        <f>N36+E35</f>
        <v>414385.33931016119</v>
      </c>
      <c r="T34" s="310">
        <f>E35</f>
        <v>93350</v>
      </c>
      <c r="U34" s="114"/>
      <c r="V34" s="114"/>
      <c r="W34" s="311" t="s">
        <v>45</v>
      </c>
      <c r="X34" s="167">
        <f>S36+E35</f>
        <v>498360.37808901607</v>
      </c>
      <c r="Y34" s="312">
        <f>E35</f>
        <v>93350</v>
      </c>
    </row>
    <row r="35" spans="1:27">
      <c r="D35" s="121" t="s">
        <v>127</v>
      </c>
      <c r="E35" s="168">
        <v>93350</v>
      </c>
      <c r="H35" s="313" t="s">
        <v>37</v>
      </c>
      <c r="I35" s="158">
        <f>I34+E35</f>
        <v>186700</v>
      </c>
      <c r="J35" s="314">
        <f>E35*2</f>
        <v>186700</v>
      </c>
      <c r="K35" s="114"/>
      <c r="L35" s="114"/>
      <c r="M35" s="311" t="s">
        <v>40</v>
      </c>
      <c r="N35" s="158">
        <f>N34+E35</f>
        <v>444898.26</v>
      </c>
      <c r="O35" s="314">
        <f>E35*2</f>
        <v>186700</v>
      </c>
      <c r="Q35" s="114"/>
      <c r="R35" s="315" t="s">
        <v>43</v>
      </c>
      <c r="S35" s="158">
        <f>S34+E35</f>
        <v>507735.33931016119</v>
      </c>
      <c r="T35" s="314">
        <f>E35*2</f>
        <v>186700</v>
      </c>
      <c r="V35" s="114"/>
      <c r="W35" s="315" t="s">
        <v>46</v>
      </c>
      <c r="X35" s="158">
        <f>X34+E35</f>
        <v>591710.37808901607</v>
      </c>
      <c r="Y35" s="316">
        <f>E35*2</f>
        <v>186700</v>
      </c>
    </row>
    <row r="36" spans="1:27" ht="15.75" thickBot="1">
      <c r="D36" s="121"/>
      <c r="E36" s="168"/>
      <c r="H36" s="317" t="s">
        <v>38</v>
      </c>
      <c r="I36" s="156">
        <f>I27+J27</f>
        <v>258198.25999999998</v>
      </c>
      <c r="J36" s="318">
        <v>0</v>
      </c>
      <c r="K36" s="319"/>
      <c r="L36" s="319"/>
      <c r="M36" s="319" t="s">
        <v>120</v>
      </c>
      <c r="N36" s="156">
        <f>I36+N27+O27</f>
        <v>321035.33931016119</v>
      </c>
      <c r="O36" s="318">
        <v>0</v>
      </c>
      <c r="P36" s="319"/>
      <c r="Q36" s="319"/>
      <c r="R36" s="319" t="s">
        <v>122</v>
      </c>
      <c r="S36" s="156">
        <f>N36+S27+T27</f>
        <v>405010.37808901607</v>
      </c>
      <c r="T36" s="318">
        <v>0</v>
      </c>
      <c r="U36" s="319"/>
      <c r="V36" s="319"/>
      <c r="W36" s="319" t="s">
        <v>47</v>
      </c>
      <c r="X36" s="156">
        <f>S36+X27+Y27</f>
        <v>480607.03531728598</v>
      </c>
      <c r="Y36" s="320">
        <v>0</v>
      </c>
      <c r="Z36" s="170" t="s">
        <v>150</v>
      </c>
    </row>
    <row r="37" spans="1:27">
      <c r="D37" s="121"/>
      <c r="E37" s="168"/>
      <c r="S37" s="278"/>
    </row>
    <row r="38" spans="1:27">
      <c r="S38" s="278"/>
    </row>
    <row r="39" spans="1:27">
      <c r="S39" s="278"/>
    </row>
    <row r="40" spans="1:27">
      <c r="J40" s="321">
        <f>I27+J27+K27</f>
        <v>525857.75</v>
      </c>
      <c r="O40" s="321">
        <f>J40+N27+O27+P27</f>
        <v>694061.88931016112</v>
      </c>
      <c r="S40" s="278"/>
      <c r="T40" s="321">
        <f>O40+S27+T27+U27</f>
        <v>883403.98808901594</v>
      </c>
      <c r="Y40" s="321">
        <f>T40+X27+Y27+Z27</f>
        <v>959000.6453172859</v>
      </c>
    </row>
    <row r="41" spans="1:27">
      <c r="J41" s="321"/>
      <c r="S41" s="278"/>
    </row>
    <row r="42" spans="1:27">
      <c r="S42" s="278"/>
      <c r="X42" s="321"/>
    </row>
    <row r="43" spans="1:27">
      <c r="S43" s="278"/>
    </row>
  </sheetData>
  <mergeCells count="2">
    <mergeCell ref="B1:AA1"/>
    <mergeCell ref="AB1:AD1"/>
  </mergeCells>
  <pageMargins left="0.25" right="0.5" top="1" bottom="0.25" header="0" footer="0"/>
  <pageSetup scale="60" fitToHeight="0" orientation="landscape" copies="3" r:id="rId1"/>
  <headerFooter alignWithMargins="0">
    <oddHeader>&amp;C&amp;"Arial,Bold"&amp;14FFB PRINCIPAL &amp; INTEREST PAYMENTS - 2016</oddHeader>
  </headerFooter>
  <colBreaks count="3" manualBreakCount="3">
    <brk id="12" min="2" max="26" man="1"/>
    <brk id="17" max="1048575" man="1"/>
    <brk id="2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/>
  <dimension ref="A1:AB89"/>
  <sheetViews>
    <sheetView zoomScale="87" zoomScaleNormal="87" workbookViewId="0">
      <selection activeCell="J26" sqref="J26"/>
    </sheetView>
  </sheetViews>
  <sheetFormatPr defaultColWidth="9.6640625" defaultRowHeight="17.100000000000001" customHeight="1"/>
  <cols>
    <col min="1" max="2" width="9.6640625" style="45" customWidth="1"/>
    <col min="3" max="3" width="2.6640625" style="45" customWidth="1"/>
    <col min="4" max="4" width="12.109375" style="45" customWidth="1"/>
    <col min="5" max="5" width="2.6640625" style="45" customWidth="1"/>
    <col min="6" max="6" width="9.6640625" style="45" customWidth="1"/>
    <col min="7" max="7" width="2.6640625" style="45" customWidth="1"/>
    <col min="8" max="8" width="9.6640625" style="45" customWidth="1"/>
    <col min="9" max="9" width="2.6640625" style="45" customWidth="1"/>
    <col min="10" max="10" width="9.6640625" style="45" customWidth="1"/>
    <col min="11" max="11" width="2.6640625" style="45" customWidth="1"/>
    <col min="12" max="12" width="9.6640625" style="45" customWidth="1"/>
    <col min="13" max="13" width="2.6640625" style="45" customWidth="1"/>
    <col min="14" max="14" width="9.6640625" style="45" customWidth="1"/>
    <col min="15" max="15" width="2.6640625" style="45" customWidth="1"/>
    <col min="16" max="16" width="9.6640625" style="45" customWidth="1"/>
    <col min="17" max="17" width="2.6640625" style="45" customWidth="1"/>
    <col min="18" max="18" width="9.6640625" style="45" customWidth="1"/>
    <col min="19" max="19" width="2.6640625" style="45" customWidth="1"/>
    <col min="20" max="20" width="9.6640625" style="45" customWidth="1"/>
    <col min="21" max="21" width="2.6640625" style="45" customWidth="1"/>
    <col min="22" max="22" width="9.6640625" style="45" customWidth="1"/>
    <col min="23" max="23" width="2.6640625" style="45" customWidth="1"/>
    <col min="24" max="24" width="9.6640625" style="45" customWidth="1"/>
    <col min="25" max="25" width="2.6640625" style="45" customWidth="1"/>
    <col min="26" max="26" width="9.6640625" style="45" customWidth="1"/>
    <col min="27" max="27" width="2.6640625" style="45" customWidth="1"/>
    <col min="28" max="16384" width="9.6640625" style="45"/>
  </cols>
  <sheetData>
    <row r="1" spans="1:28" ht="17.100000000000001" customHeight="1">
      <c r="A1" s="46" t="s">
        <v>90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28" ht="17.100000000000001" customHeight="1">
      <c r="A2" s="47" t="s">
        <v>77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28" ht="17.100000000000001" customHeight="1">
      <c r="A3" s="49">
        <f>DATE(2005,2,24)</f>
        <v>38407</v>
      </c>
      <c r="B3" s="50"/>
      <c r="C3" s="48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48"/>
      <c r="AB3" s="48"/>
    </row>
    <row r="4" spans="1:28" ht="17.100000000000001" customHeight="1">
      <c r="A4" s="48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 t="s">
        <v>89</v>
      </c>
    </row>
    <row r="5" spans="1:28" ht="15" customHeight="1">
      <c r="A5" s="48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1"/>
    </row>
    <row r="6" spans="1:28" ht="15" customHeight="1">
      <c r="A6" s="48" t="s">
        <v>91</v>
      </c>
      <c r="B6" s="53" t="s">
        <v>92</v>
      </c>
      <c r="C6" s="53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1"/>
    </row>
    <row r="7" spans="1:28" ht="6.95" customHeight="1">
      <c r="A7" s="36"/>
      <c r="B7" s="53"/>
      <c r="C7" s="53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</row>
    <row r="8" spans="1:28" ht="15" customHeight="1">
      <c r="A8" s="36" t="s">
        <v>78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</row>
    <row r="9" spans="1:28" ht="6.95" customHeight="1">
      <c r="A9" s="36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</row>
    <row r="10" spans="1:28" ht="15" customHeight="1">
      <c r="A10" s="36" t="s">
        <v>79</v>
      </c>
      <c r="B10" s="54">
        <v>51441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</row>
    <row r="11" spans="1:28" ht="15" customHeight="1">
      <c r="A11" s="36" t="s">
        <v>32</v>
      </c>
      <c r="B11" s="55">
        <v>4.7500000000000001E-2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4"/>
    </row>
    <row r="12" spans="1:28" ht="15" customHeight="1">
      <c r="A12" s="3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</row>
    <row r="13" spans="1:28" ht="15" customHeight="1">
      <c r="A13" s="36" t="s">
        <v>31</v>
      </c>
      <c r="B13" s="57"/>
      <c r="C13" s="55"/>
      <c r="D13" s="57"/>
      <c r="E13" s="55"/>
      <c r="F13" s="57"/>
      <c r="G13" s="55"/>
      <c r="H13" s="55"/>
      <c r="I13" s="55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5"/>
      <c r="V13" s="57"/>
      <c r="W13" s="55"/>
      <c r="X13" s="52"/>
      <c r="Y13" s="55"/>
      <c r="Z13" s="52"/>
      <c r="AA13" s="55"/>
      <c r="AB13" s="54"/>
    </row>
    <row r="14" spans="1:28" ht="15" customHeight="1">
      <c r="A14" s="36" t="s">
        <v>79</v>
      </c>
      <c r="B14" s="54"/>
      <c r="C14" s="55"/>
      <c r="D14" s="54"/>
      <c r="E14" s="55"/>
      <c r="F14" s="54"/>
      <c r="G14" s="55"/>
      <c r="H14" s="55"/>
      <c r="I14" s="55"/>
      <c r="J14" s="55"/>
      <c r="K14" s="55"/>
      <c r="L14" s="54"/>
      <c r="M14" s="54"/>
      <c r="N14" s="54"/>
      <c r="O14" s="54"/>
      <c r="P14" s="54"/>
      <c r="Q14" s="54"/>
      <c r="R14" s="54"/>
      <c r="S14" s="54"/>
      <c r="T14" s="54"/>
      <c r="U14" s="55"/>
      <c r="V14" s="54"/>
      <c r="W14" s="55"/>
      <c r="X14" s="54"/>
      <c r="Y14" s="55"/>
      <c r="Z14" s="54"/>
      <c r="AA14" s="55"/>
      <c r="AB14" s="54"/>
    </row>
    <row r="15" spans="1:28" ht="15" customHeight="1">
      <c r="A15" s="36" t="s">
        <v>32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4"/>
    </row>
    <row r="16" spans="1:28" ht="15" customHeight="1">
      <c r="A16" s="3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8"/>
      <c r="AA16" s="56"/>
      <c r="AB16" s="56"/>
    </row>
    <row r="17" spans="1:28" ht="15" customHeight="1">
      <c r="A17" s="36" t="s">
        <v>80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59"/>
      <c r="AA17" s="48"/>
      <c r="AB17" s="48"/>
    </row>
    <row r="18" spans="1:28" ht="18" customHeight="1">
      <c r="A18" s="49">
        <v>38806</v>
      </c>
      <c r="B18" s="59">
        <v>0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</row>
    <row r="19" spans="1:28" ht="15.95" customHeight="1">
      <c r="A19" s="49">
        <v>38837</v>
      </c>
      <c r="B19" s="59">
        <v>24075.34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</row>
    <row r="20" spans="1:28" ht="18" customHeight="1">
      <c r="A20" s="49">
        <v>38867</v>
      </c>
      <c r="B20" s="59">
        <v>20171.23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</row>
    <row r="21" spans="1:28" ht="18" customHeight="1">
      <c r="A21" s="49">
        <v>38898</v>
      </c>
      <c r="B21" s="59">
        <v>19520.55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</row>
    <row r="22" spans="1:28" ht="18" customHeight="1">
      <c r="A22" s="49">
        <v>38928</v>
      </c>
      <c r="B22" s="59">
        <v>20171.23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</row>
    <row r="23" spans="1:28" ht="18" customHeight="1">
      <c r="A23" s="49">
        <v>38959</v>
      </c>
      <c r="B23" s="59">
        <v>20171.23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</row>
    <row r="24" spans="1:28" ht="18" customHeight="1">
      <c r="A24" s="49">
        <v>38990</v>
      </c>
      <c r="B24" s="59">
        <v>19520.55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</row>
    <row r="25" spans="1:28" ht="18" customHeight="1">
      <c r="A25" s="49">
        <v>39020</v>
      </c>
      <c r="B25" s="59">
        <v>20171.23</v>
      </c>
      <c r="C25" s="59"/>
      <c r="D25" s="59"/>
      <c r="E25" s="59"/>
      <c r="F25" s="48"/>
      <c r="G25" s="48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48"/>
      <c r="X25" s="59"/>
      <c r="Y25" s="48"/>
      <c r="Z25" s="59"/>
      <c r="AA25" s="48"/>
      <c r="AB25" s="59"/>
    </row>
    <row r="26" spans="1:28" ht="18" customHeight="1">
      <c r="A26" s="49">
        <v>39051</v>
      </c>
      <c r="B26" s="59">
        <v>19520.55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48"/>
      <c r="T26" s="48"/>
      <c r="U26" s="48"/>
      <c r="V26" s="59"/>
      <c r="W26" s="48"/>
      <c r="X26" s="59"/>
      <c r="Y26" s="48"/>
      <c r="Z26" s="59"/>
      <c r="AA26" s="48"/>
      <c r="AB26" s="59"/>
    </row>
    <row r="27" spans="1:28" ht="18" customHeight="1">
      <c r="A27" s="49">
        <v>39081</v>
      </c>
      <c r="B27" s="59">
        <v>20171.23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48"/>
      <c r="T27" s="59"/>
      <c r="U27" s="48"/>
      <c r="V27" s="59"/>
      <c r="W27" s="48"/>
      <c r="X27" s="59"/>
      <c r="Y27" s="48"/>
      <c r="Z27" s="59"/>
      <c r="AA27" s="48"/>
      <c r="AB27" s="59"/>
    </row>
    <row r="28" spans="1:28" ht="18" customHeight="1">
      <c r="A28" s="49">
        <v>39112</v>
      </c>
      <c r="B28" s="59">
        <v>20171.23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48"/>
      <c r="T28" s="59"/>
      <c r="U28" s="48"/>
      <c r="V28" s="59"/>
      <c r="W28" s="48"/>
      <c r="X28" s="59"/>
      <c r="Y28" s="48"/>
      <c r="Z28" s="59"/>
      <c r="AA28" s="48"/>
      <c r="AB28" s="59"/>
    </row>
    <row r="29" spans="1:28" ht="18" customHeight="1">
      <c r="A29" s="49">
        <v>39141</v>
      </c>
      <c r="B29" s="59">
        <v>19520.55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48"/>
      <c r="T29" s="59"/>
      <c r="U29" s="48"/>
      <c r="V29" s="59"/>
      <c r="W29" s="48"/>
      <c r="X29" s="59"/>
      <c r="Y29" s="48"/>
      <c r="Z29" s="59"/>
      <c r="AA29" s="48"/>
      <c r="AB29" s="59"/>
    </row>
    <row r="30" spans="1:28" ht="18" customHeight="1">
      <c r="A30" s="49">
        <v>39171</v>
      </c>
      <c r="B30" s="59">
        <v>20171.23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48"/>
      <c r="T30" s="59"/>
      <c r="U30" s="48"/>
      <c r="V30" s="59"/>
      <c r="W30" s="48"/>
      <c r="X30" s="59"/>
      <c r="Y30" s="48"/>
      <c r="Z30" s="59"/>
      <c r="AA30" s="48"/>
      <c r="AB30" s="59"/>
    </row>
    <row r="31" spans="1:28" ht="18" customHeight="1">
      <c r="A31" s="49">
        <v>39202</v>
      </c>
      <c r="B31" s="59">
        <v>19520.55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48"/>
      <c r="T31" s="59"/>
      <c r="U31" s="48"/>
      <c r="V31" s="59"/>
      <c r="W31" s="48"/>
      <c r="X31" s="59"/>
      <c r="Y31" s="48"/>
      <c r="Z31" s="59"/>
      <c r="AA31" s="48"/>
      <c r="AB31" s="59"/>
    </row>
    <row r="32" spans="1:28" ht="17.100000000000001" customHeight="1">
      <c r="A32" s="49">
        <v>39233</v>
      </c>
      <c r="B32" s="59">
        <v>20171.23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48"/>
      <c r="T32" s="48"/>
      <c r="U32" s="48"/>
      <c r="V32" s="48"/>
      <c r="W32" s="48"/>
      <c r="X32" s="59"/>
      <c r="Y32" s="48"/>
      <c r="Z32" s="59"/>
      <c r="AA32" s="48"/>
      <c r="AB32" s="48"/>
    </row>
    <row r="33" spans="1:28" ht="17.100000000000001" customHeight="1">
      <c r="A33" s="49">
        <v>39263</v>
      </c>
      <c r="B33" s="59">
        <v>19520.55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48"/>
      <c r="T33" s="48"/>
      <c r="U33" s="48"/>
      <c r="V33" s="48"/>
      <c r="W33" s="48"/>
      <c r="X33" s="59"/>
      <c r="Y33" s="48"/>
      <c r="Z33" s="59"/>
      <c r="AA33" s="48"/>
      <c r="AB33" s="48"/>
    </row>
    <row r="34" spans="1:28" ht="17.100000000000001" customHeight="1">
      <c r="A34" s="49">
        <v>39294</v>
      </c>
      <c r="B34" s="59">
        <v>20171.23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48"/>
      <c r="T34" s="48"/>
      <c r="U34" s="48"/>
      <c r="V34" s="48"/>
      <c r="W34" s="48"/>
      <c r="X34" s="59"/>
      <c r="Y34" s="48"/>
      <c r="Z34" s="59"/>
      <c r="AA34" s="48"/>
      <c r="AB34" s="48"/>
    </row>
    <row r="35" spans="1:28" ht="17.100000000000001" customHeight="1">
      <c r="A35" s="49">
        <v>39325</v>
      </c>
      <c r="B35" s="59">
        <v>20171.23</v>
      </c>
      <c r="X35" s="59"/>
      <c r="Z35" s="59"/>
    </row>
    <row r="36" spans="1:28" ht="17.100000000000001" customHeight="1">
      <c r="A36" s="49">
        <v>39355</v>
      </c>
      <c r="B36" s="59">
        <v>19520.55</v>
      </c>
      <c r="X36" s="59"/>
      <c r="Z36" s="59"/>
    </row>
    <row r="37" spans="1:28" ht="17.100000000000001" customHeight="1">
      <c r="A37" s="49">
        <v>39386</v>
      </c>
      <c r="B37" s="59">
        <v>20171.23</v>
      </c>
      <c r="X37" s="59"/>
      <c r="Z37" s="59"/>
    </row>
    <row r="38" spans="1:28" ht="17.100000000000001" customHeight="1">
      <c r="A38" s="49">
        <v>39416</v>
      </c>
      <c r="B38" s="59">
        <v>19501.59</v>
      </c>
      <c r="X38" s="59"/>
      <c r="Z38" s="59"/>
    </row>
    <row r="39" spans="1:28" ht="17.100000000000001" customHeight="1">
      <c r="A39" s="49">
        <v>39447</v>
      </c>
      <c r="B39" s="59">
        <v>20129.349999999999</v>
      </c>
      <c r="D39" s="61">
        <f>SUM(B28:B39)</f>
        <v>238740.52000000002</v>
      </c>
      <c r="X39" s="59"/>
      <c r="Z39" s="59"/>
    </row>
    <row r="40" spans="1:28" ht="17.100000000000001" customHeight="1">
      <c r="A40" s="49"/>
      <c r="B40" s="59"/>
      <c r="D40" s="61"/>
      <c r="X40" s="59"/>
      <c r="Z40" s="59"/>
    </row>
    <row r="41" spans="1:28" ht="17.100000000000001" customHeight="1">
      <c r="A41" s="49"/>
      <c r="X41" s="59"/>
      <c r="Z41" s="59"/>
    </row>
    <row r="42" spans="1:28" ht="17.100000000000001" customHeight="1">
      <c r="X42" s="59"/>
    </row>
    <row r="43" spans="1:28" ht="17.100000000000001" customHeight="1">
      <c r="X43" s="59"/>
    </row>
    <row r="44" spans="1:28" ht="17.100000000000001" customHeight="1">
      <c r="X44" s="59"/>
    </row>
    <row r="45" spans="1:28" ht="17.100000000000001" customHeight="1">
      <c r="X45" s="59"/>
    </row>
    <row r="46" spans="1:28" ht="17.100000000000001" customHeight="1">
      <c r="X46" s="59"/>
    </row>
    <row r="47" spans="1:28" ht="17.100000000000001" customHeight="1">
      <c r="X47" s="59"/>
    </row>
    <row r="48" spans="1:28" ht="17.100000000000001" customHeight="1">
      <c r="X48" s="59"/>
    </row>
    <row r="49" spans="24:24" ht="17.100000000000001" customHeight="1">
      <c r="X49" s="59"/>
    </row>
    <row r="50" spans="24:24" ht="17.100000000000001" customHeight="1">
      <c r="X50" s="59"/>
    </row>
    <row r="51" spans="24:24" ht="17.100000000000001" customHeight="1">
      <c r="X51" s="59"/>
    </row>
    <row r="52" spans="24:24" ht="17.100000000000001" customHeight="1">
      <c r="X52" s="59"/>
    </row>
    <row r="53" spans="24:24" ht="17.100000000000001" customHeight="1">
      <c r="X53" s="59"/>
    </row>
    <row r="54" spans="24:24" ht="17.100000000000001" customHeight="1">
      <c r="X54" s="59"/>
    </row>
    <row r="55" spans="24:24" ht="17.100000000000001" customHeight="1">
      <c r="X55" s="59"/>
    </row>
    <row r="56" spans="24:24" ht="17.100000000000001" customHeight="1">
      <c r="X56" s="59"/>
    </row>
    <row r="57" spans="24:24" ht="17.100000000000001" customHeight="1">
      <c r="X57" s="59"/>
    </row>
    <row r="58" spans="24:24" ht="17.100000000000001" customHeight="1">
      <c r="X58" s="59"/>
    </row>
    <row r="59" spans="24:24" ht="17.100000000000001" customHeight="1">
      <c r="X59" s="59"/>
    </row>
    <row r="60" spans="24:24" ht="17.100000000000001" customHeight="1">
      <c r="X60" s="59"/>
    </row>
    <row r="61" spans="24:24" ht="17.100000000000001" customHeight="1">
      <c r="X61" s="59"/>
    </row>
    <row r="62" spans="24:24" ht="17.100000000000001" customHeight="1">
      <c r="X62" s="59"/>
    </row>
    <row r="63" spans="24:24" ht="17.100000000000001" customHeight="1">
      <c r="X63" s="59"/>
    </row>
    <row r="64" spans="24:24" ht="17.100000000000001" customHeight="1">
      <c r="X64" s="59"/>
    </row>
    <row r="65" spans="24:24" ht="17.100000000000001" customHeight="1">
      <c r="X65" s="59"/>
    </row>
    <row r="66" spans="24:24" ht="17.100000000000001" customHeight="1">
      <c r="X66" s="59"/>
    </row>
    <row r="67" spans="24:24" ht="17.100000000000001" customHeight="1">
      <c r="X67" s="59"/>
    </row>
    <row r="68" spans="24:24" ht="17.100000000000001" customHeight="1">
      <c r="X68" s="59"/>
    </row>
    <row r="69" spans="24:24" ht="17.100000000000001" customHeight="1">
      <c r="X69" s="59"/>
    </row>
    <row r="70" spans="24:24" ht="17.100000000000001" customHeight="1">
      <c r="X70" s="59"/>
    </row>
    <row r="71" spans="24:24" ht="17.100000000000001" customHeight="1">
      <c r="X71" s="59"/>
    </row>
    <row r="72" spans="24:24" ht="17.100000000000001" customHeight="1">
      <c r="X72" s="59"/>
    </row>
    <row r="73" spans="24:24" ht="17.100000000000001" customHeight="1">
      <c r="X73" s="59"/>
    </row>
    <row r="74" spans="24:24" ht="17.100000000000001" customHeight="1">
      <c r="X74" s="59"/>
    </row>
    <row r="75" spans="24:24" ht="17.100000000000001" customHeight="1">
      <c r="X75" s="59"/>
    </row>
    <row r="76" spans="24:24" ht="17.100000000000001" customHeight="1">
      <c r="X76" s="59"/>
    </row>
    <row r="77" spans="24:24" ht="17.100000000000001" customHeight="1">
      <c r="X77" s="59"/>
    </row>
    <row r="78" spans="24:24" ht="17.100000000000001" customHeight="1">
      <c r="X78" s="59"/>
    </row>
    <row r="79" spans="24:24" ht="17.100000000000001" customHeight="1">
      <c r="X79" s="59"/>
    </row>
    <row r="80" spans="24:24" ht="17.100000000000001" customHeight="1">
      <c r="X80" s="59"/>
    </row>
    <row r="81" spans="24:24" ht="17.100000000000001" customHeight="1">
      <c r="X81" s="59"/>
    </row>
    <row r="82" spans="24:24" ht="17.100000000000001" customHeight="1">
      <c r="X82" s="59"/>
    </row>
    <row r="83" spans="24:24" ht="17.100000000000001" customHeight="1">
      <c r="X83" s="59"/>
    </row>
    <row r="84" spans="24:24" ht="17.100000000000001" customHeight="1">
      <c r="X84" s="59"/>
    </row>
    <row r="85" spans="24:24" ht="17.100000000000001" customHeight="1">
      <c r="X85" s="59"/>
    </row>
    <row r="86" spans="24:24" ht="17.100000000000001" customHeight="1">
      <c r="X86" s="59"/>
    </row>
    <row r="87" spans="24:24" ht="17.100000000000001" customHeight="1">
      <c r="X87" s="59"/>
    </row>
    <row r="88" spans="24:24" ht="17.100000000000001" customHeight="1">
      <c r="X88" s="59"/>
    </row>
    <row r="89" spans="24:24" ht="17.100000000000001" customHeight="1">
      <c r="X89" s="59"/>
    </row>
  </sheetData>
  <phoneticPr fontId="20" type="noConversion"/>
  <pageMargins left="0.25" right="0.5" top="0.25" bottom="0.25" header="0" footer="0"/>
  <pageSetup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1:Q26"/>
  <sheetViews>
    <sheetView zoomScale="90" zoomScaleNormal="90" workbookViewId="0">
      <selection activeCell="J16" sqref="J16"/>
    </sheetView>
  </sheetViews>
  <sheetFormatPr defaultColWidth="9.6640625" defaultRowHeight="15"/>
  <cols>
    <col min="1" max="1" width="9.33203125" style="1" customWidth="1"/>
    <col min="2" max="2" width="8.44140625" style="1" bestFit="1" customWidth="1"/>
    <col min="3" max="3" width="9" style="1" bestFit="1" customWidth="1"/>
    <col min="4" max="4" width="8.5546875" style="1" customWidth="1"/>
    <col min="5" max="5" width="12.44140625" style="1" customWidth="1"/>
    <col min="6" max="6" width="11.21875" style="1" customWidth="1"/>
    <col min="7" max="7" width="13" style="1" customWidth="1"/>
    <col min="8" max="8" width="1.77734375" style="1" bestFit="1" customWidth="1"/>
    <col min="9" max="9" width="10.77734375" style="1" customWidth="1"/>
    <col min="10" max="10" width="12.21875" style="1" customWidth="1"/>
    <col min="11" max="11" width="9.5546875" style="1" customWidth="1"/>
    <col min="12" max="12" width="8" style="1" customWidth="1"/>
    <col min="13" max="13" width="10.77734375" style="1" customWidth="1"/>
    <col min="14" max="15" width="11.33203125" style="1" customWidth="1"/>
    <col min="16" max="17" width="10.77734375" style="1" customWidth="1"/>
    <col min="18" max="18" width="11.33203125" style="1" bestFit="1" customWidth="1"/>
    <col min="19" max="20" width="10.77734375" style="1" customWidth="1"/>
    <col min="21" max="21" width="11.5546875" style="1" customWidth="1"/>
    <col min="22" max="23" width="10.77734375" style="1" customWidth="1"/>
    <col min="24" max="24" width="11.33203125" style="1" bestFit="1" customWidth="1"/>
    <col min="25" max="25" width="7.21875" style="1" customWidth="1"/>
    <col min="26" max="27" width="10.77734375" style="1" customWidth="1"/>
    <col min="28" max="28" width="11.33203125" style="1" bestFit="1" customWidth="1"/>
    <col min="29" max="30" width="10.77734375" style="1" customWidth="1"/>
    <col min="31" max="31" width="11.33203125" style="1" bestFit="1" customWidth="1"/>
    <col min="32" max="33" width="10.77734375" style="1" customWidth="1"/>
    <col min="34" max="34" width="11.33203125" style="1" bestFit="1" customWidth="1"/>
    <col min="35" max="36" width="10.77734375" style="1" customWidth="1"/>
    <col min="37" max="37" width="11.33203125" style="1" bestFit="1" customWidth="1"/>
    <col min="38" max="38" width="11.33203125" style="1" customWidth="1"/>
    <col min="39" max="40" width="10.77734375" style="1" customWidth="1"/>
    <col min="41" max="41" width="11.33203125" style="1" bestFit="1" customWidth="1"/>
    <col min="42" max="43" width="10.77734375" style="1" customWidth="1"/>
    <col min="44" max="44" width="11.33203125" style="1" bestFit="1" customWidth="1"/>
    <col min="45" max="46" width="10.77734375" style="1" customWidth="1"/>
    <col min="47" max="47" width="11.33203125" style="1" bestFit="1" customWidth="1"/>
    <col min="48" max="49" width="9.6640625" style="1"/>
    <col min="50" max="50" width="11.33203125" style="1" bestFit="1" customWidth="1"/>
    <col min="51" max="16384" width="9.6640625" style="1"/>
  </cols>
  <sheetData>
    <row r="1" spans="1:17" ht="24">
      <c r="A1" s="228"/>
      <c r="B1" s="228" t="s">
        <v>167</v>
      </c>
      <c r="C1" s="394" t="s">
        <v>171</v>
      </c>
      <c r="D1" s="394"/>
      <c r="E1" s="226" t="s">
        <v>166</v>
      </c>
      <c r="F1" s="226" t="s">
        <v>168</v>
      </c>
      <c r="G1" s="227" t="s">
        <v>36</v>
      </c>
      <c r="H1" s="21"/>
      <c r="I1" s="1" t="s">
        <v>205</v>
      </c>
      <c r="Q1" s="29"/>
    </row>
    <row r="2" spans="1:17" ht="13.5" customHeight="1">
      <c r="A2" s="322" t="s">
        <v>180</v>
      </c>
      <c r="B2" s="229" t="s">
        <v>30</v>
      </c>
      <c r="C2" s="395" t="s">
        <v>174</v>
      </c>
      <c r="D2" s="393"/>
      <c r="E2" s="327" t="s">
        <v>174</v>
      </c>
      <c r="F2" s="323" t="s">
        <v>174</v>
      </c>
      <c r="G2" s="21">
        <f>'[1]RUS Payts'!$G$27</f>
        <v>2511383.6999999997</v>
      </c>
      <c r="H2" s="21"/>
      <c r="Q2" s="29"/>
    </row>
    <row r="3" spans="1:17" ht="13.5" customHeight="1">
      <c r="A3" s="33"/>
      <c r="B3" s="229" t="s">
        <v>30</v>
      </c>
      <c r="C3" s="393">
        <v>43496</v>
      </c>
      <c r="D3" s="393"/>
      <c r="E3" s="331"/>
      <c r="F3" s="246"/>
      <c r="G3" s="21">
        <f>G2+E3+F3</f>
        <v>2511383.6999999997</v>
      </c>
      <c r="H3" s="21"/>
      <c r="Q3" s="29"/>
    </row>
    <row r="4" spans="1:17" ht="13.5" customHeight="1">
      <c r="B4" s="229" t="s">
        <v>30</v>
      </c>
      <c r="C4" s="393">
        <v>43524</v>
      </c>
      <c r="D4" s="393"/>
      <c r="E4" s="331"/>
      <c r="F4" s="246"/>
      <c r="G4" s="21">
        <f>G3+E4+F4</f>
        <v>2511383.6999999997</v>
      </c>
      <c r="K4" s="75"/>
      <c r="Q4" s="29"/>
    </row>
    <row r="5" spans="1:17" ht="13.5" customHeight="1">
      <c r="B5" s="229" t="s">
        <v>30</v>
      </c>
      <c r="C5" s="393">
        <v>43555</v>
      </c>
      <c r="D5" s="393"/>
      <c r="E5" s="331"/>
      <c r="F5" s="246">
        <v>30962.26</v>
      </c>
      <c r="G5" s="21">
        <f>G4+E5+F5</f>
        <v>2542345.9599999995</v>
      </c>
      <c r="Q5" s="29"/>
    </row>
    <row r="6" spans="1:17" ht="14.1" customHeight="1">
      <c r="B6" s="229" t="s">
        <v>30</v>
      </c>
      <c r="C6" s="393">
        <v>43585</v>
      </c>
      <c r="D6" s="393"/>
      <c r="E6" s="331">
        <v>-14000.17</v>
      </c>
      <c r="F6" s="246"/>
      <c r="G6" s="21">
        <f>G5+E6+F6</f>
        <v>2528345.7899999996</v>
      </c>
      <c r="Q6" s="29"/>
    </row>
    <row r="7" spans="1:17" ht="14.1" customHeight="1">
      <c r="B7" s="229" t="s">
        <v>30</v>
      </c>
      <c r="C7" s="393">
        <v>43616</v>
      </c>
      <c r="D7" s="393"/>
      <c r="E7" s="331"/>
      <c r="F7" s="246"/>
      <c r="G7" s="21">
        <f t="shared" ref="G7:G15" si="0">G6+E7+F7</f>
        <v>2528345.7899999996</v>
      </c>
      <c r="Q7" s="29"/>
    </row>
    <row r="8" spans="1:17" ht="14.1" customHeight="1">
      <c r="B8" s="229" t="s">
        <v>30</v>
      </c>
      <c r="C8" s="393">
        <v>43646</v>
      </c>
      <c r="D8" s="393"/>
      <c r="E8" s="331"/>
      <c r="F8" s="246">
        <v>31575.27</v>
      </c>
      <c r="G8" s="21">
        <f t="shared" si="0"/>
        <v>2559921.0599999996</v>
      </c>
      <c r="H8" s="114"/>
      <c r="I8" s="1">
        <f>(G8*0.05)/365*17</f>
        <v>5961.4600027397255</v>
      </c>
      <c r="Q8" s="21"/>
    </row>
    <row r="9" spans="1:17" ht="14.1" customHeight="1">
      <c r="B9" s="229" t="s">
        <v>30</v>
      </c>
      <c r="C9" s="393">
        <v>43663</v>
      </c>
      <c r="D9" s="393"/>
      <c r="E9" s="331">
        <f>-2053981.97-57921.06-390117.29</f>
        <v>-2502020.3199999998</v>
      </c>
      <c r="F9" s="246"/>
      <c r="G9" s="21">
        <f t="shared" si="0"/>
        <v>57900.739999999758</v>
      </c>
      <c r="I9" s="1">
        <f>+(G9*0.05)/365*14</f>
        <v>111.04251506849269</v>
      </c>
      <c r="Q9" s="21"/>
    </row>
    <row r="10" spans="1:17" ht="14.1" customHeight="1">
      <c r="B10" s="229" t="s">
        <v>30</v>
      </c>
      <c r="C10" s="393">
        <v>43677</v>
      </c>
      <c r="D10" s="393"/>
      <c r="E10" s="331">
        <v>-10827.23</v>
      </c>
      <c r="F10" s="325"/>
      <c r="G10" s="21">
        <f t="shared" si="0"/>
        <v>47073.509999999762</v>
      </c>
      <c r="I10" s="1">
        <f>+(G10*0.05)/365*31</f>
        <v>199.90120684931404</v>
      </c>
      <c r="Q10" s="31"/>
    </row>
    <row r="11" spans="1:17" ht="14.1" customHeight="1">
      <c r="B11" s="229" t="s">
        <v>30</v>
      </c>
      <c r="C11" s="393">
        <v>43708</v>
      </c>
      <c r="D11" s="393"/>
      <c r="E11" s="331">
        <v>-10827.23</v>
      </c>
      <c r="F11" s="325"/>
      <c r="G11" s="21">
        <f t="shared" si="0"/>
        <v>36246.279999999766</v>
      </c>
      <c r="I11" s="1">
        <f>+(G11*0.05)/365*30</f>
        <v>148.95731506849219</v>
      </c>
      <c r="J11" s="1">
        <f>ROUND(SUM(I8:I11),2)</f>
        <v>6421.36</v>
      </c>
    </row>
    <row r="12" spans="1:17" ht="14.1" customHeight="1">
      <c r="B12" s="229" t="s">
        <v>30</v>
      </c>
      <c r="C12" s="393">
        <v>43738</v>
      </c>
      <c r="D12" s="393"/>
      <c r="E12" s="331">
        <v>-10827.23</v>
      </c>
      <c r="F12" s="246">
        <v>6421.36</v>
      </c>
      <c r="G12" s="21">
        <f>G11+E12+F12</f>
        <v>31840.409999999767</v>
      </c>
    </row>
    <row r="13" spans="1:17" ht="14.1" customHeight="1">
      <c r="B13" s="229" t="s">
        <v>30</v>
      </c>
      <c r="C13" s="393">
        <v>43769</v>
      </c>
      <c r="D13" s="393"/>
      <c r="E13" s="331">
        <v>-10827.23</v>
      </c>
      <c r="F13" s="325"/>
      <c r="G13" s="21">
        <f t="shared" si="0"/>
        <v>21013.179999999767</v>
      </c>
      <c r="I13" s="1">
        <f>ROUND(+(G12*0.05)/365*31,2)</f>
        <v>135.21</v>
      </c>
    </row>
    <row r="14" spans="1:17" ht="16.5" customHeight="1">
      <c r="B14" s="229" t="s">
        <v>30</v>
      </c>
      <c r="C14" s="393">
        <v>43799</v>
      </c>
      <c r="D14" s="393"/>
      <c r="E14" s="331">
        <v>-10827.23</v>
      </c>
      <c r="F14" s="325"/>
      <c r="G14" s="21">
        <f t="shared" si="0"/>
        <v>10185.949999999768</v>
      </c>
      <c r="I14" s="1">
        <f>ROUND(+(G13*0.05)/365*30,2)</f>
        <v>86.36</v>
      </c>
      <c r="L14" s="1" t="s">
        <v>206</v>
      </c>
    </row>
    <row r="15" spans="1:17" ht="24" customHeight="1">
      <c r="B15" s="229" t="s">
        <v>30</v>
      </c>
      <c r="C15" s="393">
        <v>43830</v>
      </c>
      <c r="D15" s="393"/>
      <c r="E15" s="331"/>
      <c r="F15" s="246">
        <v>264.83</v>
      </c>
      <c r="G15" s="21">
        <f t="shared" si="0"/>
        <v>10450.779999999768</v>
      </c>
      <c r="I15" s="1">
        <f>ROUND((G14*0.05)/365*31,2)</f>
        <v>43.26</v>
      </c>
      <c r="J15" s="1">
        <f>SUM(I13:I15)</f>
        <v>264.83</v>
      </c>
      <c r="K15" s="333"/>
      <c r="L15" s="333">
        <f>-E14-G15</f>
        <v>376.45000000023174</v>
      </c>
      <c r="M15" s="1" t="s">
        <v>207</v>
      </c>
    </row>
    <row r="16" spans="1:17" ht="14.1" customHeight="1">
      <c r="E16" s="169"/>
      <c r="F16" s="169" t="s">
        <v>206</v>
      </c>
    </row>
    <row r="17" spans="3:7">
      <c r="E17" s="169"/>
      <c r="F17" s="169"/>
      <c r="G17" s="75"/>
    </row>
    <row r="18" spans="3:7">
      <c r="C18" s="329"/>
      <c r="E18" s="169"/>
      <c r="F18" s="169"/>
      <c r="G18" s="75"/>
    </row>
    <row r="19" spans="3:7">
      <c r="C19" s="329"/>
      <c r="E19" s="169"/>
      <c r="F19" s="169"/>
      <c r="G19" s="326"/>
    </row>
    <row r="20" spans="3:7">
      <c r="E20" s="169"/>
      <c r="F20" s="169"/>
    </row>
    <row r="21" spans="3:7">
      <c r="E21" s="169"/>
      <c r="F21" s="169"/>
    </row>
    <row r="22" spans="3:7">
      <c r="E22" s="169"/>
      <c r="F22" s="169"/>
    </row>
    <row r="23" spans="3:7">
      <c r="E23" s="169"/>
      <c r="F23" s="169"/>
    </row>
    <row r="24" spans="3:7">
      <c r="E24" s="169"/>
      <c r="F24" s="169"/>
    </row>
    <row r="25" spans="3:7">
      <c r="F25" s="75"/>
    </row>
    <row r="26" spans="3:7">
      <c r="F26" s="169"/>
    </row>
  </sheetData>
  <mergeCells count="15">
    <mergeCell ref="C13:D13"/>
    <mergeCell ref="C14:D14"/>
    <mergeCell ref="C15:D15"/>
    <mergeCell ref="C7:D7"/>
    <mergeCell ref="C8:D8"/>
    <mergeCell ref="C9:D9"/>
    <mergeCell ref="C10:D10"/>
    <mergeCell ref="C11:D11"/>
    <mergeCell ref="C12:D12"/>
    <mergeCell ref="C6:D6"/>
    <mergeCell ref="C1:D1"/>
    <mergeCell ref="C2:D2"/>
    <mergeCell ref="C3:D3"/>
    <mergeCell ref="C4:D4"/>
    <mergeCell ref="C5:D5"/>
  </mergeCells>
  <printOptions horizontalCentered="1"/>
  <pageMargins left="0.25" right="0.5" top="1" bottom="0.25" header="0" footer="0"/>
  <pageSetup scale="60" orientation="landscape" r:id="rId1"/>
  <headerFooter alignWithMargins="0">
    <oddHeader>&amp;C&amp;"Arial,Bold"&amp;14RUS PRINCIPAL &amp; INTEREST PAYMENTS - 2019</oddHeader>
  </headerFooter>
  <colBreaks count="1" manualBreakCount="1">
    <brk id="14037" min="1" max="14727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BC39"/>
  <sheetViews>
    <sheetView topLeftCell="AQ8" zoomScale="80" zoomScaleNormal="80" workbookViewId="0">
      <selection activeCell="AV25" sqref="AV25"/>
    </sheetView>
  </sheetViews>
  <sheetFormatPr defaultColWidth="9.6640625" defaultRowHeight="15"/>
  <cols>
    <col min="1" max="1" width="9.33203125" style="1" customWidth="1"/>
    <col min="2" max="2" width="8.44140625" style="1" bestFit="1" customWidth="1"/>
    <col min="3" max="3" width="9" style="1" customWidth="1"/>
    <col min="4" max="4" width="8.5546875" style="1" customWidth="1"/>
    <col min="5" max="5" width="12.44140625" style="1" customWidth="1"/>
    <col min="6" max="6" width="11.21875" style="1" customWidth="1"/>
    <col min="7" max="7" width="13" style="1" customWidth="1"/>
    <col min="8" max="8" width="1.77734375" style="1" customWidth="1"/>
    <col min="9" max="9" width="10.77734375" style="1" customWidth="1"/>
    <col min="10" max="10" width="12.21875" style="1" customWidth="1"/>
    <col min="11" max="11" width="12.44140625" style="1" customWidth="1"/>
    <col min="12" max="13" width="10.77734375" style="1" customWidth="1"/>
    <col min="14" max="14" width="11.33203125" style="1" customWidth="1"/>
    <col min="15" max="16" width="10.77734375" style="1" customWidth="1"/>
    <col min="17" max="17" width="11.33203125" style="1" bestFit="1" customWidth="1"/>
    <col min="18" max="19" width="10.77734375" style="1" customWidth="1"/>
    <col min="20" max="20" width="11.5546875" style="1" customWidth="1"/>
    <col min="21" max="22" width="10.77734375" style="1" customWidth="1"/>
    <col min="23" max="23" width="11.21875" style="1" customWidth="1"/>
    <col min="24" max="24" width="7.21875" style="1" hidden="1" customWidth="1"/>
    <col min="25" max="26" width="10.77734375" style="1" customWidth="1"/>
    <col min="27" max="27" width="11.33203125" style="1" bestFit="1" customWidth="1"/>
    <col min="28" max="29" width="10.77734375" style="1" customWidth="1"/>
    <col min="30" max="30" width="11.33203125" style="1" customWidth="1"/>
    <col min="31" max="32" width="10.77734375" style="1" customWidth="1"/>
    <col min="33" max="33" width="11.33203125" style="1" customWidth="1"/>
    <col min="34" max="35" width="10.77734375" style="1" customWidth="1"/>
    <col min="36" max="36" width="11.21875" style="1" customWidth="1"/>
    <col min="37" max="37" width="4.109375" style="1" hidden="1" customWidth="1"/>
    <col min="38" max="39" width="10.77734375" style="1" customWidth="1"/>
    <col min="40" max="40" width="11.33203125" style="1" bestFit="1" customWidth="1"/>
    <col min="41" max="42" width="10.77734375" style="1" customWidth="1"/>
    <col min="43" max="43" width="11.33203125" style="1" bestFit="1" customWidth="1"/>
    <col min="44" max="45" width="10.77734375" style="1" customWidth="1"/>
    <col min="46" max="46" width="11.33203125" style="1" bestFit="1" customWidth="1"/>
    <col min="47" max="48" width="9.6640625" style="1"/>
    <col min="49" max="49" width="11.33203125" style="1" bestFit="1" customWidth="1"/>
    <col min="50" max="53" width="9.6640625" style="1"/>
    <col min="54" max="54" width="22.6640625" style="1" bestFit="1" customWidth="1"/>
    <col min="55" max="16384" width="9.6640625" style="1"/>
  </cols>
  <sheetData>
    <row r="1" spans="1:54" ht="18">
      <c r="A1" s="2">
        <f ca="1">NOW()</f>
        <v>45685.410198726851</v>
      </c>
      <c r="B1" s="337" t="s">
        <v>209</v>
      </c>
      <c r="C1" s="2"/>
      <c r="D1" s="2"/>
      <c r="E1" s="2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92"/>
      <c r="V1" s="392"/>
      <c r="W1" s="392"/>
      <c r="X1" s="392"/>
      <c r="Y1" s="392"/>
      <c r="Z1" s="392"/>
      <c r="AA1" s="392"/>
      <c r="AB1" s="392"/>
      <c r="AC1" s="392"/>
      <c r="AD1" s="392"/>
      <c r="AE1" s="392"/>
      <c r="AF1" s="392"/>
      <c r="AG1" s="392"/>
      <c r="AH1" s="392"/>
      <c r="AI1" s="392"/>
      <c r="AJ1" s="392"/>
      <c r="AK1" s="392"/>
      <c r="AL1" s="392"/>
      <c r="AM1" s="392"/>
      <c r="AN1" s="392"/>
      <c r="AO1" s="392"/>
      <c r="AP1" s="392"/>
      <c r="AQ1" s="392"/>
      <c r="AR1" s="392"/>
      <c r="AS1" s="392"/>
      <c r="AT1" s="392"/>
      <c r="AU1" s="4"/>
    </row>
    <row r="2" spans="1:54" ht="13.5" customHeight="1">
      <c r="A2" s="5" t="s">
        <v>0</v>
      </c>
      <c r="B2" s="5"/>
      <c r="C2" s="6" t="s">
        <v>112</v>
      </c>
      <c r="D2" s="6" t="s">
        <v>114</v>
      </c>
      <c r="E2" s="6" t="s">
        <v>115</v>
      </c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N2" s="94"/>
    </row>
    <row r="3" spans="1:54" ht="13.5" customHeight="1">
      <c r="A3" s="6" t="s">
        <v>1</v>
      </c>
      <c r="B3" s="6" t="s">
        <v>134</v>
      </c>
      <c r="C3" s="6" t="s">
        <v>73</v>
      </c>
      <c r="D3" s="6" t="s">
        <v>73</v>
      </c>
      <c r="E3" s="6" t="s">
        <v>73</v>
      </c>
      <c r="F3" s="6" t="s">
        <v>31</v>
      </c>
      <c r="G3" s="6" t="s">
        <v>32</v>
      </c>
      <c r="H3" s="6"/>
      <c r="I3" s="7" t="s">
        <v>33</v>
      </c>
      <c r="J3" s="8"/>
      <c r="K3" s="99"/>
      <c r="L3" s="10" t="s">
        <v>37</v>
      </c>
      <c r="M3" s="9"/>
      <c r="N3" s="9"/>
      <c r="O3" s="10" t="s">
        <v>38</v>
      </c>
      <c r="P3" s="9"/>
      <c r="Q3" s="9"/>
      <c r="R3" s="7" t="s">
        <v>39</v>
      </c>
      <c r="S3" s="9"/>
      <c r="T3" s="78"/>
      <c r="U3" s="76" t="s">
        <v>40</v>
      </c>
      <c r="V3" s="10"/>
      <c r="W3" s="95"/>
      <c r="X3" s="225"/>
      <c r="Y3" s="10" t="s">
        <v>41</v>
      </c>
      <c r="Z3" s="9"/>
      <c r="AA3" s="78"/>
      <c r="AB3" s="10" t="s">
        <v>42</v>
      </c>
      <c r="AC3" s="11"/>
      <c r="AD3" s="80"/>
      <c r="AE3" s="10" t="s">
        <v>43</v>
      </c>
      <c r="AF3" s="11"/>
      <c r="AG3" s="78"/>
      <c r="AH3" s="10" t="s">
        <v>44</v>
      </c>
      <c r="AI3" s="11"/>
      <c r="AJ3" s="80"/>
      <c r="AK3" s="247"/>
      <c r="AL3" s="10" t="s">
        <v>45</v>
      </c>
      <c r="AM3" s="11"/>
      <c r="AN3" s="80"/>
      <c r="AO3" s="133" t="s">
        <v>46</v>
      </c>
      <c r="AP3" s="11"/>
      <c r="AQ3" s="11"/>
      <c r="AR3" s="7" t="s">
        <v>47</v>
      </c>
      <c r="AS3" s="11"/>
      <c r="AT3" s="80"/>
      <c r="AU3" s="12" t="s">
        <v>48</v>
      </c>
      <c r="AV3" s="11"/>
      <c r="AW3" s="80"/>
    </row>
    <row r="4" spans="1:54" ht="13.5" customHeight="1">
      <c r="F4" s="15">
        <v>43830</v>
      </c>
      <c r="G4" s="16"/>
      <c r="H4" s="16"/>
      <c r="I4" s="216" t="s">
        <v>34</v>
      </c>
      <c r="J4" s="217" t="s">
        <v>35</v>
      </c>
      <c r="K4" s="79" t="s">
        <v>36</v>
      </c>
      <c r="L4" s="217" t="s">
        <v>34</v>
      </c>
      <c r="M4" s="217" t="s">
        <v>35</v>
      </c>
      <c r="N4" s="217" t="s">
        <v>36</v>
      </c>
      <c r="O4" s="217" t="s">
        <v>34</v>
      </c>
      <c r="P4" s="217" t="s">
        <v>35</v>
      </c>
      <c r="Q4" s="217" t="s">
        <v>36</v>
      </c>
      <c r="R4" s="216" t="s">
        <v>34</v>
      </c>
      <c r="S4" s="217" t="s">
        <v>35</v>
      </c>
      <c r="T4" s="79" t="s">
        <v>36</v>
      </c>
      <c r="U4" s="218" t="s">
        <v>34</v>
      </c>
      <c r="V4" s="217" t="s">
        <v>35</v>
      </c>
      <c r="W4" s="79" t="s">
        <v>36</v>
      </c>
      <c r="X4" s="217" t="s">
        <v>32</v>
      </c>
      <c r="Y4" s="217" t="s">
        <v>34</v>
      </c>
      <c r="Z4" s="217" t="s">
        <v>35</v>
      </c>
      <c r="AA4" s="79" t="s">
        <v>36</v>
      </c>
      <c r="AB4" s="217" t="s">
        <v>34</v>
      </c>
      <c r="AC4" s="217" t="s">
        <v>35</v>
      </c>
      <c r="AD4" s="79" t="s">
        <v>36</v>
      </c>
      <c r="AE4" s="217" t="s">
        <v>34</v>
      </c>
      <c r="AF4" s="217" t="s">
        <v>35</v>
      </c>
      <c r="AG4" s="79" t="s">
        <v>36</v>
      </c>
      <c r="AH4" s="217" t="s">
        <v>34</v>
      </c>
      <c r="AI4" s="217" t="s">
        <v>35</v>
      </c>
      <c r="AJ4" s="79" t="s">
        <v>36</v>
      </c>
      <c r="AK4" s="218" t="s">
        <v>32</v>
      </c>
      <c r="AL4" s="217" t="s">
        <v>34</v>
      </c>
      <c r="AM4" s="217" t="s">
        <v>35</v>
      </c>
      <c r="AN4" s="79" t="s">
        <v>36</v>
      </c>
      <c r="AO4" s="217" t="s">
        <v>34</v>
      </c>
      <c r="AP4" s="217" t="s">
        <v>35</v>
      </c>
      <c r="AQ4" s="217" t="s">
        <v>36</v>
      </c>
      <c r="AR4" s="216" t="s">
        <v>34</v>
      </c>
      <c r="AS4" s="217" t="s">
        <v>35</v>
      </c>
      <c r="AT4" s="79" t="s">
        <v>36</v>
      </c>
      <c r="AU4" s="216" t="s">
        <v>34</v>
      </c>
      <c r="AV4" s="217" t="s">
        <v>35</v>
      </c>
      <c r="AW4" s="79" t="s">
        <v>36</v>
      </c>
    </row>
    <row r="5" spans="1:54" ht="13.5" customHeight="1">
      <c r="F5" s="15"/>
      <c r="G5" s="16"/>
      <c r="H5" s="16"/>
      <c r="I5" s="17"/>
      <c r="J5" s="18"/>
      <c r="K5" s="82"/>
      <c r="L5" s="18"/>
      <c r="M5" s="18"/>
      <c r="N5" s="18"/>
      <c r="O5" s="18"/>
      <c r="P5" s="18"/>
      <c r="Q5" s="18"/>
      <c r="R5" s="224"/>
      <c r="S5" s="18"/>
      <c r="T5" s="82"/>
      <c r="U5" s="18"/>
      <c r="V5" s="18"/>
      <c r="W5" s="82"/>
      <c r="X5" s="18"/>
      <c r="Y5" s="18"/>
      <c r="Z5" s="18"/>
      <c r="AA5" s="82"/>
      <c r="AB5" s="18"/>
      <c r="AC5" s="18"/>
      <c r="AD5" s="82"/>
      <c r="AE5" s="18"/>
      <c r="AF5" s="18"/>
      <c r="AG5" s="82"/>
      <c r="AH5" s="18"/>
      <c r="AI5" s="18"/>
      <c r="AJ5" s="82"/>
      <c r="AK5" s="77"/>
      <c r="AL5" s="24"/>
      <c r="AM5" s="18"/>
      <c r="AN5" s="82"/>
      <c r="AO5" s="18"/>
      <c r="AP5" s="18"/>
      <c r="AQ5" s="113"/>
      <c r="AR5" s="18"/>
      <c r="AS5" s="18"/>
      <c r="AT5" s="82"/>
      <c r="AU5" s="14"/>
      <c r="AW5" s="219"/>
    </row>
    <row r="6" spans="1:54" ht="14.1" customHeight="1">
      <c r="A6" s="20" t="s">
        <v>94</v>
      </c>
      <c r="B6" s="20" t="s">
        <v>137</v>
      </c>
      <c r="C6" s="104">
        <v>35961</v>
      </c>
      <c r="D6" s="104">
        <v>48670</v>
      </c>
      <c r="E6" s="104">
        <v>45473</v>
      </c>
      <c r="F6" s="21">
        <v>870213.90999999992</v>
      </c>
      <c r="G6" s="44">
        <v>0.02</v>
      </c>
      <c r="H6" s="44" t="s">
        <v>113</v>
      </c>
      <c r="I6" s="30">
        <v>1474.13</v>
      </c>
      <c r="J6" s="29">
        <v>4760.12</v>
      </c>
      <c r="K6" s="71">
        <f>F6-J6</f>
        <v>865453.78999999992</v>
      </c>
      <c r="L6" s="29">
        <v>1324.19</v>
      </c>
      <c r="M6" s="29">
        <v>4910.0600000000004</v>
      </c>
      <c r="N6" s="71">
        <f>K6-M6</f>
        <v>860543.72999999986</v>
      </c>
      <c r="O6" s="29">
        <v>1504.78</v>
      </c>
      <c r="P6" s="29">
        <v>4729.47</v>
      </c>
      <c r="Q6" s="71">
        <f>N6-P6</f>
        <v>855814.25999999989</v>
      </c>
      <c r="R6" s="29">
        <v>1402.97</v>
      </c>
      <c r="S6" s="29">
        <v>4831.28</v>
      </c>
      <c r="T6" s="71">
        <f>Q6-S6</f>
        <v>850982.97999999986</v>
      </c>
      <c r="U6" s="29">
        <v>1348.55</v>
      </c>
      <c r="V6" s="29">
        <v>4885.7</v>
      </c>
      <c r="W6" s="71">
        <f>T6-V6</f>
        <v>846097.27999999991</v>
      </c>
      <c r="X6" s="223"/>
      <c r="Y6" s="29">
        <v>1479.51</v>
      </c>
      <c r="Z6" s="29">
        <v>4754.74</v>
      </c>
      <c r="AA6" s="71">
        <f>W6-Z6</f>
        <v>841342.53999999992</v>
      </c>
      <c r="AB6" s="29">
        <v>1425.23</v>
      </c>
      <c r="AC6" s="29">
        <v>4809.0200000000004</v>
      </c>
      <c r="AD6" s="71">
        <f>AA6-AC6</f>
        <v>836533.5199999999</v>
      </c>
      <c r="AE6" s="29">
        <v>1417.08</v>
      </c>
      <c r="AF6" s="29">
        <v>4817.17</v>
      </c>
      <c r="AG6" s="71">
        <f>AD6-AF6</f>
        <v>831716.34999999986</v>
      </c>
      <c r="AH6" s="29">
        <v>1363.47</v>
      </c>
      <c r="AI6" s="29">
        <v>4870.78</v>
      </c>
      <c r="AJ6" s="71">
        <f>AG6-AI6</f>
        <v>826845.56999999983</v>
      </c>
      <c r="AK6" s="223"/>
      <c r="AL6" s="29">
        <v>1355.48</v>
      </c>
      <c r="AM6" s="29">
        <v>4878.7700000000004</v>
      </c>
      <c r="AN6" s="71">
        <f>AJ6-AM6</f>
        <v>821966.79999999981</v>
      </c>
      <c r="AO6" s="29">
        <v>1392.4</v>
      </c>
      <c r="AP6" s="29">
        <v>4841.8500000000004</v>
      </c>
      <c r="AQ6" s="71">
        <f>AN6-AP6</f>
        <v>817124.94999999984</v>
      </c>
      <c r="AR6" s="29">
        <v>1384.2</v>
      </c>
      <c r="AS6" s="29">
        <v>4850.05</v>
      </c>
      <c r="AT6" s="71">
        <f>AQ6-AS6</f>
        <v>812274.89999999979</v>
      </c>
      <c r="AU6" s="213">
        <f t="shared" ref="AU6:AV8" si="0">I6+L6+O6+R6+U6+Y6+AB6+AE6+AH6+AL6+AO6+AR6</f>
        <v>16871.989999999998</v>
      </c>
      <c r="AV6" s="75">
        <f t="shared" si="0"/>
        <v>57939.01</v>
      </c>
      <c r="AW6" s="220">
        <f>F6-AV6</f>
        <v>812274.89999999991</v>
      </c>
    </row>
    <row r="7" spans="1:54" ht="14.1" customHeight="1">
      <c r="A7" s="20" t="s">
        <v>95</v>
      </c>
      <c r="B7" s="20" t="s">
        <v>138</v>
      </c>
      <c r="C7" s="104">
        <v>36180</v>
      </c>
      <c r="D7" s="104">
        <v>48670</v>
      </c>
      <c r="E7" s="104"/>
      <c r="F7" s="21">
        <v>552479.24</v>
      </c>
      <c r="G7" s="44">
        <v>4.1250000000000002E-2</v>
      </c>
      <c r="H7" s="44"/>
      <c r="I7" s="30">
        <v>1403.84</v>
      </c>
      <c r="J7" s="29">
        <v>2811.75</v>
      </c>
      <c r="K7" s="71">
        <f>F7-J7</f>
        <v>549667.49</v>
      </c>
      <c r="L7" s="29">
        <v>1261.53</v>
      </c>
      <c r="M7" s="29">
        <v>2954.06</v>
      </c>
      <c r="N7" s="71">
        <f>K7-M7</f>
        <v>546713.42999999993</v>
      </c>
      <c r="O7" s="29">
        <v>1434</v>
      </c>
      <c r="P7" s="29">
        <v>2781.59</v>
      </c>
      <c r="Q7" s="71">
        <f>N7-P7</f>
        <v>543931.84</v>
      </c>
      <c r="R7" s="29">
        <v>1337.54</v>
      </c>
      <c r="S7" s="29">
        <v>2878.05</v>
      </c>
      <c r="T7" s="71">
        <f>Q7-S7</f>
        <v>541053.78999999992</v>
      </c>
      <c r="U7" s="29">
        <v>1286.1099999999999</v>
      </c>
      <c r="V7" s="29">
        <v>2929.48</v>
      </c>
      <c r="W7" s="71">
        <f>T7-V7</f>
        <v>538124.30999999994</v>
      </c>
      <c r="X7" s="223"/>
      <c r="Y7" s="29">
        <v>1411.47</v>
      </c>
      <c r="Z7" s="29">
        <v>2804.12</v>
      </c>
      <c r="AA7" s="71">
        <f>W7-Z7</f>
        <v>535320.18999999994</v>
      </c>
      <c r="AB7" s="29">
        <v>1360.24</v>
      </c>
      <c r="AC7" s="29">
        <v>2855.35</v>
      </c>
      <c r="AD7" s="71">
        <f>AA7-AC7</f>
        <v>532464.84</v>
      </c>
      <c r="AE7" s="29">
        <v>1352.98</v>
      </c>
      <c r="AF7" s="29">
        <v>2862.61</v>
      </c>
      <c r="AG7" s="71">
        <f>AD7-AF7</f>
        <v>529602.23</v>
      </c>
      <c r="AH7" s="29">
        <v>1302.3</v>
      </c>
      <c r="AI7" s="29">
        <v>2913.29</v>
      </c>
      <c r="AJ7" s="71">
        <f>AG7-AI7</f>
        <v>526688.93999999994</v>
      </c>
      <c r="AK7" s="223"/>
      <c r="AL7" s="29">
        <v>1295.1400000000001</v>
      </c>
      <c r="AM7" s="29">
        <v>2920.45</v>
      </c>
      <c r="AN7" s="71">
        <f>AJ7-AM7</f>
        <v>523768.48999999993</v>
      </c>
      <c r="AO7" s="29">
        <v>1330.89</v>
      </c>
      <c r="AP7" s="29">
        <v>2884.7</v>
      </c>
      <c r="AQ7" s="71">
        <f>AN7-AP7</f>
        <v>520883.78999999992</v>
      </c>
      <c r="AR7" s="29">
        <v>1323.56</v>
      </c>
      <c r="AS7" s="29">
        <v>2892.03</v>
      </c>
      <c r="AT7" s="71">
        <f>AQ7-AS7</f>
        <v>517991.75999999989</v>
      </c>
      <c r="AU7" s="213">
        <f t="shared" si="0"/>
        <v>16099.599999999997</v>
      </c>
      <c r="AV7" s="75">
        <f t="shared" si="0"/>
        <v>34487.480000000003</v>
      </c>
      <c r="AW7" s="220">
        <f>F7-AV7</f>
        <v>517991.76</v>
      </c>
    </row>
    <row r="8" spans="1:54" ht="14.1" customHeight="1">
      <c r="A8" s="20" t="s">
        <v>161</v>
      </c>
      <c r="B8" s="20" t="s">
        <v>139</v>
      </c>
      <c r="C8" s="104">
        <v>36250</v>
      </c>
      <c r="D8" s="104">
        <v>48670</v>
      </c>
      <c r="E8" s="104"/>
      <c r="F8" s="21">
        <v>45077.27</v>
      </c>
      <c r="G8" s="44">
        <v>4.4999999999999998E-2</v>
      </c>
      <c r="H8" s="44"/>
      <c r="I8" s="330">
        <v>171.81</v>
      </c>
      <c r="J8" s="182">
        <v>205.58</v>
      </c>
      <c r="K8" s="83">
        <f>F8-J8</f>
        <v>44871.689999999995</v>
      </c>
      <c r="L8" s="182">
        <v>154.47999999999999</v>
      </c>
      <c r="M8" s="182">
        <v>222.91</v>
      </c>
      <c r="N8" s="83">
        <f>K8-M8</f>
        <v>44648.779999999992</v>
      </c>
      <c r="O8" s="182">
        <v>175.67</v>
      </c>
      <c r="P8" s="182">
        <v>201.72</v>
      </c>
      <c r="Q8" s="83">
        <f>N8-P8</f>
        <v>44447.05999999999</v>
      </c>
      <c r="R8" s="182">
        <v>163.94</v>
      </c>
      <c r="S8" s="182">
        <v>213.45</v>
      </c>
      <c r="T8" s="83">
        <f>Q8-S8</f>
        <v>44233.609999999993</v>
      </c>
      <c r="U8" s="182">
        <v>157.72</v>
      </c>
      <c r="V8" s="182">
        <v>219.67</v>
      </c>
      <c r="W8" s="83">
        <f>T8-V8</f>
        <v>44013.939999999995</v>
      </c>
      <c r="X8" s="31"/>
      <c r="Y8" s="182">
        <v>173.17</v>
      </c>
      <c r="Z8" s="182">
        <v>204.22</v>
      </c>
      <c r="AA8" s="83">
        <f>W8-Z8</f>
        <v>43809.719999999994</v>
      </c>
      <c r="AB8" s="182">
        <v>166.98</v>
      </c>
      <c r="AC8" s="182">
        <v>210.41</v>
      </c>
      <c r="AD8" s="83">
        <f>AA8-AC8</f>
        <v>43599.30999999999</v>
      </c>
      <c r="AE8" s="182">
        <v>166.18</v>
      </c>
      <c r="AF8" s="182">
        <v>211.21</v>
      </c>
      <c r="AG8" s="83">
        <f>AD8-AF8</f>
        <v>43388.099999999991</v>
      </c>
      <c r="AH8" s="182">
        <v>160.04</v>
      </c>
      <c r="AI8" s="182">
        <v>217.35</v>
      </c>
      <c r="AJ8" s="83">
        <f>AG8-AI8</f>
        <v>43170.749999999993</v>
      </c>
      <c r="AK8" s="31"/>
      <c r="AL8" s="182">
        <v>159.24</v>
      </c>
      <c r="AM8" s="182">
        <v>218.15</v>
      </c>
      <c r="AN8" s="83">
        <f>AJ8-AM8</f>
        <v>42952.599999999991</v>
      </c>
      <c r="AO8" s="182">
        <v>163.71</v>
      </c>
      <c r="AP8" s="182">
        <v>213.68</v>
      </c>
      <c r="AQ8" s="83">
        <f>AN8-AP8</f>
        <v>42738.919999999991</v>
      </c>
      <c r="AR8" s="182">
        <v>162.9</v>
      </c>
      <c r="AS8" s="182">
        <v>214.49</v>
      </c>
      <c r="AT8" s="83">
        <f>AQ8-AS8</f>
        <v>42524.429999999993</v>
      </c>
      <c r="AU8" s="214">
        <f t="shared" si="0"/>
        <v>1975.84</v>
      </c>
      <c r="AV8" s="215">
        <f t="shared" si="0"/>
        <v>2552.84</v>
      </c>
      <c r="AW8" s="221">
        <f>F8-AV8</f>
        <v>42524.429999999993</v>
      </c>
    </row>
    <row r="9" spans="1:54" ht="14.1" customHeight="1">
      <c r="A9" s="20"/>
      <c r="B9" s="20"/>
      <c r="C9" s="20"/>
      <c r="D9" s="20"/>
      <c r="E9" s="20"/>
      <c r="F9" s="21"/>
      <c r="G9" s="22"/>
      <c r="H9" s="22"/>
      <c r="I9" s="73">
        <f>SUM(I6:I8)</f>
        <v>3049.78</v>
      </c>
      <c r="J9" s="21">
        <f>SUM(J6:J8)</f>
        <v>7777.45</v>
      </c>
      <c r="K9" s="71"/>
      <c r="L9" s="21">
        <f>SUM(L6:L8)</f>
        <v>2740.2000000000003</v>
      </c>
      <c r="M9" s="21">
        <f>SUM(M6:M8)</f>
        <v>8087.0300000000007</v>
      </c>
      <c r="N9" s="71"/>
      <c r="O9" s="21">
        <f>SUM(O6:O8)</f>
        <v>3114.45</v>
      </c>
      <c r="P9" s="21">
        <f>SUM(P6:P8)</f>
        <v>7712.7800000000007</v>
      </c>
      <c r="Q9" s="71"/>
      <c r="R9" s="21">
        <f>SUM(R6:R8)</f>
        <v>2904.4500000000003</v>
      </c>
      <c r="S9" s="21">
        <f>SUM(S6:S8)</f>
        <v>7922.78</v>
      </c>
      <c r="T9" s="71"/>
      <c r="U9" s="21">
        <f>SUM(U6:U8)</f>
        <v>2792.3799999999997</v>
      </c>
      <c r="V9" s="21">
        <f>SUM(V6:V8)</f>
        <v>8034.85</v>
      </c>
      <c r="W9" s="71"/>
      <c r="X9" s="21"/>
      <c r="Y9" s="21">
        <f>SUM(Y6:Y8)</f>
        <v>3064.15</v>
      </c>
      <c r="Z9" s="21">
        <f>SUM(Z6:Z8)</f>
        <v>7763.08</v>
      </c>
      <c r="AA9" s="71"/>
      <c r="AB9" s="21">
        <f>SUM(AB6:AB8)</f>
        <v>2952.4500000000003</v>
      </c>
      <c r="AC9" s="21">
        <f>SUM(AC6:AC8)</f>
        <v>7874.7800000000007</v>
      </c>
      <c r="AD9" s="71"/>
      <c r="AE9" s="21">
        <f>SUM(AE6:AE8)</f>
        <v>2936.24</v>
      </c>
      <c r="AF9" s="21">
        <f>SUM(AF6:AF8)</f>
        <v>7890.9900000000007</v>
      </c>
      <c r="AG9" s="71"/>
      <c r="AH9" s="21">
        <f>SUM(AH6:AH8)</f>
        <v>2825.81</v>
      </c>
      <c r="AI9" s="21">
        <f>SUM(AI6:AI8)</f>
        <v>8001.42</v>
      </c>
      <c r="AJ9" s="71"/>
      <c r="AK9" s="21"/>
      <c r="AL9" s="21">
        <f>SUM(AL6:AL8)</f>
        <v>2809.8599999999997</v>
      </c>
      <c r="AM9" s="21">
        <f>SUM(AM6:AM8)</f>
        <v>8017.37</v>
      </c>
      <c r="AN9" s="71"/>
      <c r="AO9" s="21">
        <f>SUM(AO6:AO8)</f>
        <v>2887</v>
      </c>
      <c r="AP9" s="21">
        <f>SUM(AP6:AP8)</f>
        <v>7940.2300000000005</v>
      </c>
      <c r="AQ9" s="71"/>
      <c r="AR9" s="21">
        <f>SUM(AR6:AR8)</f>
        <v>2870.6600000000003</v>
      </c>
      <c r="AS9" s="21">
        <f>SUM(AS6:AS8)</f>
        <v>7956.57</v>
      </c>
      <c r="AT9" s="71"/>
      <c r="AU9" s="75">
        <f>SUM(AU6:AU8)</f>
        <v>34947.429999999993</v>
      </c>
      <c r="AV9" s="75">
        <f>SUM(AV6:AV8)</f>
        <v>94979.33</v>
      </c>
      <c r="AW9" s="220">
        <f>SUM(AW6:AW8)</f>
        <v>1372791.0899999999</v>
      </c>
    </row>
    <row r="10" spans="1:54" ht="14.1" customHeight="1">
      <c r="A10" s="170"/>
      <c r="B10" s="33"/>
      <c r="C10" s="33"/>
      <c r="D10" s="33"/>
      <c r="E10" s="33"/>
      <c r="F10" s="210">
        <f>SUM(F6:F8)</f>
        <v>1467770.42</v>
      </c>
      <c r="G10" s="34"/>
      <c r="H10" s="146"/>
      <c r="I10" s="31"/>
      <c r="J10" s="31"/>
      <c r="K10" s="83"/>
      <c r="L10" s="31"/>
      <c r="M10" s="31"/>
      <c r="N10" s="83"/>
      <c r="O10" s="31"/>
      <c r="P10" s="31"/>
      <c r="Q10" s="83"/>
      <c r="R10" s="31"/>
      <c r="S10" s="31"/>
      <c r="T10" s="83"/>
      <c r="U10" s="31"/>
      <c r="V10" s="31"/>
      <c r="W10" s="83"/>
      <c r="X10" s="31"/>
      <c r="Y10" s="21"/>
      <c r="Z10" s="31"/>
      <c r="AA10" s="83"/>
      <c r="AB10" s="31"/>
      <c r="AC10" s="31"/>
      <c r="AD10" s="83"/>
      <c r="AE10" s="31"/>
      <c r="AF10" s="31"/>
      <c r="AG10" s="83"/>
      <c r="AH10" s="31"/>
      <c r="AI10" s="31"/>
      <c r="AJ10" s="83"/>
      <c r="AK10" s="31"/>
      <c r="AL10" s="31"/>
      <c r="AM10" s="31"/>
      <c r="AN10" s="83"/>
      <c r="AO10" s="31"/>
      <c r="AP10" s="31"/>
      <c r="AQ10" s="83"/>
      <c r="AR10" s="31"/>
      <c r="AS10" s="31"/>
      <c r="AT10" s="83"/>
      <c r="AW10" s="222"/>
    </row>
    <row r="11" spans="1:54" ht="14.1" customHeight="1">
      <c r="A11" s="33"/>
      <c r="B11" s="33"/>
      <c r="C11" s="33"/>
      <c r="D11" s="33"/>
      <c r="E11" s="33"/>
      <c r="F11" s="32"/>
      <c r="G11" s="34"/>
      <c r="H11" s="146"/>
      <c r="I11" s="31"/>
      <c r="J11" s="31"/>
      <c r="K11" s="83"/>
      <c r="L11" s="31"/>
      <c r="M11" s="31"/>
      <c r="N11" s="83"/>
      <c r="O11" s="173"/>
      <c r="P11" s="31"/>
      <c r="Q11" s="83"/>
      <c r="R11" s="31"/>
      <c r="S11" s="31"/>
      <c r="T11" s="83"/>
      <c r="U11" s="31"/>
      <c r="V11" s="31"/>
      <c r="W11" s="83"/>
      <c r="X11" s="31"/>
      <c r="Y11" s="173"/>
      <c r="Z11" s="31"/>
      <c r="AA11" s="83"/>
      <c r="AB11" s="31"/>
      <c r="AC11" s="31"/>
      <c r="AD11" s="83"/>
      <c r="AE11" s="31"/>
      <c r="AF11" s="31"/>
      <c r="AG11" s="83"/>
      <c r="AH11" s="31"/>
      <c r="AI11" s="31"/>
      <c r="AJ11" s="83"/>
      <c r="AK11" s="31"/>
      <c r="AL11" s="173" t="s">
        <v>223</v>
      </c>
      <c r="AM11" s="31"/>
      <c r="AN11" s="83"/>
      <c r="AO11" s="31"/>
      <c r="AP11" s="31"/>
      <c r="AQ11" s="83"/>
      <c r="AR11" s="31"/>
      <c r="AS11" s="31"/>
      <c r="AT11" s="83"/>
      <c r="AW11" s="222"/>
    </row>
    <row r="12" spans="1:54" ht="14.1" customHeight="1">
      <c r="A12" s="33"/>
      <c r="B12" s="33"/>
      <c r="C12" s="33"/>
      <c r="D12" s="33"/>
      <c r="E12" s="208" t="s">
        <v>128</v>
      </c>
      <c r="F12" s="209">
        <f>F10</f>
        <v>1467770.42</v>
      </c>
      <c r="G12" s="21"/>
      <c r="H12" s="71"/>
      <c r="I12" s="21"/>
      <c r="J12" s="21"/>
      <c r="K12" s="209">
        <f>SUM(K6:K8)</f>
        <v>1459992.9699999997</v>
      </c>
      <c r="L12" s="21"/>
      <c r="M12" s="21"/>
      <c r="N12" s="209">
        <f>SUM(N6:N8)</f>
        <v>1451905.9399999997</v>
      </c>
      <c r="O12" s="21"/>
      <c r="P12" s="21"/>
      <c r="Q12" s="209">
        <f>SUM(Q6:Q8)</f>
        <v>1444193.16</v>
      </c>
      <c r="R12" s="21"/>
      <c r="S12" s="21"/>
      <c r="T12" s="209">
        <f>SUM(T6:T8)</f>
        <v>1436270.38</v>
      </c>
      <c r="U12" s="21"/>
      <c r="V12" s="21"/>
      <c r="W12" s="209">
        <f>SUM(W6:W8)</f>
        <v>1428235.5299999998</v>
      </c>
      <c r="X12" s="209"/>
      <c r="Y12" s="21"/>
      <c r="Z12" s="21"/>
      <c r="AA12" s="209">
        <f>SUM(AA6:AA8)</f>
        <v>1420472.45</v>
      </c>
      <c r="AB12" s="21"/>
      <c r="AC12" s="21"/>
      <c r="AD12" s="209">
        <f>SUM(AD6:AD8)</f>
        <v>1412597.67</v>
      </c>
      <c r="AE12" s="21"/>
      <c r="AF12" s="21"/>
      <c r="AG12" s="209">
        <f>SUM(AG6:AG8)</f>
        <v>1404706.68</v>
      </c>
      <c r="AH12" s="21"/>
      <c r="AI12" s="21"/>
      <c r="AJ12" s="209">
        <f>SUM(AJ6:AJ8)</f>
        <v>1396705.2599999998</v>
      </c>
      <c r="AK12" s="209"/>
      <c r="AL12" s="21"/>
      <c r="AM12" s="21"/>
      <c r="AN12" s="209">
        <f>SUM(AN6:AN8)</f>
        <v>1388687.89</v>
      </c>
      <c r="AO12" s="21"/>
      <c r="AP12" s="21"/>
      <c r="AQ12" s="209">
        <f>SUM(AQ6:AQ8)</f>
        <v>1380747.6599999997</v>
      </c>
      <c r="AR12" s="21"/>
      <c r="AS12" s="21"/>
      <c r="AT12" s="209">
        <f>SUM(AT6:AT9)</f>
        <v>1372791.0899999996</v>
      </c>
    </row>
    <row r="13" spans="1:54" ht="39.75" customHeight="1">
      <c r="A13" s="228"/>
      <c r="B13" s="228" t="s">
        <v>167</v>
      </c>
      <c r="C13" s="394" t="s">
        <v>171</v>
      </c>
      <c r="D13" s="394"/>
      <c r="E13" s="226" t="s">
        <v>166</v>
      </c>
      <c r="F13" s="226" t="s">
        <v>168</v>
      </c>
      <c r="G13" s="227" t="s">
        <v>36</v>
      </c>
      <c r="H13" s="21"/>
      <c r="I13" s="21"/>
      <c r="J13" s="230" t="s">
        <v>170</v>
      </c>
      <c r="K13" s="231">
        <f>G15</f>
        <v>0</v>
      </c>
      <c r="L13" s="31"/>
      <c r="M13" s="31"/>
      <c r="N13" s="231">
        <f>G16</f>
        <v>0</v>
      </c>
      <c r="O13" s="31"/>
      <c r="P13" s="31"/>
      <c r="Q13" s="231">
        <f>G17</f>
        <v>0</v>
      </c>
      <c r="R13" s="31"/>
      <c r="S13" s="31"/>
      <c r="T13" s="231">
        <f>G18</f>
        <v>0</v>
      </c>
      <c r="U13" s="31"/>
      <c r="V13" s="31"/>
      <c r="W13" s="231">
        <f>+G19</f>
        <v>0</v>
      </c>
      <c r="X13" s="231"/>
      <c r="Y13" s="31"/>
      <c r="Z13" s="31"/>
      <c r="AA13" s="231">
        <f>+G20</f>
        <v>0</v>
      </c>
      <c r="AB13" s="31"/>
      <c r="AC13" s="31"/>
      <c r="AD13" s="231">
        <f>+G22</f>
        <v>0</v>
      </c>
      <c r="AE13" s="31"/>
      <c r="AF13" s="31"/>
      <c r="AG13" s="231">
        <f>+G23</f>
        <v>0</v>
      </c>
      <c r="AH13" s="31"/>
      <c r="AI13" s="31"/>
      <c r="AJ13" s="231">
        <f>+G24</f>
        <v>0</v>
      </c>
      <c r="AK13" s="231"/>
      <c r="AL13" s="31"/>
      <c r="AM13" s="31"/>
      <c r="AN13" s="231">
        <f>+G25</f>
        <v>0</v>
      </c>
      <c r="AO13" s="31"/>
      <c r="AP13" s="31"/>
      <c r="AQ13" s="231">
        <f>+G26</f>
        <v>0</v>
      </c>
      <c r="AR13" s="31"/>
      <c r="AS13" s="31"/>
      <c r="AT13" s="231">
        <f>+G27</f>
        <v>0</v>
      </c>
    </row>
    <row r="14" spans="1:54" ht="24" customHeight="1">
      <c r="A14" s="322" t="s">
        <v>208</v>
      </c>
      <c r="B14" s="229" t="s">
        <v>30</v>
      </c>
      <c r="C14" s="395" t="s">
        <v>174</v>
      </c>
      <c r="D14" s="393"/>
      <c r="E14" s="327" t="s">
        <v>174</v>
      </c>
      <c r="F14" s="323" t="s">
        <v>174</v>
      </c>
      <c r="G14" s="21">
        <v>0</v>
      </c>
      <c r="H14" s="21"/>
      <c r="I14" s="21"/>
      <c r="J14" s="230" t="s">
        <v>169</v>
      </c>
      <c r="K14" s="209">
        <f>K12-K13</f>
        <v>1459992.9699999997</v>
      </c>
      <c r="L14" s="21"/>
      <c r="M14" s="21"/>
      <c r="N14" s="209">
        <f>N12-N13</f>
        <v>1451905.9399999997</v>
      </c>
      <c r="O14" s="21"/>
      <c r="P14" s="21"/>
      <c r="Q14" s="209">
        <f>Q12-Q13</f>
        <v>1444193.16</v>
      </c>
      <c r="R14" s="21"/>
      <c r="S14" s="21"/>
      <c r="T14" s="209">
        <f>T12-T13</f>
        <v>1436270.38</v>
      </c>
      <c r="U14" s="21"/>
      <c r="V14" s="21"/>
      <c r="W14" s="209">
        <f>W12-W13</f>
        <v>1428235.5299999998</v>
      </c>
      <c r="X14" s="209"/>
      <c r="Y14" s="21"/>
      <c r="Z14" s="21"/>
      <c r="AA14" s="209">
        <f>AA12-AA13</f>
        <v>1420472.45</v>
      </c>
      <c r="AB14" s="21"/>
      <c r="AC14" s="21"/>
      <c r="AD14" s="209">
        <f>AD12-AD13</f>
        <v>1412597.67</v>
      </c>
      <c r="AE14" s="21"/>
      <c r="AF14" s="21"/>
      <c r="AG14" s="209">
        <f>AG12-AG13</f>
        <v>1404706.68</v>
      </c>
      <c r="AH14" s="21"/>
      <c r="AI14" s="21"/>
      <c r="AJ14" s="209">
        <f>AJ12-AJ13</f>
        <v>1396705.2599999998</v>
      </c>
      <c r="AK14" s="209"/>
      <c r="AL14" s="21"/>
      <c r="AM14" s="21"/>
      <c r="AN14" s="209">
        <f>AN12-AN13</f>
        <v>1388687.89</v>
      </c>
      <c r="AO14" s="21"/>
      <c r="AP14" s="21"/>
      <c r="AQ14" s="209">
        <f>AQ12-AQ13</f>
        <v>1380747.6599999997</v>
      </c>
      <c r="AR14" s="21"/>
      <c r="AS14" s="21"/>
      <c r="AT14" s="209">
        <f>AT12-AT13</f>
        <v>1372791.0899999996</v>
      </c>
    </row>
    <row r="15" spans="1:54" ht="18" customHeight="1">
      <c r="A15" s="33"/>
      <c r="B15" s="229" t="s">
        <v>30</v>
      </c>
      <c r="C15" s="393">
        <v>43861</v>
      </c>
      <c r="D15" s="393"/>
      <c r="E15" s="331"/>
      <c r="F15" s="246"/>
      <c r="G15" s="21">
        <f>G14+E15+F15</f>
        <v>0</v>
      </c>
      <c r="H15" s="21"/>
      <c r="I15" s="21"/>
      <c r="J15" s="21"/>
      <c r="K15" s="209"/>
      <c r="L15" s="21"/>
      <c r="M15" s="21"/>
      <c r="N15" s="209"/>
      <c r="O15" s="21"/>
      <c r="P15" s="21"/>
      <c r="Q15" s="209"/>
      <c r="R15" s="21"/>
      <c r="S15" s="21"/>
      <c r="T15" s="209"/>
      <c r="U15" s="21"/>
      <c r="V15" s="21"/>
      <c r="W15" s="209"/>
      <c r="X15" s="209"/>
      <c r="Y15" s="21"/>
      <c r="Z15" s="21"/>
      <c r="AA15" s="209"/>
      <c r="AB15" s="21"/>
      <c r="AC15" s="21"/>
      <c r="AD15" s="209"/>
      <c r="AE15" s="21"/>
      <c r="AF15" s="21"/>
      <c r="AG15" s="209"/>
      <c r="AH15" s="21"/>
      <c r="AI15" s="21"/>
      <c r="AJ15" s="209"/>
      <c r="AK15" s="209"/>
      <c r="AL15" s="21"/>
      <c r="AM15" s="21"/>
      <c r="AN15" s="209"/>
      <c r="AO15" s="21"/>
      <c r="AP15" s="21"/>
      <c r="AQ15" s="209"/>
      <c r="AR15" s="21"/>
      <c r="AS15" s="21"/>
      <c r="AT15" s="209"/>
    </row>
    <row r="16" spans="1:54" ht="15.75">
      <c r="B16" s="229" t="s">
        <v>30</v>
      </c>
      <c r="C16" s="393">
        <v>43889</v>
      </c>
      <c r="D16" s="393"/>
      <c r="E16" s="331"/>
      <c r="F16" s="246"/>
      <c r="G16" s="21">
        <f>G15+E16+F16</f>
        <v>0</v>
      </c>
      <c r="J16" s="100"/>
      <c r="K16" s="147"/>
      <c r="M16" s="100" t="s">
        <v>217</v>
      </c>
      <c r="N16" s="148"/>
      <c r="P16" s="100"/>
      <c r="S16" s="100"/>
      <c r="V16" s="100"/>
      <c r="W16" s="148"/>
      <c r="X16" s="148"/>
      <c r="Z16" s="100"/>
      <c r="AA16" s="148"/>
      <c r="AC16" s="100"/>
      <c r="AD16" s="148"/>
      <c r="AF16" s="100"/>
      <c r="AG16" s="148"/>
      <c r="AH16" s="21"/>
      <c r="AI16" s="100"/>
      <c r="AJ16" s="148"/>
      <c r="AK16" s="148"/>
      <c r="AM16" s="100"/>
      <c r="AN16" s="148"/>
      <c r="AP16" s="100"/>
      <c r="AQ16" s="36"/>
      <c r="AS16" s="100"/>
      <c r="AT16" s="84"/>
      <c r="BB16" s="1" t="s">
        <v>224</v>
      </c>
    </row>
    <row r="17" spans="2:55" ht="15.75">
      <c r="B17" s="229" t="s">
        <v>30</v>
      </c>
      <c r="C17" s="393">
        <v>43921</v>
      </c>
      <c r="D17" s="393"/>
      <c r="E17" s="331"/>
      <c r="F17" s="246"/>
      <c r="G17" s="21">
        <f>G16+E17+F17</f>
        <v>0</v>
      </c>
      <c r="J17" s="100"/>
      <c r="K17" s="101"/>
      <c r="M17" s="100"/>
      <c r="N17" s="101"/>
      <c r="P17" s="100"/>
      <c r="Q17" s="100"/>
      <c r="S17" s="100"/>
      <c r="W17" s="149"/>
      <c r="X17" s="149"/>
      <c r="Z17" s="100"/>
      <c r="AC17" s="100"/>
      <c r="AF17" s="100"/>
      <c r="AI17" s="100"/>
      <c r="AM17" s="100"/>
      <c r="AP17" s="101"/>
      <c r="AQ17" s="75"/>
      <c r="AS17" s="100"/>
      <c r="AT17" s="75"/>
      <c r="AX17" s="1" t="s">
        <v>225</v>
      </c>
    </row>
    <row r="18" spans="2:55" ht="15.75">
      <c r="B18" s="229" t="s">
        <v>30</v>
      </c>
      <c r="C18" s="393">
        <v>43951</v>
      </c>
      <c r="D18" s="393"/>
      <c r="E18" s="331"/>
      <c r="F18" s="246"/>
      <c r="G18" s="21">
        <f>G17+E18+F18</f>
        <v>0</v>
      </c>
      <c r="J18" s="101"/>
      <c r="S18" s="100"/>
      <c r="W18" s="103"/>
      <c r="X18" s="103"/>
      <c r="Z18" s="100"/>
      <c r="AC18" s="100"/>
      <c r="AF18" s="100"/>
      <c r="AI18" s="100"/>
      <c r="AJ18" s="100"/>
      <c r="AK18" s="100"/>
      <c r="AL18" s="100"/>
      <c r="AM18" s="100"/>
      <c r="AP18" s="101"/>
      <c r="AS18" s="100"/>
      <c r="AT18" s="101"/>
      <c r="AY18" s="396" t="s">
        <v>226</v>
      </c>
      <c r="AZ18" s="396"/>
      <c r="BA18" s="396"/>
    </row>
    <row r="19" spans="2:55" ht="15.75">
      <c r="B19" s="229" t="s">
        <v>30</v>
      </c>
      <c r="C19" s="393">
        <v>43982</v>
      </c>
      <c r="D19" s="393"/>
      <c r="E19" s="331"/>
      <c r="F19" s="246"/>
      <c r="G19" s="21">
        <f t="shared" ref="G19:G27" si="1">G18+E19+F19</f>
        <v>0</v>
      </c>
      <c r="S19" s="100"/>
      <c r="W19" s="103"/>
      <c r="X19" s="103"/>
      <c r="Z19" s="100"/>
      <c r="AC19" s="100"/>
      <c r="AF19" s="100"/>
      <c r="AI19" s="100"/>
      <c r="AJ19" s="100"/>
      <c r="AK19" s="100"/>
      <c r="AL19" s="100"/>
      <c r="AM19" s="100"/>
      <c r="AP19" s="107"/>
      <c r="AT19" s="101"/>
      <c r="AW19" s="338" t="s">
        <v>227</v>
      </c>
      <c r="AX19" s="339">
        <f>+AW9</f>
        <v>1372791.0899999999</v>
      </c>
      <c r="AY19" s="338" t="s">
        <v>228</v>
      </c>
      <c r="AZ19" s="75"/>
      <c r="BB19" s="1" t="s">
        <v>229</v>
      </c>
    </row>
    <row r="20" spans="2:55" ht="15.75">
      <c r="B20" s="229" t="s">
        <v>30</v>
      </c>
      <c r="C20" s="393">
        <v>44012</v>
      </c>
      <c r="D20" s="393"/>
      <c r="E20" s="331"/>
      <c r="F20" s="246"/>
      <c r="G20" s="21">
        <f t="shared" si="1"/>
        <v>0</v>
      </c>
      <c r="H20" s="114"/>
      <c r="I20" s="114" t="s">
        <v>118</v>
      </c>
      <c r="J20" s="114"/>
      <c r="K20" s="114"/>
      <c r="L20" s="122">
        <f>I9+L9</f>
        <v>5789.9800000000005</v>
      </c>
      <c r="M20" s="122"/>
      <c r="N20" s="122"/>
      <c r="O20" s="122">
        <f>L20+O9</f>
        <v>8904.43</v>
      </c>
      <c r="P20" s="122"/>
      <c r="Q20" s="122"/>
      <c r="R20" s="122">
        <f>O20+R9</f>
        <v>11808.880000000001</v>
      </c>
      <c r="S20" s="122"/>
      <c r="T20" s="122"/>
      <c r="U20" s="122">
        <f>R20+U9</f>
        <v>14601.26</v>
      </c>
      <c r="V20" s="122"/>
      <c r="W20" s="123"/>
      <c r="X20" s="123"/>
      <c r="Y20" s="122">
        <f>U20+Y9</f>
        <v>17665.41</v>
      </c>
      <c r="Z20" s="122"/>
      <c r="AA20" s="122"/>
      <c r="AB20" s="122">
        <f>Y20+AB9</f>
        <v>20617.86</v>
      </c>
      <c r="AC20" s="122"/>
      <c r="AD20" s="122"/>
      <c r="AE20" s="122">
        <f>AB20+AE9</f>
        <v>23554.1</v>
      </c>
      <c r="AF20" s="124"/>
      <c r="AG20" s="122"/>
      <c r="AH20" s="122">
        <f>AE20+AH9</f>
        <v>26379.91</v>
      </c>
      <c r="AI20" s="122"/>
      <c r="AJ20" s="122"/>
      <c r="AK20" s="122"/>
      <c r="AL20" s="122">
        <f>AH20+AL9</f>
        <v>29189.77</v>
      </c>
      <c r="AM20" s="122"/>
      <c r="AN20" s="122"/>
      <c r="AO20" s="122">
        <f>AL20+AO9</f>
        <v>32076.77</v>
      </c>
      <c r="AQ20" s="122"/>
      <c r="AR20" s="122">
        <f>AO20+AR9</f>
        <v>34947.43</v>
      </c>
      <c r="AS20" s="114"/>
      <c r="AT20" s="114"/>
      <c r="AW20" s="340" t="s">
        <v>230</v>
      </c>
      <c r="AX20" s="341">
        <v>97122.54</v>
      </c>
      <c r="AY20" s="101" t="s">
        <v>231</v>
      </c>
      <c r="AZ20" s="75"/>
    </row>
    <row r="21" spans="2:55" ht="15.75">
      <c r="B21" s="229" t="s">
        <v>30</v>
      </c>
      <c r="C21" s="393">
        <v>44029</v>
      </c>
      <c r="D21" s="393"/>
      <c r="E21" s="331"/>
      <c r="F21" s="246"/>
      <c r="G21" s="21">
        <f t="shared" si="1"/>
        <v>0</v>
      </c>
      <c r="AW21" s="338"/>
      <c r="AX21" s="339">
        <f>AX19-AX20</f>
        <v>1275668.5499999998</v>
      </c>
      <c r="AY21" s="75"/>
      <c r="AZ21" s="75"/>
      <c r="BB21" s="75">
        <f>+AX21+'FFB Payts (3)'!AD36+'CFC Payts (2)'!AD53</f>
        <v>61275738.029999994</v>
      </c>
      <c r="BC21" s="1" t="s">
        <v>232</v>
      </c>
    </row>
    <row r="22" spans="2:55" ht="15.75">
      <c r="B22" s="229" t="s">
        <v>30</v>
      </c>
      <c r="C22" s="393">
        <v>44043</v>
      </c>
      <c r="D22" s="393"/>
      <c r="E22" s="331"/>
      <c r="F22" s="325"/>
      <c r="G22" s="21">
        <f t="shared" si="1"/>
        <v>0</v>
      </c>
      <c r="K22" s="75"/>
      <c r="M22" s="75"/>
      <c r="AW22" s="338"/>
      <c r="AX22" s="339"/>
      <c r="AZ22" s="75"/>
    </row>
    <row r="23" spans="2:55" ht="15.75">
      <c r="B23" s="229" t="s">
        <v>30</v>
      </c>
      <c r="C23" s="393">
        <v>44074</v>
      </c>
      <c r="D23" s="393"/>
      <c r="E23" s="331"/>
      <c r="F23" s="325"/>
      <c r="G23" s="21">
        <f t="shared" si="1"/>
        <v>0</v>
      </c>
      <c r="I23" s="1" t="s">
        <v>179</v>
      </c>
      <c r="K23" s="75"/>
      <c r="P23" s="75">
        <f>I9+J9+L9+M9+O9+P9</f>
        <v>32481.690000000002</v>
      </c>
      <c r="Z23" s="75">
        <f>P23+R9+S9+U9+V9+Y9+Z9</f>
        <v>64963.38</v>
      </c>
      <c r="AI23" s="75">
        <f>Z23+AB8+AC6+AE9+AF9+AH9+AI9+AC7+AC8+AB7+AB6</f>
        <v>97445.070000000022</v>
      </c>
      <c r="AS23" s="75">
        <f>AI23+AL9+AM9+AO9+AP9+AR9+AS9</f>
        <v>129926.76000000001</v>
      </c>
      <c r="AW23" s="338"/>
      <c r="AX23" s="339"/>
      <c r="AZ23" s="75"/>
      <c r="BB23" s="1" t="s">
        <v>233</v>
      </c>
    </row>
    <row r="24" spans="2:55" ht="15.75">
      <c r="B24" s="229" t="s">
        <v>30</v>
      </c>
      <c r="C24" s="393">
        <v>44104</v>
      </c>
      <c r="D24" s="393"/>
      <c r="E24" s="331"/>
      <c r="F24" s="246"/>
      <c r="G24" s="21">
        <f t="shared" si="1"/>
        <v>0</v>
      </c>
      <c r="S24" s="21"/>
      <c r="AX24" s="338"/>
      <c r="BB24" s="75">
        <f>+AX20+'FFB Payts (3)'!AD35+'CFC Payts (2)'!AD52</f>
        <v>2297966.0099999998</v>
      </c>
      <c r="BC24" s="1" t="s">
        <v>234</v>
      </c>
    </row>
    <row r="25" spans="2:55" ht="15.75">
      <c r="B25" s="229" t="s">
        <v>30</v>
      </c>
      <c r="C25" s="393">
        <v>44135</v>
      </c>
      <c r="D25" s="393"/>
      <c r="E25" s="331"/>
      <c r="F25" s="325"/>
      <c r="G25" s="21">
        <f t="shared" si="1"/>
        <v>0</v>
      </c>
      <c r="N25" s="75"/>
      <c r="AW25" s="338"/>
      <c r="AX25" s="338"/>
      <c r="AY25" s="338" t="s">
        <v>235</v>
      </c>
    </row>
    <row r="26" spans="2:55" ht="15.75">
      <c r="B26" s="229" t="s">
        <v>30</v>
      </c>
      <c r="C26" s="393">
        <v>44165</v>
      </c>
      <c r="D26" s="393"/>
      <c r="E26" s="331"/>
      <c r="F26" s="325"/>
      <c r="G26" s="21">
        <f t="shared" si="1"/>
        <v>0</v>
      </c>
      <c r="L26" s="21"/>
      <c r="N26" s="75"/>
      <c r="P26" s="29"/>
      <c r="AW26" s="338" t="s">
        <v>236</v>
      </c>
      <c r="AX26" s="339">
        <f>+AU9</f>
        <v>34947.429999999993</v>
      </c>
      <c r="BB26" s="75">
        <f>+BB21+BB24</f>
        <v>63573704.039999992</v>
      </c>
    </row>
    <row r="27" spans="2:55" ht="15.75">
      <c r="B27" s="229" t="s">
        <v>30</v>
      </c>
      <c r="C27" s="393">
        <v>44196</v>
      </c>
      <c r="D27" s="393"/>
      <c r="E27" s="331"/>
      <c r="F27" s="246"/>
      <c r="G27" s="21">
        <f t="shared" si="1"/>
        <v>0</v>
      </c>
      <c r="P27" s="29"/>
      <c r="AW27" s="340" t="s">
        <v>237</v>
      </c>
      <c r="AX27" s="341">
        <f>+AV9</f>
        <v>94979.33</v>
      </c>
    </row>
    <row r="28" spans="2:55">
      <c r="E28" s="169"/>
      <c r="F28" s="169"/>
      <c r="P28" s="29"/>
      <c r="AW28" s="338"/>
      <c r="AX28" s="339">
        <f>AX26+AX27</f>
        <v>129926.76</v>
      </c>
      <c r="BB28" s="1" t="s">
        <v>242</v>
      </c>
    </row>
    <row r="29" spans="2:55">
      <c r="E29" s="169"/>
      <c r="F29" s="169"/>
      <c r="G29" s="75"/>
      <c r="P29" s="29"/>
      <c r="BB29" s="75" t="e">
        <f>+#REF!</f>
        <v>#REF!</v>
      </c>
    </row>
    <row r="30" spans="2:55">
      <c r="C30" s="329"/>
      <c r="E30" s="169"/>
      <c r="F30" s="169"/>
      <c r="G30" s="75"/>
      <c r="P30" s="29"/>
    </row>
    <row r="31" spans="2:55">
      <c r="C31" s="329"/>
      <c r="E31" s="169"/>
      <c r="F31" s="169"/>
      <c r="G31" s="326"/>
      <c r="K31" s="75"/>
      <c r="P31" s="29"/>
    </row>
    <row r="32" spans="2:55">
      <c r="E32" s="169"/>
      <c r="F32" s="169"/>
      <c r="P32" s="29"/>
    </row>
    <row r="33" spans="5:16">
      <c r="E33" s="169"/>
      <c r="F33" s="169"/>
      <c r="P33" s="29"/>
    </row>
    <row r="34" spans="5:16">
      <c r="E34" s="169"/>
      <c r="F34" s="169"/>
      <c r="P34" s="29"/>
    </row>
    <row r="35" spans="5:16">
      <c r="E35" s="169"/>
      <c r="F35" s="169"/>
      <c r="P35" s="21"/>
    </row>
    <row r="36" spans="5:16">
      <c r="E36" s="169"/>
      <c r="F36" s="169">
        <f>+G20*0.5/365*17</f>
        <v>0</v>
      </c>
      <c r="G36" s="1">
        <f>+G24*0.5/365*31</f>
        <v>0</v>
      </c>
      <c r="P36" s="21"/>
    </row>
    <row r="37" spans="5:16">
      <c r="F37" s="75" t="e">
        <f>(+G20-#REF!-#REF!-'FFB Payts'!#REF!-'FFB Payts'!#REF!-'FFB Payts'!#REF!-'FFB Payts'!#REF!-'FFB Payts'!#REF!-'FFB Payts'!#REF!-'FFB Payts'!#REF!-'FFB Payts'!#REF!-'FFB Payts'!#REF!)*0.5/365*14</f>
        <v>#REF!</v>
      </c>
      <c r="G37" s="1">
        <f>+G25*0.5/365*30</f>
        <v>0</v>
      </c>
      <c r="P37" s="31"/>
    </row>
    <row r="38" spans="5:16">
      <c r="F38" s="169">
        <f>+G22*0.5/365*31</f>
        <v>0</v>
      </c>
      <c r="G38" s="1">
        <f>+G26*0.5/365*31</f>
        <v>0</v>
      </c>
    </row>
    <row r="39" spans="5:16">
      <c r="F39" s="1">
        <f>+G23*0.5/365*30</f>
        <v>0</v>
      </c>
    </row>
  </sheetData>
  <mergeCells count="18">
    <mergeCell ref="U1:AG1"/>
    <mergeCell ref="AH1:AT1"/>
    <mergeCell ref="C13:D13"/>
    <mergeCell ref="C14:D14"/>
    <mergeCell ref="C15:D15"/>
    <mergeCell ref="C16:D16"/>
    <mergeCell ref="C17:D17"/>
    <mergeCell ref="C18:D18"/>
    <mergeCell ref="C19:D19"/>
    <mergeCell ref="C20:D20"/>
    <mergeCell ref="C26:D26"/>
    <mergeCell ref="C27:D27"/>
    <mergeCell ref="AY18:BA18"/>
    <mergeCell ref="C21:D21"/>
    <mergeCell ref="C22:D22"/>
    <mergeCell ref="C23:D23"/>
    <mergeCell ref="C24:D24"/>
    <mergeCell ref="C25:D25"/>
  </mergeCells>
  <printOptions horizontalCentered="1"/>
  <pageMargins left="0.25" right="0.5" top="1" bottom="0.25" header="0" footer="0"/>
  <pageSetup scale="60" orientation="landscape" r:id="rId1"/>
  <headerFooter alignWithMargins="0"/>
  <colBreaks count="4" manualBreakCount="4">
    <brk id="17" max="19" man="1"/>
    <brk id="27" max="19" man="1"/>
    <brk id="37" max="19" man="1"/>
    <brk id="14037" min="1" max="147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pageSetUpPr fitToPage="1"/>
  </sheetPr>
  <dimension ref="A1:BB45"/>
  <sheetViews>
    <sheetView zoomScale="80" zoomScaleNormal="80" workbookViewId="0">
      <pane xSplit="8" ySplit="4" topLeftCell="Y26" activePane="bottomRight" state="frozen"/>
      <selection activeCell="E28" sqref="E28"/>
      <selection pane="topRight" activeCell="E28" sqref="E28"/>
      <selection pane="bottomLeft" activeCell="E28" sqref="E28"/>
      <selection pane="bottomRight" activeCell="AC47" sqref="AC47"/>
    </sheetView>
  </sheetViews>
  <sheetFormatPr defaultColWidth="9.6640625" defaultRowHeight="15"/>
  <cols>
    <col min="1" max="1" width="8.5546875" style="249" bestFit="1" customWidth="1"/>
    <col min="2" max="2" width="8.5546875" style="249" customWidth="1"/>
    <col min="3" max="3" width="13.109375" style="249" customWidth="1"/>
    <col min="4" max="4" width="8.5546875" style="249" customWidth="1"/>
    <col min="5" max="5" width="11" style="249" customWidth="1"/>
    <col min="6" max="6" width="12.21875" style="249" customWidth="1"/>
    <col min="7" max="7" width="8.33203125" style="249" customWidth="1"/>
    <col min="8" max="8" width="3.6640625" style="249" customWidth="1"/>
    <col min="9" max="9" width="12.88671875" style="249" customWidth="1"/>
    <col min="10" max="10" width="9.88671875" style="249" customWidth="1"/>
    <col min="11" max="11" width="13.44140625" style="249" customWidth="1"/>
    <col min="12" max="12" width="11.6640625" style="249" customWidth="1"/>
    <col min="13" max="13" width="9.6640625" style="249" customWidth="1"/>
    <col min="14" max="14" width="12.5546875" style="249" customWidth="1"/>
    <col min="15" max="15" width="9.6640625" style="249" customWidth="1"/>
    <col min="16" max="16" width="11.6640625" style="249" customWidth="1"/>
    <col min="17" max="17" width="9.6640625" style="249" customWidth="1"/>
    <col min="18" max="18" width="12.44140625" style="249" customWidth="1"/>
    <col min="19" max="19" width="9.6640625" style="249" customWidth="1"/>
    <col min="20" max="20" width="14" style="249" customWidth="1"/>
    <col min="21" max="21" width="7.109375" style="249" hidden="1" customWidth="1"/>
    <col min="22" max="22" width="9.6640625" style="249" customWidth="1"/>
    <col min="23" max="23" width="11.5546875" style="249" customWidth="1"/>
    <col min="24" max="24" width="9.6640625" style="249" customWidth="1"/>
    <col min="25" max="25" width="11.6640625" style="249" customWidth="1"/>
    <col min="26" max="26" width="15.5546875" style="249" customWidth="1"/>
    <col min="27" max="27" width="16.5546875" style="249" customWidth="1"/>
    <col min="28" max="28" width="13.6640625" style="249" customWidth="1"/>
    <col min="29" max="29" width="9.6640625" style="249"/>
    <col min="30" max="30" width="15.77734375" style="249" customWidth="1"/>
    <col min="31" max="16384" width="9.6640625" style="249"/>
  </cols>
  <sheetData>
    <row r="1" spans="1:54" ht="18" customHeight="1">
      <c r="A1" s="248">
        <f ca="1">NOW()</f>
        <v>45685.410198726851</v>
      </c>
      <c r="B1" s="186" t="s">
        <v>218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397"/>
      <c r="AA1" s="398"/>
      <c r="AB1" s="398"/>
      <c r="AC1" s="399"/>
      <c r="AD1" s="399"/>
      <c r="AE1" s="399"/>
      <c r="AF1" s="399"/>
      <c r="AG1" s="399"/>
      <c r="AH1" s="399"/>
      <c r="AI1" s="399"/>
      <c r="AJ1" s="399"/>
      <c r="AK1" s="399"/>
      <c r="AL1" s="399"/>
      <c r="AM1" s="399"/>
      <c r="AN1" s="399"/>
      <c r="AO1" s="399"/>
      <c r="AP1" s="399"/>
      <c r="AQ1" s="399"/>
      <c r="AR1" s="399"/>
      <c r="AS1" s="399"/>
      <c r="AT1" s="399"/>
      <c r="AU1" s="399"/>
      <c r="AV1" s="399"/>
      <c r="AW1" s="399"/>
      <c r="AX1" s="399"/>
      <c r="AY1" s="399"/>
      <c r="AZ1" s="400" t="s">
        <v>181</v>
      </c>
      <c r="BA1" s="400"/>
      <c r="BB1" s="400"/>
    </row>
    <row r="2" spans="1:54">
      <c r="A2" s="250" t="s">
        <v>0</v>
      </c>
      <c r="B2" s="250"/>
      <c r="C2" s="251" t="s">
        <v>112</v>
      </c>
      <c r="D2" s="252" t="s">
        <v>111</v>
      </c>
      <c r="E2" s="252" t="s">
        <v>115</v>
      </c>
      <c r="I2" s="253"/>
      <c r="J2" s="253"/>
      <c r="K2" s="253"/>
      <c r="L2" s="253"/>
      <c r="M2" s="253"/>
      <c r="N2" s="253"/>
      <c r="O2" s="253"/>
      <c r="P2" s="253"/>
      <c r="U2" s="328">
        <v>43756</v>
      </c>
    </row>
    <row r="3" spans="1:54" ht="15.75">
      <c r="A3" s="252" t="s">
        <v>1</v>
      </c>
      <c r="B3" s="6" t="s">
        <v>134</v>
      </c>
      <c r="C3" s="252" t="s">
        <v>73</v>
      </c>
      <c r="D3" s="252" t="s">
        <v>73</v>
      </c>
      <c r="E3" s="252" t="s">
        <v>73</v>
      </c>
      <c r="F3" s="252" t="s">
        <v>31</v>
      </c>
      <c r="G3" s="252" t="s">
        <v>32</v>
      </c>
      <c r="H3" s="252"/>
      <c r="I3" s="254" t="s">
        <v>38</v>
      </c>
      <c r="J3" s="255"/>
      <c r="K3" s="256"/>
      <c r="L3" s="257"/>
      <c r="M3" s="254" t="s">
        <v>41</v>
      </c>
      <c r="N3" s="255"/>
      <c r="O3" s="256"/>
      <c r="P3" s="257"/>
      <c r="Q3" s="254" t="s">
        <v>44</v>
      </c>
      <c r="R3" s="255"/>
      <c r="S3" s="259"/>
      <c r="T3" s="257"/>
      <c r="U3" s="257"/>
      <c r="V3" s="260" t="s">
        <v>47</v>
      </c>
      <c r="W3" s="255"/>
      <c r="X3" s="259"/>
      <c r="Y3" s="261"/>
      <c r="Z3" s="262" t="s">
        <v>48</v>
      </c>
      <c r="AA3" s="259"/>
      <c r="AB3" s="259"/>
      <c r="AC3" s="263"/>
    </row>
    <row r="4" spans="1:54" ht="20.25" customHeight="1">
      <c r="F4" s="264">
        <v>43830</v>
      </c>
      <c r="G4" s="265"/>
      <c r="H4" s="265"/>
      <c r="I4" s="266" t="s">
        <v>34</v>
      </c>
      <c r="J4" s="267" t="s">
        <v>74</v>
      </c>
      <c r="K4" s="267" t="s">
        <v>35</v>
      </c>
      <c r="L4" s="268" t="s">
        <v>36</v>
      </c>
      <c r="M4" s="266" t="s">
        <v>34</v>
      </c>
      <c r="N4" s="267" t="s">
        <v>74</v>
      </c>
      <c r="O4" s="267" t="s">
        <v>35</v>
      </c>
      <c r="P4" s="268" t="s">
        <v>36</v>
      </c>
      <c r="Q4" s="266" t="s">
        <v>34</v>
      </c>
      <c r="R4" s="269" t="s">
        <v>75</v>
      </c>
      <c r="S4" s="269" t="s">
        <v>35</v>
      </c>
      <c r="T4" s="270" t="s">
        <v>36</v>
      </c>
      <c r="U4" s="269"/>
      <c r="V4" s="271" t="s">
        <v>34</v>
      </c>
      <c r="W4" s="269" t="s">
        <v>75</v>
      </c>
      <c r="X4" s="269" t="s">
        <v>35</v>
      </c>
      <c r="Y4" s="272" t="s">
        <v>36</v>
      </c>
      <c r="Z4" s="271" t="s">
        <v>34</v>
      </c>
      <c r="AA4" s="267" t="s">
        <v>35</v>
      </c>
      <c r="AB4" s="267" t="s">
        <v>36</v>
      </c>
      <c r="AC4" s="263"/>
    </row>
    <row r="5" spans="1:54" ht="27" customHeight="1">
      <c r="A5" s="273" t="s">
        <v>60</v>
      </c>
      <c r="B5" s="20" t="s">
        <v>183</v>
      </c>
      <c r="C5" s="274">
        <v>38807</v>
      </c>
      <c r="D5" s="274">
        <v>48947</v>
      </c>
      <c r="E5" s="274"/>
      <c r="F5" s="275">
        <v>611226.95000000007</v>
      </c>
      <c r="G5" s="276">
        <v>4.512E-2</v>
      </c>
      <c r="H5" s="276" t="s">
        <v>164</v>
      </c>
      <c r="I5" s="277">
        <v>6856.96</v>
      </c>
      <c r="J5" s="278">
        <v>189.96</v>
      </c>
      <c r="K5" s="278">
        <v>7924.72</v>
      </c>
      <c r="L5" s="279">
        <f t="shared" ref="L5:L26" si="0">F5-K5</f>
        <v>603302.2300000001</v>
      </c>
      <c r="M5" s="277">
        <v>6768.06</v>
      </c>
      <c r="N5" s="278">
        <v>187.5</v>
      </c>
      <c r="O5" s="278">
        <v>8013.62</v>
      </c>
      <c r="P5" s="279">
        <f t="shared" ref="P5:P25" si="1">L5-O5</f>
        <v>595288.6100000001</v>
      </c>
      <c r="Q5" s="277">
        <v>6751.55</v>
      </c>
      <c r="R5" s="278">
        <v>187.04</v>
      </c>
      <c r="S5" s="278">
        <v>8030.13</v>
      </c>
      <c r="T5" s="280">
        <f>P5-S5</f>
        <v>587258.4800000001</v>
      </c>
      <c r="U5" s="275"/>
      <c r="V5" s="277">
        <v>6660.47</v>
      </c>
      <c r="W5" s="278">
        <v>184.52</v>
      </c>
      <c r="X5" s="278">
        <v>8121.21</v>
      </c>
      <c r="Y5" s="280">
        <f>T5-X5</f>
        <v>579137.27000000014</v>
      </c>
      <c r="Z5" s="281">
        <f t="shared" ref="Z5:Z24" si="2">I5+J5+M5+N5+Q5+R5+V5+W5</f>
        <v>27786.06</v>
      </c>
      <c r="AA5" s="278">
        <f t="shared" ref="AA5:AA24" si="3">K5+O5+S5+X5</f>
        <v>32089.68</v>
      </c>
      <c r="AB5" s="282">
        <f t="shared" ref="AB5:AB26" si="4">F5-AA5</f>
        <v>579137.27</v>
      </c>
      <c r="AC5" s="263"/>
    </row>
    <row r="6" spans="1:54" ht="27" customHeight="1">
      <c r="A6" s="273" t="s">
        <v>61</v>
      </c>
      <c r="B6" s="20" t="s">
        <v>185</v>
      </c>
      <c r="C6" s="274">
        <v>38807</v>
      </c>
      <c r="D6" s="274">
        <v>48947</v>
      </c>
      <c r="E6" s="274"/>
      <c r="F6" s="275">
        <v>794594.61999999988</v>
      </c>
      <c r="G6" s="276">
        <v>4.512E-2</v>
      </c>
      <c r="H6" s="276" t="s">
        <v>164</v>
      </c>
      <c r="I6" s="277">
        <v>8914.0499999999993</v>
      </c>
      <c r="J6" s="278">
        <v>246.95</v>
      </c>
      <c r="K6" s="278">
        <v>10302.14</v>
      </c>
      <c r="L6" s="279">
        <f t="shared" si="0"/>
        <v>784292.47999999986</v>
      </c>
      <c r="M6" s="277">
        <v>8798.48</v>
      </c>
      <c r="N6" s="278">
        <v>243.75</v>
      </c>
      <c r="O6" s="278">
        <v>10417.709999999999</v>
      </c>
      <c r="P6" s="279">
        <f t="shared" si="1"/>
        <v>773874.7699999999</v>
      </c>
      <c r="Q6" s="277">
        <v>8777.01</v>
      </c>
      <c r="R6" s="278">
        <v>243.16</v>
      </c>
      <c r="S6" s="278">
        <v>10439.18</v>
      </c>
      <c r="T6" s="279">
        <f t="shared" ref="T6:T27" si="5">P6-S6</f>
        <v>763435.58999999985</v>
      </c>
      <c r="U6" s="275"/>
      <c r="V6" s="277">
        <v>8658.61</v>
      </c>
      <c r="W6" s="278">
        <v>239.88</v>
      </c>
      <c r="X6" s="278">
        <v>10557.58</v>
      </c>
      <c r="Y6" s="279">
        <f t="shared" ref="Y6:Y27" si="6">T6-X6</f>
        <v>752878.00999999989</v>
      </c>
      <c r="Z6" s="277">
        <f t="shared" si="2"/>
        <v>36121.889999999992</v>
      </c>
      <c r="AA6" s="278">
        <f t="shared" si="3"/>
        <v>41716.61</v>
      </c>
      <c r="AB6" s="275">
        <f t="shared" si="4"/>
        <v>752878.00999999989</v>
      </c>
      <c r="AC6" s="263"/>
    </row>
    <row r="7" spans="1:54" ht="27" customHeight="1">
      <c r="A7" s="273" t="s">
        <v>62</v>
      </c>
      <c r="B7" s="20" t="s">
        <v>186</v>
      </c>
      <c r="C7" s="274">
        <v>38720</v>
      </c>
      <c r="D7" s="274">
        <v>48947</v>
      </c>
      <c r="E7" s="274"/>
      <c r="F7" s="275">
        <v>614483.31999999995</v>
      </c>
      <c r="G7" s="276">
        <v>4.4720000000000003E-2</v>
      </c>
      <c r="H7" s="276" t="s">
        <v>164</v>
      </c>
      <c r="I7" s="283">
        <v>6832.38</v>
      </c>
      <c r="J7" s="278">
        <v>190.98</v>
      </c>
      <c r="K7" s="278">
        <v>7990.5</v>
      </c>
      <c r="L7" s="279">
        <f t="shared" si="0"/>
        <v>606492.81999999995</v>
      </c>
      <c r="M7" s="283">
        <v>6743.54</v>
      </c>
      <c r="N7" s="278">
        <v>188.49</v>
      </c>
      <c r="O7" s="278">
        <v>8079.34</v>
      </c>
      <c r="P7" s="279">
        <f t="shared" si="1"/>
        <v>598413.48</v>
      </c>
      <c r="Q7" s="277">
        <v>6726.82</v>
      </c>
      <c r="R7" s="278">
        <v>188.03</v>
      </c>
      <c r="S7" s="278">
        <v>8096.06</v>
      </c>
      <c r="T7" s="279">
        <f t="shared" si="5"/>
        <v>590317.41999999993</v>
      </c>
      <c r="U7" s="275"/>
      <c r="V7" s="283">
        <v>6635.81</v>
      </c>
      <c r="W7" s="278">
        <v>185.48</v>
      </c>
      <c r="X7" s="278">
        <v>8187.07</v>
      </c>
      <c r="Y7" s="279">
        <f t="shared" si="6"/>
        <v>582130.35</v>
      </c>
      <c r="Z7" s="277">
        <f t="shared" si="2"/>
        <v>27691.53</v>
      </c>
      <c r="AA7" s="278">
        <f t="shared" si="3"/>
        <v>32352.97</v>
      </c>
      <c r="AB7" s="275">
        <f t="shared" si="4"/>
        <v>582130.35</v>
      </c>
      <c r="AC7" s="263"/>
    </row>
    <row r="8" spans="1:54" ht="27" customHeight="1">
      <c r="A8" s="273" t="s">
        <v>64</v>
      </c>
      <c r="B8" s="20" t="s">
        <v>187</v>
      </c>
      <c r="C8" s="274">
        <v>39721</v>
      </c>
      <c r="D8" s="274">
        <v>49674</v>
      </c>
      <c r="E8" s="274"/>
      <c r="F8" s="275">
        <v>659570.85</v>
      </c>
      <c r="G8" s="276">
        <v>4.4080000000000001E-2</v>
      </c>
      <c r="H8" s="276" t="s">
        <v>164</v>
      </c>
      <c r="I8" s="283">
        <v>7228.75</v>
      </c>
      <c r="J8" s="278">
        <v>204.99</v>
      </c>
      <c r="K8" s="278">
        <v>7189.07</v>
      </c>
      <c r="L8" s="279">
        <f t="shared" si="0"/>
        <v>652381.78</v>
      </c>
      <c r="M8" s="283">
        <v>7149.96</v>
      </c>
      <c r="N8" s="278">
        <v>202.76</v>
      </c>
      <c r="O8" s="278">
        <v>7267.86</v>
      </c>
      <c r="P8" s="279">
        <f t="shared" si="1"/>
        <v>645113.92000000004</v>
      </c>
      <c r="Q8" s="283">
        <v>7148</v>
      </c>
      <c r="R8" s="278">
        <v>202.7</v>
      </c>
      <c r="S8" s="278">
        <v>7269.82</v>
      </c>
      <c r="T8" s="279">
        <f t="shared" si="5"/>
        <v>637844.10000000009</v>
      </c>
      <c r="U8" s="275"/>
      <c r="V8" s="283">
        <v>7067.45</v>
      </c>
      <c r="W8" s="278">
        <v>200.42</v>
      </c>
      <c r="X8" s="278">
        <v>7350.37</v>
      </c>
      <c r="Y8" s="279">
        <f t="shared" si="6"/>
        <v>630493.7300000001</v>
      </c>
      <c r="Z8" s="277">
        <f t="shared" si="2"/>
        <v>29405.03</v>
      </c>
      <c r="AA8" s="278">
        <f t="shared" si="3"/>
        <v>29077.119999999999</v>
      </c>
      <c r="AB8" s="275">
        <f t="shared" si="4"/>
        <v>630493.73</v>
      </c>
      <c r="AC8" s="263"/>
    </row>
    <row r="9" spans="1:54" ht="27" customHeight="1">
      <c r="A9" s="273" t="s">
        <v>67</v>
      </c>
      <c r="B9" s="20" t="s">
        <v>188</v>
      </c>
      <c r="C9" s="274">
        <v>37802</v>
      </c>
      <c r="D9" s="274">
        <v>49674</v>
      </c>
      <c r="E9" s="274"/>
      <c r="F9" s="275">
        <v>669132.88</v>
      </c>
      <c r="G9" s="276">
        <v>4.5539999999999997E-2</v>
      </c>
      <c r="H9" s="276" t="s">
        <v>164</v>
      </c>
      <c r="I9" s="283">
        <v>7576.45</v>
      </c>
      <c r="J9" s="278">
        <v>207.96</v>
      </c>
      <c r="K9" s="278">
        <v>7202.84</v>
      </c>
      <c r="L9" s="279">
        <f t="shared" si="0"/>
        <v>661930.04</v>
      </c>
      <c r="M9" s="283">
        <v>7494.89</v>
      </c>
      <c r="N9" s="278">
        <v>205.72</v>
      </c>
      <c r="O9" s="278">
        <v>7284.4</v>
      </c>
      <c r="P9" s="279">
        <f t="shared" si="1"/>
        <v>654645.64</v>
      </c>
      <c r="Q9" s="283">
        <v>7493.87</v>
      </c>
      <c r="R9" s="278">
        <v>205.69</v>
      </c>
      <c r="S9" s="278">
        <v>7285.42</v>
      </c>
      <c r="T9" s="279">
        <f t="shared" si="5"/>
        <v>647360.22</v>
      </c>
      <c r="U9" s="275"/>
      <c r="V9" s="283">
        <v>7410.47</v>
      </c>
      <c r="W9" s="278">
        <v>203.41</v>
      </c>
      <c r="X9" s="278">
        <v>7368.82</v>
      </c>
      <c r="Y9" s="279">
        <f t="shared" si="6"/>
        <v>639991.4</v>
      </c>
      <c r="Z9" s="277">
        <f t="shared" si="2"/>
        <v>30798.46</v>
      </c>
      <c r="AA9" s="278">
        <f t="shared" si="3"/>
        <v>29141.48</v>
      </c>
      <c r="AB9" s="275">
        <f t="shared" si="4"/>
        <v>639991.4</v>
      </c>
      <c r="AC9" s="263"/>
    </row>
    <row r="10" spans="1:54" ht="27" customHeight="1">
      <c r="A10" s="273" t="s">
        <v>68</v>
      </c>
      <c r="B10" s="20" t="s">
        <v>189</v>
      </c>
      <c r="C10" s="274">
        <v>38898</v>
      </c>
      <c r="D10" s="274">
        <v>49674</v>
      </c>
      <c r="E10" s="274"/>
      <c r="F10" s="275">
        <v>1683086.5699999998</v>
      </c>
      <c r="G10" s="276">
        <v>4.7870000000000003E-2</v>
      </c>
      <c r="H10" s="276" t="s">
        <v>164</v>
      </c>
      <c r="I10" s="283">
        <v>20032.27</v>
      </c>
      <c r="J10" s="278">
        <v>523.09</v>
      </c>
      <c r="K10" s="278">
        <v>17759.080000000002</v>
      </c>
      <c r="L10" s="279">
        <f t="shared" si="0"/>
        <v>1665327.4899999998</v>
      </c>
      <c r="M10" s="283">
        <v>19820.900000000001</v>
      </c>
      <c r="N10" s="278">
        <v>517.57000000000005</v>
      </c>
      <c r="O10" s="278">
        <v>17970.45</v>
      </c>
      <c r="P10" s="279">
        <f t="shared" si="1"/>
        <v>1647357.0399999998</v>
      </c>
      <c r="Q10" s="283">
        <v>19822.48</v>
      </c>
      <c r="R10" s="278">
        <v>517.61</v>
      </c>
      <c r="S10" s="278">
        <v>17968.87</v>
      </c>
      <c r="T10" s="279">
        <f t="shared" si="5"/>
        <v>1629388.1699999997</v>
      </c>
      <c r="U10" s="275"/>
      <c r="V10" s="283">
        <v>19606.259999999998</v>
      </c>
      <c r="W10" s="278">
        <v>511.97</v>
      </c>
      <c r="X10" s="278">
        <v>18185.09</v>
      </c>
      <c r="Y10" s="279">
        <f t="shared" si="6"/>
        <v>1611203.0799999996</v>
      </c>
      <c r="Z10" s="277">
        <f t="shared" si="2"/>
        <v>81352.149999999994</v>
      </c>
      <c r="AA10" s="278">
        <f t="shared" si="3"/>
        <v>71883.489999999991</v>
      </c>
      <c r="AB10" s="275">
        <f t="shared" si="4"/>
        <v>1611203.0799999998</v>
      </c>
      <c r="AC10" s="263"/>
    </row>
    <row r="11" spans="1:54" ht="27" customHeight="1">
      <c r="A11" s="273" t="s">
        <v>69</v>
      </c>
      <c r="B11" s="20" t="s">
        <v>190</v>
      </c>
      <c r="C11" s="274">
        <v>37894</v>
      </c>
      <c r="D11" s="274">
        <v>49674</v>
      </c>
      <c r="E11" s="274"/>
      <c r="F11" s="275">
        <v>865320.32</v>
      </c>
      <c r="G11" s="276">
        <v>4.3920000000000001E-2</v>
      </c>
      <c r="H11" s="276" t="s">
        <v>164</v>
      </c>
      <c r="I11" s="283">
        <v>9449.2999999999993</v>
      </c>
      <c r="J11" s="278">
        <v>268.93</v>
      </c>
      <c r="K11" s="278">
        <v>9444.52</v>
      </c>
      <c r="L11" s="279">
        <f t="shared" si="0"/>
        <v>855875.79999999993</v>
      </c>
      <c r="M11" s="283">
        <v>9346.16</v>
      </c>
      <c r="N11" s="278">
        <v>266</v>
      </c>
      <c r="O11" s="278">
        <v>9547.66</v>
      </c>
      <c r="P11" s="279">
        <f t="shared" si="1"/>
        <v>846328.1399999999</v>
      </c>
      <c r="Q11" s="283">
        <v>9343.4599999999991</v>
      </c>
      <c r="R11" s="278">
        <v>265.92</v>
      </c>
      <c r="S11" s="278">
        <v>9550.36</v>
      </c>
      <c r="T11" s="279">
        <f t="shared" si="5"/>
        <v>836777.77999999991</v>
      </c>
      <c r="U11" s="275"/>
      <c r="V11" s="283">
        <v>9238.0300000000007</v>
      </c>
      <c r="W11" s="278">
        <v>262.92</v>
      </c>
      <c r="X11" s="278">
        <v>9655.7900000000009</v>
      </c>
      <c r="Y11" s="279">
        <f t="shared" si="6"/>
        <v>827121.98999999987</v>
      </c>
      <c r="Z11" s="277">
        <f t="shared" si="2"/>
        <v>38440.719999999994</v>
      </c>
      <c r="AA11" s="278">
        <f t="shared" si="3"/>
        <v>38198.33</v>
      </c>
      <c r="AB11" s="275">
        <f t="shared" si="4"/>
        <v>827121.99</v>
      </c>
      <c r="AC11" s="263"/>
    </row>
    <row r="12" spans="1:54" ht="27" customHeight="1">
      <c r="A12" s="273" t="s">
        <v>70</v>
      </c>
      <c r="B12" s="20" t="s">
        <v>191</v>
      </c>
      <c r="C12" s="274">
        <v>38720</v>
      </c>
      <c r="D12" s="274">
        <v>49674</v>
      </c>
      <c r="E12" s="274"/>
      <c r="F12" s="275">
        <v>1136466.3999999997</v>
      </c>
      <c r="G12" s="276">
        <v>4.4740000000000002E-2</v>
      </c>
      <c r="H12" s="276" t="s">
        <v>164</v>
      </c>
      <c r="I12" s="283">
        <v>12641.92</v>
      </c>
      <c r="J12" s="278">
        <v>353.21</v>
      </c>
      <c r="K12" s="278">
        <v>12317.42</v>
      </c>
      <c r="L12" s="279">
        <f t="shared" si="0"/>
        <v>1124148.9799999997</v>
      </c>
      <c r="M12" s="283">
        <v>12504.9</v>
      </c>
      <c r="N12" s="278">
        <v>349.38</v>
      </c>
      <c r="O12" s="278">
        <v>12454.44</v>
      </c>
      <c r="P12" s="279">
        <f t="shared" si="1"/>
        <v>1111694.5399999998</v>
      </c>
      <c r="Q12" s="283">
        <v>12502.25</v>
      </c>
      <c r="R12" s="278">
        <v>349.3</v>
      </c>
      <c r="S12" s="278">
        <v>12457.09</v>
      </c>
      <c r="T12" s="279">
        <f t="shared" si="5"/>
        <v>1099237.4499999997</v>
      </c>
      <c r="U12" s="275"/>
      <c r="V12" s="283">
        <v>12362.16</v>
      </c>
      <c r="W12" s="278">
        <v>345.39</v>
      </c>
      <c r="X12" s="278">
        <v>12597.18</v>
      </c>
      <c r="Y12" s="279">
        <f t="shared" si="6"/>
        <v>1086640.2699999998</v>
      </c>
      <c r="Z12" s="277">
        <f t="shared" si="2"/>
        <v>51408.510000000009</v>
      </c>
      <c r="AA12" s="278">
        <f t="shared" si="3"/>
        <v>49826.13</v>
      </c>
      <c r="AB12" s="275">
        <f t="shared" si="4"/>
        <v>1086640.2699999998</v>
      </c>
      <c r="AC12" s="263"/>
    </row>
    <row r="13" spans="1:54" ht="27" customHeight="1">
      <c r="A13" s="273" t="s">
        <v>71</v>
      </c>
      <c r="B13" s="20" t="s">
        <v>192</v>
      </c>
      <c r="C13" s="274">
        <v>38394</v>
      </c>
      <c r="D13" s="274">
        <v>49674</v>
      </c>
      <c r="E13" s="274"/>
      <c r="F13" s="275">
        <v>1347064.55</v>
      </c>
      <c r="G13" s="276">
        <v>4.2070000000000003E-2</v>
      </c>
      <c r="H13" s="276" t="s">
        <v>164</v>
      </c>
      <c r="I13" s="283">
        <v>14090.33</v>
      </c>
      <c r="J13" s="278">
        <v>418.66</v>
      </c>
      <c r="K13" s="278">
        <v>14936.05</v>
      </c>
      <c r="L13" s="279">
        <f t="shared" si="0"/>
        <v>1332128.5</v>
      </c>
      <c r="M13" s="283">
        <v>13934.1</v>
      </c>
      <c r="N13" s="278">
        <v>414.02</v>
      </c>
      <c r="O13" s="278">
        <v>15092.28</v>
      </c>
      <c r="P13" s="279">
        <f t="shared" si="1"/>
        <v>1317036.22</v>
      </c>
      <c r="Q13" s="283">
        <v>13927.62</v>
      </c>
      <c r="R13" s="278">
        <v>413.82</v>
      </c>
      <c r="S13" s="278">
        <v>15098.76</v>
      </c>
      <c r="T13" s="279">
        <f t="shared" si="5"/>
        <v>1301937.46</v>
      </c>
      <c r="U13" s="275"/>
      <c r="V13" s="283">
        <v>13767.95</v>
      </c>
      <c r="W13" s="278">
        <v>409.08</v>
      </c>
      <c r="X13" s="278">
        <v>15258.43</v>
      </c>
      <c r="Y13" s="279">
        <f t="shared" si="6"/>
        <v>1286679.03</v>
      </c>
      <c r="Z13" s="277">
        <f t="shared" si="2"/>
        <v>57375.58</v>
      </c>
      <c r="AA13" s="278">
        <f t="shared" si="3"/>
        <v>60385.520000000004</v>
      </c>
      <c r="AB13" s="275">
        <f t="shared" si="4"/>
        <v>1286679.03</v>
      </c>
      <c r="AC13" s="263"/>
    </row>
    <row r="14" spans="1:54" ht="27" customHeight="1">
      <c r="A14" s="273" t="s">
        <v>72</v>
      </c>
      <c r="B14" s="20" t="s">
        <v>193</v>
      </c>
      <c r="C14" s="274">
        <v>38533</v>
      </c>
      <c r="D14" s="274">
        <v>49674</v>
      </c>
      <c r="E14" s="274"/>
      <c r="F14" s="275">
        <v>958460.18999999983</v>
      </c>
      <c r="G14" s="276">
        <v>4.4630000000000003E-2</v>
      </c>
      <c r="H14" s="276" t="s">
        <v>164</v>
      </c>
      <c r="I14" s="283">
        <v>10635.58</v>
      </c>
      <c r="J14" s="278">
        <v>297.88</v>
      </c>
      <c r="K14" s="278">
        <v>10397.89</v>
      </c>
      <c r="L14" s="279">
        <f t="shared" si="0"/>
        <v>948062.29999999981</v>
      </c>
      <c r="M14" s="283">
        <v>10520.2</v>
      </c>
      <c r="N14" s="278">
        <v>294.64999999999998</v>
      </c>
      <c r="O14" s="278">
        <v>10513.27</v>
      </c>
      <c r="P14" s="279">
        <f t="shared" si="1"/>
        <v>937549.0299999998</v>
      </c>
      <c r="Q14" s="283">
        <v>10517.87</v>
      </c>
      <c r="R14" s="278">
        <v>294.58999999999997</v>
      </c>
      <c r="S14" s="278">
        <v>10515.6</v>
      </c>
      <c r="T14" s="279">
        <f t="shared" si="5"/>
        <v>927033.42999999982</v>
      </c>
      <c r="U14" s="284" t="s">
        <v>32</v>
      </c>
      <c r="V14" s="277">
        <v>10399.9</v>
      </c>
      <c r="W14" s="278">
        <v>291.27999999999997</v>
      </c>
      <c r="X14" s="278">
        <v>10633.57</v>
      </c>
      <c r="Y14" s="279">
        <f t="shared" si="6"/>
        <v>916399.85999999987</v>
      </c>
      <c r="Z14" s="277">
        <f t="shared" si="2"/>
        <v>43251.95</v>
      </c>
      <c r="AA14" s="278">
        <f t="shared" si="3"/>
        <v>42060.33</v>
      </c>
      <c r="AB14" s="275">
        <f t="shared" si="4"/>
        <v>916399.85999999987</v>
      </c>
      <c r="AC14" s="263"/>
    </row>
    <row r="15" spans="1:54" ht="23.25" customHeight="1">
      <c r="A15" s="273" t="s">
        <v>106</v>
      </c>
      <c r="B15" s="20" t="s">
        <v>194</v>
      </c>
      <c r="C15" s="274">
        <v>40990</v>
      </c>
      <c r="D15" s="274">
        <v>53327</v>
      </c>
      <c r="E15" s="274"/>
      <c r="F15" s="275">
        <v>2439135.0099999998</v>
      </c>
      <c r="G15" s="276">
        <v>2.5489999999999999E-2</v>
      </c>
      <c r="H15" s="276" t="s">
        <v>164</v>
      </c>
      <c r="I15" s="283">
        <v>15458.45</v>
      </c>
      <c r="J15" s="278">
        <v>758.06</v>
      </c>
      <c r="K15" s="278">
        <v>16690.22</v>
      </c>
      <c r="L15" s="279">
        <f t="shared" si="0"/>
        <v>2422444.7899999996</v>
      </c>
      <c r="M15" s="283">
        <v>15352.67</v>
      </c>
      <c r="N15" s="278">
        <v>752.88</v>
      </c>
      <c r="O15" s="278">
        <v>16796</v>
      </c>
      <c r="P15" s="279">
        <f t="shared" si="1"/>
        <v>2405648.7899999996</v>
      </c>
      <c r="Q15" s="283">
        <v>15413.77</v>
      </c>
      <c r="R15" s="278">
        <v>755.87</v>
      </c>
      <c r="S15" s="278">
        <v>16734.900000000001</v>
      </c>
      <c r="T15" s="279">
        <f t="shared" si="5"/>
        <v>2388913.8899999997</v>
      </c>
      <c r="U15" s="275"/>
      <c r="V15" s="277">
        <v>15306.54</v>
      </c>
      <c r="W15" s="278">
        <v>750.62</v>
      </c>
      <c r="X15" s="278">
        <v>16842.13</v>
      </c>
      <c r="Y15" s="279">
        <f t="shared" si="6"/>
        <v>2372071.7599999998</v>
      </c>
      <c r="Z15" s="277">
        <f t="shared" si="2"/>
        <v>64548.860000000008</v>
      </c>
      <c r="AA15" s="278">
        <f t="shared" si="3"/>
        <v>67063.25</v>
      </c>
      <c r="AB15" s="275">
        <f t="shared" si="4"/>
        <v>2372071.7599999998</v>
      </c>
      <c r="AC15" s="263"/>
    </row>
    <row r="16" spans="1:54" ht="23.25" customHeight="1">
      <c r="A16" s="273" t="s">
        <v>107</v>
      </c>
      <c r="B16" s="20" t="s">
        <v>195</v>
      </c>
      <c r="C16" s="274">
        <v>41341</v>
      </c>
      <c r="D16" s="274">
        <v>53329</v>
      </c>
      <c r="E16" s="274"/>
      <c r="F16" s="275">
        <v>4071459.44</v>
      </c>
      <c r="G16" s="276">
        <v>2.197E-2</v>
      </c>
      <c r="H16" s="44" t="s">
        <v>164</v>
      </c>
      <c r="I16" s="283">
        <v>26198.400000000001</v>
      </c>
      <c r="J16" s="278">
        <v>1265.3800000000001</v>
      </c>
      <c r="K16" s="278">
        <v>27708.59</v>
      </c>
      <c r="L16" s="279">
        <f t="shared" si="0"/>
        <v>4043750.85</v>
      </c>
      <c r="M16" s="283">
        <v>26020.1</v>
      </c>
      <c r="N16" s="278">
        <v>1256.77</v>
      </c>
      <c r="O16" s="278">
        <v>27886.89</v>
      </c>
      <c r="P16" s="279">
        <f t="shared" si="1"/>
        <v>4015863.96</v>
      </c>
      <c r="Q16" s="283">
        <v>26124.62</v>
      </c>
      <c r="R16" s="278">
        <v>1261.82</v>
      </c>
      <c r="S16" s="278">
        <v>27782.37</v>
      </c>
      <c r="T16" s="279">
        <f t="shared" si="5"/>
        <v>3988081.59</v>
      </c>
      <c r="U16" s="285"/>
      <c r="V16" s="277">
        <v>25943.89</v>
      </c>
      <c r="W16" s="278">
        <v>1253.0899999999999</v>
      </c>
      <c r="X16" s="278">
        <v>27963.1</v>
      </c>
      <c r="Y16" s="279">
        <f t="shared" si="6"/>
        <v>3960118.4899999998</v>
      </c>
      <c r="Z16" s="277">
        <f t="shared" si="2"/>
        <v>109324.07</v>
      </c>
      <c r="AA16" s="278">
        <f t="shared" si="3"/>
        <v>111340.94999999998</v>
      </c>
      <c r="AB16" s="275">
        <f t="shared" si="4"/>
        <v>3960118.4899999998</v>
      </c>
      <c r="AC16" s="263"/>
    </row>
    <row r="17" spans="1:31" ht="23.25" customHeight="1">
      <c r="A17" s="273" t="s">
        <v>108</v>
      </c>
      <c r="B17" s="20" t="s">
        <v>196</v>
      </c>
      <c r="C17" s="274">
        <v>41740</v>
      </c>
      <c r="D17" s="274">
        <v>53329</v>
      </c>
      <c r="E17" s="274"/>
      <c r="F17" s="275">
        <v>1692577.03</v>
      </c>
      <c r="G17" s="276">
        <v>2.197E-2</v>
      </c>
      <c r="H17" s="44" t="s">
        <v>164</v>
      </c>
      <c r="I17" s="283">
        <v>10891.13</v>
      </c>
      <c r="J17" s="278">
        <v>526.04</v>
      </c>
      <c r="K17" s="278">
        <v>11518.95</v>
      </c>
      <c r="L17" s="279">
        <f t="shared" si="0"/>
        <v>1681058.08</v>
      </c>
      <c r="M17" s="283">
        <v>10817.01</v>
      </c>
      <c r="N17" s="278">
        <v>522.46</v>
      </c>
      <c r="O17" s="278">
        <v>11593.07</v>
      </c>
      <c r="P17" s="279">
        <f t="shared" si="1"/>
        <v>1669465.01</v>
      </c>
      <c r="Q17" s="283">
        <v>10860.46</v>
      </c>
      <c r="R17" s="278">
        <v>524.55999999999995</v>
      </c>
      <c r="S17" s="278">
        <v>11549.62</v>
      </c>
      <c r="T17" s="279">
        <f t="shared" si="5"/>
        <v>1657915.39</v>
      </c>
      <c r="U17" s="285"/>
      <c r="V17" s="277">
        <v>10785.33</v>
      </c>
      <c r="W17" s="278">
        <v>520.92999999999995</v>
      </c>
      <c r="X17" s="278">
        <v>11624.75</v>
      </c>
      <c r="Y17" s="279">
        <f t="shared" si="6"/>
        <v>1646290.64</v>
      </c>
      <c r="Z17" s="277">
        <f t="shared" si="2"/>
        <v>45447.92</v>
      </c>
      <c r="AA17" s="278">
        <f t="shared" si="3"/>
        <v>46286.39</v>
      </c>
      <c r="AB17" s="275">
        <f t="shared" si="4"/>
        <v>1646290.6400000001</v>
      </c>
      <c r="AC17" s="263"/>
    </row>
    <row r="18" spans="1:31" ht="27" customHeight="1">
      <c r="A18" s="273" t="s">
        <v>162</v>
      </c>
      <c r="B18" s="20" t="s">
        <v>197</v>
      </c>
      <c r="C18" s="274">
        <v>42038</v>
      </c>
      <c r="D18" s="274">
        <v>54423</v>
      </c>
      <c r="E18" s="274"/>
      <c r="F18" s="275">
        <v>1195947.76</v>
      </c>
      <c r="G18" s="276">
        <v>2.6020000000000001E-2</v>
      </c>
      <c r="H18" s="276" t="s">
        <v>164</v>
      </c>
      <c r="I18" s="283">
        <v>7737.13</v>
      </c>
      <c r="J18" s="278">
        <v>371.69</v>
      </c>
      <c r="K18" s="278">
        <v>6978.95</v>
      </c>
      <c r="L18" s="279">
        <f t="shared" si="0"/>
        <v>1188968.81</v>
      </c>
      <c r="M18" s="283">
        <v>7691.98</v>
      </c>
      <c r="N18" s="278">
        <v>369.52</v>
      </c>
      <c r="O18" s="278">
        <v>7024.1</v>
      </c>
      <c r="P18" s="279">
        <f t="shared" si="1"/>
        <v>1181944.71</v>
      </c>
      <c r="Q18" s="283">
        <v>7730.56</v>
      </c>
      <c r="R18" s="278">
        <v>371.38</v>
      </c>
      <c r="S18" s="278">
        <v>6985.52</v>
      </c>
      <c r="T18" s="279">
        <f t="shared" si="5"/>
        <v>1174959.19</v>
      </c>
      <c r="U18" s="285"/>
      <c r="V18" s="277">
        <v>7684.88</v>
      </c>
      <c r="W18" s="278">
        <v>369.18</v>
      </c>
      <c r="X18" s="278">
        <v>7031.2</v>
      </c>
      <c r="Y18" s="279">
        <f t="shared" si="6"/>
        <v>1167927.99</v>
      </c>
      <c r="Z18" s="277">
        <f t="shared" si="2"/>
        <v>32326.320000000003</v>
      </c>
      <c r="AA18" s="278">
        <f t="shared" si="3"/>
        <v>28019.77</v>
      </c>
      <c r="AB18" s="275">
        <f t="shared" si="4"/>
        <v>1167927.99</v>
      </c>
      <c r="AC18" s="263"/>
    </row>
    <row r="19" spans="1:31" ht="27" customHeight="1">
      <c r="A19" s="273" t="s">
        <v>163</v>
      </c>
      <c r="B19" s="20" t="s">
        <v>198</v>
      </c>
      <c r="C19" s="274">
        <v>42282</v>
      </c>
      <c r="D19" s="274">
        <v>54423</v>
      </c>
      <c r="E19" s="274"/>
      <c r="F19" s="275">
        <v>4875787.01</v>
      </c>
      <c r="G19" s="276">
        <v>2.6020000000000001E-2</v>
      </c>
      <c r="H19" s="276" t="s">
        <v>164</v>
      </c>
      <c r="I19" s="278">
        <v>31543.68</v>
      </c>
      <c r="J19" s="278">
        <v>1515.36</v>
      </c>
      <c r="K19" s="278">
        <v>28452.65</v>
      </c>
      <c r="L19" s="279">
        <f t="shared" si="0"/>
        <v>4847334.3599999994</v>
      </c>
      <c r="M19" s="283">
        <v>31359.599999999999</v>
      </c>
      <c r="N19" s="278">
        <v>1506.51</v>
      </c>
      <c r="O19" s="278">
        <v>28636.73</v>
      </c>
      <c r="P19" s="279">
        <f t="shared" si="1"/>
        <v>4818697.629999999</v>
      </c>
      <c r="Q19" s="283">
        <v>31516.92</v>
      </c>
      <c r="R19" s="278">
        <v>1514.07</v>
      </c>
      <c r="S19" s="278">
        <v>28479.41</v>
      </c>
      <c r="T19" s="279">
        <f t="shared" si="5"/>
        <v>4790218.2199999988</v>
      </c>
      <c r="U19" s="285"/>
      <c r="V19" s="277">
        <v>31330.639999999999</v>
      </c>
      <c r="W19" s="278">
        <v>1505.12</v>
      </c>
      <c r="X19" s="278">
        <v>28665.69</v>
      </c>
      <c r="Y19" s="279">
        <f t="shared" si="6"/>
        <v>4761552.5299999984</v>
      </c>
      <c r="Z19" s="277">
        <f t="shared" si="2"/>
        <v>131791.9</v>
      </c>
      <c r="AA19" s="278">
        <f t="shared" si="3"/>
        <v>114234.48000000001</v>
      </c>
      <c r="AB19" s="275">
        <f t="shared" si="4"/>
        <v>4761552.5299999993</v>
      </c>
      <c r="AC19" s="263"/>
    </row>
    <row r="20" spans="1:31" ht="27" customHeight="1">
      <c r="A20" s="273" t="s">
        <v>165</v>
      </c>
      <c r="B20" s="20" t="s">
        <v>199</v>
      </c>
      <c r="C20" s="274">
        <v>42632</v>
      </c>
      <c r="D20" s="274">
        <v>54423</v>
      </c>
      <c r="E20" s="274"/>
      <c r="F20" s="275">
        <v>3684177.7199999997</v>
      </c>
      <c r="G20" s="276">
        <v>2.197E-2</v>
      </c>
      <c r="H20" s="44" t="s">
        <v>164</v>
      </c>
      <c r="I20" s="278">
        <v>24100.26</v>
      </c>
      <c r="J20" s="278">
        <v>1145.01</v>
      </c>
      <c r="K20" s="278">
        <v>21401.05</v>
      </c>
      <c r="L20" s="279">
        <f t="shared" si="0"/>
        <v>3662776.67</v>
      </c>
      <c r="M20" s="283">
        <v>23960.26</v>
      </c>
      <c r="N20" s="278">
        <v>1138.3599999999999</v>
      </c>
      <c r="O20" s="278">
        <v>21541.05</v>
      </c>
      <c r="P20" s="279">
        <f t="shared" si="1"/>
        <v>3641235.62</v>
      </c>
      <c r="Q20" s="283">
        <v>24081.1</v>
      </c>
      <c r="R20" s="278">
        <v>1144.0999999999999</v>
      </c>
      <c r="S20" s="278">
        <v>21420.21</v>
      </c>
      <c r="T20" s="279">
        <f t="shared" si="5"/>
        <v>3619815.41</v>
      </c>
      <c r="U20" s="285"/>
      <c r="V20" s="277">
        <v>23939.439999999999</v>
      </c>
      <c r="W20" s="278">
        <v>1137.3699999999999</v>
      </c>
      <c r="X20" s="278">
        <v>21561.87</v>
      </c>
      <c r="Y20" s="279">
        <f t="shared" si="6"/>
        <v>3598253.54</v>
      </c>
      <c r="Z20" s="277">
        <f t="shared" si="2"/>
        <v>100645.9</v>
      </c>
      <c r="AA20" s="278">
        <f t="shared" si="3"/>
        <v>85924.18</v>
      </c>
      <c r="AB20" s="275">
        <f t="shared" si="4"/>
        <v>3598253.5399999996</v>
      </c>
      <c r="AC20" s="263"/>
    </row>
    <row r="21" spans="1:31" ht="27" customHeight="1">
      <c r="A21" s="273" t="s">
        <v>172</v>
      </c>
      <c r="B21" s="20" t="s">
        <v>184</v>
      </c>
      <c r="C21" s="274">
        <v>42905</v>
      </c>
      <c r="D21" s="274">
        <v>54423</v>
      </c>
      <c r="E21" s="274"/>
      <c r="F21" s="275">
        <v>4331194.63</v>
      </c>
      <c r="G21" s="276">
        <v>2.197E-2</v>
      </c>
      <c r="H21" s="44" t="s">
        <v>164</v>
      </c>
      <c r="I21" s="278">
        <v>28332.76</v>
      </c>
      <c r="J21" s="278">
        <v>1346.1</v>
      </c>
      <c r="K21" s="278">
        <v>25159.51</v>
      </c>
      <c r="L21" s="279">
        <f t="shared" si="0"/>
        <v>4306035.12</v>
      </c>
      <c r="M21" s="283">
        <v>28168.18</v>
      </c>
      <c r="N21" s="278">
        <v>1338.28</v>
      </c>
      <c r="O21" s="278">
        <v>25324.09</v>
      </c>
      <c r="P21" s="279">
        <f t="shared" si="1"/>
        <v>4280711.03</v>
      </c>
      <c r="Q21" s="283">
        <v>28310.240000000002</v>
      </c>
      <c r="R21" s="278">
        <v>1345.03</v>
      </c>
      <c r="S21" s="278">
        <v>25182.03</v>
      </c>
      <c r="T21" s="279">
        <f t="shared" si="5"/>
        <v>4255529</v>
      </c>
      <c r="U21" s="285"/>
      <c r="V21" s="277">
        <v>28143.7</v>
      </c>
      <c r="W21" s="278">
        <v>1337.12</v>
      </c>
      <c r="X21" s="278">
        <v>25348.57</v>
      </c>
      <c r="Y21" s="279">
        <f t="shared" si="6"/>
        <v>4230180.43</v>
      </c>
      <c r="Z21" s="277">
        <f t="shared" si="2"/>
        <v>118321.40999999999</v>
      </c>
      <c r="AA21" s="278">
        <f t="shared" si="3"/>
        <v>101014.20000000001</v>
      </c>
      <c r="AB21" s="275">
        <f t="shared" si="4"/>
        <v>4230180.43</v>
      </c>
      <c r="AC21" s="263"/>
    </row>
    <row r="22" spans="1:31" ht="27" customHeight="1">
      <c r="A22" s="20" t="s">
        <v>177</v>
      </c>
      <c r="B22" s="20" t="s">
        <v>200</v>
      </c>
      <c r="C22" s="274">
        <v>43165</v>
      </c>
      <c r="D22" s="274">
        <v>54423</v>
      </c>
      <c r="E22" s="274"/>
      <c r="F22" s="275">
        <v>2209026.3600000003</v>
      </c>
      <c r="G22" s="276">
        <v>2.197E-2</v>
      </c>
      <c r="H22" s="44" t="s">
        <v>164</v>
      </c>
      <c r="I22" s="278">
        <v>12637.98</v>
      </c>
      <c r="J22" s="278">
        <v>686.55</v>
      </c>
      <c r="K22" s="278">
        <v>13512.92</v>
      </c>
      <c r="L22" s="279">
        <f t="shared" si="0"/>
        <v>2195513.4400000004</v>
      </c>
      <c r="M22" s="283">
        <v>12560.68</v>
      </c>
      <c r="N22" s="278">
        <v>682.35</v>
      </c>
      <c r="O22" s="29">
        <v>13590.22</v>
      </c>
      <c r="P22" s="279">
        <f t="shared" si="1"/>
        <v>2181923.2200000002</v>
      </c>
      <c r="Q22" s="283">
        <v>12620.1</v>
      </c>
      <c r="R22" s="278">
        <v>685.58</v>
      </c>
      <c r="S22" s="278">
        <v>13530.8</v>
      </c>
      <c r="T22" s="279">
        <f t="shared" si="5"/>
        <v>2168392.4200000004</v>
      </c>
      <c r="U22" s="285"/>
      <c r="V22" s="277">
        <v>12541.84</v>
      </c>
      <c r="W22" s="278">
        <v>681.33</v>
      </c>
      <c r="X22" s="278">
        <v>13609.06</v>
      </c>
      <c r="Y22" s="279">
        <f t="shared" si="6"/>
        <v>2154783.3600000003</v>
      </c>
      <c r="Z22" s="277">
        <f t="shared" si="2"/>
        <v>53096.41</v>
      </c>
      <c r="AA22" s="278">
        <f t="shared" si="3"/>
        <v>54243</v>
      </c>
      <c r="AB22" s="275">
        <f t="shared" si="4"/>
        <v>2154783.3600000003</v>
      </c>
      <c r="AC22" s="263"/>
    </row>
    <row r="23" spans="1:31" ht="27" customHeight="1">
      <c r="A23" s="20" t="s">
        <v>178</v>
      </c>
      <c r="B23" s="20" t="s">
        <v>201</v>
      </c>
      <c r="C23" s="274">
        <v>43284</v>
      </c>
      <c r="D23" s="274">
        <v>54423</v>
      </c>
      <c r="E23" s="274"/>
      <c r="F23" s="275">
        <v>2427419.0499999998</v>
      </c>
      <c r="G23" s="276">
        <v>2.1309999999999999E-2</v>
      </c>
      <c r="H23" s="44" t="s">
        <v>164</v>
      </c>
      <c r="I23" s="278">
        <v>13887.42</v>
      </c>
      <c r="J23" s="278">
        <v>754.42</v>
      </c>
      <c r="K23" s="278">
        <v>14848.86</v>
      </c>
      <c r="L23" s="279">
        <f t="shared" si="0"/>
        <v>2412570.19</v>
      </c>
      <c r="M23" s="278">
        <v>13802.47</v>
      </c>
      <c r="N23" s="278">
        <v>749.81</v>
      </c>
      <c r="O23" s="278">
        <v>14933.81</v>
      </c>
      <c r="P23" s="279">
        <f t="shared" si="1"/>
        <v>2397636.38</v>
      </c>
      <c r="Q23" s="283">
        <v>13867.77</v>
      </c>
      <c r="R23" s="278">
        <v>753.36</v>
      </c>
      <c r="S23" s="278">
        <v>14868.51</v>
      </c>
      <c r="T23" s="279">
        <f t="shared" si="5"/>
        <v>2382767.87</v>
      </c>
      <c r="U23" s="285"/>
      <c r="V23" s="277">
        <v>13781.77</v>
      </c>
      <c r="W23" s="278">
        <v>748.68</v>
      </c>
      <c r="X23" s="278">
        <v>14954.51</v>
      </c>
      <c r="Y23" s="279">
        <f t="shared" si="6"/>
        <v>2367813.3600000003</v>
      </c>
      <c r="Z23" s="277">
        <f t="shared" si="2"/>
        <v>58345.700000000004</v>
      </c>
      <c r="AA23" s="278">
        <f t="shared" si="3"/>
        <v>59605.69</v>
      </c>
      <c r="AB23" s="275">
        <f t="shared" si="4"/>
        <v>2367813.36</v>
      </c>
      <c r="AC23" s="263"/>
    </row>
    <row r="24" spans="1:31" ht="27" customHeight="1">
      <c r="A24" s="20" t="s">
        <v>182</v>
      </c>
      <c r="B24" s="20" t="s">
        <v>202</v>
      </c>
      <c r="C24" s="274">
        <v>43441</v>
      </c>
      <c r="D24" s="274">
        <v>55884</v>
      </c>
      <c r="E24" s="274"/>
      <c r="F24" s="275">
        <v>3200000</v>
      </c>
      <c r="G24" s="276">
        <v>3.0460000000000001E-2</v>
      </c>
      <c r="H24" s="44" t="s">
        <v>164</v>
      </c>
      <c r="I24" s="278">
        <v>24234.84</v>
      </c>
      <c r="J24" s="278">
        <v>994.54</v>
      </c>
      <c r="K24" s="278">
        <v>14283.42</v>
      </c>
      <c r="L24" s="279">
        <f t="shared" si="0"/>
        <v>3185716.58</v>
      </c>
      <c r="M24" s="278">
        <v>24126.67</v>
      </c>
      <c r="N24" s="278">
        <v>990.1</v>
      </c>
      <c r="O24" s="278">
        <v>14391.59</v>
      </c>
      <c r="P24" s="279">
        <f t="shared" si="1"/>
        <v>3171324.99</v>
      </c>
      <c r="Q24" s="283">
        <v>24281.61</v>
      </c>
      <c r="R24" s="278">
        <v>996.45</v>
      </c>
      <c r="S24" s="278">
        <v>14236.65</v>
      </c>
      <c r="T24" s="279">
        <f t="shared" si="5"/>
        <v>3157088.3400000003</v>
      </c>
      <c r="U24" s="275"/>
      <c r="V24" s="277">
        <v>24172.6</v>
      </c>
      <c r="W24" s="278">
        <v>991.98</v>
      </c>
      <c r="X24" s="278">
        <v>14345.66</v>
      </c>
      <c r="Y24" s="279">
        <f t="shared" si="6"/>
        <v>3142742.68</v>
      </c>
      <c r="Z24" s="277">
        <f t="shared" si="2"/>
        <v>100788.79</v>
      </c>
      <c r="AA24" s="278">
        <f t="shared" si="3"/>
        <v>57257.320000000007</v>
      </c>
      <c r="AB24" s="275">
        <f t="shared" si="4"/>
        <v>3142742.68</v>
      </c>
      <c r="AC24" s="263"/>
    </row>
    <row r="25" spans="1:31" ht="27" customHeight="1">
      <c r="A25" s="20" t="s">
        <v>203</v>
      </c>
      <c r="B25" s="20" t="s">
        <v>204</v>
      </c>
      <c r="C25" s="274">
        <v>43662</v>
      </c>
      <c r="D25" s="274">
        <v>55884</v>
      </c>
      <c r="E25" s="274"/>
      <c r="F25" s="275">
        <v>3200000</v>
      </c>
      <c r="G25" s="276">
        <v>2.4400000000000002E-2</v>
      </c>
      <c r="H25" s="44" t="s">
        <v>164</v>
      </c>
      <c r="I25" s="278">
        <v>19413.330000000002</v>
      </c>
      <c r="J25" s="278">
        <v>994.54</v>
      </c>
      <c r="K25" s="278">
        <v>15954.52</v>
      </c>
      <c r="L25" s="279">
        <f t="shared" si="0"/>
        <v>3184045.48</v>
      </c>
      <c r="M25" s="278">
        <v>19316.54</v>
      </c>
      <c r="N25" s="278">
        <v>989.58</v>
      </c>
      <c r="O25" s="278">
        <v>16051.31</v>
      </c>
      <c r="P25" s="279">
        <f t="shared" si="1"/>
        <v>3167994.17</v>
      </c>
      <c r="Q25" s="283">
        <v>19430.36</v>
      </c>
      <c r="R25" s="278">
        <v>995.41</v>
      </c>
      <c r="S25" s="278">
        <v>15937.49</v>
      </c>
      <c r="T25" s="279">
        <f t="shared" si="5"/>
        <v>3152056.6799999997</v>
      </c>
      <c r="U25" s="275"/>
      <c r="V25" s="277">
        <v>19332.61</v>
      </c>
      <c r="W25" s="278">
        <v>990.4</v>
      </c>
      <c r="X25" s="278">
        <v>16035.24</v>
      </c>
      <c r="Y25" s="279">
        <f t="shared" si="6"/>
        <v>3136021.4399999995</v>
      </c>
      <c r="Z25" s="277">
        <f>I25+J25+M25+N25+Q25+R25+V25+W25</f>
        <v>81462.77</v>
      </c>
      <c r="AA25" s="278">
        <f>K25+O25+S25+X25</f>
        <v>63978.559999999998</v>
      </c>
      <c r="AB25" s="275">
        <f t="shared" si="4"/>
        <v>3136021.44</v>
      </c>
      <c r="AC25" s="263"/>
    </row>
    <row r="26" spans="1:31" ht="27" customHeight="1">
      <c r="A26" s="20" t="s">
        <v>215</v>
      </c>
      <c r="B26" s="20" t="s">
        <v>216</v>
      </c>
      <c r="C26" s="274">
        <v>43854</v>
      </c>
      <c r="D26" s="274">
        <v>55884</v>
      </c>
      <c r="E26" s="274"/>
      <c r="F26" s="275">
        <v>2400000</v>
      </c>
      <c r="G26" s="44">
        <v>2.043E-2</v>
      </c>
      <c r="H26" s="44" t="s">
        <v>164</v>
      </c>
      <c r="I26" s="278">
        <v>8975.7999999999993</v>
      </c>
      <c r="J26" s="278">
        <v>549.17999999999995</v>
      </c>
      <c r="K26" s="278">
        <v>16029.59</v>
      </c>
      <c r="L26" s="279">
        <f t="shared" si="0"/>
        <v>2383970.41</v>
      </c>
      <c r="M26" s="278">
        <v>12109.59</v>
      </c>
      <c r="N26" s="278">
        <v>740.92</v>
      </c>
      <c r="O26" s="278">
        <v>12895.8</v>
      </c>
      <c r="P26" s="279">
        <f>L26-O26</f>
        <v>2371074.6100000003</v>
      </c>
      <c r="Q26" s="283">
        <v>12176.44</v>
      </c>
      <c r="R26" s="278">
        <v>745.01</v>
      </c>
      <c r="S26" s="278">
        <v>12828.95</v>
      </c>
      <c r="T26" s="279">
        <f t="shared" si="5"/>
        <v>2358245.66</v>
      </c>
      <c r="U26" s="275"/>
      <c r="V26" s="277">
        <v>12110.56</v>
      </c>
      <c r="W26" s="278">
        <v>740.98</v>
      </c>
      <c r="X26" s="278">
        <v>12894.83</v>
      </c>
      <c r="Y26" s="279">
        <f t="shared" si="6"/>
        <v>2345350.83</v>
      </c>
      <c r="Z26" s="277">
        <f>I26+J26+M26+N26+Q26+R26+V26+W26</f>
        <v>48148.480000000003</v>
      </c>
      <c r="AA26" s="278">
        <f>K26+O26+S26+X26</f>
        <v>54649.17</v>
      </c>
      <c r="AB26" s="275">
        <f t="shared" si="4"/>
        <v>2345350.83</v>
      </c>
      <c r="AC26" s="263"/>
    </row>
    <row r="27" spans="1:31" ht="27" customHeight="1">
      <c r="A27" s="20" t="s">
        <v>219</v>
      </c>
      <c r="B27" s="20" t="s">
        <v>220</v>
      </c>
      <c r="C27" s="274">
        <v>44011</v>
      </c>
      <c r="D27" s="274">
        <v>55884</v>
      </c>
      <c r="E27" s="274"/>
      <c r="F27" s="275">
        <v>2400000</v>
      </c>
      <c r="G27" s="44">
        <v>1.133E-2</v>
      </c>
      <c r="H27" s="44" t="s">
        <v>164</v>
      </c>
      <c r="I27" s="278">
        <v>0</v>
      </c>
      <c r="J27" s="278">
        <v>0</v>
      </c>
      <c r="K27" s="278">
        <v>0</v>
      </c>
      <c r="L27" s="279">
        <v>0</v>
      </c>
      <c r="M27" s="278">
        <v>0</v>
      </c>
      <c r="N27" s="278">
        <v>0</v>
      </c>
      <c r="O27" s="278">
        <v>0</v>
      </c>
      <c r="P27" s="279">
        <f>F27</f>
        <v>2400000</v>
      </c>
      <c r="Q27" s="283">
        <v>6909.44</v>
      </c>
      <c r="R27" s="278">
        <v>762.3</v>
      </c>
      <c r="S27" s="278">
        <v>15186.32</v>
      </c>
      <c r="T27" s="279">
        <f t="shared" si="5"/>
        <v>2384813.6800000002</v>
      </c>
      <c r="U27" s="275"/>
      <c r="V27" s="277">
        <v>6791.9</v>
      </c>
      <c r="W27" s="278">
        <v>749.33</v>
      </c>
      <c r="X27" s="278">
        <v>15303.86</v>
      </c>
      <c r="Y27" s="279">
        <f t="shared" si="6"/>
        <v>2369509.8200000003</v>
      </c>
      <c r="Z27" s="278">
        <f>I27+J27+M27+N27+Q27+R27+V27+W27</f>
        <v>15212.97</v>
      </c>
      <c r="AA27" s="278">
        <f>K27+O27+S27+X27</f>
        <v>30490.18</v>
      </c>
      <c r="AB27" s="275">
        <f>F27-AA27</f>
        <v>2369509.8199999998</v>
      </c>
      <c r="AC27" s="263"/>
    </row>
    <row r="28" spans="1:31" ht="25.5" customHeight="1">
      <c r="A28" s="273"/>
      <c r="B28" s="273"/>
      <c r="C28" s="273"/>
      <c r="D28" s="273"/>
      <c r="E28" s="287" t="s">
        <v>222</v>
      </c>
      <c r="F28" s="288">
        <f>SUM(F5:F26)</f>
        <v>45066130.659999996</v>
      </c>
      <c r="G28" s="289"/>
      <c r="H28" s="289"/>
      <c r="I28" s="277">
        <f t="shared" ref="I28:P28" si="7">SUM(I5:I27)</f>
        <v>327669.17000000004</v>
      </c>
      <c r="J28" s="278">
        <f t="shared" si="7"/>
        <v>13809.48</v>
      </c>
      <c r="K28" s="278">
        <f t="shared" si="7"/>
        <v>318003.46000000008</v>
      </c>
      <c r="L28" s="129">
        <f t="shared" si="7"/>
        <v>44748127.199999988</v>
      </c>
      <c r="M28" s="277">
        <f t="shared" si="7"/>
        <v>328366.94</v>
      </c>
      <c r="N28" s="278">
        <f t="shared" si="7"/>
        <v>13907.380000000001</v>
      </c>
      <c r="O28" s="278">
        <f t="shared" si="7"/>
        <v>317305.69000000006</v>
      </c>
      <c r="P28" s="324">
        <f t="shared" si="7"/>
        <v>46830821.510000005</v>
      </c>
      <c r="Q28" s="290">
        <f>SUM(Q5:Q27)</f>
        <v>336334.32</v>
      </c>
      <c r="R28" s="275">
        <f>SUM(R5:R27)</f>
        <v>14722.800000000001</v>
      </c>
      <c r="S28" s="275">
        <f>SUM(S5:S27)</f>
        <v>331434.07</v>
      </c>
      <c r="T28" s="324">
        <f>SUM(T5:U27)</f>
        <v>46499387.440000005</v>
      </c>
      <c r="U28" s="275"/>
      <c r="V28" s="291">
        <f t="shared" ref="V28:AB28" si="8">SUM(V5:V27)</f>
        <v>333672.80999999994</v>
      </c>
      <c r="W28" s="275">
        <f t="shared" si="8"/>
        <v>14610.479999999998</v>
      </c>
      <c r="X28" s="275">
        <f t="shared" si="8"/>
        <v>334095.57999999996</v>
      </c>
      <c r="Y28" s="129">
        <f t="shared" si="8"/>
        <v>46165291.859999992</v>
      </c>
      <c r="Z28" s="278">
        <f t="shared" si="8"/>
        <v>1383093.3800000001</v>
      </c>
      <c r="AA28" s="278">
        <f t="shared" si="8"/>
        <v>1300838.7999999998</v>
      </c>
      <c r="AB28" s="292">
        <f t="shared" si="8"/>
        <v>46165291.859999992</v>
      </c>
      <c r="AC28" s="263"/>
    </row>
    <row r="29" spans="1:31">
      <c r="A29" s="273"/>
      <c r="B29" s="273"/>
      <c r="C29" s="273"/>
      <c r="D29" s="273"/>
      <c r="E29" s="287" t="s">
        <v>221</v>
      </c>
      <c r="F29" s="288">
        <f>+F28+F27</f>
        <v>47466130.659999996</v>
      </c>
      <c r="G29" s="289"/>
      <c r="H29" s="289"/>
      <c r="I29" s="290"/>
      <c r="J29" s="275"/>
      <c r="K29" s="278"/>
      <c r="L29" s="293"/>
      <c r="M29" s="290"/>
      <c r="N29" s="275"/>
      <c r="O29" s="278"/>
      <c r="P29" s="295"/>
      <c r="Q29" s="290"/>
      <c r="R29" s="275"/>
      <c r="S29" s="278"/>
      <c r="T29" s="296"/>
      <c r="U29" s="296"/>
      <c r="V29" s="290"/>
      <c r="W29" s="275"/>
      <c r="X29" s="278"/>
      <c r="Y29" s="296"/>
      <c r="Z29" s="291"/>
      <c r="AA29" s="275"/>
      <c r="AB29" s="296"/>
      <c r="AC29" s="263"/>
    </row>
    <row r="30" spans="1:31">
      <c r="A30" s="297"/>
      <c r="B30" s="297"/>
      <c r="C30" s="273"/>
      <c r="D30" s="273"/>
      <c r="E30" s="287"/>
      <c r="F30" s="288"/>
      <c r="G30" s="289"/>
      <c r="H30" s="289"/>
      <c r="I30" s="290"/>
      <c r="J30" s="298"/>
      <c r="K30" s="278"/>
      <c r="L30" s="279"/>
      <c r="M30" s="290"/>
      <c r="N30" s="298"/>
      <c r="O30" s="278"/>
      <c r="P30" s="279"/>
      <c r="Q30" s="283"/>
      <c r="R30" s="298"/>
      <c r="S30" s="275"/>
      <c r="V30" s="290"/>
      <c r="W30" s="298"/>
      <c r="X30" s="278"/>
      <c r="Y30" s="299"/>
      <c r="Z30" s="291"/>
      <c r="AA30" s="294"/>
      <c r="AB30" s="292"/>
      <c r="AC30" s="263"/>
    </row>
    <row r="31" spans="1:31">
      <c r="A31" s="300"/>
      <c r="B31" s="300"/>
      <c r="F31" s="275"/>
      <c r="G31" s="289"/>
      <c r="H31" s="289"/>
      <c r="I31" s="275"/>
      <c r="J31" s="298"/>
      <c r="K31" s="298"/>
      <c r="M31" s="275"/>
      <c r="N31" s="298"/>
      <c r="O31" s="298"/>
      <c r="Q31" s="278"/>
      <c r="R31" s="298"/>
      <c r="S31" s="298"/>
      <c r="V31" s="275"/>
      <c r="X31" s="301"/>
      <c r="Y31" s="301"/>
    </row>
    <row r="32" spans="1:31">
      <c r="A32" s="300"/>
      <c r="B32" s="300"/>
      <c r="I32" s="275"/>
      <c r="J32" s="298"/>
      <c r="K32" s="298"/>
      <c r="L32" s="301"/>
      <c r="M32" s="275"/>
      <c r="N32" s="298"/>
      <c r="P32" s="301"/>
      <c r="Q32" s="278"/>
      <c r="S32" s="298"/>
      <c r="T32" s="301"/>
      <c r="V32" s="275"/>
      <c r="X32" s="302"/>
      <c r="Y32" s="301"/>
      <c r="AC32" s="1"/>
      <c r="AD32" s="1" t="s">
        <v>238</v>
      </c>
      <c r="AE32" s="1"/>
    </row>
    <row r="33" spans="1:31" ht="15.75" thickBot="1">
      <c r="A33" s="300"/>
      <c r="B33" s="300"/>
      <c r="I33" s="275"/>
      <c r="J33" s="298"/>
      <c r="K33" s="298"/>
      <c r="M33" s="275"/>
      <c r="O33" s="301"/>
      <c r="Q33" s="278"/>
      <c r="S33" s="301"/>
      <c r="V33" s="275"/>
      <c r="X33" s="302"/>
      <c r="Y33" s="301"/>
      <c r="AC33" s="1"/>
      <c r="AD33" s="1"/>
      <c r="AE33" s="342" t="s">
        <v>226</v>
      </c>
    </row>
    <row r="34" spans="1:31">
      <c r="A34" s="300"/>
      <c r="B34" s="300"/>
      <c r="F34" s="303" t="s">
        <v>123</v>
      </c>
      <c r="I34" s="334"/>
      <c r="J34" s="305" t="s">
        <v>124</v>
      </c>
      <c r="K34" s="305" t="s">
        <v>125</v>
      </c>
      <c r="L34" s="306"/>
      <c r="M34" s="307"/>
      <c r="N34" s="305" t="s">
        <v>124</v>
      </c>
      <c r="O34" s="305" t="s">
        <v>125</v>
      </c>
      <c r="P34" s="306"/>
      <c r="Q34" s="307"/>
      <c r="R34" s="305" t="s">
        <v>124</v>
      </c>
      <c r="S34" s="305" t="s">
        <v>125</v>
      </c>
      <c r="T34" s="306"/>
      <c r="U34" s="307"/>
      <c r="V34" s="307"/>
      <c r="W34" s="305" t="s">
        <v>124</v>
      </c>
      <c r="X34" s="308" t="s">
        <v>125</v>
      </c>
      <c r="Y34" s="301"/>
      <c r="Z34" s="301"/>
      <c r="AC34" s="338" t="s">
        <v>239</v>
      </c>
      <c r="AD34" s="343">
        <f>+AB28</f>
        <v>46165291.859999992</v>
      </c>
      <c r="AE34" s="338" t="s">
        <v>228</v>
      </c>
    </row>
    <row r="35" spans="1:31">
      <c r="F35" s="114"/>
      <c r="I35" s="309" t="s">
        <v>33</v>
      </c>
      <c r="J35" s="167">
        <f>F36</f>
        <v>120348</v>
      </c>
      <c r="K35" s="310">
        <f>F36</f>
        <v>120348</v>
      </c>
      <c r="L35" s="153"/>
      <c r="M35" s="154" t="s">
        <v>39</v>
      </c>
      <c r="N35" s="167">
        <f>J37+F36</f>
        <v>461826.65</v>
      </c>
      <c r="O35" s="310">
        <f>F36</f>
        <v>120348</v>
      </c>
      <c r="P35" s="114"/>
      <c r="Q35" s="311" t="s">
        <v>121</v>
      </c>
      <c r="R35" s="167">
        <f>N37+F36</f>
        <v>804100.97000000009</v>
      </c>
      <c r="S35" s="310">
        <f>F36</f>
        <v>120348</v>
      </c>
      <c r="T35" s="332"/>
      <c r="U35" s="311" t="s">
        <v>45</v>
      </c>
      <c r="V35" s="311" t="s">
        <v>45</v>
      </c>
      <c r="W35" s="167">
        <f>R37+F36</f>
        <v>1155158.0900000001</v>
      </c>
      <c r="X35" s="312">
        <f>F36</f>
        <v>120348</v>
      </c>
      <c r="AC35" s="340" t="s">
        <v>230</v>
      </c>
      <c r="AD35" s="344">
        <v>1150731.48</v>
      </c>
      <c r="AE35" s="101" t="s">
        <v>231</v>
      </c>
    </row>
    <row r="36" spans="1:31">
      <c r="E36" s="121" t="s">
        <v>127</v>
      </c>
      <c r="F36" s="168">
        <v>120348</v>
      </c>
      <c r="I36" s="313" t="s">
        <v>37</v>
      </c>
      <c r="J36" s="158">
        <f>J35+F36</f>
        <v>240696</v>
      </c>
      <c r="K36" s="314">
        <f>F36*2</f>
        <v>240696</v>
      </c>
      <c r="L36" s="114"/>
      <c r="M36" s="311" t="s">
        <v>40</v>
      </c>
      <c r="N36" s="158">
        <f>N35+F36</f>
        <v>582174.65</v>
      </c>
      <c r="O36" s="314">
        <f>F36*2</f>
        <v>240696</v>
      </c>
      <c r="Q36" s="315" t="s">
        <v>43</v>
      </c>
      <c r="R36" s="158">
        <f>R35+F36</f>
        <v>924448.97000000009</v>
      </c>
      <c r="S36" s="314">
        <f>F36*2</f>
        <v>240696</v>
      </c>
      <c r="U36" s="315" t="s">
        <v>46</v>
      </c>
      <c r="V36" s="315" t="s">
        <v>46</v>
      </c>
      <c r="W36" s="158">
        <f>W35+F36</f>
        <v>1275506.0900000001</v>
      </c>
      <c r="X36" s="316">
        <f>F36*2</f>
        <v>240696</v>
      </c>
      <c r="AC36" s="338"/>
      <c r="AD36" s="339">
        <f>AD34-AD35</f>
        <v>45014560.379999995</v>
      </c>
      <c r="AE36" s="75"/>
    </row>
    <row r="37" spans="1:31" ht="15.75" thickBot="1">
      <c r="E37" s="121"/>
      <c r="F37" s="168"/>
      <c r="I37" s="317" t="s">
        <v>38</v>
      </c>
      <c r="J37" s="156">
        <f>I28+J28</f>
        <v>341478.65</v>
      </c>
      <c r="K37" s="318">
        <v>0</v>
      </c>
      <c r="L37" s="319"/>
      <c r="M37" s="319" t="s">
        <v>120</v>
      </c>
      <c r="N37" s="156">
        <f>J37+M28+N28</f>
        <v>683752.97000000009</v>
      </c>
      <c r="O37" s="318">
        <v>0</v>
      </c>
      <c r="P37" s="319"/>
      <c r="Q37" s="319" t="s">
        <v>122</v>
      </c>
      <c r="R37" s="156">
        <f>N37+Q28+R28</f>
        <v>1034810.0900000001</v>
      </c>
      <c r="S37" s="318">
        <v>0</v>
      </c>
      <c r="T37" s="319"/>
      <c r="U37" s="319" t="s">
        <v>47</v>
      </c>
      <c r="V37" s="319" t="s">
        <v>47</v>
      </c>
      <c r="W37" s="156">
        <f>R37+V28+W28</f>
        <v>1383093.38</v>
      </c>
      <c r="X37" s="320">
        <v>0</v>
      </c>
      <c r="Y37" s="170" t="s">
        <v>150</v>
      </c>
      <c r="AC37" s="338"/>
      <c r="AD37" s="339"/>
      <c r="AE37" s="1"/>
    </row>
    <row r="38" spans="1:31">
      <c r="E38" s="121"/>
      <c r="F38" s="168"/>
      <c r="Q38" s="278"/>
      <c r="AC38" s="338"/>
      <c r="AD38" s="339"/>
      <c r="AE38" s="1"/>
    </row>
    <row r="39" spans="1:31">
      <c r="Q39" s="278"/>
      <c r="AC39" s="338"/>
      <c r="AD39" s="1"/>
      <c r="AE39" s="1"/>
    </row>
    <row r="40" spans="1:31">
      <c r="Q40" s="278"/>
      <c r="AC40" s="338"/>
      <c r="AD40" s="1"/>
      <c r="AE40" s="1"/>
    </row>
    <row r="41" spans="1:31">
      <c r="J41" s="321">
        <f>I28+J28+K28</f>
        <v>659482.1100000001</v>
      </c>
      <c r="N41" s="321">
        <f>J41+M28+N28+O28</f>
        <v>1319062.1200000001</v>
      </c>
      <c r="Q41" s="278"/>
      <c r="R41" s="321">
        <f>N41+Q28+R28+S28</f>
        <v>2001553.3100000003</v>
      </c>
      <c r="W41" s="321">
        <f>R41+V28+W28+X28</f>
        <v>2683932.1800000002</v>
      </c>
      <c r="AC41" s="338" t="s">
        <v>236</v>
      </c>
      <c r="AD41" s="75">
        <f>+Z28</f>
        <v>1383093.3800000001</v>
      </c>
      <c r="AE41" s="1"/>
    </row>
    <row r="42" spans="1:31">
      <c r="J42" s="321"/>
      <c r="Q42" s="278"/>
      <c r="AC42" s="340" t="s">
        <v>237</v>
      </c>
      <c r="AD42" s="344">
        <f>+AA28</f>
        <v>1300838.7999999998</v>
      </c>
      <c r="AE42" s="338" t="s">
        <v>235</v>
      </c>
    </row>
    <row r="43" spans="1:31">
      <c r="Q43" s="278"/>
      <c r="V43" s="321"/>
      <c r="AC43" s="1"/>
      <c r="AD43" s="75">
        <f>AD41+AD42</f>
        <v>2683932.1799999997</v>
      </c>
      <c r="AE43" s="1"/>
    </row>
    <row r="44" spans="1:31">
      <c r="Q44" s="278"/>
      <c r="AC44" s="1"/>
      <c r="AD44" s="1"/>
      <c r="AE44" s="1"/>
    </row>
    <row r="45" spans="1:31">
      <c r="AC45" s="1"/>
      <c r="AD45" s="1"/>
      <c r="AE45" s="1"/>
    </row>
  </sheetData>
  <mergeCells count="2">
    <mergeCell ref="Z1:AY1"/>
    <mergeCell ref="AZ1:BB1"/>
  </mergeCells>
  <pageMargins left="0.25" right="0.5" top="1" bottom="0.25" header="0" footer="0"/>
  <pageSetup scale="72" fitToWidth="0" orientation="landscape" copies="3" r:id="rId1"/>
  <headerFooter alignWithMargins="0"/>
  <colBreaks count="4" manualBreakCount="4">
    <brk id="12" min="2" max="27" man="1"/>
    <brk id="16" min="2" max="30" man="1"/>
    <brk id="20" max="1048575" man="1"/>
    <brk id="25" min="2" max="27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A1:AE63"/>
  <sheetViews>
    <sheetView zoomScale="80" zoomScaleNormal="80" workbookViewId="0">
      <pane xSplit="8" ySplit="5" topLeftCell="S6" activePane="bottomRight" state="frozen"/>
      <selection pane="topRight" activeCell="I1" sqref="I1"/>
      <selection pane="bottomLeft" activeCell="A13" sqref="A13"/>
      <selection pane="bottomRight" activeCell="G48" sqref="G48"/>
    </sheetView>
  </sheetViews>
  <sheetFormatPr defaultColWidth="9.6640625" defaultRowHeight="15" outlineLevelRow="1"/>
  <cols>
    <col min="1" max="1" width="6.33203125" style="1" bestFit="1" customWidth="1"/>
    <col min="2" max="2" width="8.5546875" style="1" bestFit="1" customWidth="1"/>
    <col min="3" max="3" width="8.5546875" style="1" customWidth="1"/>
    <col min="4" max="4" width="6.77734375" style="1" customWidth="1"/>
    <col min="5" max="5" width="7.33203125" style="1" customWidth="1"/>
    <col min="6" max="6" width="10.6640625" style="1" customWidth="1"/>
    <col min="7" max="7" width="6.77734375" style="1" customWidth="1"/>
    <col min="8" max="8" width="1.5546875" style="1" bestFit="1" customWidth="1"/>
    <col min="9" max="9" width="6.21875" style="1" customWidth="1"/>
    <col min="10" max="10" width="11.88671875" style="1" bestFit="1" customWidth="1"/>
    <col min="11" max="11" width="12.109375" style="1" bestFit="1" customWidth="1"/>
    <col min="12" max="12" width="15" style="1" bestFit="1" customWidth="1"/>
    <col min="13" max="13" width="3.77734375" style="1" customWidth="1"/>
    <col min="14" max="15" width="11.88671875" style="1" bestFit="1" customWidth="1"/>
    <col min="16" max="16" width="15" style="1" bestFit="1" customWidth="1"/>
    <col min="17" max="17" width="4.44140625" style="1" customWidth="1"/>
    <col min="18" max="18" width="13.109375" style="1" customWidth="1"/>
    <col min="19" max="19" width="12.21875" style="1" customWidth="1"/>
    <col min="20" max="20" width="15" style="1" bestFit="1" customWidth="1"/>
    <col min="21" max="21" width="4.44140625" style="1" customWidth="1"/>
    <col min="22" max="22" width="11.88671875" style="1" bestFit="1" customWidth="1"/>
    <col min="23" max="23" width="12.109375" style="1" customWidth="1"/>
    <col min="24" max="24" width="15" style="1" bestFit="1" customWidth="1"/>
    <col min="25" max="26" width="9.6640625" style="1" customWidth="1"/>
    <col min="27" max="27" width="12.33203125" style="1" bestFit="1" customWidth="1"/>
    <col min="28" max="29" width="9.6640625" style="1"/>
    <col min="30" max="30" width="12.33203125" style="1" bestFit="1" customWidth="1"/>
    <col min="31" max="16384" width="9.6640625" style="1"/>
  </cols>
  <sheetData>
    <row r="1" spans="1:27" ht="18" customHeight="1">
      <c r="B1" s="2">
        <f ca="1">NOW()</f>
        <v>45685.410198726851</v>
      </c>
      <c r="C1" s="186" t="s">
        <v>210</v>
      </c>
      <c r="D1" s="2"/>
      <c r="E1" s="2"/>
      <c r="F1" s="186"/>
      <c r="J1" s="186"/>
      <c r="K1" s="186"/>
      <c r="L1" s="186"/>
      <c r="M1" s="186"/>
      <c r="N1" s="186"/>
      <c r="O1" s="186"/>
      <c r="P1" s="186"/>
      <c r="Q1" s="186"/>
      <c r="R1" s="186"/>
      <c r="T1" s="186"/>
      <c r="V1" s="186"/>
      <c r="W1" s="186"/>
      <c r="X1" s="186"/>
      <c r="Y1" s="186"/>
      <c r="Z1" s="186"/>
      <c r="AA1" s="186"/>
    </row>
    <row r="2" spans="1:27">
      <c r="B2" s="5" t="s">
        <v>0</v>
      </c>
      <c r="C2" s="6" t="s">
        <v>112</v>
      </c>
      <c r="D2" s="6" t="s">
        <v>114</v>
      </c>
      <c r="E2" s="6" t="s">
        <v>160</v>
      </c>
      <c r="J2" s="4"/>
      <c r="K2" s="4"/>
      <c r="L2" s="4"/>
      <c r="M2" s="4"/>
      <c r="N2" s="4"/>
      <c r="O2" s="4"/>
      <c r="P2" s="4"/>
      <c r="Q2" s="4"/>
    </row>
    <row r="3" spans="1:27" ht="15.75">
      <c r="B3" s="6" t="s">
        <v>1</v>
      </c>
      <c r="C3" s="6" t="s">
        <v>73</v>
      </c>
      <c r="D3" s="6" t="s">
        <v>73</v>
      </c>
      <c r="E3" s="6" t="s">
        <v>73</v>
      </c>
      <c r="F3" s="6" t="s">
        <v>31</v>
      </c>
      <c r="G3" s="6" t="s">
        <v>32</v>
      </c>
      <c r="H3" s="6"/>
      <c r="I3" s="6"/>
      <c r="J3" s="401" t="s">
        <v>37</v>
      </c>
      <c r="K3" s="402"/>
      <c r="L3" s="403"/>
      <c r="M3" s="78"/>
      <c r="N3" s="402" t="s">
        <v>40</v>
      </c>
      <c r="O3" s="402"/>
      <c r="P3" s="403"/>
      <c r="Q3" s="190"/>
      <c r="R3" s="10" t="s">
        <v>43</v>
      </c>
      <c r="S3" s="11"/>
      <c r="T3" s="78"/>
      <c r="U3" s="134"/>
      <c r="V3" s="133" t="s">
        <v>46</v>
      </c>
      <c r="W3" s="11"/>
      <c r="X3" s="11"/>
      <c r="Y3" s="12" t="s">
        <v>48</v>
      </c>
      <c r="Z3" s="11"/>
      <c r="AA3" s="80"/>
    </row>
    <row r="4" spans="1:27">
      <c r="F4" s="15">
        <v>43830</v>
      </c>
      <c r="G4" s="16"/>
      <c r="H4" s="16"/>
      <c r="I4" s="16"/>
      <c r="J4" s="17" t="s">
        <v>34</v>
      </c>
      <c r="K4" s="18" t="s">
        <v>35</v>
      </c>
      <c r="L4" s="82" t="s">
        <v>36</v>
      </c>
      <c r="M4" s="82"/>
      <c r="N4" s="18" t="s">
        <v>34</v>
      </c>
      <c r="O4" s="18" t="s">
        <v>35</v>
      </c>
      <c r="P4" s="82" t="s">
        <v>36</v>
      </c>
      <c r="Q4" s="191"/>
      <c r="R4" s="18" t="s">
        <v>34</v>
      </c>
      <c r="S4" s="18" t="s">
        <v>35</v>
      </c>
      <c r="T4" s="82" t="s">
        <v>36</v>
      </c>
      <c r="U4" s="135"/>
      <c r="V4" s="18" t="s">
        <v>34</v>
      </c>
      <c r="W4" s="18" t="s">
        <v>35</v>
      </c>
      <c r="X4" s="18" t="s">
        <v>36</v>
      </c>
      <c r="Y4" s="17" t="s">
        <v>34</v>
      </c>
      <c r="Z4" s="18" t="s">
        <v>35</v>
      </c>
      <c r="AA4" s="82" t="s">
        <v>36</v>
      </c>
    </row>
    <row r="5" spans="1:27" ht="18" customHeight="1">
      <c r="F5" s="15"/>
      <c r="G5" s="16"/>
      <c r="H5" s="16"/>
      <c r="I5" s="16"/>
      <c r="J5" s="23"/>
      <c r="K5" s="24"/>
      <c r="L5" s="113"/>
      <c r="M5" s="113"/>
      <c r="N5" s="24"/>
      <c r="O5" s="24"/>
      <c r="P5" s="113"/>
      <c r="Q5" s="192"/>
      <c r="R5" s="24"/>
      <c r="S5" s="24"/>
      <c r="T5" s="113"/>
      <c r="U5" s="136"/>
      <c r="V5" s="24"/>
      <c r="W5" s="24"/>
      <c r="X5" s="24"/>
      <c r="Y5" s="38"/>
      <c r="Z5" s="39"/>
      <c r="AA5" s="88"/>
    </row>
    <row r="6" spans="1:27">
      <c r="A6" s="1" t="s">
        <v>212</v>
      </c>
      <c r="B6" s="20">
        <v>9011001</v>
      </c>
      <c r="C6" s="104">
        <v>36129</v>
      </c>
      <c r="D6" s="187">
        <v>44492</v>
      </c>
      <c r="E6" s="20"/>
      <c r="F6" s="21">
        <v>66249.780000000013</v>
      </c>
      <c r="G6" s="41">
        <v>6.5500000000000003E-2</v>
      </c>
      <c r="H6" s="41"/>
      <c r="I6" s="41"/>
      <c r="J6" s="28">
        <v>1043.44</v>
      </c>
      <c r="K6" s="21">
        <v>9009.4</v>
      </c>
      <c r="L6" s="71">
        <f t="shared" ref="L6:L11" si="0">F6-K6</f>
        <v>57240.380000000012</v>
      </c>
      <c r="M6" s="71"/>
      <c r="N6" s="21">
        <v>902.54</v>
      </c>
      <c r="O6" s="21">
        <v>9156.93</v>
      </c>
      <c r="P6" s="71">
        <f t="shared" ref="P6:P20" si="1">L6-O6</f>
        <v>48083.450000000012</v>
      </c>
      <c r="Q6" s="193"/>
      <c r="R6" s="21">
        <v>759.76</v>
      </c>
      <c r="S6" s="21">
        <v>9306.8700000000008</v>
      </c>
      <c r="T6" s="71">
        <f t="shared" ref="T6:T11" si="2">P6-S6</f>
        <v>38776.580000000009</v>
      </c>
      <c r="U6" s="137"/>
      <c r="V6" s="21">
        <v>614.07000000000005</v>
      </c>
      <c r="W6" s="21">
        <v>9459.27</v>
      </c>
      <c r="X6" s="21">
        <f t="shared" ref="X6:X11" si="3">T6-W6</f>
        <v>29317.310000000009</v>
      </c>
      <c r="Y6" s="28">
        <f t="shared" ref="Y6:Z11" si="4">J6+N6+R6+V6</f>
        <v>3319.81</v>
      </c>
      <c r="Z6" s="21">
        <f t="shared" si="4"/>
        <v>36932.47</v>
      </c>
      <c r="AA6" s="71">
        <f t="shared" ref="AA6:AA11" si="5">F6-Z6</f>
        <v>29317.310000000012</v>
      </c>
    </row>
    <row r="7" spans="1:27">
      <c r="A7" s="1" t="s">
        <v>213</v>
      </c>
      <c r="B7" s="20">
        <v>9012001</v>
      </c>
      <c r="C7" s="104">
        <v>36129</v>
      </c>
      <c r="D7" s="187">
        <v>45759</v>
      </c>
      <c r="E7" s="20"/>
      <c r="F7" s="21">
        <v>182550.02000000002</v>
      </c>
      <c r="G7" s="41">
        <v>6.5500000000000003E-2</v>
      </c>
      <c r="H7" s="41"/>
      <c r="I7" s="41"/>
      <c r="J7" s="28">
        <v>2875.16</v>
      </c>
      <c r="K7" s="21">
        <v>7354.01</v>
      </c>
      <c r="L7" s="71">
        <f t="shared" si="0"/>
        <v>175196.01</v>
      </c>
      <c r="M7" s="71"/>
      <c r="N7" s="21">
        <v>2762.41</v>
      </c>
      <c r="O7" s="21">
        <v>7474.44</v>
      </c>
      <c r="P7" s="71">
        <f t="shared" si="1"/>
        <v>167721.57</v>
      </c>
      <c r="Q7" s="193"/>
      <c r="R7" s="21">
        <v>2650.15</v>
      </c>
      <c r="S7" s="21">
        <v>7596.83</v>
      </c>
      <c r="T7" s="71">
        <f t="shared" si="2"/>
        <v>160124.74000000002</v>
      </c>
      <c r="U7" s="137"/>
      <c r="V7" s="21">
        <v>2535.7600000000002</v>
      </c>
      <c r="W7" s="21">
        <v>7721.23</v>
      </c>
      <c r="X7" s="21">
        <f t="shared" si="3"/>
        <v>152403.51</v>
      </c>
      <c r="Y7" s="28">
        <f t="shared" si="4"/>
        <v>10823.48</v>
      </c>
      <c r="Z7" s="21">
        <f t="shared" si="4"/>
        <v>30146.51</v>
      </c>
      <c r="AA7" s="71">
        <f t="shared" si="5"/>
        <v>152403.51</v>
      </c>
    </row>
    <row r="8" spans="1:27">
      <c r="A8" s="1" t="s">
        <v>214</v>
      </c>
      <c r="B8" s="20">
        <v>9013001</v>
      </c>
      <c r="C8" s="104">
        <v>36129</v>
      </c>
      <c r="D8" s="187">
        <v>46626</v>
      </c>
      <c r="E8" s="20"/>
      <c r="F8" s="21">
        <v>337510.66000000003</v>
      </c>
      <c r="G8" s="41">
        <v>6.6000000000000003E-2</v>
      </c>
      <c r="H8" s="41"/>
      <c r="I8" s="41"/>
      <c r="J8" s="28">
        <v>5357.99</v>
      </c>
      <c r="K8" s="21">
        <v>8785.41</v>
      </c>
      <c r="L8" s="71">
        <f t="shared" si="0"/>
        <v>328725.25000000006</v>
      </c>
      <c r="M8" s="71"/>
      <c r="N8" s="21">
        <v>5224.29</v>
      </c>
      <c r="O8" s="21">
        <v>8930.3700000000008</v>
      </c>
      <c r="P8" s="71">
        <f t="shared" si="1"/>
        <v>319794.88000000006</v>
      </c>
      <c r="Q8" s="193"/>
      <c r="R8" s="21">
        <v>5093.01</v>
      </c>
      <c r="S8" s="21">
        <v>9077.7199999999993</v>
      </c>
      <c r="T8" s="71">
        <f t="shared" si="2"/>
        <v>310717.16000000009</v>
      </c>
      <c r="U8" s="137"/>
      <c r="V8" s="21">
        <v>4959.41</v>
      </c>
      <c r="W8" s="21">
        <v>9227.51</v>
      </c>
      <c r="X8" s="21">
        <f t="shared" si="3"/>
        <v>301489.65000000008</v>
      </c>
      <c r="Y8" s="28">
        <f t="shared" si="4"/>
        <v>20634.699999999997</v>
      </c>
      <c r="Z8" s="21">
        <f t="shared" si="4"/>
        <v>36021.01</v>
      </c>
      <c r="AA8" s="71">
        <f t="shared" si="5"/>
        <v>301489.65000000002</v>
      </c>
    </row>
    <row r="9" spans="1:27">
      <c r="B9" s="20">
        <v>9014001</v>
      </c>
      <c r="C9" s="104">
        <v>36129</v>
      </c>
      <c r="D9" s="187">
        <v>47467</v>
      </c>
      <c r="E9" s="20"/>
      <c r="F9" s="21">
        <v>406720.3</v>
      </c>
      <c r="G9" s="41">
        <v>6.6500000000000004E-2</v>
      </c>
      <c r="H9" s="41"/>
      <c r="I9" s="41"/>
      <c r="J9" s="28">
        <v>6507.53</v>
      </c>
      <c r="K9" s="21">
        <v>7240.41</v>
      </c>
      <c r="L9" s="71">
        <f t="shared" si="0"/>
        <v>399479.89</v>
      </c>
      <c r="M9" s="71"/>
      <c r="N9" s="21">
        <v>6398.69</v>
      </c>
      <c r="O9" s="21">
        <v>7360.79</v>
      </c>
      <c r="P9" s="71">
        <f t="shared" si="1"/>
        <v>392119.10000000003</v>
      </c>
      <c r="Q9" s="193"/>
      <c r="R9" s="21">
        <v>6293.85</v>
      </c>
      <c r="S9" s="21">
        <v>7483.16</v>
      </c>
      <c r="T9" s="71">
        <f t="shared" si="2"/>
        <v>384635.94000000006</v>
      </c>
      <c r="U9" s="137"/>
      <c r="V9" s="21">
        <v>6187.32</v>
      </c>
      <c r="W9" s="21">
        <v>7607.57</v>
      </c>
      <c r="X9" s="21">
        <f t="shared" si="3"/>
        <v>377028.37000000005</v>
      </c>
      <c r="Y9" s="28">
        <f t="shared" si="4"/>
        <v>25387.39</v>
      </c>
      <c r="Z9" s="21">
        <f t="shared" si="4"/>
        <v>29691.93</v>
      </c>
      <c r="AA9" s="71">
        <f t="shared" si="5"/>
        <v>377028.37</v>
      </c>
    </row>
    <row r="10" spans="1:27" ht="18" customHeight="1">
      <c r="B10" s="20">
        <v>9015001</v>
      </c>
      <c r="C10" s="104">
        <v>35982</v>
      </c>
      <c r="D10" s="187">
        <v>48670</v>
      </c>
      <c r="E10" s="20"/>
      <c r="F10" s="21">
        <v>630405.65</v>
      </c>
      <c r="G10" s="41">
        <v>6.6500000000000004E-2</v>
      </c>
      <c r="H10" s="41"/>
      <c r="I10" s="41"/>
      <c r="J10" s="28">
        <v>10086.49</v>
      </c>
      <c r="K10" s="21">
        <v>7506.38</v>
      </c>
      <c r="L10" s="71">
        <f t="shared" si="0"/>
        <v>622899.27</v>
      </c>
      <c r="M10" s="71"/>
      <c r="N10" s="21">
        <v>9977.32</v>
      </c>
      <c r="O10" s="21">
        <v>7631.17</v>
      </c>
      <c r="P10" s="71">
        <f t="shared" si="1"/>
        <v>615268.1</v>
      </c>
      <c r="Q10" s="193"/>
      <c r="R10" s="21">
        <v>9875.58</v>
      </c>
      <c r="S10" s="21">
        <v>7758.04</v>
      </c>
      <c r="T10" s="71">
        <f t="shared" si="2"/>
        <v>607510.05999999994</v>
      </c>
      <c r="U10" s="137"/>
      <c r="V10" s="21">
        <v>9772.51</v>
      </c>
      <c r="W10" s="21">
        <v>7887.02</v>
      </c>
      <c r="X10" s="21">
        <f t="shared" si="3"/>
        <v>599623.03999999992</v>
      </c>
      <c r="Y10" s="28">
        <f t="shared" si="4"/>
        <v>39711.9</v>
      </c>
      <c r="Z10" s="21">
        <f t="shared" si="4"/>
        <v>30782.61</v>
      </c>
      <c r="AA10" s="71">
        <f t="shared" si="5"/>
        <v>599623.04</v>
      </c>
    </row>
    <row r="11" spans="1:27">
      <c r="B11" s="20">
        <v>9015002</v>
      </c>
      <c r="C11" s="104">
        <v>35796</v>
      </c>
      <c r="D11" s="187">
        <v>48670</v>
      </c>
      <c r="E11" s="187"/>
      <c r="F11" s="21">
        <v>271323.36</v>
      </c>
      <c r="G11" s="41">
        <v>3.6499999999999998E-2</v>
      </c>
      <c r="H11" s="41"/>
      <c r="I11" s="41"/>
      <c r="J11" s="28">
        <v>2475.83</v>
      </c>
      <c r="K11" s="21">
        <v>4003.64</v>
      </c>
      <c r="L11" s="71">
        <f t="shared" si="0"/>
        <v>267319.71999999997</v>
      </c>
      <c r="M11" s="71"/>
      <c r="N11" s="21">
        <v>2439.29</v>
      </c>
      <c r="O11" s="21">
        <v>4040.18</v>
      </c>
      <c r="P11" s="71">
        <f t="shared" si="1"/>
        <v>263279.53999999998</v>
      </c>
      <c r="Q11" s="193"/>
      <c r="R11" s="21">
        <v>2402.4299999999998</v>
      </c>
      <c r="S11" s="21">
        <v>4077.04</v>
      </c>
      <c r="T11" s="71">
        <f t="shared" si="2"/>
        <v>259202.49999999997</v>
      </c>
      <c r="U11" s="137"/>
      <c r="V11" s="21">
        <v>2365.2199999999998</v>
      </c>
      <c r="W11" s="21">
        <v>4114.25</v>
      </c>
      <c r="X11" s="21">
        <f t="shared" si="3"/>
        <v>255088.24999999997</v>
      </c>
      <c r="Y11" s="28">
        <f t="shared" si="4"/>
        <v>9682.7699999999986</v>
      </c>
      <c r="Z11" s="21">
        <f t="shared" si="4"/>
        <v>16235.11</v>
      </c>
      <c r="AA11" s="71">
        <f t="shared" si="5"/>
        <v>255088.25</v>
      </c>
    </row>
    <row r="12" spans="1:27">
      <c r="A12" s="188"/>
      <c r="B12" s="20"/>
      <c r="C12" s="104"/>
      <c r="D12" s="187"/>
      <c r="E12" s="187"/>
      <c r="F12" s="32">
        <f>SUM(F6:F11)</f>
        <v>1894759.77</v>
      </c>
      <c r="G12" s="41"/>
      <c r="H12" s="41"/>
      <c r="I12" s="41"/>
      <c r="J12" s="232">
        <f>SUM(J6:J11)</f>
        <v>28346.440000000002</v>
      </c>
      <c r="K12" s="233">
        <f>SUM(K6:K11)</f>
        <v>43899.25</v>
      </c>
      <c r="L12" s="233">
        <f>SUM(L6:L11)</f>
        <v>1850860.5200000003</v>
      </c>
      <c r="M12" s="234"/>
      <c r="N12" s="233">
        <f>SUM(N6:N11)</f>
        <v>27704.54</v>
      </c>
      <c r="O12" s="233">
        <f>SUM(O6:O11)</f>
        <v>44593.88</v>
      </c>
      <c r="P12" s="233">
        <f>SUM(P6:P11)</f>
        <v>1806266.6400000001</v>
      </c>
      <c r="Q12" s="235"/>
      <c r="R12" s="233">
        <f>SUM(R6:R11)</f>
        <v>27074.78</v>
      </c>
      <c r="S12" s="233">
        <f>SUM(S6:S11)</f>
        <v>45299.66</v>
      </c>
      <c r="T12" s="233">
        <f>SUM(T6:T11)</f>
        <v>1760966.98</v>
      </c>
      <c r="U12" s="236"/>
      <c r="V12" s="233">
        <f t="shared" ref="V12:AA12" si="6">SUM(V6:V11)</f>
        <v>26434.29</v>
      </c>
      <c r="W12" s="233">
        <f t="shared" si="6"/>
        <v>46016.850000000006</v>
      </c>
      <c r="X12" s="233">
        <f t="shared" si="6"/>
        <v>1714950.13</v>
      </c>
      <c r="Y12" s="233">
        <f t="shared" si="6"/>
        <v>109560.05</v>
      </c>
      <c r="Z12" s="233">
        <f t="shared" si="6"/>
        <v>179809.63999999996</v>
      </c>
      <c r="AA12" s="237">
        <f t="shared" si="6"/>
        <v>1714950.1300000001</v>
      </c>
    </row>
    <row r="13" spans="1:27" hidden="1" outlineLevel="1">
      <c r="A13" s="189">
        <v>40868</v>
      </c>
      <c r="B13" s="18">
        <v>9016009</v>
      </c>
      <c r="C13" s="104"/>
      <c r="D13" s="187">
        <v>44074</v>
      </c>
      <c r="E13" s="33"/>
      <c r="F13" s="21">
        <v>159523.07</v>
      </c>
      <c r="G13" s="185">
        <v>4.3499999999999997E-2</v>
      </c>
      <c r="H13" s="42"/>
      <c r="I13" s="87"/>
      <c r="J13" s="238">
        <v>1734.81</v>
      </c>
      <c r="K13" s="238">
        <v>52600.27</v>
      </c>
      <c r="L13" s="239">
        <f t="shared" ref="L13:L20" si="7">F13-K13</f>
        <v>106922.80000000002</v>
      </c>
      <c r="M13" s="239"/>
      <c r="N13" s="238">
        <v>1162.79</v>
      </c>
      <c r="O13" s="238">
        <v>53172.29</v>
      </c>
      <c r="P13" s="239">
        <f t="shared" si="1"/>
        <v>53750.510000000017</v>
      </c>
      <c r="Q13" s="240"/>
      <c r="R13" s="238">
        <v>584.54</v>
      </c>
      <c r="S13" s="238">
        <v>53750.51</v>
      </c>
      <c r="T13" s="239">
        <f t="shared" ref="T13:T20" si="8">P13-S13</f>
        <v>0</v>
      </c>
      <c r="U13" s="241"/>
      <c r="V13" s="238"/>
      <c r="W13" s="238"/>
      <c r="X13" s="238">
        <f t="shared" ref="X13:X20" si="9">T13-W13</f>
        <v>0</v>
      </c>
      <c r="Y13" s="242">
        <f t="shared" ref="Y13:Z20" si="10">J13+N13+R13+V13</f>
        <v>3482.14</v>
      </c>
      <c r="Z13" s="238">
        <f t="shared" si="10"/>
        <v>159523.07</v>
      </c>
      <c r="AA13" s="239">
        <f t="shared" ref="AA13:AA20" si="11">F13-Z13</f>
        <v>0</v>
      </c>
    </row>
    <row r="14" spans="1:27" hidden="1" outlineLevel="1">
      <c r="B14" s="18">
        <v>9016010</v>
      </c>
      <c r="C14" s="104"/>
      <c r="D14" s="187">
        <v>44439</v>
      </c>
      <c r="E14" s="33"/>
      <c r="F14" s="21">
        <v>222562.17</v>
      </c>
      <c r="G14" s="185">
        <v>4.4999999999999998E-2</v>
      </c>
      <c r="H14" s="42"/>
      <c r="I14" s="87"/>
      <c r="J14" s="238">
        <v>2496.96</v>
      </c>
      <c r="K14" s="238">
        <v>0</v>
      </c>
      <c r="L14" s="239">
        <f t="shared" si="7"/>
        <v>222562.17</v>
      </c>
      <c r="M14" s="239"/>
      <c r="N14" s="238">
        <v>2524.4</v>
      </c>
      <c r="O14" s="238">
        <v>0</v>
      </c>
      <c r="P14" s="239">
        <f t="shared" si="1"/>
        <v>222562.17</v>
      </c>
      <c r="Q14" s="240"/>
      <c r="R14" s="238">
        <v>2524.4</v>
      </c>
      <c r="S14" s="238"/>
      <c r="T14" s="239">
        <f t="shared" si="8"/>
        <v>222562.17</v>
      </c>
      <c r="U14" s="241"/>
      <c r="V14" s="238">
        <v>2503.8200000000002</v>
      </c>
      <c r="W14" s="238">
        <v>54710.37</v>
      </c>
      <c r="X14" s="238">
        <f t="shared" si="9"/>
        <v>167851.80000000002</v>
      </c>
      <c r="Y14" s="242">
        <f t="shared" si="10"/>
        <v>10049.58</v>
      </c>
      <c r="Z14" s="238">
        <f t="shared" si="10"/>
        <v>54710.37</v>
      </c>
      <c r="AA14" s="239">
        <f t="shared" si="11"/>
        <v>167851.80000000002</v>
      </c>
    </row>
    <row r="15" spans="1:27" hidden="1" outlineLevel="1">
      <c r="B15" s="18">
        <v>9016011</v>
      </c>
      <c r="C15" s="104"/>
      <c r="D15" s="187">
        <v>44804</v>
      </c>
      <c r="E15" s="33"/>
      <c r="F15" s="21">
        <v>170424.48</v>
      </c>
      <c r="G15" s="185">
        <v>4.5999999999999999E-2</v>
      </c>
      <c r="H15" s="42"/>
      <c r="I15" s="87"/>
      <c r="J15" s="238">
        <v>1954.51</v>
      </c>
      <c r="K15" s="238">
        <v>0</v>
      </c>
      <c r="L15" s="239">
        <f t="shared" si="7"/>
        <v>170424.48</v>
      </c>
      <c r="M15" s="239"/>
      <c r="N15" s="238">
        <v>1975.99</v>
      </c>
      <c r="O15" s="238">
        <v>0</v>
      </c>
      <c r="P15" s="239">
        <f t="shared" si="1"/>
        <v>170424.48</v>
      </c>
      <c r="Q15" s="240"/>
      <c r="R15" s="238">
        <v>1975.99</v>
      </c>
      <c r="S15" s="238"/>
      <c r="T15" s="239">
        <f t="shared" si="8"/>
        <v>170424.48</v>
      </c>
      <c r="U15" s="241"/>
      <c r="V15" s="238">
        <v>1954.51</v>
      </c>
      <c r="W15" s="238">
        <v>0</v>
      </c>
      <c r="X15" s="238">
        <f t="shared" si="9"/>
        <v>170424.48</v>
      </c>
      <c r="Y15" s="242">
        <f t="shared" si="10"/>
        <v>7861</v>
      </c>
      <c r="Z15" s="238">
        <f t="shared" si="10"/>
        <v>0</v>
      </c>
      <c r="AA15" s="239">
        <f t="shared" si="11"/>
        <v>170424.48</v>
      </c>
    </row>
    <row r="16" spans="1:27" hidden="1" outlineLevel="1">
      <c r="B16" s="18">
        <v>9016012</v>
      </c>
      <c r="C16" s="104"/>
      <c r="D16" s="187">
        <v>45169</v>
      </c>
      <c r="E16" s="33"/>
      <c r="F16" s="21">
        <v>161013.87</v>
      </c>
      <c r="G16" s="185">
        <v>4.7E-2</v>
      </c>
      <c r="H16" s="42"/>
      <c r="I16" s="87"/>
      <c r="J16" s="238">
        <v>1886.73</v>
      </c>
      <c r="K16" s="238">
        <v>0</v>
      </c>
      <c r="L16" s="239">
        <f t="shared" si="7"/>
        <v>161013.87</v>
      </c>
      <c r="M16" s="239"/>
      <c r="N16" s="238">
        <v>1907.46</v>
      </c>
      <c r="O16" s="238">
        <v>0</v>
      </c>
      <c r="P16" s="239">
        <f t="shared" si="1"/>
        <v>161013.87</v>
      </c>
      <c r="Q16" s="240"/>
      <c r="R16" s="238">
        <v>1907.46</v>
      </c>
      <c r="S16" s="238"/>
      <c r="T16" s="239">
        <f t="shared" si="8"/>
        <v>161013.87</v>
      </c>
      <c r="U16" s="241"/>
      <c r="V16" s="238">
        <v>1886.73</v>
      </c>
      <c r="W16" s="238">
        <v>0</v>
      </c>
      <c r="X16" s="238">
        <f t="shared" si="9"/>
        <v>161013.87</v>
      </c>
      <c r="Y16" s="242">
        <f t="shared" si="10"/>
        <v>7588.3799999999992</v>
      </c>
      <c r="Z16" s="238">
        <f t="shared" si="10"/>
        <v>0</v>
      </c>
      <c r="AA16" s="239">
        <f t="shared" si="11"/>
        <v>161013.87</v>
      </c>
    </row>
    <row r="17" spans="1:27" hidden="1" outlineLevel="1">
      <c r="B17" s="18">
        <v>9016013</v>
      </c>
      <c r="C17" s="104"/>
      <c r="D17" s="187">
        <v>45535</v>
      </c>
      <c r="E17" s="33"/>
      <c r="F17" s="21">
        <v>169216.41</v>
      </c>
      <c r="G17" s="185">
        <v>4.8000000000000001E-2</v>
      </c>
      <c r="H17" s="42"/>
      <c r="I17" s="87"/>
      <c r="J17" s="238">
        <v>2025.03</v>
      </c>
      <c r="K17" s="238">
        <v>0</v>
      </c>
      <c r="L17" s="239">
        <f t="shared" si="7"/>
        <v>169216.41</v>
      </c>
      <c r="M17" s="239"/>
      <c r="N17" s="238">
        <v>2047.29</v>
      </c>
      <c r="O17" s="238">
        <v>0</v>
      </c>
      <c r="P17" s="239">
        <f t="shared" si="1"/>
        <v>169216.41</v>
      </c>
      <c r="Q17" s="240"/>
      <c r="R17" s="238">
        <v>2047.29</v>
      </c>
      <c r="S17" s="238"/>
      <c r="T17" s="239">
        <f t="shared" si="8"/>
        <v>169216.41</v>
      </c>
      <c r="U17" s="241"/>
      <c r="V17" s="238">
        <v>2025.03</v>
      </c>
      <c r="W17" s="238">
        <v>0</v>
      </c>
      <c r="X17" s="238">
        <f t="shared" si="9"/>
        <v>169216.41</v>
      </c>
      <c r="Y17" s="242">
        <f t="shared" si="10"/>
        <v>8144.6399999999994</v>
      </c>
      <c r="Z17" s="238">
        <f t="shared" si="10"/>
        <v>0</v>
      </c>
      <c r="AA17" s="239">
        <f t="shared" si="11"/>
        <v>169216.41</v>
      </c>
    </row>
    <row r="18" spans="1:27" hidden="1" outlineLevel="1">
      <c r="B18" s="18">
        <v>9016014</v>
      </c>
      <c r="C18" s="104"/>
      <c r="D18" s="187">
        <v>45900</v>
      </c>
      <c r="E18" s="33"/>
      <c r="F18" s="21">
        <v>152424.06</v>
      </c>
      <c r="G18" s="185">
        <v>4.9000000000000002E-2</v>
      </c>
      <c r="H18" s="42"/>
      <c r="I18" s="87"/>
      <c r="J18" s="238">
        <v>1862.08</v>
      </c>
      <c r="K18" s="238">
        <v>0</v>
      </c>
      <c r="L18" s="239">
        <f t="shared" si="7"/>
        <v>152424.06</v>
      </c>
      <c r="M18" s="239"/>
      <c r="N18" s="238">
        <v>1882.54</v>
      </c>
      <c r="O18" s="238">
        <v>0</v>
      </c>
      <c r="P18" s="239">
        <f t="shared" si="1"/>
        <v>152424.06</v>
      </c>
      <c r="Q18" s="240"/>
      <c r="R18" s="238">
        <v>1882.54</v>
      </c>
      <c r="S18" s="238"/>
      <c r="T18" s="239">
        <f t="shared" si="8"/>
        <v>152424.06</v>
      </c>
      <c r="U18" s="241"/>
      <c r="V18" s="238">
        <v>1862.08</v>
      </c>
      <c r="W18" s="238">
        <v>0</v>
      </c>
      <c r="X18" s="238">
        <f t="shared" si="9"/>
        <v>152424.06</v>
      </c>
      <c r="Y18" s="242">
        <f t="shared" si="10"/>
        <v>7489.24</v>
      </c>
      <c r="Z18" s="238">
        <f t="shared" si="10"/>
        <v>0</v>
      </c>
      <c r="AA18" s="239">
        <f t="shared" si="11"/>
        <v>152424.06</v>
      </c>
    </row>
    <row r="19" spans="1:27" hidden="1" outlineLevel="1">
      <c r="B19" s="18">
        <v>9016015</v>
      </c>
      <c r="C19" s="104"/>
      <c r="D19" s="187">
        <v>46265</v>
      </c>
      <c r="E19" s="33"/>
      <c r="F19" s="21">
        <v>102295.74</v>
      </c>
      <c r="G19" s="185">
        <v>4.9500000000000002E-2</v>
      </c>
      <c r="H19" s="42"/>
      <c r="I19" s="87"/>
      <c r="J19" s="238">
        <v>1262.44</v>
      </c>
      <c r="K19" s="238">
        <v>0</v>
      </c>
      <c r="L19" s="239">
        <f t="shared" si="7"/>
        <v>102295.74</v>
      </c>
      <c r="M19" s="239"/>
      <c r="N19" s="238">
        <v>1276.31</v>
      </c>
      <c r="O19" s="238">
        <v>0</v>
      </c>
      <c r="P19" s="239">
        <f t="shared" si="1"/>
        <v>102295.74</v>
      </c>
      <c r="Q19" s="240"/>
      <c r="R19" s="238">
        <v>1276.31</v>
      </c>
      <c r="S19" s="238"/>
      <c r="T19" s="239">
        <f t="shared" si="8"/>
        <v>102295.74</v>
      </c>
      <c r="U19" s="241"/>
      <c r="V19" s="238">
        <v>1262.44</v>
      </c>
      <c r="W19" s="238">
        <v>0</v>
      </c>
      <c r="X19" s="238">
        <f t="shared" si="9"/>
        <v>102295.74</v>
      </c>
      <c r="Y19" s="242">
        <f t="shared" si="10"/>
        <v>5077.5</v>
      </c>
      <c r="Z19" s="238">
        <f t="shared" si="10"/>
        <v>0</v>
      </c>
      <c r="AA19" s="239">
        <f t="shared" si="11"/>
        <v>102295.74</v>
      </c>
    </row>
    <row r="20" spans="1:27" hidden="1" outlineLevel="1">
      <c r="B20" s="18">
        <v>9016016</v>
      </c>
      <c r="C20" s="104"/>
      <c r="D20" s="187">
        <v>46630</v>
      </c>
      <c r="E20" s="33"/>
      <c r="F20" s="21">
        <v>96918.96</v>
      </c>
      <c r="G20" s="185">
        <v>5.0500000000000003E-2</v>
      </c>
      <c r="H20" s="42"/>
      <c r="I20" s="87"/>
      <c r="J20" s="238">
        <v>1220.25</v>
      </c>
      <c r="K20" s="238">
        <v>0</v>
      </c>
      <c r="L20" s="239">
        <f t="shared" si="7"/>
        <v>96918.96</v>
      </c>
      <c r="M20" s="239"/>
      <c r="N20" s="238">
        <v>1233.6600000000001</v>
      </c>
      <c r="O20" s="238">
        <v>0</v>
      </c>
      <c r="P20" s="239">
        <f t="shared" si="1"/>
        <v>96918.96</v>
      </c>
      <c r="Q20" s="240"/>
      <c r="R20" s="238">
        <v>1233.6600000000001</v>
      </c>
      <c r="S20" s="238"/>
      <c r="T20" s="239">
        <f t="shared" si="8"/>
        <v>96918.96</v>
      </c>
      <c r="U20" s="241"/>
      <c r="V20" s="238">
        <v>1220.25</v>
      </c>
      <c r="W20" s="238">
        <v>0</v>
      </c>
      <c r="X20" s="238">
        <f t="shared" si="9"/>
        <v>96918.96</v>
      </c>
      <c r="Y20" s="242">
        <f t="shared" si="10"/>
        <v>4907.82</v>
      </c>
      <c r="Z20" s="238">
        <f t="shared" si="10"/>
        <v>0</v>
      </c>
      <c r="AA20" s="239">
        <f t="shared" si="11"/>
        <v>96918.96</v>
      </c>
    </row>
    <row r="21" spans="1:27" collapsed="1">
      <c r="A21" s="188" t="s">
        <v>105</v>
      </c>
      <c r="B21" s="18">
        <v>9016</v>
      </c>
      <c r="C21" s="205">
        <v>40868</v>
      </c>
      <c r="D21" s="206">
        <v>11636</v>
      </c>
      <c r="E21" s="207"/>
      <c r="F21" s="32">
        <f>SUM(F13:F20)</f>
        <v>1234378.76</v>
      </c>
      <c r="G21" s="185"/>
      <c r="H21" s="42"/>
      <c r="I21" s="87"/>
      <c r="J21" s="232">
        <f>SUM(J13:J20)</f>
        <v>14442.810000000001</v>
      </c>
      <c r="K21" s="233">
        <f>SUM(K13:K20)</f>
        <v>52600.27</v>
      </c>
      <c r="L21" s="237">
        <f>SUM(L13:L20)</f>
        <v>1181778.49</v>
      </c>
      <c r="M21" s="234"/>
      <c r="N21" s="233">
        <f>SUM(N13:N20)</f>
        <v>14010.44</v>
      </c>
      <c r="O21" s="233">
        <f>SUM(O13:O20)</f>
        <v>53172.29</v>
      </c>
      <c r="P21" s="237">
        <f>SUM(P13:P20)</f>
        <v>1128606.2</v>
      </c>
      <c r="Q21" s="235"/>
      <c r="R21" s="233">
        <f>SUM(R13:R20)</f>
        <v>13432.19</v>
      </c>
      <c r="S21" s="233">
        <f>SUM(S13:S20)</f>
        <v>53750.51</v>
      </c>
      <c r="T21" s="237">
        <f>SUM(T13:T20)</f>
        <v>1074855.69</v>
      </c>
      <c r="U21" s="236"/>
      <c r="V21" s="233">
        <f t="shared" ref="V21:AA21" si="12">SUM(V13:V20)</f>
        <v>12714.86</v>
      </c>
      <c r="W21" s="233">
        <f t="shared" si="12"/>
        <v>54710.37</v>
      </c>
      <c r="X21" s="237">
        <f t="shared" si="12"/>
        <v>1020145.3200000001</v>
      </c>
      <c r="Y21" s="233">
        <f t="shared" si="12"/>
        <v>54600.299999999996</v>
      </c>
      <c r="Z21" s="233">
        <f t="shared" si="12"/>
        <v>214233.44</v>
      </c>
      <c r="AA21" s="237">
        <f t="shared" si="12"/>
        <v>1020145.3200000001</v>
      </c>
    </row>
    <row r="22" spans="1:27" hidden="1" outlineLevel="1">
      <c r="A22" s="189">
        <v>42538</v>
      </c>
      <c r="B22" s="18">
        <v>9019004</v>
      </c>
      <c r="C22" s="205"/>
      <c r="D22" s="336">
        <v>43799</v>
      </c>
      <c r="E22" s="207"/>
      <c r="F22" s="21">
        <v>0</v>
      </c>
      <c r="G22" s="185">
        <v>2.9000000000000001E-2</v>
      </c>
      <c r="H22" s="42"/>
      <c r="I22" s="87"/>
      <c r="J22" s="238">
        <v>-10.9</v>
      </c>
      <c r="K22" s="238">
        <v>0</v>
      </c>
      <c r="L22" s="239">
        <f t="shared" ref="L22:L42" si="13">F22-K22</f>
        <v>0</v>
      </c>
      <c r="M22" s="239"/>
      <c r="N22" s="238">
        <v>0</v>
      </c>
      <c r="O22" s="238">
        <v>0</v>
      </c>
      <c r="P22" s="239">
        <f>L22-O22</f>
        <v>0</v>
      </c>
      <c r="Q22" s="240"/>
      <c r="R22" s="203">
        <v>0</v>
      </c>
      <c r="S22" s="203">
        <v>0</v>
      </c>
      <c r="T22" s="239">
        <f t="shared" ref="T22:T42" si="14">P22-S22</f>
        <v>0</v>
      </c>
      <c r="U22" s="241"/>
      <c r="V22" s="238">
        <v>0</v>
      </c>
      <c r="W22" s="238">
        <v>0</v>
      </c>
      <c r="X22" s="335">
        <f>T22-W22</f>
        <v>0</v>
      </c>
      <c r="Y22" s="238">
        <f t="shared" ref="Y22:Z42" si="15">J22+N22+R22+V22</f>
        <v>-10.9</v>
      </c>
      <c r="Z22" s="238">
        <f t="shared" si="15"/>
        <v>0</v>
      </c>
      <c r="AA22" s="239">
        <f t="shared" ref="AA22:AA42" si="16">F22-Z22</f>
        <v>0</v>
      </c>
    </row>
    <row r="23" spans="1:27" ht="15" hidden="1" customHeight="1" outlineLevel="1">
      <c r="B23" s="18">
        <v>9019005</v>
      </c>
      <c r="C23" s="205"/>
      <c r="D23" s="187">
        <v>44165</v>
      </c>
      <c r="E23" s="105"/>
      <c r="F23" s="21">
        <v>549386.93000000005</v>
      </c>
      <c r="G23" s="194">
        <v>3.2000000000000001E-2</v>
      </c>
      <c r="H23" s="42"/>
      <c r="I23" s="87"/>
      <c r="J23" s="238">
        <v>4395.1000000000004</v>
      </c>
      <c r="K23" s="238">
        <v>135706.47</v>
      </c>
      <c r="L23" s="239">
        <f t="shared" si="13"/>
        <v>413680.46000000008</v>
      </c>
      <c r="M23" s="241"/>
      <c r="N23" s="238">
        <v>3309.44</v>
      </c>
      <c r="O23" s="238">
        <v>136792.13</v>
      </c>
      <c r="P23" s="239">
        <f t="shared" ref="P23:P42" si="17">L23-O23</f>
        <v>276888.33000000007</v>
      </c>
      <c r="Q23" s="240"/>
      <c r="R23" s="238">
        <v>2215.11</v>
      </c>
      <c r="S23" s="238">
        <v>137886.46</v>
      </c>
      <c r="T23" s="239">
        <f t="shared" si="14"/>
        <v>139001.87000000008</v>
      </c>
      <c r="U23" s="241"/>
      <c r="V23" s="238">
        <v>1099.6600000000001</v>
      </c>
      <c r="W23" s="238">
        <v>139001.87</v>
      </c>
      <c r="X23" s="238">
        <f t="shared" ref="X23:X42" si="18">T23-W23</f>
        <v>0</v>
      </c>
      <c r="Y23" s="242">
        <f t="shared" si="15"/>
        <v>11019.310000000001</v>
      </c>
      <c r="Z23" s="238">
        <f t="shared" si="15"/>
        <v>549386.92999999993</v>
      </c>
      <c r="AA23" s="239">
        <f t="shared" si="16"/>
        <v>0</v>
      </c>
    </row>
    <row r="24" spans="1:27" ht="15" hidden="1" customHeight="1" outlineLevel="1">
      <c r="B24" s="18">
        <v>9019006</v>
      </c>
      <c r="C24" s="205"/>
      <c r="D24" s="187">
        <v>44530</v>
      </c>
      <c r="E24" s="105"/>
      <c r="F24" s="21">
        <v>567959.46</v>
      </c>
      <c r="G24" s="194">
        <v>3.3000000000000002E-2</v>
      </c>
      <c r="H24" s="42"/>
      <c r="I24" s="87"/>
      <c r="J24" s="238">
        <v>4672.83</v>
      </c>
      <c r="K24" s="238">
        <v>0</v>
      </c>
      <c r="L24" s="239">
        <f t="shared" si="13"/>
        <v>567959.46</v>
      </c>
      <c r="M24" s="241"/>
      <c r="N24" s="238">
        <v>4724.18</v>
      </c>
      <c r="O24" s="238">
        <v>0</v>
      </c>
      <c r="P24" s="239">
        <f t="shared" si="17"/>
        <v>567959.46</v>
      </c>
      <c r="Q24" s="240"/>
      <c r="R24" s="238">
        <v>4724.18</v>
      </c>
      <c r="S24" s="238"/>
      <c r="T24" s="239">
        <f t="shared" si="14"/>
        <v>567959.46</v>
      </c>
      <c r="U24" s="241"/>
      <c r="V24" s="238">
        <v>4672.83</v>
      </c>
      <c r="W24" s="238">
        <v>0</v>
      </c>
      <c r="X24" s="238">
        <f t="shared" si="18"/>
        <v>567959.46</v>
      </c>
      <c r="Y24" s="242">
        <f t="shared" si="15"/>
        <v>18794.02</v>
      </c>
      <c r="Z24" s="238">
        <f t="shared" si="15"/>
        <v>0</v>
      </c>
      <c r="AA24" s="239">
        <f t="shared" si="16"/>
        <v>567959.46</v>
      </c>
    </row>
    <row r="25" spans="1:27" ht="15" hidden="1" customHeight="1" outlineLevel="1">
      <c r="B25" s="18">
        <v>9019007</v>
      </c>
      <c r="C25" s="205"/>
      <c r="D25" s="187">
        <v>44895</v>
      </c>
      <c r="E25" s="105"/>
      <c r="F25" s="21">
        <v>586254.55000000005</v>
      </c>
      <c r="G25" s="194">
        <v>3.4000000000000002E-2</v>
      </c>
      <c r="H25" s="42"/>
      <c r="I25" s="87"/>
      <c r="J25" s="238">
        <v>4969.51</v>
      </c>
      <c r="K25" s="238">
        <v>0</v>
      </c>
      <c r="L25" s="239">
        <f t="shared" si="13"/>
        <v>586254.55000000005</v>
      </c>
      <c r="M25" s="241"/>
      <c r="N25" s="238">
        <v>5024.12</v>
      </c>
      <c r="O25" s="238">
        <v>0</v>
      </c>
      <c r="P25" s="239">
        <f t="shared" si="17"/>
        <v>586254.55000000005</v>
      </c>
      <c r="Q25" s="240"/>
      <c r="R25" s="238">
        <v>5024.12</v>
      </c>
      <c r="S25" s="238"/>
      <c r="T25" s="239">
        <f t="shared" si="14"/>
        <v>586254.55000000005</v>
      </c>
      <c r="U25" s="241"/>
      <c r="V25" s="238">
        <v>4969.51</v>
      </c>
      <c r="W25" s="238">
        <v>0</v>
      </c>
      <c r="X25" s="238">
        <f t="shared" si="18"/>
        <v>586254.55000000005</v>
      </c>
      <c r="Y25" s="242">
        <f t="shared" si="15"/>
        <v>19987.260000000002</v>
      </c>
      <c r="Z25" s="238">
        <f t="shared" si="15"/>
        <v>0</v>
      </c>
      <c r="AA25" s="239">
        <f t="shared" si="16"/>
        <v>586254.55000000005</v>
      </c>
    </row>
    <row r="26" spans="1:27" ht="15" hidden="1" customHeight="1" outlineLevel="1">
      <c r="B26" s="18">
        <v>9019008</v>
      </c>
      <c r="C26" s="205"/>
      <c r="D26" s="187">
        <v>45260</v>
      </c>
      <c r="E26" s="105"/>
      <c r="F26" s="21">
        <v>605596.63</v>
      </c>
      <c r="G26" s="194">
        <v>3.4500000000000003E-2</v>
      </c>
      <c r="H26" s="42"/>
      <c r="I26" s="87"/>
      <c r="J26" s="238">
        <v>5208.96</v>
      </c>
      <c r="K26" s="238">
        <v>0</v>
      </c>
      <c r="L26" s="239">
        <f t="shared" si="13"/>
        <v>605596.63</v>
      </c>
      <c r="M26" s="241"/>
      <c r="N26" s="238">
        <v>5266.2</v>
      </c>
      <c r="O26" s="238">
        <v>0</v>
      </c>
      <c r="P26" s="239">
        <f t="shared" si="17"/>
        <v>605596.63</v>
      </c>
      <c r="Q26" s="240"/>
      <c r="R26" s="238">
        <v>5266.2</v>
      </c>
      <c r="S26" s="238"/>
      <c r="T26" s="239">
        <f t="shared" si="14"/>
        <v>605596.63</v>
      </c>
      <c r="U26" s="241"/>
      <c r="V26" s="238">
        <v>5208.96</v>
      </c>
      <c r="W26" s="238">
        <v>0</v>
      </c>
      <c r="X26" s="238">
        <f t="shared" si="18"/>
        <v>605596.63</v>
      </c>
      <c r="Y26" s="242">
        <f t="shared" si="15"/>
        <v>20950.32</v>
      </c>
      <c r="Z26" s="238">
        <f t="shared" si="15"/>
        <v>0</v>
      </c>
      <c r="AA26" s="239">
        <f t="shared" si="16"/>
        <v>605596.63</v>
      </c>
    </row>
    <row r="27" spans="1:27" ht="15" hidden="1" customHeight="1" outlineLevel="1">
      <c r="B27" s="18">
        <v>9019009</v>
      </c>
      <c r="C27" s="205"/>
      <c r="D27" s="187">
        <v>45626</v>
      </c>
      <c r="E27" s="105"/>
      <c r="F27" s="21">
        <v>624807.27</v>
      </c>
      <c r="G27" s="194">
        <v>3.5499999999999997E-2</v>
      </c>
      <c r="H27" s="42"/>
      <c r="I27" s="87"/>
      <c r="J27" s="238">
        <v>5529.97</v>
      </c>
      <c r="K27" s="238">
        <v>0</v>
      </c>
      <c r="L27" s="239">
        <f t="shared" si="13"/>
        <v>624807.27</v>
      </c>
      <c r="M27" s="241"/>
      <c r="N27" s="238">
        <v>5590.74</v>
      </c>
      <c r="O27" s="238">
        <v>0</v>
      </c>
      <c r="P27" s="239">
        <f t="shared" si="17"/>
        <v>624807.27</v>
      </c>
      <c r="Q27" s="240"/>
      <c r="R27" s="238">
        <v>5590.74</v>
      </c>
      <c r="S27" s="238"/>
      <c r="T27" s="239">
        <f t="shared" si="14"/>
        <v>624807.27</v>
      </c>
      <c r="U27" s="241"/>
      <c r="V27" s="238">
        <v>5529.97</v>
      </c>
      <c r="W27" s="238">
        <v>0</v>
      </c>
      <c r="X27" s="238">
        <f t="shared" si="18"/>
        <v>624807.27</v>
      </c>
      <c r="Y27" s="242">
        <f t="shared" si="15"/>
        <v>22241.42</v>
      </c>
      <c r="Z27" s="238">
        <f t="shared" si="15"/>
        <v>0</v>
      </c>
      <c r="AA27" s="239">
        <f t="shared" si="16"/>
        <v>624807.27</v>
      </c>
    </row>
    <row r="28" spans="1:27" ht="15" hidden="1" customHeight="1" outlineLevel="1">
      <c r="B28" s="18">
        <v>9019010</v>
      </c>
      <c r="C28" s="205"/>
      <c r="D28" s="187">
        <v>45991</v>
      </c>
      <c r="E28" s="105"/>
      <c r="F28" s="21">
        <v>647507.16</v>
      </c>
      <c r="G28" s="194">
        <v>3.5999999999999997E-2</v>
      </c>
      <c r="H28" s="42"/>
      <c r="I28" s="87"/>
      <c r="J28" s="238">
        <v>5811.6</v>
      </c>
      <c r="K28" s="238">
        <v>0</v>
      </c>
      <c r="L28" s="239">
        <f t="shared" si="13"/>
        <v>647507.16</v>
      </c>
      <c r="M28" s="241"/>
      <c r="N28" s="238">
        <v>5875.46</v>
      </c>
      <c r="O28" s="238">
        <v>0</v>
      </c>
      <c r="P28" s="239">
        <f t="shared" si="17"/>
        <v>647507.16</v>
      </c>
      <c r="Q28" s="240"/>
      <c r="R28" s="238">
        <v>5875.46</v>
      </c>
      <c r="S28" s="238"/>
      <c r="T28" s="239">
        <f t="shared" si="14"/>
        <v>647507.16</v>
      </c>
      <c r="U28" s="241"/>
      <c r="V28" s="238">
        <v>5811.6</v>
      </c>
      <c r="W28" s="238">
        <v>0</v>
      </c>
      <c r="X28" s="238">
        <f t="shared" si="18"/>
        <v>647507.16</v>
      </c>
      <c r="Y28" s="242">
        <f t="shared" si="15"/>
        <v>23374.120000000003</v>
      </c>
      <c r="Z28" s="238">
        <f t="shared" si="15"/>
        <v>0</v>
      </c>
      <c r="AA28" s="239">
        <f t="shared" si="16"/>
        <v>647507.16</v>
      </c>
    </row>
    <row r="29" spans="1:27" ht="15" hidden="1" customHeight="1" outlineLevel="1">
      <c r="B29" s="18">
        <v>9019011</v>
      </c>
      <c r="C29" s="205"/>
      <c r="D29" s="187">
        <v>46356</v>
      </c>
      <c r="E29" s="105"/>
      <c r="F29" s="21">
        <v>670123.30000000005</v>
      </c>
      <c r="G29" s="194">
        <v>3.6499999999999998E-2</v>
      </c>
      <c r="H29" s="42"/>
      <c r="I29" s="87"/>
      <c r="J29" s="238">
        <v>6098.12</v>
      </c>
      <c r="K29" s="238">
        <v>0</v>
      </c>
      <c r="L29" s="239">
        <f t="shared" si="13"/>
        <v>670123.30000000005</v>
      </c>
      <c r="M29" s="241"/>
      <c r="N29" s="238">
        <v>6165.13</v>
      </c>
      <c r="O29" s="238">
        <v>0</v>
      </c>
      <c r="P29" s="239">
        <f t="shared" si="17"/>
        <v>670123.30000000005</v>
      </c>
      <c r="Q29" s="240"/>
      <c r="R29" s="238">
        <v>6165.13</v>
      </c>
      <c r="S29" s="238"/>
      <c r="T29" s="239">
        <f t="shared" si="14"/>
        <v>670123.30000000005</v>
      </c>
      <c r="U29" s="241"/>
      <c r="V29" s="238">
        <v>6098.12</v>
      </c>
      <c r="W29" s="238">
        <v>0</v>
      </c>
      <c r="X29" s="238">
        <f t="shared" si="18"/>
        <v>670123.30000000005</v>
      </c>
      <c r="Y29" s="242">
        <f t="shared" si="15"/>
        <v>24526.5</v>
      </c>
      <c r="Z29" s="238">
        <f t="shared" si="15"/>
        <v>0</v>
      </c>
      <c r="AA29" s="239">
        <f t="shared" si="16"/>
        <v>670123.30000000005</v>
      </c>
    </row>
    <row r="30" spans="1:27" ht="15" hidden="1" customHeight="1" outlineLevel="1">
      <c r="B30" s="18">
        <v>9019012</v>
      </c>
      <c r="C30" s="205"/>
      <c r="D30" s="187">
        <v>46721</v>
      </c>
      <c r="E30" s="105"/>
      <c r="F30" s="21">
        <v>693852.08</v>
      </c>
      <c r="G30" s="194">
        <v>3.6999999999999998E-2</v>
      </c>
      <c r="H30" s="42"/>
      <c r="I30" s="87"/>
      <c r="J30" s="238">
        <v>6400.55</v>
      </c>
      <c r="K30" s="238">
        <v>0</v>
      </c>
      <c r="L30" s="239">
        <f t="shared" si="13"/>
        <v>693852.08</v>
      </c>
      <c r="M30" s="241"/>
      <c r="N30" s="238">
        <v>6470.88</v>
      </c>
      <c r="O30" s="238">
        <v>0</v>
      </c>
      <c r="P30" s="239">
        <f t="shared" si="17"/>
        <v>693852.08</v>
      </c>
      <c r="Q30" s="240"/>
      <c r="R30" s="238">
        <v>6470.88</v>
      </c>
      <c r="S30" s="238"/>
      <c r="T30" s="239">
        <f t="shared" si="14"/>
        <v>693852.08</v>
      </c>
      <c r="U30" s="241"/>
      <c r="V30" s="238">
        <v>6400.55</v>
      </c>
      <c r="W30" s="238">
        <v>0</v>
      </c>
      <c r="X30" s="238">
        <f t="shared" si="18"/>
        <v>693852.08</v>
      </c>
      <c r="Y30" s="242">
        <f t="shared" si="15"/>
        <v>25742.86</v>
      </c>
      <c r="Z30" s="238">
        <f t="shared" si="15"/>
        <v>0</v>
      </c>
      <c r="AA30" s="239">
        <f t="shared" si="16"/>
        <v>693852.08</v>
      </c>
    </row>
    <row r="31" spans="1:27" ht="15" hidden="1" customHeight="1" outlineLevel="1">
      <c r="B31" s="18">
        <v>9019013</v>
      </c>
      <c r="C31" s="205"/>
      <c r="D31" s="187">
        <v>47087</v>
      </c>
      <c r="E31" s="105"/>
      <c r="F31" s="21">
        <v>717856.35</v>
      </c>
      <c r="G31" s="194">
        <v>3.7499999999999999E-2</v>
      </c>
      <c r="H31" s="42"/>
      <c r="I31" s="87"/>
      <c r="J31" s="238">
        <v>6711.47</v>
      </c>
      <c r="K31" s="238">
        <v>0</v>
      </c>
      <c r="L31" s="239">
        <f t="shared" si="13"/>
        <v>717856.35</v>
      </c>
      <c r="M31" s="241"/>
      <c r="N31" s="238">
        <v>6785.22</v>
      </c>
      <c r="O31" s="238">
        <v>0</v>
      </c>
      <c r="P31" s="239">
        <f t="shared" si="17"/>
        <v>717856.35</v>
      </c>
      <c r="Q31" s="240"/>
      <c r="R31" s="238">
        <v>6785.22</v>
      </c>
      <c r="S31" s="238"/>
      <c r="T31" s="239">
        <f t="shared" si="14"/>
        <v>717856.35</v>
      </c>
      <c r="U31" s="241"/>
      <c r="V31" s="238">
        <v>6711.47</v>
      </c>
      <c r="W31" s="238">
        <v>0</v>
      </c>
      <c r="X31" s="238">
        <f t="shared" si="18"/>
        <v>717856.35</v>
      </c>
      <c r="Y31" s="242">
        <f t="shared" si="15"/>
        <v>26993.38</v>
      </c>
      <c r="Z31" s="238">
        <f t="shared" si="15"/>
        <v>0</v>
      </c>
      <c r="AA31" s="239">
        <f t="shared" si="16"/>
        <v>717856.35</v>
      </c>
    </row>
    <row r="32" spans="1:27" ht="15" hidden="1" customHeight="1" outlineLevel="1">
      <c r="B32" s="18">
        <v>9019014</v>
      </c>
      <c r="C32" s="205"/>
      <c r="D32" s="187">
        <v>47452</v>
      </c>
      <c r="E32" s="105"/>
      <c r="F32" s="21">
        <v>738073.55</v>
      </c>
      <c r="G32" s="194">
        <v>3.7999999999999999E-2</v>
      </c>
      <c r="H32" s="42"/>
      <c r="I32" s="87"/>
      <c r="J32" s="238">
        <v>6992.49</v>
      </c>
      <c r="K32" s="238">
        <v>0</v>
      </c>
      <c r="L32" s="239">
        <f t="shared" si="13"/>
        <v>738073.55</v>
      </c>
      <c r="M32" s="241"/>
      <c r="N32" s="238">
        <v>7069.33</v>
      </c>
      <c r="O32" s="238">
        <v>0</v>
      </c>
      <c r="P32" s="239">
        <f t="shared" si="17"/>
        <v>738073.55</v>
      </c>
      <c r="Q32" s="240"/>
      <c r="R32" s="238">
        <v>7069.33</v>
      </c>
      <c r="S32" s="238"/>
      <c r="T32" s="239">
        <f t="shared" si="14"/>
        <v>738073.55</v>
      </c>
      <c r="U32" s="241"/>
      <c r="V32" s="238">
        <v>6992.49</v>
      </c>
      <c r="W32" s="238">
        <v>0</v>
      </c>
      <c r="X32" s="238">
        <f t="shared" si="18"/>
        <v>738073.55</v>
      </c>
      <c r="Y32" s="242">
        <f t="shared" si="15"/>
        <v>28123.64</v>
      </c>
      <c r="Z32" s="238">
        <f t="shared" si="15"/>
        <v>0</v>
      </c>
      <c r="AA32" s="239">
        <f t="shared" si="16"/>
        <v>738073.55</v>
      </c>
    </row>
    <row r="33" spans="1:30" ht="15" hidden="1" customHeight="1" outlineLevel="1">
      <c r="B33" s="18">
        <v>9019015</v>
      </c>
      <c r="C33" s="205"/>
      <c r="D33" s="187">
        <v>47817</v>
      </c>
      <c r="E33" s="105"/>
      <c r="F33" s="21">
        <v>665482.38</v>
      </c>
      <c r="G33" s="194">
        <v>3.85E-2</v>
      </c>
      <c r="H33" s="42"/>
      <c r="I33" s="87"/>
      <c r="J33" s="238">
        <v>6387.72</v>
      </c>
      <c r="K33" s="238">
        <v>0</v>
      </c>
      <c r="L33" s="239">
        <f t="shared" si="13"/>
        <v>665482.38</v>
      </c>
      <c r="M33" s="241"/>
      <c r="N33" s="238">
        <v>6457.91</v>
      </c>
      <c r="O33" s="238">
        <v>0</v>
      </c>
      <c r="P33" s="239">
        <f t="shared" si="17"/>
        <v>665482.38</v>
      </c>
      <c r="Q33" s="240"/>
      <c r="R33" s="238">
        <v>6457.91</v>
      </c>
      <c r="S33" s="238"/>
      <c r="T33" s="239">
        <f t="shared" si="14"/>
        <v>665482.38</v>
      </c>
      <c r="U33" s="241"/>
      <c r="V33" s="238">
        <v>6387.72</v>
      </c>
      <c r="W33" s="238">
        <v>0</v>
      </c>
      <c r="X33" s="238">
        <f t="shared" si="18"/>
        <v>665482.38</v>
      </c>
      <c r="Y33" s="242">
        <f t="shared" si="15"/>
        <v>25691.260000000002</v>
      </c>
      <c r="Z33" s="238">
        <f t="shared" si="15"/>
        <v>0</v>
      </c>
      <c r="AA33" s="239">
        <f t="shared" si="16"/>
        <v>665482.38</v>
      </c>
    </row>
    <row r="34" spans="1:30" ht="15" hidden="1" customHeight="1" outlineLevel="1">
      <c r="B34" s="18">
        <v>9019016</v>
      </c>
      <c r="C34" s="205"/>
      <c r="D34" s="187">
        <v>48182</v>
      </c>
      <c r="E34" s="105"/>
      <c r="F34" s="21">
        <v>690285.68</v>
      </c>
      <c r="G34" s="194">
        <v>3.9E-2</v>
      </c>
      <c r="H34" s="42"/>
      <c r="I34" s="87"/>
      <c r="J34" s="238">
        <v>6711.85</v>
      </c>
      <c r="K34" s="238">
        <v>0</v>
      </c>
      <c r="L34" s="239">
        <f t="shared" si="13"/>
        <v>690285.68</v>
      </c>
      <c r="M34" s="241"/>
      <c r="N34" s="238">
        <v>6785.6</v>
      </c>
      <c r="O34" s="238">
        <v>0</v>
      </c>
      <c r="P34" s="239">
        <f t="shared" si="17"/>
        <v>690285.68</v>
      </c>
      <c r="Q34" s="240"/>
      <c r="R34" s="238">
        <v>6785.6</v>
      </c>
      <c r="S34" s="238"/>
      <c r="T34" s="239">
        <f t="shared" si="14"/>
        <v>690285.68</v>
      </c>
      <c r="U34" s="241"/>
      <c r="V34" s="238">
        <v>6711.85</v>
      </c>
      <c r="W34" s="238">
        <v>0</v>
      </c>
      <c r="X34" s="238">
        <f t="shared" si="18"/>
        <v>690285.68</v>
      </c>
      <c r="Y34" s="242">
        <f t="shared" si="15"/>
        <v>26994.9</v>
      </c>
      <c r="Z34" s="238">
        <f t="shared" si="15"/>
        <v>0</v>
      </c>
      <c r="AA34" s="239">
        <f t="shared" si="16"/>
        <v>690285.68</v>
      </c>
    </row>
    <row r="35" spans="1:30" ht="15" hidden="1" customHeight="1" outlineLevel="1">
      <c r="B35" s="18">
        <v>9019017</v>
      </c>
      <c r="C35" s="205"/>
      <c r="D35" s="187">
        <v>48548</v>
      </c>
      <c r="E35" s="105"/>
      <c r="F35" s="21">
        <v>715641.43</v>
      </c>
      <c r="G35" s="194">
        <v>3.9E-2</v>
      </c>
      <c r="H35" s="42"/>
      <c r="I35" s="87"/>
      <c r="J35" s="238">
        <v>6958.39</v>
      </c>
      <c r="K35" s="238">
        <v>0</v>
      </c>
      <c r="L35" s="239">
        <f t="shared" si="13"/>
        <v>715641.43</v>
      </c>
      <c r="M35" s="241"/>
      <c r="N35" s="238">
        <v>7034.85</v>
      </c>
      <c r="O35" s="238">
        <v>0</v>
      </c>
      <c r="P35" s="239">
        <f t="shared" si="17"/>
        <v>715641.43</v>
      </c>
      <c r="Q35" s="240"/>
      <c r="R35" s="238">
        <v>7034.85</v>
      </c>
      <c r="S35" s="238"/>
      <c r="T35" s="239">
        <f t="shared" si="14"/>
        <v>715641.43</v>
      </c>
      <c r="U35" s="241"/>
      <c r="V35" s="238">
        <v>6958.39</v>
      </c>
      <c r="W35" s="238">
        <v>0</v>
      </c>
      <c r="X35" s="238">
        <f t="shared" si="18"/>
        <v>715641.43</v>
      </c>
      <c r="Y35" s="242">
        <f t="shared" si="15"/>
        <v>27986.480000000003</v>
      </c>
      <c r="Z35" s="238">
        <f t="shared" si="15"/>
        <v>0</v>
      </c>
      <c r="AA35" s="239">
        <f t="shared" si="16"/>
        <v>715641.43</v>
      </c>
    </row>
    <row r="36" spans="1:30" ht="15" hidden="1" customHeight="1" outlineLevel="1">
      <c r="B36" s="18">
        <v>9019018</v>
      </c>
      <c r="C36" s="205"/>
      <c r="D36" s="187">
        <v>48913</v>
      </c>
      <c r="E36" s="105"/>
      <c r="F36" s="21">
        <v>743272.23</v>
      </c>
      <c r="G36" s="194">
        <v>3.95E-2</v>
      </c>
      <c r="H36" s="42"/>
      <c r="I36" s="87"/>
      <c r="J36" s="238">
        <v>7319.7</v>
      </c>
      <c r="K36" s="238">
        <v>0</v>
      </c>
      <c r="L36" s="239">
        <f t="shared" si="13"/>
        <v>743272.23</v>
      </c>
      <c r="M36" s="241"/>
      <c r="N36" s="238">
        <v>7400.14</v>
      </c>
      <c r="O36" s="238">
        <v>0</v>
      </c>
      <c r="P36" s="239">
        <f t="shared" si="17"/>
        <v>743272.23</v>
      </c>
      <c r="Q36" s="240"/>
      <c r="R36" s="238">
        <v>7400.14</v>
      </c>
      <c r="S36" s="238"/>
      <c r="T36" s="239">
        <f t="shared" si="14"/>
        <v>743272.23</v>
      </c>
      <c r="U36" s="241"/>
      <c r="V36" s="238">
        <v>7319.7</v>
      </c>
      <c r="W36" s="238">
        <v>0</v>
      </c>
      <c r="X36" s="238">
        <f t="shared" si="18"/>
        <v>743272.23</v>
      </c>
      <c r="Y36" s="242">
        <f t="shared" si="15"/>
        <v>29439.68</v>
      </c>
      <c r="Z36" s="238">
        <f t="shared" si="15"/>
        <v>0</v>
      </c>
      <c r="AA36" s="239">
        <f t="shared" si="16"/>
        <v>743272.23</v>
      </c>
    </row>
    <row r="37" spans="1:30" ht="15" hidden="1" customHeight="1" outlineLevel="1">
      <c r="B37" s="18">
        <v>9019019</v>
      </c>
      <c r="C37" s="205"/>
      <c r="D37" s="187">
        <v>49278</v>
      </c>
      <c r="E37" s="105"/>
      <c r="F37" s="21">
        <v>771562.48</v>
      </c>
      <c r="G37" s="194">
        <v>3.95E-2</v>
      </c>
      <c r="H37" s="42"/>
      <c r="I37" s="87"/>
      <c r="J37" s="238">
        <v>7598.31</v>
      </c>
      <c r="K37" s="238">
        <v>0</v>
      </c>
      <c r="L37" s="239">
        <f t="shared" si="13"/>
        <v>771562.48</v>
      </c>
      <c r="M37" s="241"/>
      <c r="N37" s="238">
        <v>7681.8</v>
      </c>
      <c r="O37" s="238">
        <v>0</v>
      </c>
      <c r="P37" s="239">
        <f t="shared" si="17"/>
        <v>771562.48</v>
      </c>
      <c r="Q37" s="240"/>
      <c r="R37" s="238">
        <v>7681.8</v>
      </c>
      <c r="S37" s="238"/>
      <c r="T37" s="239">
        <f t="shared" si="14"/>
        <v>771562.48</v>
      </c>
      <c r="U37" s="241"/>
      <c r="V37" s="238">
        <v>7598.31</v>
      </c>
      <c r="W37" s="238">
        <v>0</v>
      </c>
      <c r="X37" s="238">
        <f t="shared" si="18"/>
        <v>771562.48</v>
      </c>
      <c r="Y37" s="242">
        <f t="shared" si="15"/>
        <v>30560.22</v>
      </c>
      <c r="Z37" s="238">
        <f t="shared" si="15"/>
        <v>0</v>
      </c>
      <c r="AA37" s="239">
        <f t="shared" si="16"/>
        <v>771562.48</v>
      </c>
    </row>
    <row r="38" spans="1:30" ht="15" hidden="1" customHeight="1" outlineLevel="1">
      <c r="B38" s="18">
        <v>9019020</v>
      </c>
      <c r="C38" s="205"/>
      <c r="D38" s="187">
        <v>49643</v>
      </c>
      <c r="E38" s="105"/>
      <c r="F38" s="21">
        <v>801063.06</v>
      </c>
      <c r="G38" s="194">
        <v>0.04</v>
      </c>
      <c r="H38" s="42"/>
      <c r="I38" s="87"/>
      <c r="J38" s="238">
        <v>7988.68</v>
      </c>
      <c r="K38" s="238">
        <v>0</v>
      </c>
      <c r="L38" s="239">
        <f t="shared" si="13"/>
        <v>801063.06</v>
      </c>
      <c r="M38" s="241"/>
      <c r="N38" s="238">
        <v>8076.47</v>
      </c>
      <c r="O38" s="238">
        <v>0</v>
      </c>
      <c r="P38" s="239">
        <f t="shared" si="17"/>
        <v>801063.06</v>
      </c>
      <c r="Q38" s="240"/>
      <c r="R38" s="238">
        <v>8076.47</v>
      </c>
      <c r="S38" s="238"/>
      <c r="T38" s="239">
        <f t="shared" si="14"/>
        <v>801063.06</v>
      </c>
      <c r="U38" s="241"/>
      <c r="V38" s="238">
        <v>7988.68</v>
      </c>
      <c r="W38" s="238">
        <v>0</v>
      </c>
      <c r="X38" s="238">
        <f t="shared" si="18"/>
        <v>801063.06</v>
      </c>
      <c r="Y38" s="242">
        <f t="shared" si="15"/>
        <v>32130.300000000003</v>
      </c>
      <c r="Z38" s="238">
        <f t="shared" si="15"/>
        <v>0</v>
      </c>
      <c r="AA38" s="239">
        <f t="shared" si="16"/>
        <v>801063.06</v>
      </c>
    </row>
    <row r="39" spans="1:30" ht="15" hidden="1" customHeight="1" outlineLevel="1">
      <c r="B39" s="18">
        <v>9019021</v>
      </c>
      <c r="C39" s="205"/>
      <c r="D39" s="187">
        <v>50009</v>
      </c>
      <c r="E39" s="105"/>
      <c r="F39" s="21">
        <v>831668.48</v>
      </c>
      <c r="G39" s="194">
        <v>0.04</v>
      </c>
      <c r="H39" s="42"/>
      <c r="I39" s="87"/>
      <c r="J39" s="238">
        <v>8293.9</v>
      </c>
      <c r="K39" s="238">
        <v>0</v>
      </c>
      <c r="L39" s="239">
        <f t="shared" si="13"/>
        <v>831668.48</v>
      </c>
      <c r="M39" s="241"/>
      <c r="N39" s="238">
        <v>8385.0400000000009</v>
      </c>
      <c r="O39" s="238">
        <v>0</v>
      </c>
      <c r="P39" s="239">
        <f t="shared" si="17"/>
        <v>831668.48</v>
      </c>
      <c r="Q39" s="240"/>
      <c r="R39" s="238">
        <v>8385.0400000000009</v>
      </c>
      <c r="S39" s="238"/>
      <c r="T39" s="239">
        <f t="shared" si="14"/>
        <v>831668.48</v>
      </c>
      <c r="U39" s="241"/>
      <c r="V39" s="238">
        <v>8293.9</v>
      </c>
      <c r="W39" s="238">
        <v>0</v>
      </c>
      <c r="X39" s="238">
        <f t="shared" si="18"/>
        <v>831668.48</v>
      </c>
      <c r="Y39" s="242">
        <f t="shared" si="15"/>
        <v>33357.880000000005</v>
      </c>
      <c r="Z39" s="238">
        <f t="shared" si="15"/>
        <v>0</v>
      </c>
      <c r="AA39" s="239">
        <f t="shared" si="16"/>
        <v>831668.48</v>
      </c>
    </row>
    <row r="40" spans="1:30" ht="15" hidden="1" customHeight="1" outlineLevel="1">
      <c r="B40" s="18">
        <v>9019022</v>
      </c>
      <c r="C40" s="205"/>
      <c r="D40" s="187">
        <v>50374</v>
      </c>
      <c r="E40" s="105"/>
      <c r="F40" s="21">
        <v>863941.13</v>
      </c>
      <c r="G40" s="194">
        <v>0.04</v>
      </c>
      <c r="H40" s="42"/>
      <c r="I40" s="87"/>
      <c r="J40" s="238">
        <v>8615.74</v>
      </c>
      <c r="K40" s="238">
        <v>0</v>
      </c>
      <c r="L40" s="239">
        <f t="shared" si="13"/>
        <v>863941.13</v>
      </c>
      <c r="M40" s="241"/>
      <c r="N40" s="238">
        <v>8710.42</v>
      </c>
      <c r="O40" s="238">
        <v>0</v>
      </c>
      <c r="P40" s="239">
        <f t="shared" si="17"/>
        <v>863941.13</v>
      </c>
      <c r="Q40" s="240"/>
      <c r="R40" s="238">
        <v>8710.42</v>
      </c>
      <c r="S40" s="238"/>
      <c r="T40" s="239">
        <f t="shared" si="14"/>
        <v>863941.13</v>
      </c>
      <c r="U40" s="241"/>
      <c r="V40" s="238">
        <v>8615.74</v>
      </c>
      <c r="W40" s="238">
        <v>0</v>
      </c>
      <c r="X40" s="238">
        <f t="shared" si="18"/>
        <v>863941.13</v>
      </c>
      <c r="Y40" s="242">
        <f t="shared" si="15"/>
        <v>34652.32</v>
      </c>
      <c r="Z40" s="238">
        <f t="shared" si="15"/>
        <v>0</v>
      </c>
      <c r="AA40" s="239">
        <f t="shared" si="16"/>
        <v>863941.13</v>
      </c>
    </row>
    <row r="41" spans="1:30" ht="15" hidden="1" customHeight="1" outlineLevel="1">
      <c r="B41" s="18">
        <v>9019023</v>
      </c>
      <c r="C41" s="205"/>
      <c r="D41" s="187">
        <v>50739</v>
      </c>
      <c r="E41" s="105"/>
      <c r="F41" s="21">
        <v>897191.42</v>
      </c>
      <c r="G41" s="194">
        <v>0.04</v>
      </c>
      <c r="H41" s="42"/>
      <c r="I41" s="87"/>
      <c r="J41" s="238">
        <v>8947.33</v>
      </c>
      <c r="K41" s="238">
        <v>0</v>
      </c>
      <c r="L41" s="239">
        <f t="shared" si="13"/>
        <v>897191.42</v>
      </c>
      <c r="M41" s="241"/>
      <c r="N41" s="238">
        <v>9045.66</v>
      </c>
      <c r="O41" s="238">
        <v>0</v>
      </c>
      <c r="P41" s="239">
        <f t="shared" si="17"/>
        <v>897191.42</v>
      </c>
      <c r="Q41" s="240"/>
      <c r="R41" s="238">
        <v>9045.66</v>
      </c>
      <c r="S41" s="238"/>
      <c r="T41" s="239">
        <f t="shared" si="14"/>
        <v>897191.42</v>
      </c>
      <c r="U41" s="241"/>
      <c r="V41" s="238">
        <v>8947.33</v>
      </c>
      <c r="W41" s="238">
        <v>0</v>
      </c>
      <c r="X41" s="238">
        <f t="shared" si="18"/>
        <v>897191.42</v>
      </c>
      <c r="Y41" s="242">
        <f t="shared" si="15"/>
        <v>35985.979999999996</v>
      </c>
      <c r="Z41" s="238">
        <f t="shared" si="15"/>
        <v>0</v>
      </c>
      <c r="AA41" s="239">
        <f t="shared" si="16"/>
        <v>897191.42</v>
      </c>
    </row>
    <row r="42" spans="1:30" ht="15" hidden="1" customHeight="1" outlineLevel="1">
      <c r="B42" s="18">
        <v>9019024</v>
      </c>
      <c r="C42" s="205"/>
      <c r="D42" s="187">
        <v>51104</v>
      </c>
      <c r="E42" s="105"/>
      <c r="F42" s="21">
        <v>468387</v>
      </c>
      <c r="G42" s="194">
        <v>0.04</v>
      </c>
      <c r="H42" s="42"/>
      <c r="I42" s="87"/>
      <c r="J42" s="238">
        <v>4671.04</v>
      </c>
      <c r="K42" s="238">
        <v>0</v>
      </c>
      <c r="L42" s="239">
        <f t="shared" si="13"/>
        <v>468387</v>
      </c>
      <c r="M42" s="241"/>
      <c r="N42" s="238">
        <v>4722.37</v>
      </c>
      <c r="O42" s="238">
        <v>0</v>
      </c>
      <c r="P42" s="239">
        <f t="shared" si="17"/>
        <v>468387</v>
      </c>
      <c r="Q42" s="240"/>
      <c r="R42" s="238">
        <v>4722.37</v>
      </c>
      <c r="S42" s="238"/>
      <c r="T42" s="239">
        <f t="shared" si="14"/>
        <v>468387</v>
      </c>
      <c r="U42" s="241"/>
      <c r="V42" s="238">
        <v>4671.04</v>
      </c>
      <c r="W42" s="238">
        <v>0</v>
      </c>
      <c r="X42" s="238">
        <f t="shared" si="18"/>
        <v>468387</v>
      </c>
      <c r="Y42" s="243">
        <f t="shared" si="15"/>
        <v>18786.82</v>
      </c>
      <c r="Z42" s="244">
        <f t="shared" si="15"/>
        <v>0</v>
      </c>
      <c r="AA42" s="245">
        <f t="shared" si="16"/>
        <v>468387</v>
      </c>
    </row>
    <row r="43" spans="1:30" collapsed="1">
      <c r="A43" s="188" t="s">
        <v>105</v>
      </c>
      <c r="B43" s="18">
        <v>9019</v>
      </c>
      <c r="C43" s="205">
        <v>42538</v>
      </c>
      <c r="D43" s="206">
        <v>51644</v>
      </c>
      <c r="E43" s="207"/>
      <c r="F43" s="32">
        <f>SUM(F23:F42)</f>
        <v>13849912.570000002</v>
      </c>
      <c r="G43" s="194"/>
      <c r="H43" s="42"/>
      <c r="I43" s="87"/>
      <c r="J43" s="203">
        <f>SUM(J22:J42)</f>
        <v>130272.36</v>
      </c>
      <c r="K43" s="203">
        <f>SUM(K23:K42)</f>
        <v>135706.47</v>
      </c>
      <c r="L43" s="203">
        <f>SUM(L23:L42)</f>
        <v>13714206.100000001</v>
      </c>
      <c r="M43" s="238"/>
      <c r="N43" s="203">
        <f>SUM(N23:N42)</f>
        <v>130580.96</v>
      </c>
      <c r="O43" s="203">
        <f>SUM(O23:O42)</f>
        <v>136792.13</v>
      </c>
      <c r="P43" s="203">
        <f>SUM(P23:P42)</f>
        <v>13577413.970000001</v>
      </c>
      <c r="Q43" s="238"/>
      <c r="R43" s="203">
        <f>SUM(R23:R42)</f>
        <v>129486.63000000002</v>
      </c>
      <c r="S43" s="203">
        <f>SUM(S23:S42)</f>
        <v>137886.46</v>
      </c>
      <c r="T43" s="203">
        <f>SUM(T23:T42)</f>
        <v>13439527.510000002</v>
      </c>
      <c r="U43" s="238"/>
      <c r="V43" s="203">
        <f t="shared" ref="V43:AA43" si="19">SUM(V23:V42)</f>
        <v>126987.81999999999</v>
      </c>
      <c r="W43" s="203">
        <f t="shared" si="19"/>
        <v>139001.87</v>
      </c>
      <c r="X43" s="204">
        <f t="shared" si="19"/>
        <v>13300525.640000001</v>
      </c>
      <c r="Y43" s="203">
        <f>SUM(Y22:Y42)</f>
        <v>517327.77000000008</v>
      </c>
      <c r="Z43" s="203">
        <f t="shared" si="19"/>
        <v>549386.92999999993</v>
      </c>
      <c r="AA43" s="204">
        <f t="shared" si="19"/>
        <v>13300525.640000001</v>
      </c>
    </row>
    <row r="44" spans="1:30">
      <c r="B44" s="33"/>
      <c r="C44" s="33"/>
      <c r="D44" s="33"/>
      <c r="E44" s="33"/>
      <c r="F44" s="32"/>
      <c r="G44" s="34"/>
      <c r="H44" s="42"/>
      <c r="I44" s="42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21"/>
      <c r="Z44" s="21"/>
      <c r="AA44" s="21"/>
    </row>
    <row r="45" spans="1:30" ht="18">
      <c r="A45" s="188"/>
      <c r="B45" s="33"/>
      <c r="C45" s="33"/>
      <c r="D45" s="33"/>
      <c r="E45" s="126" t="s">
        <v>128</v>
      </c>
      <c r="F45" s="127">
        <f>SUM(F6:F11)+F21+F43</f>
        <v>16979051.100000001</v>
      </c>
      <c r="G45" s="21"/>
      <c r="H45" s="34"/>
      <c r="I45" s="34"/>
      <c r="J45" s="211">
        <f>J12+J21+J43</f>
        <v>173061.61</v>
      </c>
      <c r="K45" s="211">
        <f>K12+K21+K43</f>
        <v>232205.99</v>
      </c>
      <c r="L45" s="212">
        <f>L12+L21+L43</f>
        <v>16746845.110000001</v>
      </c>
      <c r="M45" s="211"/>
      <c r="N45" s="211">
        <f>N12+N21+N43</f>
        <v>172295.94</v>
      </c>
      <c r="O45" s="211">
        <f>O12+O21+O43</f>
        <v>234558.3</v>
      </c>
      <c r="P45" s="212">
        <f>P12+P21+P43</f>
        <v>16512286.810000001</v>
      </c>
      <c r="Q45" s="211"/>
      <c r="R45" s="211">
        <f>R12+R21+R43</f>
        <v>169993.60000000003</v>
      </c>
      <c r="S45" s="211">
        <f>S12+S21+S43</f>
        <v>236936.63</v>
      </c>
      <c r="T45" s="212">
        <f>T12+T21+T43</f>
        <v>16275350.180000002</v>
      </c>
      <c r="U45" s="211"/>
      <c r="V45" s="211">
        <f t="shared" ref="V45:AA45" si="20">V12+V21+V43</f>
        <v>166136.97</v>
      </c>
      <c r="W45" s="211">
        <f t="shared" si="20"/>
        <v>239729.09</v>
      </c>
      <c r="X45" s="212">
        <f t="shared" si="20"/>
        <v>16035621.09</v>
      </c>
      <c r="Y45" s="32">
        <f t="shared" si="20"/>
        <v>681488.12000000011</v>
      </c>
      <c r="Z45" s="32">
        <f t="shared" si="20"/>
        <v>943430.00999999989</v>
      </c>
      <c r="AA45" s="127">
        <f t="shared" si="20"/>
        <v>16035621.09</v>
      </c>
    </row>
    <row r="46" spans="1:30">
      <c r="H46" s="21"/>
      <c r="I46" s="21"/>
      <c r="L46" s="100"/>
      <c r="P46" s="171"/>
      <c r="Q46" s="43"/>
      <c r="T46" s="171"/>
      <c r="U46" s="43"/>
      <c r="V46" s="21"/>
      <c r="X46" s="43"/>
      <c r="Y46" s="75"/>
    </row>
    <row r="47" spans="1:30">
      <c r="K47" s="100"/>
      <c r="L47" s="100"/>
      <c r="M47" s="101"/>
      <c r="O47" s="100"/>
      <c r="P47" s="102"/>
      <c r="Q47" s="102"/>
      <c r="S47" s="101"/>
      <c r="T47" s="171"/>
      <c r="U47" s="102"/>
      <c r="W47" s="101"/>
      <c r="X47" s="108"/>
    </row>
    <row r="48" spans="1:30" ht="17.25" customHeight="1">
      <c r="D48" s="106"/>
      <c r="K48" s="100"/>
      <c r="L48" s="100"/>
      <c r="M48" s="101"/>
      <c r="O48" s="101"/>
      <c r="P48" s="102"/>
      <c r="Q48" s="102"/>
      <c r="S48" s="101"/>
      <c r="T48" s="171"/>
      <c r="U48" s="102"/>
      <c r="W48" s="101"/>
      <c r="X48" s="108"/>
      <c r="AD48" s="1" t="s">
        <v>240</v>
      </c>
    </row>
    <row r="49" spans="4:31" ht="15.75" thickBot="1">
      <c r="D49" s="106"/>
      <c r="T49" s="100"/>
      <c r="U49" s="100"/>
      <c r="W49" s="74"/>
      <c r="X49" s="101"/>
      <c r="AC49" s="75"/>
    </row>
    <row r="50" spans="4:31">
      <c r="D50" s="114"/>
      <c r="F50" s="114" t="s">
        <v>123</v>
      </c>
      <c r="I50" s="115"/>
      <c r="J50" s="116" t="s">
        <v>124</v>
      </c>
      <c r="K50" s="116" t="s">
        <v>125</v>
      </c>
      <c r="L50" s="116"/>
      <c r="M50" s="116"/>
      <c r="N50" s="116" t="s">
        <v>124</v>
      </c>
      <c r="O50" s="116" t="s">
        <v>125</v>
      </c>
      <c r="P50" s="116"/>
      <c r="Q50" s="116"/>
      <c r="R50" s="116" t="s">
        <v>124</v>
      </c>
      <c r="S50" s="116" t="s">
        <v>125</v>
      </c>
      <c r="T50" s="116"/>
      <c r="U50" s="116"/>
      <c r="V50" s="116" t="s">
        <v>124</v>
      </c>
      <c r="W50" s="117" t="s">
        <v>125</v>
      </c>
      <c r="X50" s="115"/>
      <c r="Y50" s="195"/>
      <c r="Z50" s="116" t="s">
        <v>124</v>
      </c>
      <c r="AA50" s="117" t="s">
        <v>125</v>
      </c>
      <c r="AE50" s="342" t="s">
        <v>226</v>
      </c>
    </row>
    <row r="51" spans="4:31">
      <c r="E51" s="121"/>
      <c r="I51" s="118" t="s">
        <v>211</v>
      </c>
      <c r="J51" s="151">
        <v>59792</v>
      </c>
      <c r="K51" s="152">
        <f>J51</f>
        <v>59792</v>
      </c>
      <c r="L51" s="153"/>
      <c r="M51" s="154" t="s">
        <v>38</v>
      </c>
      <c r="N51" s="151">
        <f>J53+F52</f>
        <v>170049.61</v>
      </c>
      <c r="O51" s="152">
        <f>F52</f>
        <v>56780</v>
      </c>
      <c r="P51" s="153"/>
      <c r="Q51" s="154" t="s">
        <v>120</v>
      </c>
      <c r="R51" s="151">
        <f>N53+F52</f>
        <v>342345.55</v>
      </c>
      <c r="S51" s="152">
        <f>F52</f>
        <v>56780</v>
      </c>
      <c r="T51" s="153"/>
      <c r="U51" s="154" t="s">
        <v>122</v>
      </c>
      <c r="V51" s="151">
        <f>R53+F52</f>
        <v>512339.15</v>
      </c>
      <c r="W51" s="155">
        <f>S51</f>
        <v>56780</v>
      </c>
      <c r="X51" s="197"/>
      <c r="Y51" s="198" t="s">
        <v>47</v>
      </c>
      <c r="Z51" s="167">
        <f>V53+F52</f>
        <v>678476.12</v>
      </c>
      <c r="AA51" s="155">
        <f>F52</f>
        <v>56780</v>
      </c>
      <c r="AC51" s="338" t="s">
        <v>241</v>
      </c>
      <c r="AD51" s="75">
        <f>+AA45</f>
        <v>16035621.09</v>
      </c>
      <c r="AE51" s="338" t="s">
        <v>228</v>
      </c>
    </row>
    <row r="52" spans="4:31">
      <c r="E52" s="121" t="s">
        <v>127</v>
      </c>
      <c r="F52" s="168">
        <v>56780</v>
      </c>
      <c r="I52" s="119" t="s">
        <v>33</v>
      </c>
      <c r="J52" s="158">
        <f>F52</f>
        <v>56780</v>
      </c>
      <c r="K52" s="159">
        <f>F52+K51</f>
        <v>116572</v>
      </c>
      <c r="L52" s="153"/>
      <c r="M52" s="160" t="s">
        <v>39</v>
      </c>
      <c r="N52" s="158">
        <f>N51+F52</f>
        <v>226829.61</v>
      </c>
      <c r="O52" s="159">
        <f>F52*2</f>
        <v>113560</v>
      </c>
      <c r="P52" s="153"/>
      <c r="Q52" s="160" t="s">
        <v>121</v>
      </c>
      <c r="R52" s="158">
        <f>R51+F52</f>
        <v>399125.55</v>
      </c>
      <c r="S52" s="159">
        <f>F52*2</f>
        <v>113560</v>
      </c>
      <c r="T52" s="153"/>
      <c r="U52" s="160" t="s">
        <v>45</v>
      </c>
      <c r="V52" s="158">
        <f>V51+F52</f>
        <v>569119.15</v>
      </c>
      <c r="W52" s="161">
        <f>S52</f>
        <v>113560</v>
      </c>
      <c r="X52" s="197"/>
      <c r="Y52" s="199"/>
      <c r="Z52" s="199"/>
      <c r="AA52" s="200"/>
      <c r="AC52" s="340" t="s">
        <v>230</v>
      </c>
      <c r="AD52" s="344">
        <v>1050111.99</v>
      </c>
      <c r="AE52" s="101" t="s">
        <v>231</v>
      </c>
    </row>
    <row r="53" spans="4:31" ht="15.75" thickBot="1">
      <c r="E53" s="121"/>
      <c r="F53" s="168"/>
      <c r="I53" s="120" t="s">
        <v>37</v>
      </c>
      <c r="J53" s="156">
        <f>J45-J51</f>
        <v>113269.60999999999</v>
      </c>
      <c r="K53" s="162">
        <v>0</v>
      </c>
      <c r="L53" s="163"/>
      <c r="M53" s="163" t="s">
        <v>40</v>
      </c>
      <c r="N53" s="156">
        <f>J53+N45</f>
        <v>285565.55</v>
      </c>
      <c r="O53" s="162">
        <v>0</v>
      </c>
      <c r="P53" s="163"/>
      <c r="Q53" s="163" t="s">
        <v>43</v>
      </c>
      <c r="R53" s="156">
        <f>N53+R45</f>
        <v>455559.15</v>
      </c>
      <c r="S53" s="162">
        <v>0</v>
      </c>
      <c r="T53" s="163"/>
      <c r="U53" s="164" t="s">
        <v>46</v>
      </c>
      <c r="V53" s="165">
        <f>R53+V45</f>
        <v>621696.12</v>
      </c>
      <c r="W53" s="166">
        <v>0</v>
      </c>
      <c r="X53" s="196"/>
      <c r="Y53" s="201"/>
      <c r="Z53" s="201"/>
      <c r="AA53" s="202"/>
      <c r="AC53" s="338"/>
      <c r="AD53" s="75">
        <f>AD51-AD52</f>
        <v>14985509.1</v>
      </c>
    </row>
    <row r="54" spans="4:31">
      <c r="V54" s="75"/>
      <c r="AC54" s="338"/>
    </row>
    <row r="55" spans="4:31">
      <c r="I55" s="102"/>
      <c r="J55" s="21"/>
      <c r="W55" s="74"/>
      <c r="AC55" s="338"/>
    </row>
    <row r="56" spans="4:31">
      <c r="I56" s="102"/>
      <c r="J56" s="142"/>
      <c r="K56" s="75">
        <f>J45+K45</f>
        <v>405267.6</v>
      </c>
      <c r="O56" s="75">
        <f>K56+N45+O45</f>
        <v>812121.84000000008</v>
      </c>
      <c r="S56" s="75">
        <f>O56+R45+S45</f>
        <v>1219052.0700000003</v>
      </c>
      <c r="W56" s="75">
        <f>S56+V45+W45</f>
        <v>1624918.1300000004</v>
      </c>
      <c r="AC56" s="338" t="s">
        <v>236</v>
      </c>
      <c r="AD56" s="75">
        <f>+Y45</f>
        <v>681488.12000000011</v>
      </c>
    </row>
    <row r="57" spans="4:31">
      <c r="W57" s="74"/>
      <c r="Z57" s="75"/>
      <c r="AC57" s="340" t="s">
        <v>237</v>
      </c>
      <c r="AD57" s="344">
        <f>+Z45</f>
        <v>943430.00999999989</v>
      </c>
      <c r="AE57" s="338" t="s">
        <v>235</v>
      </c>
    </row>
    <row r="58" spans="4:31">
      <c r="W58" s="74"/>
      <c r="AD58" s="75">
        <f>AD56+AD57</f>
        <v>1624918.13</v>
      </c>
    </row>
    <row r="59" spans="4:31">
      <c r="W59" s="74"/>
    </row>
    <row r="60" spans="4:31">
      <c r="W60" s="74"/>
    </row>
    <row r="61" spans="4:31">
      <c r="W61" s="74"/>
    </row>
    <row r="62" spans="4:31">
      <c r="W62" s="74"/>
    </row>
    <row r="63" spans="4:31">
      <c r="W63" s="74"/>
    </row>
  </sheetData>
  <dataConsolidate/>
  <mergeCells count="2">
    <mergeCell ref="J3:L3"/>
    <mergeCell ref="N3:P3"/>
  </mergeCells>
  <pageMargins left="0.25" right="0.5" top="1" bottom="0.25" header="0" footer="0"/>
  <pageSetup scale="85" fitToWidth="0" orientation="landscape" copies="3" r:id="rId1"/>
  <headerFooter alignWithMargins="0"/>
  <colBreaks count="4" manualBreakCount="4">
    <brk id="12" max="46" man="1"/>
    <brk id="16" max="46" man="1"/>
    <brk id="20" max="46" man="1"/>
    <brk id="24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63C58-5D0B-4C8D-90BF-DCA852C7402E}">
  <dimension ref="A1:D10"/>
  <sheetViews>
    <sheetView tabSelected="1" workbookViewId="0">
      <selection activeCell="C21" sqref="C21"/>
    </sheetView>
  </sheetViews>
  <sheetFormatPr defaultRowHeight="15"/>
  <cols>
    <col min="1" max="2" width="8.88671875" style="385"/>
    <col min="3" max="3" width="12.44140625" style="385" bestFit="1" customWidth="1"/>
    <col min="4" max="16384" width="8.88671875" style="385"/>
  </cols>
  <sheetData>
    <row r="1" spans="1:4">
      <c r="A1" s="384" t="s">
        <v>269</v>
      </c>
    </row>
    <row r="2" spans="1:4">
      <c r="A2" s="384" t="s">
        <v>270</v>
      </c>
    </row>
    <row r="3" spans="1:4">
      <c r="A3" s="384" t="s">
        <v>271</v>
      </c>
    </row>
    <row r="5" spans="1:4">
      <c r="C5" s="384" t="s">
        <v>267</v>
      </c>
    </row>
    <row r="6" spans="1:4">
      <c r="B6" s="385" t="s">
        <v>260</v>
      </c>
      <c r="C6" s="391">
        <f>'RUS Payts'!AS14</f>
        <v>590911.71303644869</v>
      </c>
    </row>
    <row r="7" spans="1:4">
      <c r="B7" s="385" t="s">
        <v>81</v>
      </c>
      <c r="C7" s="391">
        <f>'FFB Payts'!Z33</f>
        <v>1554565.8120322896</v>
      </c>
    </row>
    <row r="8" spans="1:4">
      <c r="B8" s="385" t="s">
        <v>261</v>
      </c>
      <c r="C8" s="391">
        <f>'CFC Payts'!Y43</f>
        <v>526774.561155</v>
      </c>
    </row>
    <row r="9" spans="1:4" ht="15.75" thickBot="1">
      <c r="B9" s="411" t="s">
        <v>262</v>
      </c>
      <c r="C9" s="412">
        <f>SUM(C6:C8)</f>
        <v>2672252.0862237383</v>
      </c>
      <c r="D9" s="384" t="s">
        <v>268</v>
      </c>
    </row>
    <row r="10" spans="1:4" ht="15.75" thickTop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AU45"/>
  <sheetViews>
    <sheetView zoomScale="80" zoomScaleNormal="80" workbookViewId="0">
      <pane xSplit="8" ySplit="4" topLeftCell="I5" activePane="bottomRight" state="frozen"/>
      <selection activeCell="E28" sqref="E28"/>
      <selection pane="topRight" activeCell="E28" sqref="E28"/>
      <selection pane="bottomLeft" activeCell="E28" sqref="E28"/>
      <selection pane="bottomRight" activeCell="W9" sqref="W9"/>
    </sheetView>
  </sheetViews>
  <sheetFormatPr defaultColWidth="9.6640625" defaultRowHeight="15"/>
  <cols>
    <col min="1" max="1" width="9.33203125" style="1" customWidth="1"/>
    <col min="2" max="2" width="8.44140625" style="1" bestFit="1" customWidth="1"/>
    <col min="3" max="3" width="9" style="1" customWidth="1"/>
    <col min="4" max="4" width="8.5546875" style="1" customWidth="1"/>
    <col min="5" max="5" width="12.44140625" style="1" customWidth="1"/>
    <col min="6" max="6" width="12.6640625" style="1" customWidth="1"/>
    <col min="7" max="7" width="13" style="1" customWidth="1"/>
    <col min="8" max="8" width="1.77734375" style="1" customWidth="1"/>
    <col min="9" max="9" width="10.77734375" style="1" customWidth="1"/>
    <col min="10" max="10" width="12.21875" style="1" customWidth="1"/>
    <col min="11" max="11" width="12.44140625" style="1" customWidth="1"/>
    <col min="12" max="12" width="10.77734375" style="1" customWidth="1"/>
    <col min="13" max="13" width="12.77734375" style="1" customWidth="1"/>
    <col min="14" max="14" width="12.6640625" style="1" bestFit="1" customWidth="1"/>
    <col min="15" max="16" width="10.77734375" style="1" customWidth="1"/>
    <col min="17" max="17" width="12.6640625" style="1" bestFit="1" customWidth="1"/>
    <col min="18" max="19" width="10.77734375" style="1" customWidth="1"/>
    <col min="20" max="20" width="12.6640625" style="1" bestFit="1" customWidth="1"/>
    <col min="21" max="22" width="10.77734375" style="1" customWidth="1"/>
    <col min="23" max="23" width="12.6640625" style="1" bestFit="1" customWidth="1"/>
    <col min="24" max="24" width="12.77734375" style="1" customWidth="1"/>
    <col min="25" max="25" width="10.77734375" style="1" customWidth="1"/>
    <col min="26" max="26" width="12.6640625" style="1" bestFit="1" customWidth="1"/>
    <col min="27" max="28" width="10.77734375" style="1" customWidth="1"/>
    <col min="29" max="29" width="12.6640625" style="1" bestFit="1" customWidth="1"/>
    <col min="30" max="31" width="10.77734375" style="1" customWidth="1"/>
    <col min="32" max="32" width="12.6640625" style="1" bestFit="1" customWidth="1"/>
    <col min="33" max="34" width="10.77734375" style="1" customWidth="1"/>
    <col min="35" max="35" width="13.5546875" style="1" customWidth="1"/>
    <col min="36" max="37" width="10.77734375" style="1" customWidth="1"/>
    <col min="38" max="38" width="12.6640625" style="1" bestFit="1" customWidth="1"/>
    <col min="39" max="40" width="10.77734375" style="1" customWidth="1"/>
    <col min="41" max="41" width="12.6640625" style="1" bestFit="1" customWidth="1"/>
    <col min="42" max="43" width="10.77734375" style="1" customWidth="1"/>
    <col min="44" max="44" width="12.6640625" style="1" bestFit="1" customWidth="1"/>
    <col min="45" max="45" width="9.88671875" style="1" bestFit="1" customWidth="1"/>
    <col min="46" max="46" width="10.21875" style="1" customWidth="1"/>
    <col min="47" max="47" width="12.33203125" style="1" bestFit="1" customWidth="1"/>
    <col min="48" max="16384" width="9.6640625" style="1"/>
  </cols>
  <sheetData>
    <row r="1" spans="1:47" ht="18">
      <c r="A1" s="2"/>
      <c r="B1" s="337" t="s">
        <v>254</v>
      </c>
      <c r="C1" s="2"/>
      <c r="D1" s="2"/>
      <c r="E1" s="2"/>
      <c r="F1" s="337"/>
      <c r="G1" s="337"/>
      <c r="H1" s="337"/>
      <c r="I1" s="337"/>
      <c r="K1" s="368">
        <v>45322</v>
      </c>
      <c r="L1" s="369"/>
      <c r="M1" s="369"/>
      <c r="N1" s="368">
        <v>45350</v>
      </c>
      <c r="O1" s="369"/>
      <c r="P1" s="369"/>
      <c r="Q1" s="368">
        <v>45382</v>
      </c>
      <c r="R1" s="369"/>
      <c r="S1" s="369"/>
      <c r="T1" s="368">
        <v>45412</v>
      </c>
      <c r="U1" s="369"/>
      <c r="V1" s="369"/>
      <c r="W1" s="368">
        <v>45443</v>
      </c>
      <c r="X1" s="369"/>
      <c r="Y1" s="369"/>
      <c r="Z1" s="368">
        <v>45473</v>
      </c>
      <c r="AA1" s="369"/>
      <c r="AB1" s="369"/>
      <c r="AC1" s="368">
        <v>45504</v>
      </c>
      <c r="AD1" s="369"/>
      <c r="AE1" s="369"/>
      <c r="AF1" s="368">
        <v>45535</v>
      </c>
      <c r="AG1" s="369"/>
      <c r="AH1" s="369"/>
      <c r="AI1" s="368">
        <v>45565</v>
      </c>
      <c r="AJ1" s="369"/>
      <c r="AK1" s="369"/>
      <c r="AL1" s="368">
        <v>45596</v>
      </c>
      <c r="AM1" s="369"/>
      <c r="AN1" s="369"/>
      <c r="AO1" s="368">
        <v>45626</v>
      </c>
      <c r="AP1" s="369"/>
      <c r="AQ1" s="369"/>
      <c r="AR1" s="368">
        <v>45657</v>
      </c>
      <c r="AS1" s="4"/>
    </row>
    <row r="2" spans="1:47" ht="13.5" customHeight="1">
      <c r="A2" s="5"/>
      <c r="B2" s="5"/>
      <c r="C2" s="6" t="s">
        <v>112</v>
      </c>
      <c r="D2" s="6" t="s">
        <v>114</v>
      </c>
      <c r="E2" s="6" t="s">
        <v>115</v>
      </c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J2" s="1">
        <v>31</v>
      </c>
      <c r="AL2" s="94"/>
      <c r="AM2" s="1">
        <v>30</v>
      </c>
      <c r="AP2" s="1">
        <v>31</v>
      </c>
    </row>
    <row r="3" spans="1:47" ht="13.5" customHeight="1">
      <c r="A3" s="6" t="s">
        <v>1</v>
      </c>
      <c r="B3" s="6" t="s">
        <v>134</v>
      </c>
      <c r="C3" s="6" t="s">
        <v>73</v>
      </c>
      <c r="D3" s="6" t="s">
        <v>73</v>
      </c>
      <c r="E3" s="6" t="s">
        <v>73</v>
      </c>
      <c r="F3" s="6" t="s">
        <v>31</v>
      </c>
      <c r="G3" s="6" t="s">
        <v>32</v>
      </c>
      <c r="H3" s="6"/>
      <c r="I3" s="7" t="s">
        <v>33</v>
      </c>
      <c r="J3" s="8"/>
      <c r="K3" s="99"/>
      <c r="L3" s="10" t="s">
        <v>37</v>
      </c>
      <c r="M3" s="9"/>
      <c r="N3" s="9"/>
      <c r="O3" s="10" t="s">
        <v>38</v>
      </c>
      <c r="P3" s="9"/>
      <c r="Q3" s="9"/>
      <c r="R3" s="7" t="s">
        <v>39</v>
      </c>
      <c r="S3" s="9"/>
      <c r="T3" s="78"/>
      <c r="U3" s="76" t="s">
        <v>40</v>
      </c>
      <c r="V3" s="10"/>
      <c r="W3" s="95"/>
      <c r="X3" s="10" t="s">
        <v>41</v>
      </c>
      <c r="Y3" s="9"/>
      <c r="Z3" s="78"/>
      <c r="AA3" s="10" t="s">
        <v>42</v>
      </c>
      <c r="AB3" s="11"/>
      <c r="AC3" s="80"/>
      <c r="AD3" s="10" t="s">
        <v>43</v>
      </c>
      <c r="AE3" s="11"/>
      <c r="AF3" s="78"/>
      <c r="AG3" s="10" t="s">
        <v>44</v>
      </c>
      <c r="AH3" s="11"/>
      <c r="AI3" s="80"/>
      <c r="AJ3" s="10" t="s">
        <v>45</v>
      </c>
      <c r="AK3" s="11"/>
      <c r="AL3" s="80"/>
      <c r="AM3" s="133" t="s">
        <v>46</v>
      </c>
      <c r="AN3" s="11"/>
      <c r="AO3" s="11"/>
      <c r="AP3" s="7" t="s">
        <v>47</v>
      </c>
      <c r="AQ3" s="11"/>
      <c r="AR3" s="80"/>
      <c r="AS3" s="12" t="s">
        <v>48</v>
      </c>
      <c r="AT3" s="11"/>
      <c r="AU3" s="80"/>
    </row>
    <row r="4" spans="1:47" ht="32.25" customHeight="1">
      <c r="F4" s="15">
        <v>45291</v>
      </c>
      <c r="G4" s="16"/>
      <c r="H4" s="16"/>
      <c r="I4" s="216" t="s">
        <v>34</v>
      </c>
      <c r="J4" s="217" t="s">
        <v>35</v>
      </c>
      <c r="K4" s="79" t="s">
        <v>36</v>
      </c>
      <c r="L4" s="217" t="s">
        <v>34</v>
      </c>
      <c r="M4" s="217" t="s">
        <v>35</v>
      </c>
      <c r="N4" s="217" t="s">
        <v>36</v>
      </c>
      <c r="O4" s="217" t="s">
        <v>34</v>
      </c>
      <c r="P4" s="217" t="s">
        <v>35</v>
      </c>
      <c r="Q4" s="217" t="s">
        <v>36</v>
      </c>
      <c r="R4" s="216" t="s">
        <v>34</v>
      </c>
      <c r="S4" s="217" t="s">
        <v>35</v>
      </c>
      <c r="T4" s="79" t="s">
        <v>36</v>
      </c>
      <c r="U4" s="218" t="s">
        <v>34</v>
      </c>
      <c r="V4" s="217" t="s">
        <v>35</v>
      </c>
      <c r="W4" s="79" t="s">
        <v>36</v>
      </c>
      <c r="X4" s="217" t="s">
        <v>34</v>
      </c>
      <c r="Y4" s="217" t="s">
        <v>35</v>
      </c>
      <c r="Z4" s="79" t="s">
        <v>36</v>
      </c>
      <c r="AA4" s="217" t="s">
        <v>34</v>
      </c>
      <c r="AB4" s="217" t="s">
        <v>35</v>
      </c>
      <c r="AC4" s="79" t="s">
        <v>36</v>
      </c>
      <c r="AD4" s="217" t="s">
        <v>34</v>
      </c>
      <c r="AE4" s="217" t="s">
        <v>35</v>
      </c>
      <c r="AF4" s="79" t="s">
        <v>36</v>
      </c>
      <c r="AG4" s="217" t="s">
        <v>34</v>
      </c>
      <c r="AH4" s="217" t="s">
        <v>35</v>
      </c>
      <c r="AI4" s="79" t="s">
        <v>36</v>
      </c>
      <c r="AJ4" s="218" t="s">
        <v>34</v>
      </c>
      <c r="AK4" s="217" t="s">
        <v>35</v>
      </c>
      <c r="AL4" s="79" t="s">
        <v>36</v>
      </c>
      <c r="AM4" s="217" t="s">
        <v>34</v>
      </c>
      <c r="AN4" s="217" t="s">
        <v>35</v>
      </c>
      <c r="AO4" s="217" t="s">
        <v>36</v>
      </c>
      <c r="AP4" s="216" t="s">
        <v>34</v>
      </c>
      <c r="AQ4" s="217" t="s">
        <v>35</v>
      </c>
      <c r="AR4" s="79" t="s">
        <v>36</v>
      </c>
      <c r="AS4" s="216" t="s">
        <v>34</v>
      </c>
      <c r="AT4" s="217" t="s">
        <v>35</v>
      </c>
      <c r="AU4" s="79" t="s">
        <v>36</v>
      </c>
    </row>
    <row r="5" spans="1:47" ht="13.5" customHeight="1">
      <c r="F5" s="15"/>
      <c r="G5" s="16"/>
      <c r="H5" s="16"/>
      <c r="I5" s="17"/>
      <c r="J5" s="18"/>
      <c r="K5" s="82"/>
      <c r="L5" s="18"/>
      <c r="M5" s="18"/>
      <c r="N5" s="18"/>
      <c r="O5" s="18"/>
      <c r="P5" s="18"/>
      <c r="Q5" s="18"/>
      <c r="R5" s="224"/>
      <c r="S5" s="18"/>
      <c r="T5" s="82"/>
      <c r="U5" s="224"/>
      <c r="V5" s="18"/>
      <c r="W5" s="82"/>
      <c r="X5" s="18"/>
      <c r="Y5" s="18"/>
      <c r="Z5" s="82"/>
      <c r="AA5" s="18"/>
      <c r="AB5" s="18"/>
      <c r="AC5" s="82"/>
      <c r="AD5" s="18"/>
      <c r="AE5" s="18"/>
      <c r="AF5" s="82"/>
      <c r="AG5" s="18"/>
      <c r="AH5" s="18"/>
      <c r="AI5" s="82"/>
      <c r="AJ5" s="224"/>
      <c r="AK5" s="18"/>
      <c r="AL5" s="82"/>
      <c r="AM5" s="18"/>
      <c r="AN5" s="18"/>
      <c r="AO5" s="113"/>
      <c r="AP5" s="18"/>
      <c r="AQ5" s="18"/>
      <c r="AR5" s="82"/>
      <c r="AS5" s="14"/>
      <c r="AU5" s="219"/>
    </row>
    <row r="6" spans="1:47" ht="14.1" customHeight="1">
      <c r="A6" s="20" t="s">
        <v>94</v>
      </c>
      <c r="B6" s="20" t="s">
        <v>137</v>
      </c>
      <c r="C6" s="104">
        <v>35961</v>
      </c>
      <c r="D6" s="104">
        <v>48670</v>
      </c>
      <c r="E6" s="104">
        <v>48060</v>
      </c>
      <c r="F6" s="21">
        <v>631163.34</v>
      </c>
      <c r="G6" s="44">
        <v>2.5000000000000001E-2</v>
      </c>
      <c r="H6" s="44" t="s">
        <v>113</v>
      </c>
      <c r="I6" s="30">
        <v>1138.3499999999999</v>
      </c>
      <c r="J6" s="29">
        <v>5095.8999999999996</v>
      </c>
      <c r="K6" s="71">
        <f>F6-J6</f>
        <v>626067.43999999994</v>
      </c>
      <c r="L6" s="29">
        <v>992.13</v>
      </c>
      <c r="M6" s="29">
        <v>5242.12</v>
      </c>
      <c r="N6" s="362">
        <f>K6-M6</f>
        <v>620825.31999999995</v>
      </c>
      <c r="O6" s="29">
        <v>983.82</v>
      </c>
      <c r="P6" s="29">
        <v>5250.43</v>
      </c>
      <c r="Q6" s="71">
        <f>N6-P6</f>
        <v>615574.8899999999</v>
      </c>
      <c r="R6" s="29">
        <v>1076.42</v>
      </c>
      <c r="S6" s="29">
        <v>5157.83</v>
      </c>
      <c r="T6" s="71">
        <f>Q6-S6</f>
        <v>610417.05999999994</v>
      </c>
      <c r="U6" s="371">
        <v>1034.04</v>
      </c>
      <c r="V6" s="372">
        <v>5200.21</v>
      </c>
      <c r="W6" s="71">
        <f>T6-V6</f>
        <v>605216.85</v>
      </c>
      <c r="X6" s="372">
        <v>926.01</v>
      </c>
      <c r="Y6" s="372">
        <v>5308.24</v>
      </c>
      <c r="Z6" s="71">
        <f t="shared" ref="Z6:Z11" si="0">W6-Y6</f>
        <v>599908.61</v>
      </c>
      <c r="AA6" s="29">
        <v>1335.86</v>
      </c>
      <c r="AB6" s="29">
        <v>5033.21</v>
      </c>
      <c r="AC6" s="71">
        <f>Z6-AB6</f>
        <v>594875.4</v>
      </c>
      <c r="AD6" s="372">
        <v>1219.01</v>
      </c>
      <c r="AE6" s="372">
        <v>5150.0599999999995</v>
      </c>
      <c r="AF6" s="71">
        <f>AC6-AE6</f>
        <v>589725.34</v>
      </c>
      <c r="AG6" s="29">
        <f>AF6*$G$6/365*30</f>
        <v>1211.7643972602739</v>
      </c>
      <c r="AH6" s="29">
        <f>SUM(AD6:AE6)-AG6</f>
        <v>5157.3056027397261</v>
      </c>
      <c r="AI6" s="71">
        <f t="shared" ref="AI6:AI12" si="1">AF6-AH6</f>
        <v>584568.03439726029</v>
      </c>
      <c r="AJ6" s="29">
        <f>AI6*$G$6/365*AJ2</f>
        <v>1241.2061004325392</v>
      </c>
      <c r="AK6" s="29">
        <f>SUM(AG6:AH6)-AJ6</f>
        <v>5127.863899567461</v>
      </c>
      <c r="AL6" s="71">
        <f>AI6-AK6</f>
        <v>579440.17049769277</v>
      </c>
      <c r="AM6" s="29">
        <f>AL6*$G$6/365*AM2</f>
        <v>1190.6304873240265</v>
      </c>
      <c r="AN6" s="29">
        <f>SUM(AJ6:AK6)-AM6</f>
        <v>5178.4395126759737</v>
      </c>
      <c r="AO6" s="71">
        <f t="shared" ref="AO6:AO12" si="2">AL6-AN6</f>
        <v>574261.73098501679</v>
      </c>
      <c r="AP6" s="29">
        <f>AO6*$G$6/365*AP2</f>
        <v>1219.322853461337</v>
      </c>
      <c r="AQ6" s="29">
        <f>SUM(AM6:AN6)-AP6</f>
        <v>5149.7471465386625</v>
      </c>
      <c r="AR6" s="71">
        <f>ROUND(AO6-AQ6,2)</f>
        <v>569111.98</v>
      </c>
      <c r="AS6" s="213">
        <f t="shared" ref="AS6:AT12" si="3">I6+L6+O6+R6+U6+X6+AA6+AD6+AG6+AJ6+AM6+AP6</f>
        <v>13568.563838478176</v>
      </c>
      <c r="AT6" s="75">
        <f t="shared" si="3"/>
        <v>62051.35616152182</v>
      </c>
      <c r="AU6" s="220">
        <f t="shared" ref="AU6:AU11" si="4">F6-AT6</f>
        <v>569111.9838384781</v>
      </c>
    </row>
    <row r="7" spans="1:47" ht="14.1" customHeight="1">
      <c r="A7" s="20" t="s">
        <v>95</v>
      </c>
      <c r="B7" s="20" t="s">
        <v>138</v>
      </c>
      <c r="C7" s="104">
        <v>36180</v>
      </c>
      <c r="D7" s="104">
        <v>48670</v>
      </c>
      <c r="E7" s="104"/>
      <c r="F7" s="21">
        <v>407934.57</v>
      </c>
      <c r="G7" s="44">
        <v>0.03</v>
      </c>
      <c r="H7" s="44"/>
      <c r="I7" s="30">
        <v>1103.6099999999999</v>
      </c>
      <c r="J7" s="29">
        <v>3111.98</v>
      </c>
      <c r="K7" s="71">
        <f>F7-J7</f>
        <v>404822.59</v>
      </c>
      <c r="L7" s="29">
        <v>962.28</v>
      </c>
      <c r="M7" s="29">
        <v>3253.31</v>
      </c>
      <c r="N7" s="362">
        <f>K7-M7</f>
        <v>401569.28000000003</v>
      </c>
      <c r="O7" s="29">
        <v>954.55</v>
      </c>
      <c r="P7" s="29">
        <v>3261.04</v>
      </c>
      <c r="Q7" s="71">
        <f>N7-P7</f>
        <v>398308.24000000005</v>
      </c>
      <c r="R7" s="29">
        <v>1044.74</v>
      </c>
      <c r="S7" s="29">
        <v>3170.85</v>
      </c>
      <c r="T7" s="71">
        <f>Q7-S7</f>
        <v>395137.39000000007</v>
      </c>
      <c r="U7" s="371">
        <v>1004.04</v>
      </c>
      <c r="V7" s="372">
        <v>3211.55</v>
      </c>
      <c r="W7" s="71">
        <f>T7-V7</f>
        <v>391925.84000000008</v>
      </c>
      <c r="X7" s="372">
        <v>899.5</v>
      </c>
      <c r="Y7" s="372">
        <v>3316.09</v>
      </c>
      <c r="Z7" s="71">
        <f t="shared" si="0"/>
        <v>388609.75000000006</v>
      </c>
      <c r="AA7" s="29">
        <v>1051.1600000000001</v>
      </c>
      <c r="AB7" s="29">
        <v>3164.43</v>
      </c>
      <c r="AC7" s="71">
        <f>Z7-AB7</f>
        <v>385445.32000000007</v>
      </c>
      <c r="AD7" s="372">
        <v>947.82</v>
      </c>
      <c r="AE7" s="372">
        <v>3267.77</v>
      </c>
      <c r="AF7" s="71">
        <f>AC7-AE7</f>
        <v>382177.55000000005</v>
      </c>
      <c r="AG7" s="29">
        <f>AF7*$G$7/365*30</f>
        <v>942.35560273972612</v>
      </c>
      <c r="AH7" s="29">
        <f>SUM(AD7:AE7)-AG7</f>
        <v>3273.2343972602739</v>
      </c>
      <c r="AI7" s="71">
        <f t="shared" si="1"/>
        <v>378904.31560273975</v>
      </c>
      <c r="AJ7" s="29">
        <f>AI7*$G$7/365*AJ2</f>
        <v>965.42743427547384</v>
      </c>
      <c r="AK7" s="29">
        <f>SUM(AG7:AH7)-AJ7</f>
        <v>3250.1625657245263</v>
      </c>
      <c r="AL7" s="71">
        <f t="shared" ref="AL7:AL10" si="5">AI7-AK7</f>
        <v>375654.15303701523</v>
      </c>
      <c r="AM7" s="29">
        <f>AL7*$G$7/365*AM2</f>
        <v>926.27051433784573</v>
      </c>
      <c r="AN7" s="29">
        <f>SUM(AJ7:AK7)-AM7</f>
        <v>3289.3194856621544</v>
      </c>
      <c r="AO7" s="71">
        <f t="shared" si="2"/>
        <v>372364.83355135308</v>
      </c>
      <c r="AP7" s="29">
        <f>AO7*$G$7/365*AP2</f>
        <v>948.76519233632428</v>
      </c>
      <c r="AQ7" s="29">
        <f>SUM(AM7:AN7)-AP7</f>
        <v>3266.824807663676</v>
      </c>
      <c r="AR7" s="71">
        <f>ROUND(AO7-AQ7,2)</f>
        <v>369098.01</v>
      </c>
      <c r="AS7" s="213">
        <f t="shared" si="3"/>
        <v>11750.51874368937</v>
      </c>
      <c r="AT7" s="75">
        <f t="shared" si="3"/>
        <v>38836.561256310626</v>
      </c>
      <c r="AU7" s="220">
        <f t="shared" si="4"/>
        <v>369098.0087436894</v>
      </c>
    </row>
    <row r="8" spans="1:47" ht="14.1" customHeight="1">
      <c r="A8" s="20" t="s">
        <v>161</v>
      </c>
      <c r="B8" s="20" t="s">
        <v>139</v>
      </c>
      <c r="C8" s="104">
        <v>36250</v>
      </c>
      <c r="D8" s="104">
        <v>48670</v>
      </c>
      <c r="E8" s="104"/>
      <c r="F8" s="21">
        <v>34118.22</v>
      </c>
      <c r="G8" s="44">
        <v>4.4999999999999998E-2</v>
      </c>
      <c r="H8" s="44"/>
      <c r="I8" s="30">
        <v>138.44999999999999</v>
      </c>
      <c r="J8" s="29">
        <v>238.94</v>
      </c>
      <c r="K8" s="71">
        <f>F8-J8</f>
        <v>33879.279999999999</v>
      </c>
      <c r="L8" s="29">
        <v>120.8</v>
      </c>
      <c r="M8" s="29">
        <v>256.58999999999997</v>
      </c>
      <c r="N8" s="362">
        <f>K8-M8</f>
        <v>33622.69</v>
      </c>
      <c r="O8" s="29">
        <v>119.88</v>
      </c>
      <c r="P8" s="29">
        <v>257.51</v>
      </c>
      <c r="Q8" s="71">
        <f>N8-P8</f>
        <v>33365.18</v>
      </c>
      <c r="R8" s="29">
        <v>131.27000000000001</v>
      </c>
      <c r="S8" s="29">
        <v>246.12</v>
      </c>
      <c r="T8" s="71">
        <f>Q8-S8</f>
        <v>33119.06</v>
      </c>
      <c r="U8" s="371">
        <v>126.23</v>
      </c>
      <c r="V8" s="372">
        <v>251.15999999999997</v>
      </c>
      <c r="W8" s="71">
        <f>T8-V8</f>
        <v>32867.899999999994</v>
      </c>
      <c r="X8" s="372">
        <v>113.15</v>
      </c>
      <c r="Y8" s="372">
        <v>264.24</v>
      </c>
      <c r="Z8" s="71">
        <f t="shared" si="0"/>
        <v>32603.659999999993</v>
      </c>
      <c r="AA8" s="29">
        <v>132.29</v>
      </c>
      <c r="AB8" s="29">
        <v>245.1</v>
      </c>
      <c r="AC8" s="71">
        <f>Z8-AB8</f>
        <v>32358.559999999994</v>
      </c>
      <c r="AD8" s="372">
        <v>119.36</v>
      </c>
      <c r="AE8" s="372">
        <v>258.02999999999997</v>
      </c>
      <c r="AF8" s="71">
        <f>AC8-AE8</f>
        <v>32100.529999999995</v>
      </c>
      <c r="AG8" s="29">
        <f>AF8*$G$8/365*30</f>
        <v>118.72798767123287</v>
      </c>
      <c r="AH8" s="29">
        <f>SUM(AD8:AE8)-AG8</f>
        <v>258.6620123287671</v>
      </c>
      <c r="AI8" s="71">
        <f t="shared" si="1"/>
        <v>31841.867987671227</v>
      </c>
      <c r="AJ8" s="29">
        <f>AI8*$G$8/365*AJ2</f>
        <v>121.69700230904482</v>
      </c>
      <c r="AK8" s="29">
        <f>SUM(AG8:AH8)-AJ8</f>
        <v>255.69299769095517</v>
      </c>
      <c r="AL8" s="71">
        <f t="shared" si="5"/>
        <v>31586.174989980271</v>
      </c>
      <c r="AM8" s="29">
        <f>AL8*$G$8/365*AM2</f>
        <v>116.82557873006401</v>
      </c>
      <c r="AN8" s="29">
        <f>SUM(AJ8:AK8)-AM8</f>
        <v>260.56442126993596</v>
      </c>
      <c r="AO8" s="71">
        <f t="shared" si="2"/>
        <v>31325.610568710334</v>
      </c>
      <c r="AP8" s="29">
        <f>AO8*$G$8/365*AP2</f>
        <v>119.72390888589291</v>
      </c>
      <c r="AQ8" s="29">
        <f>SUM(AM8:AN8)-AP8</f>
        <v>257.66609111410708</v>
      </c>
      <c r="AR8" s="71">
        <f>AO8-AQ8</f>
        <v>31067.944477596226</v>
      </c>
      <c r="AS8" s="213">
        <f t="shared" si="3"/>
        <v>1478.4044775962348</v>
      </c>
      <c r="AT8" s="75">
        <f t="shared" si="3"/>
        <v>3050.2755224037651</v>
      </c>
      <c r="AU8" s="220">
        <f t="shared" si="4"/>
        <v>31067.944477596237</v>
      </c>
    </row>
    <row r="9" spans="1:47" ht="13.5" customHeight="1">
      <c r="A9" s="413" t="s">
        <v>252</v>
      </c>
      <c r="B9" s="20" t="s">
        <v>251</v>
      </c>
      <c r="C9" s="104">
        <v>45049</v>
      </c>
      <c r="D9" s="104">
        <v>57680</v>
      </c>
      <c r="E9" s="104">
        <v>46538</v>
      </c>
      <c r="F9" s="21">
        <v>4698116.83</v>
      </c>
      <c r="G9" s="44">
        <v>4.6899999999999997E-2</v>
      </c>
      <c r="H9" s="44" t="s">
        <v>113</v>
      </c>
      <c r="I9" s="30">
        <v>16268.97</v>
      </c>
      <c r="J9" s="29">
        <v>0</v>
      </c>
      <c r="K9" s="71">
        <f>F9-J9</f>
        <v>4698116.83</v>
      </c>
      <c r="L9" s="29">
        <v>14294.6</v>
      </c>
      <c r="M9" s="29">
        <v>0</v>
      </c>
      <c r="N9" s="362">
        <f t="shared" ref="N9:N11" si="6">K9-M9</f>
        <v>4698116.83</v>
      </c>
      <c r="O9" s="29">
        <v>14294.6</v>
      </c>
      <c r="P9" s="29">
        <v>2648.12</v>
      </c>
      <c r="Q9" s="71">
        <f t="shared" ref="Q9:Q11" si="7">N9-P9</f>
        <v>4695468.71</v>
      </c>
      <c r="R9" s="29">
        <v>15764.46</v>
      </c>
      <c r="S9" s="29">
        <v>0</v>
      </c>
      <c r="T9" s="71">
        <f t="shared" ref="T9:T11" si="8">Q9-S9</f>
        <v>4695468.71</v>
      </c>
      <c r="U9" s="371">
        <v>15271.82</v>
      </c>
      <c r="V9" s="372">
        <v>0</v>
      </c>
      <c r="W9" s="71">
        <f>T9-V9</f>
        <v>4695468.71</v>
      </c>
      <c r="X9" s="372">
        <v>16847.240000000002</v>
      </c>
      <c r="Y9" s="372">
        <v>2865.66</v>
      </c>
      <c r="Z9" s="71">
        <f t="shared" si="0"/>
        <v>4692603.05</v>
      </c>
      <c r="AA9" s="29">
        <v>19843.560000000001</v>
      </c>
      <c r="AB9" s="29">
        <v>0</v>
      </c>
      <c r="AC9" s="71">
        <f>Z9-AB9</f>
        <v>4692603.05</v>
      </c>
      <c r="AD9" s="372">
        <v>18039.599999999999</v>
      </c>
      <c r="AE9" s="372">
        <v>0</v>
      </c>
      <c r="AF9" s="71">
        <f>AC9-AE9</f>
        <v>4692603.05</v>
      </c>
      <c r="AG9" s="29">
        <f>AF9*$G$9/365*30</f>
        <v>18089.020524246571</v>
      </c>
      <c r="AH9" s="29">
        <v>0</v>
      </c>
      <c r="AI9" s="71">
        <f t="shared" si="1"/>
        <v>4692603.05</v>
      </c>
      <c r="AJ9" s="29">
        <f>AI9*$G$9/365*AJ2</f>
        <v>18691.98787505479</v>
      </c>
      <c r="AK9" s="29">
        <v>0</v>
      </c>
      <c r="AL9" s="71">
        <f t="shared" si="5"/>
        <v>4692603.05</v>
      </c>
      <c r="AM9" s="29">
        <f>AL9*$G$9/365*AM2</f>
        <v>18089.020524246571</v>
      </c>
      <c r="AN9" s="29">
        <v>0</v>
      </c>
      <c r="AO9" s="71">
        <f t="shared" si="2"/>
        <v>4692603.05</v>
      </c>
      <c r="AP9" s="29">
        <f>AO9*$G$9/365*AP2</f>
        <v>18691.98787505479</v>
      </c>
      <c r="AQ9" s="29">
        <v>0</v>
      </c>
      <c r="AR9" s="71">
        <f>AO9-AQ9</f>
        <v>4692603.05</v>
      </c>
      <c r="AS9" s="213">
        <f t="shared" si="3"/>
        <v>204186.86679860271</v>
      </c>
      <c r="AT9" s="75">
        <f t="shared" si="3"/>
        <v>5513.78</v>
      </c>
      <c r="AU9" s="220">
        <f t="shared" si="4"/>
        <v>4692603.05</v>
      </c>
    </row>
    <row r="10" spans="1:47" ht="14.1" customHeight="1">
      <c r="A10" s="413" t="s">
        <v>252</v>
      </c>
      <c r="B10" s="20" t="s">
        <v>253</v>
      </c>
      <c r="C10" s="104">
        <v>45167</v>
      </c>
      <c r="D10" s="104">
        <v>57680</v>
      </c>
      <c r="E10" s="104">
        <v>45535</v>
      </c>
      <c r="F10" s="21">
        <f>'[2]RUS Payts'!AY10</f>
        <v>3000000</v>
      </c>
      <c r="G10" s="44">
        <v>5.4399999999999997E-2</v>
      </c>
      <c r="H10" s="44" t="s">
        <v>113</v>
      </c>
      <c r="I10" s="30">
        <v>14717.2</v>
      </c>
      <c r="J10" s="29">
        <v>0</v>
      </c>
      <c r="K10" s="71">
        <f t="shared" ref="K10:K11" si="9">F10-J10</f>
        <v>3000000</v>
      </c>
      <c r="L10" s="29">
        <v>12931.15</v>
      </c>
      <c r="M10" s="29">
        <v>0</v>
      </c>
      <c r="N10" s="362">
        <f t="shared" si="6"/>
        <v>3000000</v>
      </c>
      <c r="O10" s="29">
        <v>12931.15</v>
      </c>
      <c r="P10" s="29">
        <v>0</v>
      </c>
      <c r="Q10" s="71">
        <f t="shared" si="7"/>
        <v>3000000</v>
      </c>
      <c r="R10" s="29">
        <v>14268.85</v>
      </c>
      <c r="S10" s="29">
        <v>0</v>
      </c>
      <c r="T10" s="71">
        <f t="shared" si="8"/>
        <v>3000000</v>
      </c>
      <c r="U10" s="371">
        <v>13822.95</v>
      </c>
      <c r="V10" s="372">
        <v>0</v>
      </c>
      <c r="W10" s="71">
        <f t="shared" ref="W10:W11" si="10">+F10</f>
        <v>3000000</v>
      </c>
      <c r="X10" s="372">
        <v>12485.25</v>
      </c>
      <c r="Y10" s="372"/>
      <c r="Z10" s="71">
        <f t="shared" si="0"/>
        <v>3000000</v>
      </c>
      <c r="AA10" s="29">
        <v>14714.75</v>
      </c>
      <c r="AB10" s="29">
        <v>0</v>
      </c>
      <c r="AC10" s="71">
        <f t="shared" ref="AC10:AC12" si="11">Z10-AB10</f>
        <v>3000000</v>
      </c>
      <c r="AD10" s="372">
        <v>13377.05</v>
      </c>
      <c r="AE10" s="372">
        <v>0</v>
      </c>
      <c r="AF10" s="71">
        <f t="shared" ref="AF10:AF12" si="12">AC10-AE10</f>
        <v>3000000</v>
      </c>
      <c r="AG10" s="29">
        <f>AF10*$G$10/365*30</f>
        <v>13413.698630136987</v>
      </c>
      <c r="AH10" s="29">
        <v>0</v>
      </c>
      <c r="AI10" s="71">
        <f t="shared" si="1"/>
        <v>3000000</v>
      </c>
      <c r="AJ10" s="29">
        <f>AI10*$G$10/365*AJ2</f>
        <v>13860.82191780822</v>
      </c>
      <c r="AK10" s="29">
        <v>0</v>
      </c>
      <c r="AL10" s="71">
        <f t="shared" si="5"/>
        <v>3000000</v>
      </c>
      <c r="AM10" s="29">
        <f>AL10*$G$10/365*AM2</f>
        <v>13413.698630136987</v>
      </c>
      <c r="AN10" s="29">
        <v>0</v>
      </c>
      <c r="AO10" s="71">
        <f t="shared" si="2"/>
        <v>3000000</v>
      </c>
      <c r="AP10" s="29">
        <f>AO10*$G$10/365*AP2</f>
        <v>13860.82191780822</v>
      </c>
      <c r="AQ10" s="29">
        <v>0</v>
      </c>
      <c r="AR10" s="71">
        <f>AO10-AQ10</f>
        <v>3000000</v>
      </c>
      <c r="AS10" s="213">
        <f t="shared" si="3"/>
        <v>163797.3910958904</v>
      </c>
      <c r="AT10" s="75">
        <f t="shared" si="3"/>
        <v>0</v>
      </c>
      <c r="AU10" s="220">
        <f t="shared" si="4"/>
        <v>3000000</v>
      </c>
    </row>
    <row r="11" spans="1:47" ht="14.1" customHeight="1">
      <c r="A11" s="413" t="s">
        <v>252</v>
      </c>
      <c r="B11" s="20" t="s">
        <v>255</v>
      </c>
      <c r="C11" s="104">
        <v>45308</v>
      </c>
      <c r="D11" s="104">
        <v>57680</v>
      </c>
      <c r="E11" s="104">
        <v>45688</v>
      </c>
      <c r="F11" s="21">
        <v>3000000</v>
      </c>
      <c r="G11" s="44">
        <v>4.7E-2</v>
      </c>
      <c r="H11" s="44" t="s">
        <v>113</v>
      </c>
      <c r="I11" s="330">
        <v>0</v>
      </c>
      <c r="J11" s="182">
        <v>0</v>
      </c>
      <c r="K11" s="83">
        <f t="shared" si="9"/>
        <v>3000000</v>
      </c>
      <c r="L11" s="182">
        <v>16565.57</v>
      </c>
      <c r="M11" s="182">
        <v>0</v>
      </c>
      <c r="N11" s="363">
        <f t="shared" si="6"/>
        <v>3000000</v>
      </c>
      <c r="O11" s="182">
        <v>11172.13</v>
      </c>
      <c r="P11" s="182">
        <v>0</v>
      </c>
      <c r="Q11" s="83">
        <f t="shared" si="7"/>
        <v>3000000</v>
      </c>
      <c r="R11" s="182">
        <v>12327.87</v>
      </c>
      <c r="S11" s="182">
        <v>0</v>
      </c>
      <c r="T11" s="83">
        <f t="shared" si="8"/>
        <v>3000000</v>
      </c>
      <c r="U11" s="373">
        <v>11942.62</v>
      </c>
      <c r="V11" s="374">
        <v>0</v>
      </c>
      <c r="W11" s="83">
        <f t="shared" si="10"/>
        <v>3000000</v>
      </c>
      <c r="X11" s="372">
        <v>10786.89</v>
      </c>
      <c r="Y11" s="372"/>
      <c r="Z11" s="71">
        <f t="shared" si="0"/>
        <v>3000000</v>
      </c>
      <c r="AA11" s="29">
        <v>12713.11</v>
      </c>
      <c r="AB11" s="29">
        <v>0</v>
      </c>
      <c r="AC11" s="71">
        <f t="shared" si="11"/>
        <v>3000000</v>
      </c>
      <c r="AD11" s="372">
        <v>11557.38</v>
      </c>
      <c r="AE11" s="372">
        <v>0</v>
      </c>
      <c r="AF11" s="71">
        <f t="shared" si="12"/>
        <v>3000000</v>
      </c>
      <c r="AG11" s="29">
        <f>AF11*$G$11/365*30</f>
        <v>11589.04109589041</v>
      </c>
      <c r="AH11" s="29">
        <v>0</v>
      </c>
      <c r="AI11" s="71">
        <f t="shared" si="1"/>
        <v>3000000</v>
      </c>
      <c r="AJ11" s="29">
        <f>AI11*$G$11/365*AJ2</f>
        <v>11975.342465753425</v>
      </c>
      <c r="AK11" s="29">
        <v>0</v>
      </c>
      <c r="AL11" s="71">
        <f t="shared" ref="AL11:AL12" si="13">AI11-AK11</f>
        <v>3000000</v>
      </c>
      <c r="AM11" s="29">
        <f>AL11*$G$11/365*AM2</f>
        <v>11589.04109589041</v>
      </c>
      <c r="AN11" s="29">
        <v>0</v>
      </c>
      <c r="AO11" s="71">
        <f t="shared" si="2"/>
        <v>3000000</v>
      </c>
      <c r="AP11" s="29">
        <f>AO11*$G$11/365*AP2</f>
        <v>11975.342465753425</v>
      </c>
      <c r="AQ11" s="29">
        <v>0</v>
      </c>
      <c r="AR11" s="71">
        <f>AO11-AQ11</f>
        <v>3000000</v>
      </c>
      <c r="AS11" s="213">
        <f t="shared" si="3"/>
        <v>134194.33712328767</v>
      </c>
      <c r="AT11" s="75">
        <f t="shared" si="3"/>
        <v>0</v>
      </c>
      <c r="AU11" s="220">
        <f t="shared" si="4"/>
        <v>3000000</v>
      </c>
    </row>
    <row r="12" spans="1:47" ht="14.1" customHeight="1">
      <c r="A12" s="413" t="s">
        <v>252</v>
      </c>
      <c r="B12" s="20" t="s">
        <v>263</v>
      </c>
      <c r="C12" s="104">
        <v>45463</v>
      </c>
      <c r="D12" s="104">
        <v>57680</v>
      </c>
      <c r="E12" s="104">
        <v>46203</v>
      </c>
      <c r="F12" s="21">
        <v>2500000</v>
      </c>
      <c r="G12" s="44">
        <v>4.6899999999999997E-2</v>
      </c>
      <c r="H12" s="44" t="s">
        <v>113</v>
      </c>
      <c r="I12" s="182"/>
      <c r="J12" s="182"/>
      <c r="K12" s="83"/>
      <c r="L12" s="182"/>
      <c r="M12" s="182"/>
      <c r="N12" s="363"/>
      <c r="O12" s="182"/>
      <c r="P12" s="182"/>
      <c r="Q12" s="83"/>
      <c r="R12" s="182"/>
      <c r="S12" s="182"/>
      <c r="T12" s="83"/>
      <c r="U12" s="373"/>
      <c r="V12" s="374"/>
      <c r="W12" s="83"/>
      <c r="X12" s="374">
        <v>0</v>
      </c>
      <c r="Y12" s="374"/>
      <c r="Z12" s="83">
        <v>2500000</v>
      </c>
      <c r="AA12" s="182">
        <v>13134.56</v>
      </c>
      <c r="AB12" s="182">
        <v>0</v>
      </c>
      <c r="AC12" s="83">
        <f t="shared" si="11"/>
        <v>2500000</v>
      </c>
      <c r="AD12" s="374">
        <v>9610.66</v>
      </c>
      <c r="AE12" s="374">
        <v>0</v>
      </c>
      <c r="AF12" s="83">
        <f t="shared" si="12"/>
        <v>2500000</v>
      </c>
      <c r="AG12" s="29">
        <f>AF12*$G$12/365*30</f>
        <v>9636.9863013698632</v>
      </c>
      <c r="AH12" s="182">
        <v>0</v>
      </c>
      <c r="AI12" s="83">
        <f t="shared" si="1"/>
        <v>2500000</v>
      </c>
      <c r="AJ12" s="29">
        <f>AI12*$G$12/365*AJ2</f>
        <v>9958.2191780821922</v>
      </c>
      <c r="AK12" s="182">
        <v>0</v>
      </c>
      <c r="AL12" s="83">
        <f t="shared" si="13"/>
        <v>2500000</v>
      </c>
      <c r="AM12" s="29">
        <f>AL12*$G$12/365*AM2</f>
        <v>9636.9863013698632</v>
      </c>
      <c r="AN12" s="182">
        <v>0</v>
      </c>
      <c r="AO12" s="83">
        <f t="shared" si="2"/>
        <v>2500000</v>
      </c>
      <c r="AP12" s="29">
        <f>AO12*$G$12/365*AP2</f>
        <v>9958.2191780821922</v>
      </c>
      <c r="AQ12" s="182">
        <v>0</v>
      </c>
      <c r="AR12" s="83">
        <f t="shared" ref="AR12" si="14">AO12-AQ12</f>
        <v>2500000</v>
      </c>
      <c r="AS12" s="213">
        <f t="shared" si="3"/>
        <v>61935.630958904105</v>
      </c>
      <c r="AT12" s="215"/>
      <c r="AU12" s="379">
        <f t="shared" ref="AU12" si="15">AR12-AT12</f>
        <v>2500000</v>
      </c>
    </row>
    <row r="13" spans="1:47" ht="14.1" customHeight="1">
      <c r="A13" s="20"/>
      <c r="B13" s="20"/>
      <c r="C13" s="104"/>
      <c r="D13" s="104"/>
      <c r="E13" s="104"/>
      <c r="F13" s="21"/>
      <c r="G13" s="44"/>
      <c r="H13" s="44"/>
      <c r="I13" s="182"/>
      <c r="J13" s="182"/>
      <c r="K13" s="83"/>
      <c r="L13" s="182"/>
      <c r="M13" s="182"/>
      <c r="N13" s="83"/>
      <c r="O13" s="182"/>
      <c r="P13" s="182"/>
      <c r="Q13" s="83"/>
      <c r="R13" s="29"/>
      <c r="S13" s="29"/>
      <c r="T13" s="83"/>
      <c r="U13" s="346"/>
      <c r="V13" s="182"/>
      <c r="W13" s="83"/>
      <c r="X13" s="374"/>
      <c r="Y13" s="374"/>
      <c r="Z13" s="71"/>
      <c r="AA13" s="182"/>
      <c r="AB13" s="182"/>
      <c r="AC13" s="71"/>
      <c r="AD13" s="182"/>
      <c r="AE13" s="182"/>
      <c r="AF13" s="71"/>
      <c r="AG13" s="182"/>
      <c r="AH13" s="182"/>
      <c r="AI13" s="71"/>
      <c r="AJ13" s="72"/>
      <c r="AK13" s="29"/>
      <c r="AL13" s="71"/>
      <c r="AM13" s="29"/>
      <c r="AN13" s="29"/>
      <c r="AO13" s="71"/>
      <c r="AP13" s="29"/>
      <c r="AQ13" s="29"/>
      <c r="AR13" s="71"/>
      <c r="AS13" s="75"/>
      <c r="AT13" s="75"/>
      <c r="AU13" s="220"/>
    </row>
    <row r="14" spans="1:47" ht="14.1" customHeight="1">
      <c r="A14" s="20"/>
      <c r="B14" s="20"/>
      <c r="C14" s="20"/>
      <c r="D14" s="20"/>
      <c r="E14" s="20"/>
      <c r="F14" s="352"/>
      <c r="G14" s="22"/>
      <c r="H14" s="22"/>
      <c r="I14" s="73">
        <f>SUM(I6:I11)</f>
        <v>33366.58</v>
      </c>
      <c r="J14" s="21">
        <f>SUM(J6:J11)</f>
        <v>8446.82</v>
      </c>
      <c r="K14" s="71"/>
      <c r="L14" s="21">
        <f>SUM(L6:L11)</f>
        <v>45866.53</v>
      </c>
      <c r="M14" s="21">
        <f>SUM(M6:M11)</f>
        <v>8752.02</v>
      </c>
      <c r="N14" s="71"/>
      <c r="O14" s="21">
        <f>SUM(O6:O11)</f>
        <v>40456.129999999997</v>
      </c>
      <c r="P14" s="21">
        <f>SUM(P6:P11)</f>
        <v>11417.100000000002</v>
      </c>
      <c r="Q14" s="71"/>
      <c r="R14" s="21">
        <f>SUM(R6:R11)</f>
        <v>44613.61</v>
      </c>
      <c r="S14" s="21">
        <f>SUM(S6:S11)</f>
        <v>8574.8000000000011</v>
      </c>
      <c r="T14" s="71"/>
      <c r="U14" s="73">
        <f>SUM(U6:U11)</f>
        <v>43201.700000000004</v>
      </c>
      <c r="V14" s="21">
        <f>SUM(V6:V11)</f>
        <v>8662.92</v>
      </c>
      <c r="W14" s="71"/>
      <c r="X14" s="377">
        <f>SUM(X6:X12)</f>
        <v>42058.04</v>
      </c>
      <c r="Y14" s="377">
        <f>SUM(Y6:Y11)</f>
        <v>11754.23</v>
      </c>
      <c r="Z14" s="71"/>
      <c r="AA14" s="21">
        <f>SUM(AA6:AA12)</f>
        <v>62925.29</v>
      </c>
      <c r="AB14" s="21">
        <f>SUM(AB6:AB12)</f>
        <v>8442.74</v>
      </c>
      <c r="AC14" s="71"/>
      <c r="AD14" s="377">
        <f>SUM(AD6:AD12)</f>
        <v>54870.87999999999</v>
      </c>
      <c r="AE14" s="377">
        <f>SUM(AE6:AE12)</f>
        <v>8675.86</v>
      </c>
      <c r="AF14" s="71"/>
      <c r="AG14" s="21">
        <f>SUM(AG6:AG12)</f>
        <v>55001.594539315061</v>
      </c>
      <c r="AH14" s="21">
        <f>SUM(AH6:AH12)</f>
        <v>8689.2020123287675</v>
      </c>
      <c r="AI14" s="71"/>
      <c r="AJ14" s="73">
        <f>SUM(AJ6:AJ12)</f>
        <v>56814.701973715681</v>
      </c>
      <c r="AK14" s="21">
        <f>SUM(AK6:AK12)</f>
        <v>8633.7194629829428</v>
      </c>
      <c r="AL14" s="71"/>
      <c r="AM14" s="21">
        <f>SUM(AM6:AM12)</f>
        <v>54962.473132035768</v>
      </c>
      <c r="AN14" s="21">
        <f>SUM(AN6:AN12)</f>
        <v>8728.323419608063</v>
      </c>
      <c r="AO14" s="71"/>
      <c r="AP14" s="21">
        <f>SUM(AP6:AP12)</f>
        <v>56774.18339138219</v>
      </c>
      <c r="AQ14" s="21">
        <f>SUM(AQ6:AQ12)</f>
        <v>8674.2380453164442</v>
      </c>
      <c r="AR14" s="71"/>
      <c r="AS14" s="75">
        <f>SUM(AS6:AS12)</f>
        <v>590911.71303644869</v>
      </c>
      <c r="AT14" s="75">
        <f>SUM(AT6:AT12)</f>
        <v>109451.97294023621</v>
      </c>
      <c r="AU14" s="220">
        <f>SUM(AU6:AU12)</f>
        <v>14161880.987059765</v>
      </c>
    </row>
    <row r="15" spans="1:47" ht="14.1" customHeight="1">
      <c r="A15" s="170"/>
      <c r="B15" s="33"/>
      <c r="C15" s="33"/>
      <c r="D15" s="33"/>
      <c r="E15" s="208"/>
      <c r="F15" s="350"/>
      <c r="G15" s="34"/>
      <c r="H15" s="146"/>
      <c r="I15" s="31"/>
      <c r="J15" s="31"/>
      <c r="K15" s="83"/>
      <c r="L15" s="31"/>
      <c r="M15" s="31"/>
      <c r="N15" s="83"/>
      <c r="O15" s="31"/>
      <c r="P15" s="31"/>
      <c r="Q15" s="83"/>
      <c r="R15" s="31"/>
      <c r="S15" s="31"/>
      <c r="T15" s="83"/>
      <c r="U15" s="98"/>
      <c r="V15" s="31"/>
      <c r="W15" s="83"/>
      <c r="X15" s="377"/>
      <c r="Y15" s="378"/>
      <c r="Z15" s="83"/>
      <c r="AA15" s="31"/>
      <c r="AB15" s="31"/>
      <c r="AC15" s="83"/>
      <c r="AD15" s="31"/>
      <c r="AE15" s="31"/>
      <c r="AF15" s="83"/>
      <c r="AG15" s="31"/>
      <c r="AH15" s="31"/>
      <c r="AI15" s="83"/>
      <c r="AJ15" s="98"/>
      <c r="AK15" s="31"/>
      <c r="AL15" s="83"/>
      <c r="AM15" s="31"/>
      <c r="AN15" s="31"/>
      <c r="AO15" s="83"/>
      <c r="AP15" s="31"/>
      <c r="AQ15" s="31"/>
      <c r="AR15" s="83"/>
      <c r="AU15" s="222"/>
    </row>
    <row r="16" spans="1:47" ht="14.1" customHeight="1">
      <c r="A16" s="33"/>
      <c r="B16" s="33"/>
      <c r="C16" s="33"/>
      <c r="D16" s="33"/>
      <c r="E16" s="33"/>
      <c r="F16" s="350"/>
      <c r="G16" s="34"/>
      <c r="H16" s="146"/>
      <c r="I16" s="31"/>
      <c r="J16" s="31"/>
      <c r="K16" s="83"/>
      <c r="L16" s="31"/>
      <c r="M16" s="31"/>
      <c r="N16" s="83"/>
      <c r="O16" s="173"/>
      <c r="P16" s="31"/>
      <c r="Q16" s="83"/>
      <c r="R16" s="31"/>
      <c r="S16" s="31"/>
      <c r="T16" s="83"/>
      <c r="U16" s="98"/>
      <c r="V16" s="31"/>
      <c r="W16" s="83"/>
      <c r="X16" s="173"/>
      <c r="Y16" s="31"/>
      <c r="Z16" s="83"/>
      <c r="AA16" s="31"/>
      <c r="AB16" s="31"/>
      <c r="AC16" s="83"/>
      <c r="AD16" s="31"/>
      <c r="AE16" s="31"/>
      <c r="AF16" s="83"/>
      <c r="AG16" s="31"/>
      <c r="AH16" s="31"/>
      <c r="AI16" s="83"/>
      <c r="AJ16" s="354"/>
      <c r="AK16" s="31"/>
      <c r="AL16" s="83"/>
      <c r="AM16" s="31"/>
      <c r="AN16" s="31"/>
      <c r="AO16" s="83"/>
      <c r="AP16" s="31"/>
      <c r="AQ16" s="31"/>
      <c r="AR16" s="83"/>
      <c r="AU16" s="222"/>
    </row>
    <row r="17" spans="1:47" ht="14.1" customHeight="1">
      <c r="A17" s="33"/>
      <c r="B17" s="33"/>
      <c r="C17" s="33"/>
      <c r="D17" s="33"/>
      <c r="E17" s="351"/>
      <c r="F17" s="361"/>
      <c r="G17" s="21"/>
      <c r="H17" s="71"/>
      <c r="I17" s="21"/>
      <c r="J17" s="21"/>
      <c r="K17" s="209"/>
      <c r="L17" s="21"/>
      <c r="M17" s="21"/>
      <c r="N17" s="209"/>
      <c r="O17" s="21"/>
      <c r="P17" s="21"/>
      <c r="Q17" s="209"/>
      <c r="R17" s="21"/>
      <c r="S17" s="21"/>
      <c r="T17" s="209"/>
      <c r="U17" s="21"/>
      <c r="V17" s="21"/>
      <c r="W17" s="209"/>
      <c r="X17" s="21"/>
      <c r="Y17" s="21"/>
      <c r="Z17" s="209"/>
      <c r="AA17" s="21"/>
      <c r="AB17" s="21"/>
      <c r="AC17" s="209"/>
      <c r="AD17" s="21"/>
      <c r="AE17" s="21"/>
      <c r="AF17" s="209"/>
      <c r="AG17" s="21"/>
      <c r="AH17" s="21"/>
      <c r="AI17" s="209"/>
      <c r="AJ17" s="21"/>
      <c r="AK17" s="21"/>
      <c r="AL17" s="209"/>
      <c r="AM17" s="21"/>
      <c r="AN17" s="21"/>
      <c r="AO17" s="209"/>
      <c r="AP17" s="21"/>
      <c r="AQ17" s="21"/>
      <c r="AR17" s="209"/>
    </row>
    <row r="18" spans="1:47" ht="18" customHeight="1">
      <c r="A18" s="228"/>
      <c r="B18" s="228"/>
      <c r="C18" s="394"/>
      <c r="D18" s="394"/>
      <c r="E18" s="226"/>
      <c r="F18" s="226"/>
      <c r="G18" s="227"/>
      <c r="H18" s="21"/>
      <c r="I18" s="21"/>
      <c r="J18" s="230"/>
      <c r="K18" s="231"/>
      <c r="L18" s="31"/>
      <c r="M18" s="31"/>
      <c r="N18" s="231"/>
      <c r="O18" s="31"/>
      <c r="P18" s="31"/>
      <c r="Q18" s="231"/>
      <c r="R18" s="404"/>
      <c r="S18" s="404"/>
      <c r="T18" s="404"/>
      <c r="U18" s="31"/>
      <c r="W18" s="231"/>
      <c r="X18" s="31"/>
      <c r="Y18" s="31"/>
      <c r="Z18" s="231"/>
      <c r="AA18" s="31"/>
      <c r="AB18" s="31"/>
      <c r="AC18" s="231"/>
      <c r="AD18" s="31"/>
      <c r="AE18" s="31"/>
      <c r="AF18" s="231"/>
      <c r="AG18" s="31"/>
      <c r="AH18" s="31"/>
      <c r="AI18" s="231"/>
      <c r="AJ18" s="31"/>
      <c r="AK18" s="31"/>
      <c r="AL18" s="231"/>
      <c r="AM18" s="31"/>
      <c r="AN18" s="31"/>
      <c r="AO18" s="231"/>
      <c r="AP18" s="404"/>
      <c r="AQ18" s="404"/>
      <c r="AR18" s="404"/>
      <c r="AS18" s="404"/>
    </row>
    <row r="19" spans="1:47" ht="18" customHeight="1">
      <c r="A19" s="322"/>
      <c r="B19" s="229"/>
      <c r="C19" s="395"/>
      <c r="D19" s="393"/>
      <c r="E19" s="327"/>
      <c r="F19" s="323"/>
      <c r="G19" s="21"/>
      <c r="H19" s="21"/>
      <c r="I19" s="21"/>
      <c r="J19" s="230"/>
      <c r="K19" s="209"/>
      <c r="L19" s="21"/>
      <c r="M19" s="21"/>
      <c r="N19" s="209"/>
      <c r="O19" s="172"/>
      <c r="P19" s="172"/>
      <c r="Q19" s="364"/>
      <c r="R19" s="172"/>
      <c r="S19" s="172"/>
      <c r="T19" s="348"/>
      <c r="U19" s="172"/>
      <c r="V19" s="172"/>
      <c r="W19" s="209"/>
      <c r="X19" s="375"/>
      <c r="Y19" s="21"/>
      <c r="Z19" s="380"/>
      <c r="AA19" s="380"/>
      <c r="AB19" s="381"/>
      <c r="AC19" s="380"/>
      <c r="AD19" s="381"/>
      <c r="AE19" s="21"/>
      <c r="AF19" s="209"/>
      <c r="AG19" s="21"/>
      <c r="AH19" s="21"/>
      <c r="AI19" s="209"/>
      <c r="AJ19" s="21"/>
      <c r="AK19" s="21"/>
      <c r="AL19" s="209"/>
      <c r="AM19" s="21"/>
      <c r="AN19" s="21"/>
      <c r="AO19" s="209"/>
      <c r="AP19" s="21"/>
      <c r="AQ19" s="21"/>
      <c r="AR19" s="209"/>
      <c r="AS19" s="21"/>
      <c r="AT19" s="21"/>
      <c r="AU19" s="209"/>
    </row>
    <row r="20" spans="1:47" ht="18" customHeight="1">
      <c r="A20" s="33"/>
      <c r="B20" s="229"/>
      <c r="C20" s="393"/>
      <c r="D20" s="393"/>
      <c r="E20" s="331"/>
      <c r="F20" s="246"/>
      <c r="G20" s="21"/>
      <c r="H20" s="21"/>
      <c r="I20" s="21"/>
      <c r="J20" s="21"/>
      <c r="K20" s="209"/>
      <c r="L20" s="21"/>
      <c r="M20" s="21"/>
      <c r="N20" s="209"/>
      <c r="O20" s="172"/>
      <c r="P20" s="172"/>
      <c r="Q20" s="364"/>
      <c r="R20" s="172"/>
      <c r="S20" s="172"/>
      <c r="T20" s="348"/>
      <c r="U20" s="172"/>
      <c r="V20" s="172"/>
      <c r="W20" s="209"/>
      <c r="X20" s="375"/>
      <c r="Y20" s="21"/>
      <c r="Z20" s="380"/>
      <c r="AA20" s="380"/>
      <c r="AB20" s="381"/>
      <c r="AC20" s="380"/>
      <c r="AD20" s="381"/>
      <c r="AE20" s="21"/>
      <c r="AF20" s="209"/>
      <c r="AG20" s="21"/>
      <c r="AH20" s="21"/>
      <c r="AI20" s="209"/>
      <c r="AJ20" s="21"/>
      <c r="AK20" s="21"/>
      <c r="AL20" s="209"/>
      <c r="AM20" s="21"/>
      <c r="AN20" s="21"/>
      <c r="AO20" s="209"/>
      <c r="AP20" s="21"/>
      <c r="AQ20" s="21"/>
      <c r="AR20" s="209"/>
      <c r="AS20" s="21"/>
      <c r="AT20" s="21"/>
      <c r="AU20" s="209"/>
    </row>
    <row r="21" spans="1:47" ht="15.75">
      <c r="B21" s="229"/>
      <c r="C21" s="393"/>
      <c r="D21" s="393"/>
      <c r="E21" s="331"/>
      <c r="F21" s="246"/>
      <c r="G21" s="21"/>
      <c r="J21" s="100"/>
      <c r="K21" s="147"/>
      <c r="M21" s="21"/>
      <c r="N21" s="148"/>
      <c r="O21" s="172"/>
      <c r="P21" s="172"/>
      <c r="Q21" s="364"/>
      <c r="R21" s="172"/>
      <c r="S21" s="172"/>
      <c r="T21" s="348"/>
      <c r="U21" s="172"/>
      <c r="V21" s="172"/>
      <c r="W21" s="209"/>
      <c r="X21" s="375"/>
      <c r="Y21" s="21"/>
      <c r="Z21" s="382"/>
      <c r="AA21" s="382"/>
      <c r="AB21" s="381"/>
      <c r="AC21" s="382"/>
      <c r="AD21" s="381"/>
      <c r="AE21" s="21"/>
      <c r="AF21" s="148"/>
      <c r="AH21" s="21"/>
      <c r="AI21" s="148"/>
      <c r="AJ21" s="21"/>
      <c r="AK21" s="21"/>
      <c r="AL21" s="209"/>
      <c r="AN21" s="100"/>
      <c r="AO21" s="148"/>
      <c r="AQ21" s="100"/>
      <c r="AR21" s="36"/>
      <c r="AT21" s="100"/>
      <c r="AU21" s="84"/>
    </row>
    <row r="22" spans="1:47" ht="15.75">
      <c r="B22" s="229"/>
      <c r="C22" s="355"/>
      <c r="D22" s="355"/>
      <c r="E22" s="331"/>
      <c r="F22" s="246"/>
      <c r="G22" s="21"/>
      <c r="J22" s="100"/>
      <c r="K22" s="147"/>
      <c r="M22" s="21"/>
      <c r="N22" s="21"/>
      <c r="O22" s="172"/>
      <c r="P22" s="172"/>
      <c r="Q22" s="365"/>
      <c r="R22" s="172"/>
      <c r="S22" s="172"/>
      <c r="T22" s="348"/>
      <c r="U22" s="172"/>
      <c r="V22" s="172"/>
      <c r="W22" s="238"/>
      <c r="X22" s="375"/>
      <c r="Y22" s="353"/>
      <c r="Z22" s="353"/>
      <c r="AA22" s="353"/>
      <c r="AB22" s="353"/>
      <c r="AC22" s="383"/>
      <c r="AD22" s="381"/>
      <c r="AE22" s="353"/>
      <c r="AF22" s="148"/>
      <c r="AH22" s="21"/>
      <c r="AI22" s="148"/>
      <c r="AJ22" s="21"/>
      <c r="AK22" s="21"/>
      <c r="AL22" s="209"/>
      <c r="AN22" s="100"/>
      <c r="AO22" s="148"/>
      <c r="AQ22" s="100"/>
      <c r="AR22" s="36"/>
      <c r="AT22" s="100"/>
      <c r="AU22" s="84"/>
    </row>
    <row r="23" spans="1:47" ht="15.75">
      <c r="B23" s="229"/>
      <c r="C23" s="355"/>
      <c r="D23" s="355"/>
      <c r="E23" s="331"/>
      <c r="F23" s="246"/>
      <c r="G23" s="21"/>
      <c r="J23" s="100"/>
      <c r="K23" s="147"/>
      <c r="M23" s="21"/>
      <c r="N23" s="21"/>
      <c r="O23" s="172"/>
      <c r="P23" s="172"/>
      <c r="Q23" s="365"/>
      <c r="R23" s="172"/>
      <c r="S23" s="172"/>
      <c r="T23" s="348"/>
      <c r="U23" s="172"/>
      <c r="V23" s="172"/>
      <c r="W23" s="238"/>
      <c r="X23" s="375"/>
      <c r="Y23" s="353"/>
      <c r="Z23" s="353"/>
      <c r="AA23" s="353"/>
      <c r="AB23" s="353"/>
      <c r="AC23" s="383"/>
      <c r="AD23" s="381"/>
      <c r="AE23" s="100"/>
      <c r="AF23" s="148"/>
      <c r="AH23" s="21"/>
      <c r="AI23" s="148"/>
      <c r="AJ23" s="21"/>
      <c r="AK23" s="21"/>
      <c r="AL23" s="209"/>
      <c r="AN23" s="100"/>
      <c r="AO23" s="148"/>
      <c r="AQ23" s="100"/>
      <c r="AR23" s="36"/>
      <c r="AT23" s="100"/>
      <c r="AU23" s="84"/>
    </row>
    <row r="24" spans="1:47" ht="15.75">
      <c r="B24" s="229"/>
      <c r="C24" s="393"/>
      <c r="D24" s="393"/>
      <c r="E24" s="331"/>
      <c r="F24" s="246"/>
      <c r="G24" s="21"/>
      <c r="J24" s="100"/>
      <c r="K24" s="101"/>
      <c r="M24" s="100"/>
      <c r="N24" s="21"/>
      <c r="O24" s="172"/>
      <c r="P24" s="172"/>
      <c r="Q24" s="365"/>
      <c r="R24" s="172"/>
      <c r="S24" s="172"/>
      <c r="T24" s="170"/>
      <c r="U24" s="172"/>
      <c r="V24" s="170"/>
      <c r="W24" s="376"/>
      <c r="X24" s="375"/>
      <c r="Y24" s="353"/>
      <c r="Z24" s="353"/>
      <c r="AA24" s="353"/>
      <c r="AB24" s="353"/>
      <c r="AC24" s="383"/>
      <c r="AD24" s="381"/>
      <c r="AE24" s="100"/>
      <c r="AH24" s="21"/>
      <c r="AJ24" s="21"/>
      <c r="AK24" s="21"/>
      <c r="AL24" s="209"/>
      <c r="AN24" s="100"/>
      <c r="AQ24" s="101"/>
      <c r="AR24" s="75"/>
      <c r="AT24" s="100"/>
      <c r="AU24" s="75"/>
    </row>
    <row r="25" spans="1:47" ht="15.75">
      <c r="B25" s="229"/>
      <c r="C25" s="393"/>
      <c r="D25" s="393"/>
      <c r="E25" s="331"/>
      <c r="F25" s="246"/>
      <c r="G25" s="21"/>
      <c r="J25" s="101"/>
      <c r="O25" s="367"/>
      <c r="P25" s="367"/>
      <c r="Q25" s="170"/>
      <c r="R25" s="170"/>
      <c r="S25" s="349"/>
      <c r="T25" s="170"/>
      <c r="U25" s="170"/>
      <c r="V25" s="170"/>
      <c r="W25" s="103"/>
      <c r="Y25" s="100"/>
      <c r="Z25" s="100"/>
      <c r="AA25" s="100"/>
      <c r="AB25" s="100"/>
      <c r="AC25" s="383"/>
      <c r="AD25" s="381"/>
      <c r="AE25" s="100"/>
      <c r="AH25" s="21"/>
      <c r="AJ25" s="21"/>
      <c r="AK25" s="21"/>
      <c r="AL25" s="209"/>
      <c r="AN25" s="100"/>
      <c r="AQ25" s="101"/>
      <c r="AT25" s="100"/>
      <c r="AU25" s="101"/>
    </row>
    <row r="26" spans="1:47" ht="15.75">
      <c r="B26" s="229"/>
      <c r="C26" s="393"/>
      <c r="D26" s="393"/>
      <c r="E26" s="331"/>
      <c r="F26" s="246"/>
      <c r="G26" s="21"/>
      <c r="O26" s="75"/>
      <c r="P26" s="75"/>
      <c r="S26" s="100"/>
      <c r="W26" s="103"/>
      <c r="Y26" s="100"/>
      <c r="AB26" s="100"/>
      <c r="AE26" s="100"/>
      <c r="AH26" s="100"/>
      <c r="AI26" s="100"/>
      <c r="AJ26" s="100"/>
      <c r="AK26" s="100"/>
      <c r="AN26" s="107"/>
      <c r="AR26" s="101"/>
    </row>
    <row r="27" spans="1:47" ht="15.75">
      <c r="B27" s="229"/>
      <c r="C27" s="393"/>
      <c r="D27" s="393"/>
      <c r="E27" s="331"/>
      <c r="F27" s="246"/>
      <c r="G27" s="21"/>
      <c r="H27" s="114"/>
      <c r="I27" s="114"/>
      <c r="J27" s="114"/>
      <c r="K27" s="114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3"/>
      <c r="X27" s="122"/>
      <c r="Y27" s="122"/>
      <c r="Z27" s="122"/>
      <c r="AA27" s="122"/>
      <c r="AB27" s="122"/>
      <c r="AC27" s="122"/>
      <c r="AD27" s="122"/>
      <c r="AE27" s="124"/>
      <c r="AF27" s="122"/>
      <c r="AG27" s="122"/>
      <c r="AH27" s="122"/>
      <c r="AI27" s="122"/>
      <c r="AJ27" s="122"/>
      <c r="AK27" s="122"/>
      <c r="AL27" s="122"/>
      <c r="AM27" s="122"/>
      <c r="AO27" s="122"/>
      <c r="AP27" s="122"/>
      <c r="AQ27" s="114"/>
      <c r="AR27" s="114"/>
    </row>
    <row r="28" spans="1:47" ht="15.75">
      <c r="B28" s="229"/>
      <c r="C28" s="393"/>
      <c r="D28" s="393"/>
      <c r="E28" s="331"/>
      <c r="F28" s="246"/>
      <c r="G28" s="21"/>
    </row>
    <row r="29" spans="1:47" ht="15.75">
      <c r="B29" s="229"/>
      <c r="C29" s="393"/>
      <c r="D29" s="393"/>
      <c r="E29" s="331"/>
      <c r="F29" s="325"/>
      <c r="G29" s="21"/>
      <c r="K29" s="75"/>
      <c r="M29" s="75"/>
    </row>
    <row r="30" spans="1:47" ht="15.75">
      <c r="B30" s="229"/>
      <c r="C30" s="393"/>
      <c r="D30" s="393"/>
      <c r="E30" s="331"/>
      <c r="F30" s="325"/>
      <c r="G30" s="21"/>
      <c r="K30" s="75"/>
      <c r="P30" s="75"/>
      <c r="Y30" s="75"/>
      <c r="AH30" s="75"/>
      <c r="AQ30" s="75"/>
    </row>
    <row r="31" spans="1:47" ht="15.75">
      <c r="B31" s="229"/>
      <c r="C31" s="393"/>
      <c r="D31" s="393"/>
      <c r="E31" s="331"/>
      <c r="F31" s="246"/>
      <c r="G31" s="21"/>
      <c r="S31" s="21"/>
    </row>
    <row r="32" spans="1:47" ht="15.75">
      <c r="B32" s="229"/>
      <c r="C32" s="393"/>
      <c r="D32" s="393"/>
      <c r="E32" s="331"/>
      <c r="F32" s="325"/>
      <c r="G32" s="21"/>
      <c r="N32" s="75"/>
    </row>
    <row r="33" spans="2:16" ht="15.75">
      <c r="B33" s="229"/>
      <c r="C33" s="393"/>
      <c r="D33" s="393"/>
      <c r="E33" s="331"/>
      <c r="F33" s="325"/>
      <c r="G33" s="21"/>
      <c r="L33" s="21"/>
      <c r="N33" s="75"/>
      <c r="P33" s="29"/>
    </row>
    <row r="34" spans="2:16" ht="15.75">
      <c r="B34" s="229"/>
      <c r="C34" s="393"/>
      <c r="D34" s="393"/>
      <c r="E34" s="331"/>
      <c r="F34" s="246"/>
      <c r="G34" s="21"/>
      <c r="P34" s="29"/>
    </row>
    <row r="35" spans="2:16">
      <c r="E35" s="169"/>
      <c r="F35" s="169"/>
      <c r="P35" s="29"/>
    </row>
    <row r="36" spans="2:16">
      <c r="E36" s="169"/>
      <c r="F36" s="169"/>
      <c r="G36" s="75"/>
      <c r="P36" s="29"/>
    </row>
    <row r="37" spans="2:16">
      <c r="C37" s="329"/>
      <c r="E37" s="169"/>
      <c r="F37" s="169"/>
      <c r="G37" s="75"/>
      <c r="P37" s="29"/>
    </row>
    <row r="38" spans="2:16">
      <c r="C38" s="329"/>
      <c r="E38" s="169"/>
      <c r="F38" s="169"/>
      <c r="G38" s="326"/>
      <c r="K38" s="75"/>
      <c r="P38" s="29"/>
    </row>
    <row r="39" spans="2:16">
      <c r="E39" s="169"/>
      <c r="F39" s="169"/>
      <c r="P39" s="29"/>
    </row>
    <row r="40" spans="2:16">
      <c r="E40" s="169"/>
      <c r="F40" s="169"/>
      <c r="P40" s="29"/>
    </row>
    <row r="41" spans="2:16">
      <c r="E41" s="169"/>
      <c r="F41" s="169"/>
      <c r="P41" s="29"/>
    </row>
    <row r="42" spans="2:16">
      <c r="E42" s="169"/>
      <c r="F42" s="169"/>
      <c r="P42" s="21"/>
    </row>
    <row r="43" spans="2:16">
      <c r="E43" s="169"/>
      <c r="F43" s="169"/>
      <c r="P43" s="21"/>
    </row>
    <row r="44" spans="2:16">
      <c r="F44" s="75"/>
      <c r="P44" s="31"/>
    </row>
    <row r="45" spans="2:16">
      <c r="F45" s="169"/>
    </row>
  </sheetData>
  <mergeCells count="17">
    <mergeCell ref="C33:D33"/>
    <mergeCell ref="C34:D34"/>
    <mergeCell ref="C26:D26"/>
    <mergeCell ref="C27:D27"/>
    <mergeCell ref="C29:D29"/>
    <mergeCell ref="C30:D30"/>
    <mergeCell ref="C31:D31"/>
    <mergeCell ref="C32:D32"/>
    <mergeCell ref="C28:D28"/>
    <mergeCell ref="R18:T18"/>
    <mergeCell ref="AP18:AS18"/>
    <mergeCell ref="C21:D21"/>
    <mergeCell ref="C24:D24"/>
    <mergeCell ref="C25:D25"/>
    <mergeCell ref="C18:D18"/>
    <mergeCell ref="C19:D19"/>
    <mergeCell ref="C20:D20"/>
  </mergeCells>
  <printOptions horizontalCentered="1"/>
  <pageMargins left="0.25" right="0.5" top="1" bottom="0.25" header="0" footer="0"/>
  <pageSetup scale="60" orientation="landscape" r:id="rId1"/>
  <headerFooter alignWithMargins="0"/>
  <colBreaks count="4" manualBreakCount="4">
    <brk id="17" max="19" man="1"/>
    <brk id="26" max="19" man="1"/>
    <brk id="35" max="19" man="1"/>
    <brk id="14036" min="1" max="1472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AK41"/>
  <sheetViews>
    <sheetView topLeftCell="A13" zoomScaleNormal="100" workbookViewId="0">
      <selection activeCell="A13" sqref="A13"/>
    </sheetView>
  </sheetViews>
  <sheetFormatPr defaultColWidth="9.6640625" defaultRowHeight="15"/>
  <cols>
    <col min="1" max="2" width="7.88671875" style="1" bestFit="1" customWidth="1"/>
    <col min="3" max="3" width="10.6640625" style="1" customWidth="1"/>
    <col min="4" max="4" width="10.88671875" style="1" customWidth="1"/>
    <col min="5" max="5" width="10.6640625" style="1" customWidth="1"/>
    <col min="6" max="6" width="6.77734375" style="1" customWidth="1"/>
    <col min="7" max="7" width="1.5546875" style="1" bestFit="1" customWidth="1"/>
    <col min="8" max="8" width="6.21875" style="1" customWidth="1"/>
    <col min="9" max="9" width="10" style="1" bestFit="1" customWidth="1"/>
    <col min="10" max="10" width="10.77734375" style="1" customWidth="1"/>
    <col min="11" max="11" width="10.6640625" style="1" customWidth="1"/>
    <col min="12" max="12" width="3.77734375" style="1" customWidth="1"/>
    <col min="13" max="14" width="9.6640625" style="1" customWidth="1"/>
    <col min="15" max="15" width="10.6640625" style="1" customWidth="1"/>
    <col min="16" max="16" width="4.5546875" style="1" customWidth="1"/>
    <col min="17" max="18" width="9.6640625" style="1" customWidth="1"/>
    <col min="19" max="19" width="10.6640625" style="1" customWidth="1"/>
    <col min="20" max="20" width="5.21875" style="1" customWidth="1"/>
    <col min="21" max="22" width="9.6640625" style="1" customWidth="1"/>
    <col min="23" max="23" width="10.6640625" style="1" customWidth="1"/>
    <col min="24" max="25" width="9.6640625" style="1" customWidth="1"/>
    <col min="26" max="26" width="10.6640625" style="1" customWidth="1"/>
    <col min="27" max="37" width="11.109375" style="1" customWidth="1"/>
    <col min="38" max="16384" width="9.6640625" style="1"/>
  </cols>
  <sheetData>
    <row r="1" spans="1:37" ht="18" customHeight="1">
      <c r="A1" s="2">
        <f ca="1">NOW()</f>
        <v>45685.410198726851</v>
      </c>
      <c r="B1" s="2"/>
      <c r="C1" s="2"/>
      <c r="D1" s="2"/>
      <c r="E1" s="405" t="s">
        <v>131</v>
      </c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406" t="s">
        <v>131</v>
      </c>
      <c r="AB1" s="407"/>
      <c r="AC1" s="407"/>
      <c r="AD1" s="407"/>
      <c r="AE1" s="407"/>
      <c r="AF1" s="407"/>
      <c r="AG1" s="407"/>
      <c r="AH1" s="407"/>
      <c r="AI1" s="407"/>
      <c r="AJ1" s="407"/>
      <c r="AK1" s="407"/>
    </row>
    <row r="2" spans="1:37">
      <c r="A2" s="5" t="s">
        <v>0</v>
      </c>
      <c r="B2" s="6" t="s">
        <v>112</v>
      </c>
      <c r="C2" s="6" t="s">
        <v>114</v>
      </c>
      <c r="D2" s="6" t="s">
        <v>115</v>
      </c>
      <c r="I2" s="4"/>
      <c r="J2" s="4"/>
      <c r="K2" s="4"/>
      <c r="L2" s="4"/>
      <c r="M2" s="4"/>
      <c r="N2" s="4"/>
      <c r="O2" s="4"/>
      <c r="P2" s="4"/>
    </row>
    <row r="3" spans="1:37" ht="15.75">
      <c r="A3" s="6" t="s">
        <v>1</v>
      </c>
      <c r="B3" s="6" t="s">
        <v>73</v>
      </c>
      <c r="C3" s="6" t="s">
        <v>73</v>
      </c>
      <c r="D3" s="6" t="s">
        <v>73</v>
      </c>
      <c r="E3" s="6" t="s">
        <v>31</v>
      </c>
      <c r="F3" s="6" t="s">
        <v>32</v>
      </c>
      <c r="G3" s="6"/>
      <c r="H3" s="6"/>
      <c r="I3" s="401" t="s">
        <v>37</v>
      </c>
      <c r="J3" s="402"/>
      <c r="K3" s="403"/>
      <c r="L3" s="78"/>
      <c r="M3" s="402" t="s">
        <v>40</v>
      </c>
      <c r="N3" s="402"/>
      <c r="O3" s="403"/>
      <c r="P3" s="95"/>
      <c r="Q3" s="10" t="s">
        <v>43</v>
      </c>
      <c r="R3" s="11"/>
      <c r="S3" s="78"/>
      <c r="T3" s="134"/>
      <c r="U3" s="133" t="s">
        <v>46</v>
      </c>
      <c r="V3" s="11"/>
      <c r="W3" s="11"/>
      <c r="X3" s="12" t="s">
        <v>48</v>
      </c>
      <c r="Y3" s="11"/>
      <c r="Z3" s="80"/>
      <c r="AA3" s="138" t="s">
        <v>49</v>
      </c>
      <c r="AB3" s="13" t="s">
        <v>49</v>
      </c>
      <c r="AC3" s="13" t="s">
        <v>49</v>
      </c>
      <c r="AD3" s="13" t="s">
        <v>49</v>
      </c>
      <c r="AE3" s="62" t="s">
        <v>49</v>
      </c>
      <c r="AF3" s="13" t="s">
        <v>49</v>
      </c>
      <c r="AG3" s="13" t="s">
        <v>49</v>
      </c>
      <c r="AH3" s="13" t="s">
        <v>49</v>
      </c>
      <c r="AI3" s="13" t="s">
        <v>49</v>
      </c>
      <c r="AJ3" s="13" t="s">
        <v>49</v>
      </c>
      <c r="AK3" s="89" t="s">
        <v>59</v>
      </c>
    </row>
    <row r="4" spans="1:37" ht="15.75" customHeight="1">
      <c r="E4" s="15">
        <v>42369</v>
      </c>
      <c r="F4" s="16"/>
      <c r="G4" s="16"/>
      <c r="H4" s="16"/>
      <c r="I4" s="17" t="s">
        <v>34</v>
      </c>
      <c r="J4" s="18" t="s">
        <v>35</v>
      </c>
      <c r="K4" s="82" t="s">
        <v>36</v>
      </c>
      <c r="L4" s="82"/>
      <c r="M4" s="18" t="s">
        <v>34</v>
      </c>
      <c r="N4" s="18" t="s">
        <v>35</v>
      </c>
      <c r="O4" s="82" t="s">
        <v>36</v>
      </c>
      <c r="P4" s="82"/>
      <c r="Q4" s="18" t="s">
        <v>34</v>
      </c>
      <c r="R4" s="18" t="s">
        <v>35</v>
      </c>
      <c r="S4" s="82" t="s">
        <v>36</v>
      </c>
      <c r="T4" s="135"/>
      <c r="U4" s="18" t="s">
        <v>34</v>
      </c>
      <c r="V4" s="18" t="s">
        <v>35</v>
      </c>
      <c r="W4" s="18" t="s">
        <v>36</v>
      </c>
      <c r="X4" s="17" t="s">
        <v>34</v>
      </c>
      <c r="Y4" s="18" t="s">
        <v>35</v>
      </c>
      <c r="Z4" s="82" t="s">
        <v>36</v>
      </c>
      <c r="AA4" s="139" t="s">
        <v>50</v>
      </c>
      <c r="AB4" s="19" t="s">
        <v>51</v>
      </c>
      <c r="AC4" s="19" t="s">
        <v>52</v>
      </c>
      <c r="AD4" s="19" t="s">
        <v>53</v>
      </c>
      <c r="AE4" s="63" t="s">
        <v>54</v>
      </c>
      <c r="AF4" s="19" t="s">
        <v>55</v>
      </c>
      <c r="AG4" s="19" t="s">
        <v>56</v>
      </c>
      <c r="AH4" s="19" t="s">
        <v>57</v>
      </c>
      <c r="AI4" s="19">
        <v>2006</v>
      </c>
      <c r="AJ4" s="19">
        <v>2007</v>
      </c>
      <c r="AK4" s="90" t="s">
        <v>36</v>
      </c>
    </row>
    <row r="5" spans="1:37" ht="18" customHeight="1">
      <c r="E5" s="15"/>
      <c r="F5" s="16"/>
      <c r="G5" s="16"/>
      <c r="H5" s="16"/>
      <c r="I5" s="23"/>
      <c r="J5" s="24"/>
      <c r="K5" s="113"/>
      <c r="L5" s="113"/>
      <c r="M5" s="24"/>
      <c r="N5" s="24"/>
      <c r="O5" s="113"/>
      <c r="P5" s="113"/>
      <c r="Q5" s="24"/>
      <c r="R5" s="24"/>
      <c r="S5" s="113"/>
      <c r="T5" s="136"/>
      <c r="U5" s="24"/>
      <c r="V5" s="24"/>
      <c r="W5" s="24"/>
      <c r="X5" s="38"/>
      <c r="Y5" s="39"/>
      <c r="Z5" s="88"/>
      <c r="AA5" s="140"/>
      <c r="AB5" s="40"/>
      <c r="AC5" s="40"/>
      <c r="AD5" s="40"/>
      <c r="AE5" s="64"/>
      <c r="AF5" s="23"/>
      <c r="AG5" s="23"/>
      <c r="AH5" s="23"/>
      <c r="AI5" s="23"/>
      <c r="AJ5" s="23"/>
      <c r="AK5" s="91"/>
    </row>
    <row r="6" spans="1:37" ht="17.25" customHeight="1">
      <c r="A6" s="20">
        <v>9001001</v>
      </c>
      <c r="B6" s="20"/>
      <c r="C6" s="20"/>
      <c r="D6" s="20"/>
      <c r="E6" s="21">
        <v>0</v>
      </c>
      <c r="F6" s="41">
        <v>7.0000000000000007E-2</v>
      </c>
      <c r="G6" s="41"/>
      <c r="H6" s="41"/>
      <c r="I6" s="28"/>
      <c r="J6" s="21"/>
      <c r="K6" s="71">
        <f t="shared" ref="K6:K19" si="0">E6-J6</f>
        <v>0</v>
      </c>
      <c r="L6" s="71"/>
      <c r="M6" s="21"/>
      <c r="N6" s="21"/>
      <c r="O6" s="71">
        <f t="shared" ref="O6:O11" si="1">K6-N6</f>
        <v>0</v>
      </c>
      <c r="P6" s="71"/>
      <c r="Q6" s="21"/>
      <c r="R6" s="21"/>
      <c r="S6" s="71">
        <f t="shared" ref="S6:S20" si="2">O6-R6</f>
        <v>0</v>
      </c>
      <c r="T6" s="137"/>
      <c r="U6" s="21"/>
      <c r="V6" s="21"/>
      <c r="W6" s="21">
        <f t="shared" ref="W6:W20" si="3">S6-V6</f>
        <v>0</v>
      </c>
      <c r="X6" s="28"/>
      <c r="Y6" s="21"/>
      <c r="Z6" s="71">
        <f t="shared" ref="Z6:Z22" si="4">E6-Y6</f>
        <v>0</v>
      </c>
      <c r="AA6" s="141">
        <v>26047.38</v>
      </c>
      <c r="AB6" s="28">
        <v>28274.91</v>
      </c>
      <c r="AC6" s="28">
        <v>30662.51</v>
      </c>
      <c r="AD6" s="28">
        <v>33221.68</v>
      </c>
      <c r="AE6" s="65">
        <v>35964.730000000003</v>
      </c>
      <c r="AF6" s="28">
        <v>38904.93</v>
      </c>
      <c r="AG6" s="28">
        <v>42056.42</v>
      </c>
      <c r="AH6" s="28">
        <v>45434.37</v>
      </c>
      <c r="AI6" s="28">
        <v>49055.040000000001</v>
      </c>
      <c r="AJ6" s="28">
        <f>Y6+AI6</f>
        <v>49055.040000000001</v>
      </c>
      <c r="AK6" s="92">
        <f>E6+AJ6+0.06</f>
        <v>49055.1</v>
      </c>
    </row>
    <row r="7" spans="1:37" ht="18" customHeight="1">
      <c r="A7" s="20">
        <v>9003001</v>
      </c>
      <c r="B7" s="20"/>
      <c r="C7" s="20"/>
      <c r="D7" s="20"/>
      <c r="E7" s="21">
        <v>0</v>
      </c>
      <c r="F7" s="41">
        <v>7.0000000000000007E-2</v>
      </c>
      <c r="G7" s="41"/>
      <c r="H7" s="41"/>
      <c r="I7" s="28"/>
      <c r="J7" s="21"/>
      <c r="K7" s="71">
        <f t="shared" si="0"/>
        <v>0</v>
      </c>
      <c r="L7" s="71"/>
      <c r="M7" s="21"/>
      <c r="N7" s="21"/>
      <c r="O7" s="71">
        <f t="shared" si="1"/>
        <v>0</v>
      </c>
      <c r="P7" s="71"/>
      <c r="Q7" s="21"/>
      <c r="R7" s="21"/>
      <c r="S7" s="71">
        <f t="shared" si="2"/>
        <v>0</v>
      </c>
      <c r="T7" s="137"/>
      <c r="U7" s="21"/>
      <c r="V7" s="21"/>
      <c r="W7" s="21">
        <f t="shared" si="3"/>
        <v>0</v>
      </c>
      <c r="X7" s="28"/>
      <c r="Y7" s="21"/>
      <c r="Z7" s="71">
        <f t="shared" si="4"/>
        <v>0</v>
      </c>
      <c r="AA7" s="141">
        <v>77218.429999999993</v>
      </c>
      <c r="AB7" s="28">
        <v>83907.21</v>
      </c>
      <c r="AC7" s="28">
        <v>91076.64</v>
      </c>
      <c r="AD7" s="28">
        <v>98761.25</v>
      </c>
      <c r="AE7" s="65">
        <v>106998.08</v>
      </c>
      <c r="AF7" s="28">
        <v>115826.79</v>
      </c>
      <c r="AG7" s="28">
        <v>125289.93</v>
      </c>
      <c r="AH7" s="28">
        <v>135433.07999999999</v>
      </c>
      <c r="AI7" s="28">
        <v>146305.1</v>
      </c>
      <c r="AJ7" s="28">
        <f t="shared" ref="AJ7:AJ20" si="5">Y7+AI7</f>
        <v>146305.1</v>
      </c>
      <c r="AK7" s="92">
        <f>E7+AJ7</f>
        <v>146305.1</v>
      </c>
    </row>
    <row r="8" spans="1:37" ht="18" customHeight="1">
      <c r="A8" s="20">
        <v>9004001</v>
      </c>
      <c r="B8" s="20"/>
      <c r="C8" s="20"/>
      <c r="D8" s="20"/>
      <c r="E8" s="21">
        <v>0</v>
      </c>
      <c r="F8" s="41">
        <v>7.0000000000000007E-2</v>
      </c>
      <c r="G8" s="41"/>
      <c r="H8" s="41"/>
      <c r="I8" s="28"/>
      <c r="J8" s="21"/>
      <c r="K8" s="71">
        <f t="shared" si="0"/>
        <v>0</v>
      </c>
      <c r="L8" s="71"/>
      <c r="M8" s="21"/>
      <c r="N8" s="21"/>
      <c r="O8" s="71">
        <f t="shared" si="1"/>
        <v>0</v>
      </c>
      <c r="P8" s="71"/>
      <c r="Q8" s="21"/>
      <c r="R8" s="21"/>
      <c r="S8" s="71">
        <f t="shared" si="2"/>
        <v>0</v>
      </c>
      <c r="T8" s="137"/>
      <c r="U8" s="21"/>
      <c r="V8" s="21"/>
      <c r="W8" s="21">
        <f t="shared" si="3"/>
        <v>0</v>
      </c>
      <c r="X8" s="28"/>
      <c r="Y8" s="21"/>
      <c r="Z8" s="71">
        <f t="shared" si="4"/>
        <v>0</v>
      </c>
      <c r="AA8" s="141">
        <v>88072.82</v>
      </c>
      <c r="AB8" s="28">
        <v>95815.99</v>
      </c>
      <c r="AC8" s="28">
        <v>104115.58</v>
      </c>
      <c r="AD8" s="28">
        <v>113011.57</v>
      </c>
      <c r="AE8" s="65">
        <v>122546.82</v>
      </c>
      <c r="AF8" s="28">
        <v>132767.26999999999</v>
      </c>
      <c r="AG8" s="28">
        <v>143722.16</v>
      </c>
      <c r="AH8" s="28">
        <v>155464.25</v>
      </c>
      <c r="AI8" s="28">
        <v>168050.1</v>
      </c>
      <c r="AJ8" s="28">
        <f t="shared" si="5"/>
        <v>168050.1</v>
      </c>
      <c r="AK8" s="92">
        <f t="shared" ref="AK8:AK20" si="6">E8+AJ8</f>
        <v>168050.1</v>
      </c>
    </row>
    <row r="9" spans="1:37" ht="18" customHeight="1">
      <c r="A9" s="20">
        <v>9005001</v>
      </c>
      <c r="B9" s="20"/>
      <c r="C9" s="20"/>
      <c r="D9" s="20"/>
      <c r="E9" s="21">
        <v>0</v>
      </c>
      <c r="F9" s="41">
        <v>3.5000000000000003E-2</v>
      </c>
      <c r="G9" s="41"/>
      <c r="H9" s="41"/>
      <c r="I9" s="28"/>
      <c r="J9" s="21"/>
      <c r="K9" s="71">
        <f t="shared" si="0"/>
        <v>0</v>
      </c>
      <c r="L9" s="71"/>
      <c r="M9" s="21"/>
      <c r="N9" s="21"/>
      <c r="O9" s="71">
        <f t="shared" si="1"/>
        <v>0</v>
      </c>
      <c r="P9" s="71"/>
      <c r="Q9" s="21"/>
      <c r="R9" s="21"/>
      <c r="S9" s="71">
        <f t="shared" si="2"/>
        <v>0</v>
      </c>
      <c r="T9" s="137"/>
      <c r="U9" s="21"/>
      <c r="V9" s="21"/>
      <c r="W9" s="21">
        <f t="shared" si="3"/>
        <v>0</v>
      </c>
      <c r="X9" s="28"/>
      <c r="Y9" s="21"/>
      <c r="Z9" s="71">
        <f t="shared" si="4"/>
        <v>0</v>
      </c>
      <c r="AA9" s="141">
        <v>58642</v>
      </c>
      <c r="AB9" s="28">
        <v>65434.51</v>
      </c>
      <c r="AC9" s="28">
        <v>72675.83</v>
      </c>
      <c r="AD9" s="28">
        <v>80050.570000000007</v>
      </c>
      <c r="AE9" s="65">
        <v>87884.53</v>
      </c>
      <c r="AF9" s="28">
        <v>96347.65</v>
      </c>
      <c r="AG9" s="28">
        <v>105490.45</v>
      </c>
      <c r="AH9" s="28">
        <v>115367.52</v>
      </c>
      <c r="AI9" s="28">
        <v>126358.72</v>
      </c>
      <c r="AJ9" s="28">
        <f t="shared" si="5"/>
        <v>126358.72</v>
      </c>
      <c r="AK9" s="92">
        <f>E9+AJ9+0.01</f>
        <v>126358.73</v>
      </c>
    </row>
    <row r="10" spans="1:37" ht="18" customHeight="1">
      <c r="A10" s="20">
        <v>9006001</v>
      </c>
      <c r="B10" s="20"/>
      <c r="C10" s="20"/>
      <c r="D10" s="20"/>
      <c r="E10" s="21">
        <v>0</v>
      </c>
      <c r="F10" s="41">
        <v>6.225E-2</v>
      </c>
      <c r="G10" s="41"/>
      <c r="H10" s="41"/>
      <c r="I10" s="28"/>
      <c r="J10" s="21"/>
      <c r="K10" s="71">
        <f t="shared" si="0"/>
        <v>0</v>
      </c>
      <c r="L10" s="71"/>
      <c r="M10" s="21"/>
      <c r="N10" s="21"/>
      <c r="O10" s="71">
        <f t="shared" si="1"/>
        <v>0</v>
      </c>
      <c r="P10" s="71"/>
      <c r="Q10" s="21"/>
      <c r="R10" s="21"/>
      <c r="S10" s="71">
        <f t="shared" si="2"/>
        <v>0</v>
      </c>
      <c r="T10" s="137"/>
      <c r="U10" s="21"/>
      <c r="V10" s="21"/>
      <c r="W10" s="21">
        <f t="shared" si="3"/>
        <v>0</v>
      </c>
      <c r="X10" s="28"/>
      <c r="Y10" s="21"/>
      <c r="Z10" s="71">
        <f t="shared" si="4"/>
        <v>0</v>
      </c>
      <c r="AA10" s="141">
        <v>54037.75</v>
      </c>
      <c r="AB10" s="28">
        <v>60539.72</v>
      </c>
      <c r="AC10" s="28">
        <v>67464.5</v>
      </c>
      <c r="AD10" s="28">
        <v>74839.59</v>
      </c>
      <c r="AE10" s="65">
        <v>82694.259999999995</v>
      </c>
      <c r="AF10" s="28">
        <v>91800.639999999999</v>
      </c>
      <c r="AG10" s="28">
        <v>101498.74</v>
      </c>
      <c r="AH10" s="28">
        <v>111525.83</v>
      </c>
      <c r="AI10" s="28">
        <v>121319.55</v>
      </c>
      <c r="AJ10" s="28">
        <f t="shared" si="5"/>
        <v>121319.55</v>
      </c>
      <c r="AK10" s="92">
        <f>E10+AJ10+0.02</f>
        <v>121319.57</v>
      </c>
    </row>
    <row r="11" spans="1:37" ht="18" customHeight="1">
      <c r="A11" s="20">
        <v>9007001</v>
      </c>
      <c r="B11" s="20"/>
      <c r="C11" s="20"/>
      <c r="D11" s="20"/>
      <c r="E11" s="21">
        <v>0</v>
      </c>
      <c r="F11" s="41">
        <v>6.225E-2</v>
      </c>
      <c r="G11" s="41"/>
      <c r="H11" s="41"/>
      <c r="I11" s="28"/>
      <c r="J11" s="21"/>
      <c r="K11" s="71">
        <f t="shared" si="0"/>
        <v>0</v>
      </c>
      <c r="L11" s="71"/>
      <c r="M11" s="21"/>
      <c r="N11" s="21"/>
      <c r="O11" s="71">
        <f t="shared" si="1"/>
        <v>0</v>
      </c>
      <c r="P11" s="71"/>
      <c r="Q11" s="21"/>
      <c r="R11" s="21"/>
      <c r="S11" s="71">
        <f t="shared" si="2"/>
        <v>0</v>
      </c>
      <c r="T11" s="137"/>
      <c r="U11" s="21"/>
      <c r="V11" s="21"/>
      <c r="W11" s="21">
        <f t="shared" si="3"/>
        <v>0</v>
      </c>
      <c r="X11" s="28"/>
      <c r="Y11" s="21"/>
      <c r="Z11" s="71">
        <f t="shared" si="4"/>
        <v>0</v>
      </c>
      <c r="AA11" s="141">
        <v>106875.59</v>
      </c>
      <c r="AB11" s="28">
        <v>119495.81</v>
      </c>
      <c r="AC11" s="28">
        <v>132936.70000000001</v>
      </c>
      <c r="AD11" s="28">
        <v>147251.63</v>
      </c>
      <c r="AE11" s="65">
        <v>162497.42000000001</v>
      </c>
      <c r="AF11" s="28">
        <v>180463.78</v>
      </c>
      <c r="AG11" s="28">
        <v>199687.13</v>
      </c>
      <c r="AH11" s="28">
        <v>219562.59</v>
      </c>
      <c r="AI11" s="28">
        <v>238593.64</v>
      </c>
      <c r="AJ11" s="28">
        <f t="shared" si="5"/>
        <v>238593.64</v>
      </c>
      <c r="AK11" s="92">
        <f>E11+AJ11+0.01</f>
        <v>238593.65000000002</v>
      </c>
    </row>
    <row r="12" spans="1:37" ht="18" customHeight="1">
      <c r="A12" s="20">
        <v>9008001</v>
      </c>
      <c r="B12" s="20"/>
      <c r="C12" s="20"/>
      <c r="D12" s="20"/>
      <c r="E12" s="21">
        <v>0</v>
      </c>
      <c r="F12" s="41">
        <v>3.5000000000000003E-2</v>
      </c>
      <c r="G12" s="41"/>
      <c r="H12" s="41"/>
      <c r="I12" s="28"/>
      <c r="J12" s="21"/>
      <c r="K12" s="71">
        <f t="shared" si="0"/>
        <v>0</v>
      </c>
      <c r="L12" s="71"/>
      <c r="M12" s="21"/>
      <c r="N12" s="21"/>
      <c r="O12" s="71">
        <f t="shared" ref="O12:O21" si="7">K12-N12</f>
        <v>0</v>
      </c>
      <c r="P12" s="71"/>
      <c r="Q12" s="21"/>
      <c r="R12" s="21"/>
      <c r="S12" s="71">
        <f t="shared" si="2"/>
        <v>0</v>
      </c>
      <c r="T12" s="137"/>
      <c r="U12" s="21"/>
      <c r="V12" s="21"/>
      <c r="W12" s="21">
        <f t="shared" si="3"/>
        <v>0</v>
      </c>
      <c r="X12" s="28"/>
      <c r="Y12" s="21"/>
      <c r="Z12" s="71">
        <f>E12-Y12</f>
        <v>0</v>
      </c>
      <c r="AA12" s="141">
        <v>148583.06</v>
      </c>
      <c r="AB12" s="28">
        <v>167380.76</v>
      </c>
      <c r="AC12" s="28">
        <v>188363.45</v>
      </c>
      <c r="AD12" s="28">
        <v>210622.75</v>
      </c>
      <c r="AE12" s="65">
        <v>234236.32</v>
      </c>
      <c r="AF12" s="28">
        <v>259286.57</v>
      </c>
      <c r="AG12" s="28">
        <v>285860.89</v>
      </c>
      <c r="AH12" s="28">
        <v>314052.01</v>
      </c>
      <c r="AI12" s="28">
        <v>343648.16</v>
      </c>
      <c r="AJ12" s="28">
        <f t="shared" si="5"/>
        <v>343648.16</v>
      </c>
      <c r="AK12" s="92">
        <f t="shared" si="6"/>
        <v>343648.16</v>
      </c>
    </row>
    <row r="13" spans="1:37" ht="18" customHeight="1">
      <c r="A13" s="20">
        <v>9009001</v>
      </c>
      <c r="B13" s="104">
        <v>36129</v>
      </c>
      <c r="C13" s="104">
        <v>42339</v>
      </c>
      <c r="D13" s="20"/>
      <c r="E13" s="21">
        <v>0</v>
      </c>
      <c r="F13" s="41">
        <v>6.3E-2</v>
      </c>
      <c r="G13" s="41"/>
      <c r="H13" s="41"/>
      <c r="I13" s="28">
        <v>-10.06</v>
      </c>
      <c r="J13" s="21">
        <v>0</v>
      </c>
      <c r="K13" s="71">
        <f t="shared" si="0"/>
        <v>0</v>
      </c>
      <c r="L13" s="71"/>
      <c r="M13" s="21"/>
      <c r="N13" s="21"/>
      <c r="O13" s="71">
        <f t="shared" si="7"/>
        <v>0</v>
      </c>
      <c r="P13" s="71"/>
      <c r="Q13" s="21"/>
      <c r="R13" s="21"/>
      <c r="S13" s="71">
        <f t="shared" si="2"/>
        <v>0</v>
      </c>
      <c r="T13" s="137"/>
      <c r="U13" s="21"/>
      <c r="V13" s="21"/>
      <c r="W13" s="21">
        <f t="shared" si="3"/>
        <v>0</v>
      </c>
      <c r="X13" s="28">
        <f>I13+M13+Q13+U13</f>
        <v>-10.06</v>
      </c>
      <c r="Y13" s="21">
        <f>J13+N13+R13+V13</f>
        <v>0</v>
      </c>
      <c r="Z13" s="71" t="s">
        <v>119</v>
      </c>
      <c r="AA13" s="141">
        <v>84486.080000000002</v>
      </c>
      <c r="AB13" s="28">
        <v>95820.65</v>
      </c>
      <c r="AC13" s="28">
        <v>107904.17</v>
      </c>
      <c r="AD13" s="28">
        <v>119776.24</v>
      </c>
      <c r="AE13" s="65">
        <v>132229.34</v>
      </c>
      <c r="AF13" s="28">
        <v>145682.56</v>
      </c>
      <c r="AG13" s="28">
        <v>160216.23000000001</v>
      </c>
      <c r="AH13" s="28">
        <v>175917.12</v>
      </c>
      <c r="AI13" s="28">
        <v>194195.66</v>
      </c>
      <c r="AJ13" s="28">
        <f t="shared" si="5"/>
        <v>194195.66</v>
      </c>
      <c r="AK13" s="92">
        <f t="shared" si="6"/>
        <v>194195.66</v>
      </c>
    </row>
    <row r="14" spans="1:37" ht="18" customHeight="1">
      <c r="A14" s="20">
        <v>9010001</v>
      </c>
      <c r="B14" s="104">
        <v>36129</v>
      </c>
      <c r="C14" s="104">
        <v>43252</v>
      </c>
      <c r="D14" s="20"/>
      <c r="E14" s="21">
        <v>41280.379999999997</v>
      </c>
      <c r="F14" s="41">
        <v>6.4000000000000001E-2</v>
      </c>
      <c r="G14" s="41"/>
      <c r="H14" s="41"/>
      <c r="I14" s="28">
        <v>647.59</v>
      </c>
      <c r="J14" s="21">
        <v>3839.49</v>
      </c>
      <c r="K14" s="71">
        <f t="shared" si="0"/>
        <v>37440.89</v>
      </c>
      <c r="L14" s="71"/>
      <c r="M14" s="21">
        <v>587.35</v>
      </c>
      <c r="N14" s="21">
        <v>3900.93</v>
      </c>
      <c r="O14" s="71">
        <f t="shared" si="7"/>
        <v>33539.96</v>
      </c>
      <c r="P14" s="71"/>
      <c r="Q14" s="21"/>
      <c r="R14" s="21"/>
      <c r="S14" s="71">
        <f t="shared" si="2"/>
        <v>33539.96</v>
      </c>
      <c r="T14" s="137"/>
      <c r="U14" s="21"/>
      <c r="V14" s="21"/>
      <c r="W14" s="21">
        <f t="shared" si="3"/>
        <v>33539.96</v>
      </c>
      <c r="X14" s="28">
        <f t="shared" ref="X14:X21" si="8">I14+M14+Q14+U14</f>
        <v>1234.94</v>
      </c>
      <c r="Y14" s="21">
        <f t="shared" ref="Y14:Y22" si="9">J14+N14+R14+V14</f>
        <v>7740.42</v>
      </c>
      <c r="Z14" s="71">
        <f t="shared" si="4"/>
        <v>33539.96</v>
      </c>
      <c r="AA14" s="141">
        <v>37596.76</v>
      </c>
      <c r="AB14" s="28">
        <v>43151.82</v>
      </c>
      <c r="AC14" s="28">
        <v>49068.11</v>
      </c>
      <c r="AD14" s="28">
        <v>55369.13</v>
      </c>
      <c r="AE14" s="65">
        <v>62079.88</v>
      </c>
      <c r="AF14" s="28">
        <v>70707.789999999994</v>
      </c>
      <c r="AG14" s="28">
        <v>80157.31</v>
      </c>
      <c r="AH14" s="28">
        <v>89927.39</v>
      </c>
      <c r="AI14" s="28">
        <v>98264.1</v>
      </c>
      <c r="AJ14" s="28">
        <f t="shared" si="5"/>
        <v>106004.52</v>
      </c>
      <c r="AK14" s="92">
        <f>E14+AJ14+0.01</f>
        <v>147284.91</v>
      </c>
    </row>
    <row r="15" spans="1:37" ht="18" customHeight="1">
      <c r="A15" s="20">
        <v>9011001</v>
      </c>
      <c r="B15" s="104">
        <v>36129</v>
      </c>
      <c r="C15" s="104">
        <v>44440</v>
      </c>
      <c r="D15" s="20"/>
      <c r="E15" s="21">
        <v>192163.7</v>
      </c>
      <c r="F15" s="41">
        <v>6.5500000000000003E-2</v>
      </c>
      <c r="G15" s="41"/>
      <c r="H15" s="41"/>
      <c r="I15" s="28">
        <v>3086.63</v>
      </c>
      <c r="J15" s="21">
        <v>6947.56</v>
      </c>
      <c r="K15" s="71">
        <f t="shared" si="0"/>
        <v>185216.14</v>
      </c>
      <c r="L15" s="71"/>
      <c r="M15" s="21">
        <v>2975.03</v>
      </c>
      <c r="N15" s="21">
        <v>7061.33</v>
      </c>
      <c r="O15" s="71">
        <f t="shared" si="7"/>
        <v>178154.81000000003</v>
      </c>
      <c r="P15" s="71"/>
      <c r="Q15" s="21"/>
      <c r="R15" s="21"/>
      <c r="S15" s="71">
        <f t="shared" si="2"/>
        <v>178154.81000000003</v>
      </c>
      <c r="T15" s="137"/>
      <c r="U15" s="21"/>
      <c r="V15" s="21"/>
      <c r="W15" s="21">
        <f t="shared" si="3"/>
        <v>178154.81000000003</v>
      </c>
      <c r="X15" s="28">
        <f t="shared" si="8"/>
        <v>6061.66</v>
      </c>
      <c r="Y15" s="21">
        <f t="shared" si="9"/>
        <v>14008.89</v>
      </c>
      <c r="Z15" s="71">
        <f t="shared" si="4"/>
        <v>178154.81</v>
      </c>
      <c r="AA15" s="141">
        <v>67690.039999999994</v>
      </c>
      <c r="AB15" s="28">
        <v>77718.17</v>
      </c>
      <c r="AC15" s="28">
        <v>88398.43</v>
      </c>
      <c r="AD15" s="28">
        <v>99773.2</v>
      </c>
      <c r="AE15" s="65">
        <v>111887.65</v>
      </c>
      <c r="AF15" s="28">
        <v>128243.38</v>
      </c>
      <c r="AG15" s="28">
        <v>146373.26</v>
      </c>
      <c r="AH15" s="28">
        <v>165118.18</v>
      </c>
      <c r="AI15" s="28">
        <v>179990.74</v>
      </c>
      <c r="AJ15" s="28">
        <f t="shared" si="5"/>
        <v>193999.63</v>
      </c>
      <c r="AK15" s="92">
        <f t="shared" si="6"/>
        <v>386163.33</v>
      </c>
    </row>
    <row r="16" spans="1:37" ht="18" customHeight="1">
      <c r="A16" s="20">
        <v>9012001</v>
      </c>
      <c r="B16" s="104">
        <v>36129</v>
      </c>
      <c r="C16" s="104">
        <v>45717</v>
      </c>
      <c r="D16" s="20"/>
      <c r="E16" s="21">
        <v>285328.53000000003</v>
      </c>
      <c r="F16" s="41">
        <v>6.5500000000000003E-2</v>
      </c>
      <c r="G16" s="41"/>
      <c r="H16" s="41"/>
      <c r="I16" s="28">
        <v>4583.08</v>
      </c>
      <c r="J16" s="21">
        <v>5671.02</v>
      </c>
      <c r="K16" s="71">
        <f t="shared" si="0"/>
        <v>279657.51</v>
      </c>
      <c r="L16" s="71"/>
      <c r="M16" s="21">
        <v>4492</v>
      </c>
      <c r="N16" s="21">
        <v>5763.88</v>
      </c>
      <c r="O16" s="71">
        <f t="shared" si="7"/>
        <v>273893.63</v>
      </c>
      <c r="P16" s="71"/>
      <c r="Q16" s="21"/>
      <c r="R16" s="21"/>
      <c r="S16" s="71">
        <f t="shared" si="2"/>
        <v>273893.63</v>
      </c>
      <c r="T16" s="137"/>
      <c r="U16" s="21"/>
      <c r="V16" s="21"/>
      <c r="W16" s="21">
        <f t="shared" si="3"/>
        <v>273893.63</v>
      </c>
      <c r="X16" s="28">
        <f t="shared" si="8"/>
        <v>9075.08</v>
      </c>
      <c r="Y16" s="21">
        <f t="shared" si="9"/>
        <v>11434.900000000001</v>
      </c>
      <c r="Z16" s="71">
        <f t="shared" si="4"/>
        <v>273893.63</v>
      </c>
      <c r="AA16" s="141">
        <v>46988.68</v>
      </c>
      <c r="AB16" s="28">
        <v>55195.43</v>
      </c>
      <c r="AC16" s="28">
        <v>63935.86</v>
      </c>
      <c r="AD16" s="28">
        <v>73244.67</v>
      </c>
      <c r="AE16" s="65">
        <v>83158.8</v>
      </c>
      <c r="AF16" s="28">
        <v>97306.36</v>
      </c>
      <c r="AG16" s="28">
        <v>113190.15</v>
      </c>
      <c r="AH16" s="28">
        <v>129612.77</v>
      </c>
      <c r="AI16" s="28">
        <v>141752.65</v>
      </c>
      <c r="AJ16" s="28">
        <f t="shared" si="5"/>
        <v>153187.54999999999</v>
      </c>
      <c r="AK16" s="92">
        <f>E16+AJ16+0.01</f>
        <v>438516.09</v>
      </c>
    </row>
    <row r="17" spans="1:37" ht="18" customHeight="1">
      <c r="A17" s="20">
        <v>9013001</v>
      </c>
      <c r="B17" s="104">
        <v>36129</v>
      </c>
      <c r="C17" s="104">
        <v>46539</v>
      </c>
      <c r="D17" s="20"/>
      <c r="E17" s="21">
        <v>460171.14</v>
      </c>
      <c r="F17" s="41">
        <v>6.6000000000000003E-2</v>
      </c>
      <c r="G17" s="41"/>
      <c r="H17" s="41"/>
      <c r="I17" s="28">
        <v>7449.02</v>
      </c>
      <c r="J17" s="21">
        <v>6761.52</v>
      </c>
      <c r="K17" s="71">
        <f t="shared" si="0"/>
        <v>453409.62</v>
      </c>
      <c r="L17" s="71"/>
      <c r="M17" s="21">
        <v>7339.57</v>
      </c>
      <c r="N17" s="21">
        <v>6873.08</v>
      </c>
      <c r="O17" s="71">
        <f t="shared" si="7"/>
        <v>446536.54</v>
      </c>
      <c r="P17" s="71"/>
      <c r="Q17" s="21"/>
      <c r="R17" s="21"/>
      <c r="S17" s="71">
        <f t="shared" si="2"/>
        <v>446536.54</v>
      </c>
      <c r="T17" s="137"/>
      <c r="U17" s="21"/>
      <c r="V17" s="21"/>
      <c r="W17" s="21">
        <f t="shared" si="3"/>
        <v>446536.54</v>
      </c>
      <c r="X17" s="28">
        <f t="shared" si="8"/>
        <v>14788.59</v>
      </c>
      <c r="Y17" s="21">
        <f t="shared" si="9"/>
        <v>13634.6</v>
      </c>
      <c r="Z17" s="71">
        <f t="shared" si="4"/>
        <v>446536.54000000004</v>
      </c>
      <c r="AA17" s="141">
        <v>37042.410000000003</v>
      </c>
      <c r="AB17" s="28">
        <v>45432.2</v>
      </c>
      <c r="AC17" s="28">
        <v>54029.96</v>
      </c>
      <c r="AD17" s="28">
        <v>63136.72</v>
      </c>
      <c r="AE17" s="65">
        <v>72931.509999999995</v>
      </c>
      <c r="AF17" s="28">
        <v>83466.3</v>
      </c>
      <c r="AG17" s="28">
        <v>94796.99</v>
      </c>
      <c r="AH17" s="28">
        <v>106983.72</v>
      </c>
      <c r="AI17" s="28">
        <v>121389.7</v>
      </c>
      <c r="AJ17" s="28">
        <f t="shared" si="5"/>
        <v>135024.29999999999</v>
      </c>
      <c r="AK17" s="92">
        <f t="shared" si="6"/>
        <v>595195.43999999994</v>
      </c>
    </row>
    <row r="18" spans="1:37" ht="18" customHeight="1">
      <c r="A18" s="20">
        <v>9014001</v>
      </c>
      <c r="B18" s="104">
        <v>36129</v>
      </c>
      <c r="C18" s="104">
        <v>47453</v>
      </c>
      <c r="D18" s="20"/>
      <c r="E18" s="21">
        <v>507708.46</v>
      </c>
      <c r="F18" s="41">
        <v>6.6500000000000004E-2</v>
      </c>
      <c r="G18" s="41"/>
      <c r="H18" s="41"/>
      <c r="I18" s="28">
        <v>8281.99</v>
      </c>
      <c r="J18" s="21">
        <v>5561.49</v>
      </c>
      <c r="K18" s="71">
        <f t="shared" si="0"/>
        <v>502146.97000000003</v>
      </c>
      <c r="L18" s="71"/>
      <c r="M18" s="21">
        <v>8191.27</v>
      </c>
      <c r="N18" s="21">
        <v>5653.95</v>
      </c>
      <c r="O18" s="71">
        <f t="shared" si="7"/>
        <v>496493.02</v>
      </c>
      <c r="P18" s="71"/>
      <c r="Q18" s="21"/>
      <c r="R18" s="21"/>
      <c r="S18" s="71">
        <f t="shared" si="2"/>
        <v>496493.02</v>
      </c>
      <c r="T18" s="137"/>
      <c r="U18" s="21"/>
      <c r="V18" s="21"/>
      <c r="W18" s="21">
        <f t="shared" si="3"/>
        <v>496493.02</v>
      </c>
      <c r="X18" s="28">
        <f t="shared" si="8"/>
        <v>16473.260000000002</v>
      </c>
      <c r="Y18" s="21">
        <f t="shared" si="9"/>
        <v>11215.439999999999</v>
      </c>
      <c r="Z18" s="71">
        <f t="shared" si="4"/>
        <v>496493.02</v>
      </c>
      <c r="AA18" s="141">
        <v>18599.060000000001</v>
      </c>
      <c r="AB18" s="28">
        <v>26718.34</v>
      </c>
      <c r="AC18" s="28">
        <v>35365.61</v>
      </c>
      <c r="AD18" s="28">
        <v>44575.19</v>
      </c>
      <c r="AE18" s="65">
        <v>54383.65</v>
      </c>
      <c r="AF18" s="28">
        <v>69541.8</v>
      </c>
      <c r="AG18" s="28">
        <v>86850.7</v>
      </c>
      <c r="AH18" s="28">
        <v>104746.77</v>
      </c>
      <c r="AI18" s="28">
        <v>116540.05</v>
      </c>
      <c r="AJ18" s="28">
        <f t="shared" si="5"/>
        <v>127755.49</v>
      </c>
      <c r="AK18" s="92">
        <f>E18+AJ18+0.01</f>
        <v>635463.96000000008</v>
      </c>
    </row>
    <row r="19" spans="1:37" ht="18" customHeight="1">
      <c r="A19" s="20">
        <v>9015001</v>
      </c>
      <c r="B19" s="104">
        <v>35982</v>
      </c>
      <c r="C19" s="104">
        <v>48638</v>
      </c>
      <c r="D19" s="20"/>
      <c r="E19" s="21">
        <v>735103.41</v>
      </c>
      <c r="F19" s="41">
        <v>6.6500000000000004E-2</v>
      </c>
      <c r="G19" s="41"/>
      <c r="H19" s="41"/>
      <c r="I19" s="28">
        <v>11991.37</v>
      </c>
      <c r="J19" s="21">
        <v>5765.78</v>
      </c>
      <c r="K19" s="71">
        <f t="shared" si="0"/>
        <v>729337.63</v>
      </c>
      <c r="L19" s="71"/>
      <c r="M19" s="21">
        <v>11897.32</v>
      </c>
      <c r="N19" s="21">
        <v>5861.63</v>
      </c>
      <c r="O19" s="71">
        <f t="shared" si="7"/>
        <v>723476</v>
      </c>
      <c r="P19" s="71"/>
      <c r="Q19" s="21"/>
      <c r="R19" s="21"/>
      <c r="S19" s="71">
        <f t="shared" si="2"/>
        <v>723476</v>
      </c>
      <c r="T19" s="137"/>
      <c r="U19" s="21"/>
      <c r="V19" s="21"/>
      <c r="W19" s="21">
        <f t="shared" si="3"/>
        <v>723476</v>
      </c>
      <c r="X19" s="28">
        <f t="shared" si="8"/>
        <v>23888.690000000002</v>
      </c>
      <c r="Y19" s="21">
        <f t="shared" si="9"/>
        <v>11627.41</v>
      </c>
      <c r="Z19" s="71">
        <f t="shared" si="4"/>
        <v>723476</v>
      </c>
      <c r="AA19" s="141">
        <v>0</v>
      </c>
      <c r="AB19" s="28">
        <v>9895.49</v>
      </c>
      <c r="AC19" s="28">
        <v>20362.03</v>
      </c>
      <c r="AD19" s="28">
        <v>31432.58</v>
      </c>
      <c r="AE19" s="65">
        <v>43142</v>
      </c>
      <c r="AF19" s="28">
        <v>55527.14</v>
      </c>
      <c r="AG19" s="28">
        <v>75093.820000000007</v>
      </c>
      <c r="AH19" s="28">
        <v>97417.84</v>
      </c>
      <c r="AI19" s="28">
        <v>109644.32</v>
      </c>
      <c r="AJ19" s="28">
        <f t="shared" si="5"/>
        <v>121271.73000000001</v>
      </c>
      <c r="AK19" s="92">
        <f t="shared" si="6"/>
        <v>856375.14</v>
      </c>
    </row>
    <row r="20" spans="1:37" ht="18" customHeight="1">
      <c r="A20" s="20">
        <v>9015002</v>
      </c>
      <c r="B20" s="104">
        <v>35796</v>
      </c>
      <c r="C20" s="104">
        <v>48638</v>
      </c>
      <c r="D20" s="104">
        <v>42736</v>
      </c>
      <c r="E20" s="21">
        <v>331424.34999999998</v>
      </c>
      <c r="F20" s="41">
        <v>3.2000000000000001E-2</v>
      </c>
      <c r="G20" s="41" t="s">
        <v>113</v>
      </c>
      <c r="H20" s="41"/>
      <c r="I20" s="28">
        <v>2547.8200000000002</v>
      </c>
      <c r="J20" s="21">
        <v>3617.6</v>
      </c>
      <c r="K20" s="71">
        <f>E20-J20</f>
        <v>327806.75</v>
      </c>
      <c r="L20" s="71"/>
      <c r="M20" s="21">
        <f>2520.01</f>
        <v>2520.0100000000002</v>
      </c>
      <c r="N20" s="21">
        <v>3646.54</v>
      </c>
      <c r="O20" s="71">
        <f t="shared" si="7"/>
        <v>324160.21000000002</v>
      </c>
      <c r="P20" s="71"/>
      <c r="Q20" s="21"/>
      <c r="R20" s="21"/>
      <c r="S20" s="71">
        <f t="shared" si="2"/>
        <v>324160.21000000002</v>
      </c>
      <c r="T20" s="137"/>
      <c r="U20" s="21"/>
      <c r="V20" s="21"/>
      <c r="W20" s="21">
        <f t="shared" si="3"/>
        <v>324160.21000000002</v>
      </c>
      <c r="X20" s="28">
        <f t="shared" si="8"/>
        <v>5067.83</v>
      </c>
      <c r="Y20" s="21">
        <f t="shared" si="9"/>
        <v>7264.1399999999994</v>
      </c>
      <c r="Z20" s="71">
        <f t="shared" si="4"/>
        <v>324160.20999999996</v>
      </c>
      <c r="AA20" s="141">
        <v>0</v>
      </c>
      <c r="AB20" s="28">
        <v>4482.93</v>
      </c>
      <c r="AC20" s="28">
        <v>9233.93</v>
      </c>
      <c r="AD20" s="28">
        <v>14269.02</v>
      </c>
      <c r="AE20" s="65">
        <v>19605.18</v>
      </c>
      <c r="AF20" s="28">
        <v>25260.42</v>
      </c>
      <c r="AG20" s="28">
        <v>31253.83</v>
      </c>
      <c r="AH20" s="28">
        <v>37605.620000000003</v>
      </c>
      <c r="AI20" s="28">
        <v>44337.23</v>
      </c>
      <c r="AJ20" s="28">
        <f t="shared" si="5"/>
        <v>51601.37</v>
      </c>
      <c r="AK20" s="92">
        <f t="shared" si="6"/>
        <v>383025.72</v>
      </c>
    </row>
    <row r="21" spans="1:37">
      <c r="A21" s="33" t="s">
        <v>105</v>
      </c>
      <c r="B21" s="104">
        <v>40868</v>
      </c>
      <c r="C21" s="105" t="s">
        <v>116</v>
      </c>
      <c r="D21" s="33"/>
      <c r="E21" s="21">
        <v>2091965.03</v>
      </c>
      <c r="F21" s="42" t="s">
        <v>117</v>
      </c>
      <c r="G21" s="42"/>
      <c r="H21" s="87"/>
      <c r="I21" s="21">
        <f>1532.61+2002.93+2142.24+2108.4+2294.38+2496.96+1954.51+1886.73+2025.03+1862.08+1262.44+1220.25</f>
        <v>22788.560000000001</v>
      </c>
      <c r="J21" s="21">
        <v>57877.16</v>
      </c>
      <c r="K21" s="71">
        <f>E21-J21</f>
        <v>2034087.87</v>
      </c>
      <c r="L21" s="71"/>
      <c r="M21" s="21">
        <f>1026.18+2024.94+2165.78+2131.57+2319.6+2524.4+1975.99+1907.46+2047.29+1882.54+1276.31+1233.66</f>
        <v>22515.72</v>
      </c>
      <c r="N21" s="21">
        <v>58383.59</v>
      </c>
      <c r="O21" s="71">
        <f t="shared" si="7"/>
        <v>1975704.28</v>
      </c>
      <c r="P21" s="71"/>
      <c r="Q21" s="21"/>
      <c r="R21" s="21"/>
      <c r="S21" s="71">
        <f>O21-R21</f>
        <v>1975704.28</v>
      </c>
      <c r="T21" s="137"/>
      <c r="U21" s="21"/>
      <c r="V21" s="21"/>
      <c r="W21" s="21">
        <f>S21-V21</f>
        <v>1975704.28</v>
      </c>
      <c r="X21" s="28">
        <f t="shared" si="8"/>
        <v>45304.28</v>
      </c>
      <c r="Y21" s="21">
        <f t="shared" si="9"/>
        <v>116260.75</v>
      </c>
      <c r="Z21" s="71">
        <f t="shared" si="4"/>
        <v>1975704.28</v>
      </c>
      <c r="AA21" s="21"/>
      <c r="AB21" s="21"/>
      <c r="AC21" s="21"/>
      <c r="AD21" s="21"/>
      <c r="AE21" s="21"/>
      <c r="AK21" s="21"/>
    </row>
    <row r="22" spans="1:37">
      <c r="A22" s="33" t="s">
        <v>105</v>
      </c>
      <c r="B22" s="104">
        <v>42538</v>
      </c>
      <c r="C22" s="184">
        <v>51104</v>
      </c>
      <c r="D22" s="179"/>
      <c r="E22" s="110">
        <v>15684215.199999999</v>
      </c>
      <c r="F22" s="183"/>
      <c r="G22" s="42"/>
      <c r="H22" s="87"/>
      <c r="I22" s="180"/>
      <c r="J22" s="180"/>
      <c r="K22" s="181"/>
      <c r="L22" s="137"/>
      <c r="M22" s="180"/>
      <c r="N22" s="180"/>
      <c r="O22" s="181"/>
      <c r="P22" s="137"/>
      <c r="Q22" s="21"/>
      <c r="R22" s="21"/>
      <c r="S22" s="71">
        <f>E22-R22</f>
        <v>15684215.199999999</v>
      </c>
      <c r="T22" s="137"/>
      <c r="U22" s="21"/>
      <c r="V22" s="21"/>
      <c r="W22" s="21">
        <f>S22-V22</f>
        <v>15684215.199999999</v>
      </c>
      <c r="X22" s="28">
        <f>I22+M22+Q22+U22</f>
        <v>0</v>
      </c>
      <c r="Y22" s="21">
        <f t="shared" si="9"/>
        <v>0</v>
      </c>
      <c r="Z22" s="71">
        <f t="shared" si="4"/>
        <v>15684215.199999999</v>
      </c>
      <c r="AA22" s="21"/>
      <c r="AB22" s="21"/>
      <c r="AC22" s="21"/>
      <c r="AD22" s="21"/>
      <c r="AE22" s="21"/>
      <c r="AK22" s="21"/>
    </row>
    <row r="23" spans="1:37">
      <c r="A23" s="33"/>
      <c r="B23" s="33"/>
      <c r="C23" s="33"/>
      <c r="D23" s="33"/>
      <c r="E23" s="21">
        <f>SUM(E6:E22)</f>
        <v>20329360.199999999</v>
      </c>
      <c r="F23" s="34"/>
      <c r="G23" s="34"/>
      <c r="H23" s="34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21"/>
      <c r="Y23" s="21"/>
      <c r="Z23" s="21"/>
      <c r="AA23" s="21"/>
      <c r="AB23" s="21"/>
      <c r="AC23" s="21"/>
      <c r="AD23" s="21"/>
      <c r="AE23" s="21"/>
      <c r="AK23" s="21"/>
    </row>
    <row r="24" spans="1:37">
      <c r="A24" s="33"/>
      <c r="B24" s="33"/>
      <c r="C24" s="33"/>
      <c r="D24" s="126" t="s">
        <v>128</v>
      </c>
      <c r="F24" s="21"/>
      <c r="G24" s="21"/>
      <c r="H24" s="21"/>
      <c r="I24" s="21">
        <f>SUM(I6:I22)</f>
        <v>61366</v>
      </c>
      <c r="J24" s="21">
        <f>SUM(J6:J22)</f>
        <v>96041.62</v>
      </c>
      <c r="K24" s="127">
        <f>SUM(K6:K22)</f>
        <v>4549103.3800000008</v>
      </c>
      <c r="L24" s="21"/>
      <c r="M24" s="21">
        <f>SUM(M6:M22)</f>
        <v>60518.270000000004</v>
      </c>
      <c r="N24" s="21">
        <f>SUM(N6:N22)</f>
        <v>97144.93</v>
      </c>
      <c r="O24" s="127">
        <f>SUM(O6:O22)</f>
        <v>4451958.45</v>
      </c>
      <c r="P24" s="21"/>
      <c r="Q24" s="21">
        <f>SUM(Q6:Q22)</f>
        <v>0</v>
      </c>
      <c r="R24" s="21">
        <f>SUM(R6:R22)</f>
        <v>0</v>
      </c>
      <c r="S24" s="127">
        <f>SUM(S6:S22)</f>
        <v>20136173.649999999</v>
      </c>
      <c r="T24" s="21"/>
      <c r="U24" s="21">
        <f>SUM(U6:U22)</f>
        <v>0</v>
      </c>
      <c r="V24" s="21">
        <f>SUM(V6:V22)</f>
        <v>0</v>
      </c>
      <c r="W24" s="127">
        <f>SUM(W6:W22)</f>
        <v>20136173.649999999</v>
      </c>
      <c r="X24" s="21">
        <f>SUM(X6:X23)</f>
        <v>121884.27</v>
      </c>
      <c r="Y24" s="21">
        <f>SUM(Y6:Y23)</f>
        <v>193186.55</v>
      </c>
      <c r="Z24" s="21">
        <f>SUM(Z6:Z23)</f>
        <v>20136173.649999999</v>
      </c>
      <c r="AA24" s="21">
        <f>SUM(AA6:AA20)</f>
        <v>851880.06000000017</v>
      </c>
      <c r="AB24" s="21">
        <f>SUM(AB6:AB23)</f>
        <v>979263.94</v>
      </c>
      <c r="AC24" s="21">
        <f>SUM(AC6:AC23)</f>
        <v>1115593.31</v>
      </c>
      <c r="AD24" s="21">
        <f>SUM(AD6:AD23)</f>
        <v>1259335.79</v>
      </c>
      <c r="AE24" s="21">
        <f>SUM(AE6:AE23)</f>
        <v>1412240.17</v>
      </c>
      <c r="AF24" s="21">
        <f>SUM(AF6:AF20)</f>
        <v>1591133.3800000004</v>
      </c>
      <c r="AG24" s="21">
        <f>SUM(AG5:AG20)</f>
        <v>1791538.0100000002</v>
      </c>
      <c r="AH24" s="21">
        <f>SUM(AH5:AH20)</f>
        <v>2004169.06</v>
      </c>
      <c r="AI24" s="21">
        <f>SUM(AI5:AI20)</f>
        <v>2199444.7599999998</v>
      </c>
      <c r="AJ24" s="21">
        <f>SUM(AJ5:AJ20)</f>
        <v>2276370.5600000005</v>
      </c>
      <c r="AK24" s="21">
        <f>SUM(AK6:AK21)</f>
        <v>4829550.6599999992</v>
      </c>
    </row>
    <row r="25" spans="1:37">
      <c r="K25" s="100" t="s">
        <v>148</v>
      </c>
      <c r="O25" s="171" t="s">
        <v>157</v>
      </c>
      <c r="P25" s="43"/>
      <c r="S25" s="43"/>
      <c r="T25" s="43"/>
      <c r="W25" s="43"/>
    </row>
    <row r="26" spans="1:37">
      <c r="K26" s="100" t="s">
        <v>149</v>
      </c>
      <c r="L26" s="101"/>
      <c r="O26" s="102" t="s">
        <v>158</v>
      </c>
      <c r="P26" s="102"/>
      <c r="S26" s="102"/>
      <c r="T26" s="102"/>
      <c r="W26" s="108"/>
    </row>
    <row r="27" spans="1:37" ht="15.75" thickBot="1">
      <c r="C27" s="106"/>
      <c r="S27" s="100"/>
      <c r="T27" s="100"/>
      <c r="V27" s="74"/>
      <c r="W27" s="101"/>
    </row>
    <row r="28" spans="1:37">
      <c r="C28" s="106"/>
      <c r="E28" s="114" t="s">
        <v>123</v>
      </c>
      <c r="H28" s="115"/>
      <c r="I28" s="116" t="s">
        <v>124</v>
      </c>
      <c r="J28" s="116" t="s">
        <v>125</v>
      </c>
      <c r="K28" s="116"/>
      <c r="L28" s="116"/>
      <c r="M28" s="116" t="s">
        <v>124</v>
      </c>
      <c r="N28" s="116" t="s">
        <v>125</v>
      </c>
      <c r="O28" s="116"/>
      <c r="P28" s="116"/>
      <c r="Q28" s="116" t="s">
        <v>124</v>
      </c>
      <c r="R28" s="116" t="s">
        <v>125</v>
      </c>
      <c r="S28" s="116"/>
      <c r="T28" s="116"/>
      <c r="U28" s="116" t="s">
        <v>124</v>
      </c>
      <c r="V28" s="117" t="s">
        <v>125</v>
      </c>
      <c r="W28" s="145"/>
      <c r="X28" s="143"/>
      <c r="Y28" s="116" t="s">
        <v>124</v>
      </c>
      <c r="Z28" s="117" t="s">
        <v>125</v>
      </c>
    </row>
    <row r="29" spans="1:37" ht="15.75" thickBot="1">
      <c r="H29" s="118" t="s">
        <v>129</v>
      </c>
      <c r="I29" s="151">
        <v>23167</v>
      </c>
      <c r="J29" s="152">
        <f>I29</f>
        <v>23167</v>
      </c>
      <c r="K29" s="153"/>
      <c r="L29" s="154" t="s">
        <v>38</v>
      </c>
      <c r="M29" s="151">
        <f>I31+E30</f>
        <v>59449</v>
      </c>
      <c r="N29" s="152">
        <f>E30</f>
        <v>21250</v>
      </c>
      <c r="O29" s="153"/>
      <c r="P29" s="154" t="s">
        <v>120</v>
      </c>
      <c r="Q29" s="151">
        <f>M31+E30</f>
        <v>119967.27</v>
      </c>
      <c r="R29" s="152">
        <f>N29</f>
        <v>21250</v>
      </c>
      <c r="S29" s="153"/>
      <c r="T29" s="154" t="s">
        <v>122</v>
      </c>
      <c r="U29" s="151">
        <f>Q31+E30</f>
        <v>119967.27</v>
      </c>
      <c r="V29" s="155">
        <f>R29</f>
        <v>21250</v>
      </c>
      <c r="W29" s="144"/>
      <c r="X29" s="120" t="s">
        <v>47</v>
      </c>
      <c r="Y29" s="156">
        <f>U31+E30</f>
        <v>119967.27</v>
      </c>
      <c r="Z29" s="157">
        <f>E30</f>
        <v>21250</v>
      </c>
    </row>
    <row r="30" spans="1:37">
      <c r="D30" s="121" t="s">
        <v>127</v>
      </c>
      <c r="E30" s="168">
        <v>21250</v>
      </c>
      <c r="H30" s="119" t="s">
        <v>33</v>
      </c>
      <c r="I30" s="158">
        <f>E30</f>
        <v>21250</v>
      </c>
      <c r="J30" s="159">
        <f>E30</f>
        <v>21250</v>
      </c>
      <c r="K30" s="153"/>
      <c r="L30" s="160" t="s">
        <v>39</v>
      </c>
      <c r="M30" s="158">
        <f>M29+E30</f>
        <v>80699</v>
      </c>
      <c r="N30" s="159">
        <f>E30*2</f>
        <v>42500</v>
      </c>
      <c r="O30" s="153"/>
      <c r="P30" s="160" t="s">
        <v>121</v>
      </c>
      <c r="Q30" s="158">
        <f>Q29+E30</f>
        <v>141217.27000000002</v>
      </c>
      <c r="R30" s="159">
        <f>N30</f>
        <v>42500</v>
      </c>
      <c r="S30" s="153"/>
      <c r="T30" s="160" t="s">
        <v>45</v>
      </c>
      <c r="U30" s="158">
        <f>U29+E30</f>
        <v>141217.27000000002</v>
      </c>
      <c r="V30" s="161">
        <f>R30</f>
        <v>42500</v>
      </c>
      <c r="W30" s="144"/>
    </row>
    <row r="31" spans="1:37" ht="15.75" thickBot="1">
      <c r="H31" s="120" t="s">
        <v>37</v>
      </c>
      <c r="I31" s="156">
        <f>I24-I29</f>
        <v>38199</v>
      </c>
      <c r="J31" s="162">
        <v>0</v>
      </c>
      <c r="K31" s="163"/>
      <c r="L31" s="163" t="s">
        <v>40</v>
      </c>
      <c r="M31" s="156">
        <f>I31+M24</f>
        <v>98717.27</v>
      </c>
      <c r="N31" s="162">
        <v>0</v>
      </c>
      <c r="O31" s="163"/>
      <c r="P31" s="163" t="s">
        <v>43</v>
      </c>
      <c r="Q31" s="156">
        <f>M31+Q24</f>
        <v>98717.27</v>
      </c>
      <c r="R31" s="162">
        <v>0</v>
      </c>
      <c r="S31" s="163"/>
      <c r="T31" s="164" t="s">
        <v>46</v>
      </c>
      <c r="U31" s="165">
        <f>Q31+U24</f>
        <v>98717.27</v>
      </c>
      <c r="V31" s="166">
        <v>0</v>
      </c>
      <c r="W31" s="144"/>
    </row>
    <row r="33" spans="8:25">
      <c r="H33" s="102"/>
      <c r="I33" s="21"/>
      <c r="V33" s="74"/>
    </row>
    <row r="34" spans="8:25">
      <c r="H34" s="102"/>
      <c r="I34" s="142"/>
      <c r="V34" s="74"/>
    </row>
    <row r="35" spans="8:25">
      <c r="V35" s="74"/>
      <c r="Y35" s="75"/>
    </row>
    <row r="36" spans="8:25">
      <c r="V36" s="74"/>
    </row>
    <row r="37" spans="8:25">
      <c r="V37" s="74"/>
    </row>
    <row r="38" spans="8:25">
      <c r="V38" s="74"/>
    </row>
    <row r="39" spans="8:25">
      <c r="V39" s="74"/>
    </row>
    <row r="40" spans="8:25">
      <c r="V40" s="74"/>
    </row>
    <row r="41" spans="8:25">
      <c r="V41" s="74"/>
    </row>
  </sheetData>
  <mergeCells count="4">
    <mergeCell ref="E1:Z1"/>
    <mergeCell ref="AA1:AK1"/>
    <mergeCell ref="I3:K3"/>
    <mergeCell ref="M3:O3"/>
  </mergeCells>
  <phoneticPr fontId="20" type="noConversion"/>
  <pageMargins left="0.25" right="0.5" top="1" bottom="0.25" header="0" footer="0"/>
  <pageSetup scale="73" orientation="landscape" copies="3" r:id="rId1"/>
  <headerFooter alignWithMargins="0">
    <oddHeader xml:space="preserve">&amp;C&amp;"Arial,Bold"&amp;14CFC PRINCIPAL &amp; INTEREST PAYMENTS - 2016
</oddHeader>
  </headerFooter>
  <colBreaks count="2" manualBreakCount="2">
    <brk id="16" min="1" max="23" man="1"/>
    <brk id="26" max="2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BB33"/>
  <sheetViews>
    <sheetView zoomScale="80" zoomScaleNormal="80" workbookViewId="0">
      <pane xSplit="8" ySplit="4" topLeftCell="I5" activePane="bottomRight" state="frozen"/>
      <selection activeCell="E28" sqref="E28"/>
      <selection pane="topRight" activeCell="E28" sqref="E28"/>
      <selection pane="bottomLeft" activeCell="E28" sqref="E28"/>
      <selection pane="bottomRight" activeCell="A5" sqref="A5"/>
    </sheetView>
  </sheetViews>
  <sheetFormatPr defaultColWidth="9.6640625" defaultRowHeight="15"/>
  <cols>
    <col min="1" max="1" width="8.5546875" style="249" bestFit="1" customWidth="1"/>
    <col min="2" max="2" width="8.5546875" style="249" customWidth="1"/>
    <col min="3" max="3" width="13.109375" style="249" customWidth="1"/>
    <col min="4" max="4" width="8.5546875" style="249" customWidth="1"/>
    <col min="5" max="5" width="11" style="249" customWidth="1"/>
    <col min="6" max="6" width="12.21875" style="249" customWidth="1"/>
    <col min="7" max="7" width="8.33203125" style="249" customWidth="1"/>
    <col min="8" max="8" width="3.6640625" style="249" customWidth="1"/>
    <col min="9" max="9" width="9.109375" style="249" customWidth="1"/>
    <col min="10" max="10" width="12.88671875" style="249" customWidth="1"/>
    <col min="11" max="11" width="9.88671875" style="249" customWidth="1"/>
    <col min="12" max="12" width="13.44140625" style="249" customWidth="1"/>
    <col min="13" max="13" width="13.6640625" style="249" customWidth="1"/>
    <col min="14" max="14" width="9.6640625" style="249" customWidth="1"/>
    <col min="15" max="15" width="12.5546875" style="249" customWidth="1"/>
    <col min="16" max="16" width="9.6640625" style="249" customWidth="1"/>
    <col min="17" max="17" width="11.6640625" style="249" customWidth="1"/>
    <col min="18" max="18" width="9.6640625" style="249" customWidth="1"/>
    <col min="19" max="19" width="12.44140625" style="249" customWidth="1"/>
    <col min="20" max="20" width="9.6640625" style="249" customWidth="1"/>
    <col min="21" max="21" width="14" style="249" customWidth="1"/>
    <col min="22" max="22" width="9.6640625" style="249" customWidth="1"/>
    <col min="23" max="23" width="11.5546875" style="249" customWidth="1"/>
    <col min="24" max="24" width="9.6640625" style="249" customWidth="1"/>
    <col min="25" max="25" width="11.6640625" style="249" customWidth="1"/>
    <col min="26" max="26" width="15.5546875" style="249" customWidth="1"/>
    <col min="27" max="27" width="16.5546875" style="249" customWidth="1"/>
    <col min="28" max="28" width="13.6640625" style="249" customWidth="1"/>
    <col min="29" max="16384" width="9.6640625" style="249"/>
  </cols>
  <sheetData>
    <row r="1" spans="1:54" ht="18" customHeight="1">
      <c r="A1" s="248"/>
      <c r="B1" s="186" t="s">
        <v>256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>
        <v>45382</v>
      </c>
      <c r="N1" s="248"/>
      <c r="O1" s="248"/>
      <c r="P1" s="248"/>
      <c r="Q1" s="248">
        <v>45473</v>
      </c>
      <c r="R1" s="248"/>
      <c r="S1" s="248"/>
      <c r="T1" s="248"/>
      <c r="U1" s="248">
        <v>45565</v>
      </c>
      <c r="V1" s="408"/>
      <c r="W1" s="408"/>
      <c r="X1" s="408"/>
      <c r="Y1" s="248">
        <v>45657</v>
      </c>
      <c r="Z1" s="397"/>
      <c r="AA1" s="398"/>
      <c r="AB1" s="398"/>
      <c r="AC1" s="399"/>
      <c r="AD1" s="399"/>
      <c r="AE1" s="399"/>
      <c r="AF1" s="399"/>
      <c r="AG1" s="399"/>
      <c r="AH1" s="399"/>
      <c r="AI1" s="399"/>
      <c r="AJ1" s="399"/>
      <c r="AK1" s="399"/>
      <c r="AL1" s="399"/>
      <c r="AM1" s="399"/>
      <c r="AN1" s="399"/>
      <c r="AO1" s="399"/>
      <c r="AP1" s="399"/>
      <c r="AQ1" s="399"/>
      <c r="AR1" s="399"/>
      <c r="AS1" s="399"/>
      <c r="AT1" s="399"/>
      <c r="AU1" s="399"/>
      <c r="AV1" s="399"/>
      <c r="AW1" s="399"/>
      <c r="AX1" s="399"/>
      <c r="AY1" s="399"/>
      <c r="AZ1" s="400" t="s">
        <v>181</v>
      </c>
      <c r="BA1" s="400"/>
      <c r="BB1" s="400"/>
    </row>
    <row r="2" spans="1:54">
      <c r="A2" s="250"/>
      <c r="B2" s="250"/>
      <c r="C2" s="251" t="s">
        <v>112</v>
      </c>
      <c r="D2" s="252" t="s">
        <v>111</v>
      </c>
      <c r="E2" s="252" t="s">
        <v>115</v>
      </c>
      <c r="J2" s="253"/>
      <c r="K2" s="253"/>
      <c r="L2" s="253"/>
      <c r="M2" s="253"/>
      <c r="N2" s="253"/>
      <c r="O2" s="347">
        <v>3.1164383561643836E-4</v>
      </c>
      <c r="P2" s="253"/>
      <c r="Q2" s="253"/>
    </row>
    <row r="3" spans="1:54" ht="15.75">
      <c r="A3" s="252" t="s">
        <v>1</v>
      </c>
      <c r="B3" s="6" t="s">
        <v>134</v>
      </c>
      <c r="C3" s="252" t="s">
        <v>73</v>
      </c>
      <c r="D3" s="252" t="s">
        <v>73</v>
      </c>
      <c r="E3" s="252" t="s">
        <v>73</v>
      </c>
      <c r="F3" s="252" t="s">
        <v>31</v>
      </c>
      <c r="G3" s="252" t="s">
        <v>32</v>
      </c>
      <c r="H3" s="252"/>
      <c r="I3" s="409" t="s">
        <v>259</v>
      </c>
      <c r="J3" s="254" t="s">
        <v>38</v>
      </c>
      <c r="K3" s="255"/>
      <c r="L3" s="256"/>
      <c r="M3" s="257"/>
      <c r="N3" s="254" t="s">
        <v>41</v>
      </c>
      <c r="O3" s="255"/>
      <c r="P3" s="256"/>
      <c r="Q3" s="257"/>
      <c r="R3" s="254" t="s">
        <v>44</v>
      </c>
      <c r="S3" s="255"/>
      <c r="T3" s="259"/>
      <c r="U3" s="257"/>
      <c r="V3" s="260" t="s">
        <v>47</v>
      </c>
      <c r="W3" s="255"/>
      <c r="X3" s="259"/>
      <c r="Y3" s="261"/>
      <c r="Z3" s="262" t="s">
        <v>48</v>
      </c>
      <c r="AA3" s="259"/>
      <c r="AB3" s="259"/>
      <c r="AC3" s="263"/>
    </row>
    <row r="4" spans="1:54" ht="35.25" customHeight="1">
      <c r="F4" s="264">
        <v>45291</v>
      </c>
      <c r="G4" s="265">
        <v>0</v>
      </c>
      <c r="H4" s="265"/>
      <c r="I4" s="409"/>
      <c r="J4" s="266" t="s">
        <v>34</v>
      </c>
      <c r="K4" s="267" t="s">
        <v>74</v>
      </c>
      <c r="L4" s="267" t="s">
        <v>35</v>
      </c>
      <c r="M4" s="268" t="s">
        <v>36</v>
      </c>
      <c r="N4" s="266" t="s">
        <v>34</v>
      </c>
      <c r="O4" s="267" t="s">
        <v>74</v>
      </c>
      <c r="P4" s="267" t="s">
        <v>35</v>
      </c>
      <c r="Q4" s="268" t="s">
        <v>36</v>
      </c>
      <c r="R4" s="266" t="s">
        <v>34</v>
      </c>
      <c r="S4" s="18" t="s">
        <v>74</v>
      </c>
      <c r="T4" s="269" t="s">
        <v>35</v>
      </c>
      <c r="U4" s="270" t="s">
        <v>36</v>
      </c>
      <c r="V4" s="271" t="s">
        <v>34</v>
      </c>
      <c r="W4" s="18" t="s">
        <v>74</v>
      </c>
      <c r="X4" s="269" t="s">
        <v>35</v>
      </c>
      <c r="Y4" s="272" t="s">
        <v>36</v>
      </c>
      <c r="Z4" s="271" t="s">
        <v>34</v>
      </c>
      <c r="AA4" s="267" t="s">
        <v>35</v>
      </c>
      <c r="AB4" s="267" t="s">
        <v>36</v>
      </c>
      <c r="AC4" s="263"/>
    </row>
    <row r="5" spans="1:54" ht="27" customHeight="1">
      <c r="A5" s="273" t="s">
        <v>60</v>
      </c>
      <c r="B5" s="20" t="s">
        <v>183</v>
      </c>
      <c r="C5" s="274">
        <v>38807</v>
      </c>
      <c r="D5" s="274">
        <v>48947</v>
      </c>
      <c r="E5" s="356"/>
      <c r="F5" s="275">
        <v>473884.74689594994</v>
      </c>
      <c r="G5" s="276">
        <f>4.512%-G4</f>
        <v>4.5119999999999993E-2</v>
      </c>
      <c r="H5" s="276" t="s">
        <v>164</v>
      </c>
      <c r="I5" s="358">
        <v>-0.01</v>
      </c>
      <c r="J5" s="278">
        <v>5257.79</v>
      </c>
      <c r="K5" s="278">
        <v>145.66</v>
      </c>
      <c r="L5" s="278">
        <v>9523.89</v>
      </c>
      <c r="M5" s="360">
        <f>ROUND(F5-L5,2)+I5</f>
        <v>464360.85</v>
      </c>
      <c r="N5" s="277">
        <v>5209.37</v>
      </c>
      <c r="O5" s="278">
        <v>144.32</v>
      </c>
      <c r="P5" s="278">
        <v>9572.31</v>
      </c>
      <c r="Q5" s="279">
        <f>M5-P5</f>
        <v>454788.54</v>
      </c>
      <c r="R5" s="277">
        <f>Q5*G5/366*92</f>
        <v>5158.0475985836056</v>
      </c>
      <c r="S5" s="278">
        <f>Q5*0.0012/366*92</f>
        <v>137.18211698360653</v>
      </c>
      <c r="T5" s="278">
        <f>(N5+P5)-R5</f>
        <v>9623.6324014163947</v>
      </c>
      <c r="U5" s="280">
        <f>Q5-T5</f>
        <v>445164.90759858361</v>
      </c>
      <c r="V5" s="277">
        <f>U5*G5/366*92</f>
        <v>5048.8998307049833</v>
      </c>
      <c r="W5" s="278">
        <f>U5*0.0012/366*92</f>
        <v>134.27925081662192</v>
      </c>
      <c r="X5" s="278">
        <f>(R5+T5)-V5</f>
        <v>9732.7801692950161</v>
      </c>
      <c r="Y5" s="280">
        <f t="shared" ref="Y5:Y31" si="0">U5-X5</f>
        <v>435432.12742928858</v>
      </c>
      <c r="Z5" s="281">
        <f t="shared" ref="Z5:Z31" si="1">J5+K5+N5+O5+R5+S5+V5+W5</f>
        <v>21235.548797088813</v>
      </c>
      <c r="AA5" s="278">
        <f t="shared" ref="AA5:AA31" si="2">L5+P5+T5+X5</f>
        <v>38452.612570711412</v>
      </c>
      <c r="AB5" s="282">
        <f t="shared" ref="AB5:AB31" si="3">F5-AA5</f>
        <v>435432.13432523853</v>
      </c>
      <c r="AC5" s="263"/>
    </row>
    <row r="6" spans="1:54" ht="27" customHeight="1">
      <c r="A6" s="273" t="s">
        <v>61</v>
      </c>
      <c r="B6" s="20" t="s">
        <v>185</v>
      </c>
      <c r="C6" s="274">
        <v>38807</v>
      </c>
      <c r="D6" s="274">
        <v>48947</v>
      </c>
      <c r="E6" s="274"/>
      <c r="F6" s="275">
        <v>616049.56933962996</v>
      </c>
      <c r="G6" s="276">
        <f>4.512%-G4</f>
        <v>4.5119999999999993E-2</v>
      </c>
      <c r="H6" s="276" t="s">
        <v>164</v>
      </c>
      <c r="I6" s="358"/>
      <c r="J6" s="278">
        <v>6835.12</v>
      </c>
      <c r="K6" s="278">
        <v>189.36</v>
      </c>
      <c r="L6" s="278">
        <v>12381.07</v>
      </c>
      <c r="M6" s="360">
        <f t="shared" ref="M6:M31" si="4">ROUND(F6-L6,2)</f>
        <v>603668.5</v>
      </c>
      <c r="N6" s="277">
        <v>6772.17</v>
      </c>
      <c r="O6" s="278">
        <v>187.62</v>
      </c>
      <c r="P6" s="278">
        <v>12444.02</v>
      </c>
      <c r="Q6" s="279">
        <f t="shared" ref="Q6:Q31" si="5">M6-P6</f>
        <v>591224.48</v>
      </c>
      <c r="R6" s="277">
        <f t="shared" ref="R6:R31" si="6">Q6*G6/366*92</f>
        <v>6705.4548236590163</v>
      </c>
      <c r="S6" s="278">
        <f t="shared" ref="S6:S31" si="7">Q6*0.0012/366*92</f>
        <v>178.33656445901636</v>
      </c>
      <c r="T6" s="278">
        <f t="shared" ref="T6:T31" si="8">(N6+P6)-R6</f>
        <v>12510.735176340986</v>
      </c>
      <c r="U6" s="279">
        <f t="shared" ref="U6:U27" si="9">Q6-T6</f>
        <v>578713.74482365896</v>
      </c>
      <c r="V6" s="277">
        <f t="shared" ref="V6:V31" si="10">U6*G6/366*92</f>
        <v>6563.5625773573793</v>
      </c>
      <c r="W6" s="278">
        <f t="shared" ref="W6:W31" si="11">U6*0.0012/366*92</f>
        <v>174.56283450418564</v>
      </c>
      <c r="X6" s="278">
        <f t="shared" ref="X6:X31" si="12">(R6+T6)-V6</f>
        <v>12652.627422642623</v>
      </c>
      <c r="Y6" s="279">
        <f t="shared" si="0"/>
        <v>566061.11740101629</v>
      </c>
      <c r="Z6" s="277">
        <f t="shared" si="1"/>
        <v>27606.186799979594</v>
      </c>
      <c r="AA6" s="278">
        <f t="shared" si="2"/>
        <v>49988.452598983611</v>
      </c>
      <c r="AB6" s="275">
        <f t="shared" si="3"/>
        <v>566061.11674064631</v>
      </c>
      <c r="AC6" s="263"/>
    </row>
    <row r="7" spans="1:54" ht="27" customHeight="1">
      <c r="A7" s="273" t="s">
        <v>62</v>
      </c>
      <c r="B7" s="20" t="s">
        <v>186</v>
      </c>
      <c r="C7" s="274">
        <v>38720</v>
      </c>
      <c r="D7" s="274">
        <v>48947</v>
      </c>
      <c r="E7" s="274"/>
      <c r="F7" s="275">
        <v>476097.92686173308</v>
      </c>
      <c r="G7" s="276">
        <f>4.472%-G4</f>
        <v>4.4720000000000003E-2</v>
      </c>
      <c r="H7" s="276" t="s">
        <v>164</v>
      </c>
      <c r="I7" s="358"/>
      <c r="J7" s="278">
        <v>5235.5200000000004</v>
      </c>
      <c r="K7" s="278">
        <v>146.34</v>
      </c>
      <c r="L7" s="278">
        <v>9587.36</v>
      </c>
      <c r="M7" s="360">
        <f t="shared" si="4"/>
        <v>466510.57</v>
      </c>
      <c r="N7" s="277">
        <v>5187.09</v>
      </c>
      <c r="O7" s="278">
        <v>144.99</v>
      </c>
      <c r="P7" s="278">
        <v>9635.7900000000009</v>
      </c>
      <c r="Q7" s="279">
        <f t="shared" si="5"/>
        <v>456874.78</v>
      </c>
      <c r="R7" s="277">
        <f t="shared" si="6"/>
        <v>5135.7718438994543</v>
      </c>
      <c r="S7" s="278">
        <f t="shared" si="7"/>
        <v>137.81140904918033</v>
      </c>
      <c r="T7" s="278">
        <f t="shared" si="8"/>
        <v>9687.1081561005467</v>
      </c>
      <c r="U7" s="279">
        <f t="shared" si="9"/>
        <v>447187.67184389947</v>
      </c>
      <c r="V7" s="277">
        <f t="shared" si="10"/>
        <v>5026.8781612214352</v>
      </c>
      <c r="W7" s="278">
        <f t="shared" si="11"/>
        <v>134.88939609717622</v>
      </c>
      <c r="X7" s="278">
        <f t="shared" si="12"/>
        <v>9796.0018387785658</v>
      </c>
      <c r="Y7" s="279">
        <f t="shared" si="0"/>
        <v>437391.67000512092</v>
      </c>
      <c r="Z7" s="277">
        <f t="shared" si="1"/>
        <v>21149.290810267245</v>
      </c>
      <c r="AA7" s="278">
        <f t="shared" si="2"/>
        <v>38706.259994879118</v>
      </c>
      <c r="AB7" s="275">
        <f t="shared" si="3"/>
        <v>437391.66686685395</v>
      </c>
      <c r="AC7" s="263"/>
    </row>
    <row r="8" spans="1:54" ht="27" customHeight="1">
      <c r="A8" s="273" t="s">
        <v>64</v>
      </c>
      <c r="B8" s="20" t="s">
        <v>187</v>
      </c>
      <c r="C8" s="274">
        <v>39721</v>
      </c>
      <c r="D8" s="274">
        <v>49674</v>
      </c>
      <c r="E8" s="274"/>
      <c r="F8" s="275">
        <v>535344.63832653069</v>
      </c>
      <c r="G8" s="276">
        <f>4.408%-G4</f>
        <v>4.4080000000000001E-2</v>
      </c>
      <c r="H8" s="276" t="s">
        <v>164</v>
      </c>
      <c r="I8" s="358"/>
      <c r="J8" s="278">
        <v>5802.78</v>
      </c>
      <c r="K8" s="278">
        <v>164.55</v>
      </c>
      <c r="L8" s="278">
        <v>8615.0400000000009</v>
      </c>
      <c r="M8" s="360">
        <f t="shared" si="4"/>
        <v>526729.6</v>
      </c>
      <c r="N8" s="277">
        <v>5772.84</v>
      </c>
      <c r="O8" s="278">
        <v>163.69999999999999</v>
      </c>
      <c r="P8" s="278">
        <v>8644.98</v>
      </c>
      <c r="Q8" s="279">
        <f t="shared" si="5"/>
        <v>518084.62</v>
      </c>
      <c r="R8" s="277">
        <f t="shared" si="6"/>
        <v>5740.4908321398916</v>
      </c>
      <c r="S8" s="278">
        <f t="shared" si="7"/>
        <v>156.27470504918031</v>
      </c>
      <c r="T8" s="278">
        <f t="shared" si="8"/>
        <v>8677.329167860109</v>
      </c>
      <c r="U8" s="279">
        <f t="shared" si="9"/>
        <v>509407.2908321399</v>
      </c>
      <c r="V8" s="277">
        <f t="shared" si="10"/>
        <v>5644.3441282760305</v>
      </c>
      <c r="W8" s="278">
        <f t="shared" si="11"/>
        <v>153.6572811690389</v>
      </c>
      <c r="X8" s="278">
        <f t="shared" si="12"/>
        <v>8773.4758717239692</v>
      </c>
      <c r="Y8" s="279">
        <f t="shared" si="0"/>
        <v>500633.81496041594</v>
      </c>
      <c r="Z8" s="277">
        <f t="shared" si="1"/>
        <v>23598.636946634146</v>
      </c>
      <c r="AA8" s="278">
        <f t="shared" si="2"/>
        <v>34710.825039584081</v>
      </c>
      <c r="AB8" s="275">
        <f t="shared" si="3"/>
        <v>500633.81328694662</v>
      </c>
      <c r="AC8" s="263"/>
    </row>
    <row r="9" spans="1:54" ht="27" customHeight="1">
      <c r="A9" s="273" t="s">
        <v>67</v>
      </c>
      <c r="B9" s="20" t="s">
        <v>188</v>
      </c>
      <c r="C9" s="274">
        <v>37802</v>
      </c>
      <c r="D9" s="274">
        <v>49674</v>
      </c>
      <c r="E9" s="274"/>
      <c r="F9" s="275">
        <v>544358.04018228769</v>
      </c>
      <c r="G9" s="276">
        <f>4.554%-G4</f>
        <v>4.5540000000000004E-2</v>
      </c>
      <c r="H9" s="276" t="s">
        <v>164</v>
      </c>
      <c r="I9" s="358"/>
      <c r="J9" s="278">
        <v>6095.92</v>
      </c>
      <c r="K9" s="278">
        <v>167.32</v>
      </c>
      <c r="L9" s="278">
        <v>8683.3700000000008</v>
      </c>
      <c r="M9" s="360">
        <f t="shared" si="4"/>
        <v>535674.67000000004</v>
      </c>
      <c r="N9" s="277">
        <v>6065.33</v>
      </c>
      <c r="O9" s="278">
        <v>166.48</v>
      </c>
      <c r="P9" s="278">
        <v>8713.9599999999991</v>
      </c>
      <c r="Q9" s="279">
        <f t="shared" si="5"/>
        <v>526960.71000000008</v>
      </c>
      <c r="R9" s="277">
        <f t="shared" si="6"/>
        <v>6032.2315504721328</v>
      </c>
      <c r="S9" s="278">
        <f t="shared" si="7"/>
        <v>158.95208301639343</v>
      </c>
      <c r="T9" s="278">
        <f t="shared" si="8"/>
        <v>8747.0584495278672</v>
      </c>
      <c r="U9" s="279">
        <f t="shared" si="9"/>
        <v>518213.65155047219</v>
      </c>
      <c r="V9" s="277">
        <f t="shared" si="10"/>
        <v>5932.102108273175</v>
      </c>
      <c r="W9" s="278">
        <f t="shared" si="11"/>
        <v>156.31362604145389</v>
      </c>
      <c r="X9" s="278">
        <f t="shared" si="12"/>
        <v>8847.1878917268259</v>
      </c>
      <c r="Y9" s="279">
        <f t="shared" si="0"/>
        <v>509366.46365874534</v>
      </c>
      <c r="Z9" s="277">
        <f t="shared" si="1"/>
        <v>24774.649367803155</v>
      </c>
      <c r="AA9" s="278">
        <f t="shared" si="2"/>
        <v>34991.576341254695</v>
      </c>
      <c r="AB9" s="275">
        <f t="shared" si="3"/>
        <v>509366.46384103299</v>
      </c>
      <c r="AC9" s="263"/>
    </row>
    <row r="10" spans="1:54" ht="27" customHeight="1">
      <c r="A10" s="273" t="s">
        <v>68</v>
      </c>
      <c r="B10" s="20" t="s">
        <v>189</v>
      </c>
      <c r="C10" s="274">
        <v>38898</v>
      </c>
      <c r="D10" s="274">
        <v>49674</v>
      </c>
      <c r="E10" s="274"/>
      <c r="F10" s="275">
        <v>1374222.9429768506</v>
      </c>
      <c r="G10" s="276">
        <f>4.787%-G4</f>
        <v>4.7869999999999996E-2</v>
      </c>
      <c r="H10" s="276" t="s">
        <v>164</v>
      </c>
      <c r="I10" s="358"/>
      <c r="J10" s="278">
        <v>16176.41</v>
      </c>
      <c r="K10" s="278">
        <v>422.4</v>
      </c>
      <c r="L10" s="278">
        <v>21614.94</v>
      </c>
      <c r="M10" s="360">
        <f t="shared" si="4"/>
        <v>1352608</v>
      </c>
      <c r="N10" s="277">
        <v>16098.88</v>
      </c>
      <c r="O10" s="278">
        <v>420.38</v>
      </c>
      <c r="P10" s="278">
        <v>21692.47</v>
      </c>
      <c r="Q10" s="279">
        <f t="shared" si="5"/>
        <v>1330915.53</v>
      </c>
      <c r="R10" s="277">
        <f t="shared" si="6"/>
        <v>16014.768390003279</v>
      </c>
      <c r="S10" s="278">
        <f t="shared" si="7"/>
        <v>401.45648773770489</v>
      </c>
      <c r="T10" s="278">
        <f t="shared" si="8"/>
        <v>21776.58160999672</v>
      </c>
      <c r="U10" s="279">
        <f t="shared" si="9"/>
        <v>1309138.9483900033</v>
      </c>
      <c r="V10" s="277">
        <f t="shared" si="10"/>
        <v>15752.733044446748</v>
      </c>
      <c r="W10" s="278">
        <f t="shared" si="11"/>
        <v>394.88781394059117</v>
      </c>
      <c r="X10" s="278">
        <f t="shared" si="12"/>
        <v>22038.616955553251</v>
      </c>
      <c r="Y10" s="279">
        <f t="shared" si="0"/>
        <v>1287100.3314344501</v>
      </c>
      <c r="Z10" s="277">
        <f t="shared" si="1"/>
        <v>65681.915736128314</v>
      </c>
      <c r="AA10" s="278">
        <f t="shared" si="2"/>
        <v>87122.608565549977</v>
      </c>
      <c r="AB10" s="275">
        <f t="shared" si="3"/>
        <v>1287100.3344113005</v>
      </c>
      <c r="AC10" s="263"/>
    </row>
    <row r="11" spans="1:54" ht="27" customHeight="1">
      <c r="A11" s="273" t="s">
        <v>69</v>
      </c>
      <c r="B11" s="20" t="s">
        <v>190</v>
      </c>
      <c r="C11" s="274">
        <v>37894</v>
      </c>
      <c r="D11" s="274">
        <v>49674</v>
      </c>
      <c r="E11" s="274"/>
      <c r="F11" s="275">
        <v>702164.76366563013</v>
      </c>
      <c r="G11" s="276">
        <f>4.392%-G4</f>
        <v>4.3920000000000001E-2</v>
      </c>
      <c r="H11" s="276" t="s">
        <v>164</v>
      </c>
      <c r="I11" s="358"/>
      <c r="J11" s="278">
        <v>7583.38</v>
      </c>
      <c r="K11" s="278">
        <v>215.83</v>
      </c>
      <c r="L11" s="278">
        <v>11310.44</v>
      </c>
      <c r="M11" s="360">
        <f t="shared" si="4"/>
        <v>690854.32</v>
      </c>
      <c r="N11" s="277">
        <v>7544.13</v>
      </c>
      <c r="O11" s="278">
        <v>214.71</v>
      </c>
      <c r="P11" s="278">
        <v>11349.69</v>
      </c>
      <c r="Q11" s="279">
        <f t="shared" si="5"/>
        <v>679504.63</v>
      </c>
      <c r="R11" s="277">
        <f t="shared" si="6"/>
        <v>7501.7311152000002</v>
      </c>
      <c r="S11" s="278">
        <f t="shared" si="7"/>
        <v>204.96533101639343</v>
      </c>
      <c r="T11" s="278">
        <f t="shared" si="8"/>
        <v>11392.0888848</v>
      </c>
      <c r="U11" s="279">
        <f t="shared" si="9"/>
        <v>668112.54111520003</v>
      </c>
      <c r="V11" s="277">
        <f t="shared" si="10"/>
        <v>7375.9624539118086</v>
      </c>
      <c r="W11" s="278">
        <f t="shared" si="11"/>
        <v>201.52902879540457</v>
      </c>
      <c r="X11" s="278">
        <f t="shared" si="12"/>
        <v>11517.857546088191</v>
      </c>
      <c r="Y11" s="279">
        <f t="shared" si="0"/>
        <v>656594.68356911186</v>
      </c>
      <c r="Z11" s="277">
        <f t="shared" si="1"/>
        <v>30842.237928923605</v>
      </c>
      <c r="AA11" s="278">
        <f t="shared" si="2"/>
        <v>45570.076430888192</v>
      </c>
      <c r="AB11" s="275">
        <f t="shared" si="3"/>
        <v>656594.68723474198</v>
      </c>
      <c r="AC11" s="263"/>
    </row>
    <row r="12" spans="1:54" ht="27" customHeight="1">
      <c r="A12" s="273" t="s">
        <v>70</v>
      </c>
      <c r="B12" s="20" t="s">
        <v>191</v>
      </c>
      <c r="C12" s="274">
        <v>38720</v>
      </c>
      <c r="D12" s="274">
        <v>49674</v>
      </c>
      <c r="E12" s="274"/>
      <c r="F12" s="275">
        <v>923382.74094008317</v>
      </c>
      <c r="G12" s="276">
        <f>4.474%-G4</f>
        <v>4.4740000000000002E-2</v>
      </c>
      <c r="H12" s="276" t="s">
        <v>164</v>
      </c>
      <c r="I12" s="358"/>
      <c r="J12" s="278">
        <v>10158.719999999999</v>
      </c>
      <c r="K12" s="278">
        <v>283.83</v>
      </c>
      <c r="L12" s="278">
        <v>14800.62</v>
      </c>
      <c r="M12" s="360">
        <f t="shared" si="4"/>
        <v>908582.12</v>
      </c>
      <c r="N12" s="277">
        <v>10106.959999999999</v>
      </c>
      <c r="O12" s="278">
        <v>282.38</v>
      </c>
      <c r="P12" s="278">
        <v>14852.38</v>
      </c>
      <c r="Q12" s="279">
        <f t="shared" si="5"/>
        <v>893729.74</v>
      </c>
      <c r="R12" s="277">
        <f t="shared" si="6"/>
        <v>10050.992098959563</v>
      </c>
      <c r="S12" s="278">
        <f t="shared" si="7"/>
        <v>269.58405272131148</v>
      </c>
      <c r="T12" s="278">
        <f t="shared" si="8"/>
        <v>14908.347901040433</v>
      </c>
      <c r="U12" s="279">
        <f t="shared" si="9"/>
        <v>878821.39209895954</v>
      </c>
      <c r="V12" s="277">
        <f t="shared" si="10"/>
        <v>9883.3310262040577</v>
      </c>
      <c r="W12" s="278">
        <f t="shared" si="11"/>
        <v>265.08710843640745</v>
      </c>
      <c r="X12" s="278">
        <f t="shared" si="12"/>
        <v>15076.008973795939</v>
      </c>
      <c r="Y12" s="279">
        <f t="shared" si="0"/>
        <v>863745.38312516361</v>
      </c>
      <c r="Z12" s="277">
        <f t="shared" si="1"/>
        <v>41300.884286321336</v>
      </c>
      <c r="AA12" s="278">
        <f t="shared" si="2"/>
        <v>59637.356874836376</v>
      </c>
      <c r="AB12" s="275">
        <f t="shared" si="3"/>
        <v>863745.38406524679</v>
      </c>
      <c r="AC12" s="263"/>
    </row>
    <row r="13" spans="1:54" ht="27" customHeight="1">
      <c r="A13" s="273" t="s">
        <v>71</v>
      </c>
      <c r="B13" s="20" t="s">
        <v>192</v>
      </c>
      <c r="C13" s="274">
        <v>38394</v>
      </c>
      <c r="D13" s="274">
        <v>49674</v>
      </c>
      <c r="E13" s="274"/>
      <c r="F13" s="275">
        <v>1089857.6894658289</v>
      </c>
      <c r="G13" s="276">
        <f>4.207%-G4</f>
        <v>4.2069999999999996E-2</v>
      </c>
      <c r="H13" s="276" t="s">
        <v>164</v>
      </c>
      <c r="I13" s="358"/>
      <c r="J13" s="278">
        <v>11274.67</v>
      </c>
      <c r="K13" s="278">
        <v>335</v>
      </c>
      <c r="L13" s="278">
        <v>17751.71</v>
      </c>
      <c r="M13" s="360">
        <f t="shared" si="4"/>
        <v>1072105.98</v>
      </c>
      <c r="N13" s="277">
        <v>11214.26</v>
      </c>
      <c r="O13" s="278">
        <v>333.2</v>
      </c>
      <c r="P13" s="278">
        <v>17812.12</v>
      </c>
      <c r="Q13" s="279">
        <f t="shared" si="5"/>
        <v>1054293.8599999999</v>
      </c>
      <c r="R13" s="277">
        <f t="shared" si="6"/>
        <v>11149.128763656827</v>
      </c>
      <c r="S13" s="278">
        <f t="shared" si="7"/>
        <v>318.01650859016388</v>
      </c>
      <c r="T13" s="278">
        <f t="shared" si="8"/>
        <v>17877.251236343171</v>
      </c>
      <c r="U13" s="279">
        <f t="shared" si="9"/>
        <v>1036416.6087636567</v>
      </c>
      <c r="V13" s="277">
        <f t="shared" si="10"/>
        <v>10960.077320281986</v>
      </c>
      <c r="W13" s="278">
        <f t="shared" si="11"/>
        <v>312.62402625002102</v>
      </c>
      <c r="X13" s="278">
        <f t="shared" si="12"/>
        <v>18066.302679718014</v>
      </c>
      <c r="Y13" s="279">
        <f t="shared" si="0"/>
        <v>1018350.3060839387</v>
      </c>
      <c r="Z13" s="277">
        <f t="shared" si="1"/>
        <v>45896.976618778994</v>
      </c>
      <c r="AA13" s="278">
        <f t="shared" si="2"/>
        <v>71507.383916061197</v>
      </c>
      <c r="AB13" s="275">
        <f t="shared" si="3"/>
        <v>1018350.3055497678</v>
      </c>
      <c r="AC13" s="263"/>
    </row>
    <row r="14" spans="1:54" ht="27" customHeight="1">
      <c r="A14" s="273" t="s">
        <v>72</v>
      </c>
      <c r="B14" s="20" t="s">
        <v>193</v>
      </c>
      <c r="C14" s="274">
        <v>38533</v>
      </c>
      <c r="D14" s="274">
        <v>49674</v>
      </c>
      <c r="E14" s="274"/>
      <c r="F14" s="275">
        <v>778617.09052487882</v>
      </c>
      <c r="G14" s="276">
        <f>4.463%-G4</f>
        <v>4.4630000000000003E-2</v>
      </c>
      <c r="H14" s="276" t="s">
        <v>164</v>
      </c>
      <c r="I14" s="358"/>
      <c r="J14" s="278">
        <v>8545</v>
      </c>
      <c r="K14" s="278">
        <v>239.33</v>
      </c>
      <c r="L14" s="278">
        <v>12488.47</v>
      </c>
      <c r="M14" s="360">
        <f t="shared" si="4"/>
        <v>766128.62</v>
      </c>
      <c r="N14" s="277">
        <v>8501.3700000000008</v>
      </c>
      <c r="O14" s="278">
        <v>238.11</v>
      </c>
      <c r="P14" s="278">
        <v>12532.1</v>
      </c>
      <c r="Q14" s="279">
        <f t="shared" si="5"/>
        <v>753596.52</v>
      </c>
      <c r="R14" s="277">
        <f t="shared" si="6"/>
        <v>8454.1999105442628</v>
      </c>
      <c r="S14" s="278">
        <f t="shared" si="7"/>
        <v>227.31436013114751</v>
      </c>
      <c r="T14" s="278">
        <f t="shared" si="8"/>
        <v>12579.270089455738</v>
      </c>
      <c r="U14" s="279">
        <f t="shared" si="9"/>
        <v>741017.24991054425</v>
      </c>
      <c r="V14" s="277">
        <f t="shared" si="10"/>
        <v>8313.0797471111982</v>
      </c>
      <c r="W14" s="278">
        <f t="shared" si="11"/>
        <v>223.51995735006579</v>
      </c>
      <c r="X14" s="278">
        <f t="shared" si="12"/>
        <v>12720.390252888803</v>
      </c>
      <c r="Y14" s="279">
        <f t="shared" si="0"/>
        <v>728296.85965765547</v>
      </c>
      <c r="Z14" s="277">
        <f t="shared" si="1"/>
        <v>34741.923975136677</v>
      </c>
      <c r="AA14" s="278">
        <f t="shared" si="2"/>
        <v>50320.230342344541</v>
      </c>
      <c r="AB14" s="275">
        <f t="shared" si="3"/>
        <v>728296.86018253432</v>
      </c>
      <c r="AC14" s="263"/>
    </row>
    <row r="15" spans="1:54" ht="23.25" customHeight="1">
      <c r="A15" s="273" t="s">
        <v>106</v>
      </c>
      <c r="B15" s="20" t="s">
        <v>194</v>
      </c>
      <c r="C15" s="274">
        <v>40990</v>
      </c>
      <c r="D15" s="274">
        <v>53327</v>
      </c>
      <c r="E15" s="274"/>
      <c r="F15" s="275">
        <v>2160659.0665343367</v>
      </c>
      <c r="G15" s="276">
        <f>2.549%-G4</f>
        <v>2.5489999999999999E-2</v>
      </c>
      <c r="H15" s="276" t="s">
        <v>164</v>
      </c>
      <c r="I15" s="358"/>
      <c r="J15" s="278">
        <v>13543.08</v>
      </c>
      <c r="K15" s="278">
        <v>664.14</v>
      </c>
      <c r="L15" s="278">
        <v>18605.59</v>
      </c>
      <c r="M15" s="360">
        <f t="shared" si="4"/>
        <v>2142053.48</v>
      </c>
      <c r="N15" s="277">
        <v>13575.64</v>
      </c>
      <c r="O15" s="278">
        <v>665.73</v>
      </c>
      <c r="P15" s="278">
        <v>18573.03</v>
      </c>
      <c r="Q15" s="279">
        <f t="shared" si="5"/>
        <v>2123480.4500000002</v>
      </c>
      <c r="R15" s="277">
        <f t="shared" si="6"/>
        <v>13605.823862530055</v>
      </c>
      <c r="S15" s="278">
        <f t="shared" si="7"/>
        <v>640.52525049180326</v>
      </c>
      <c r="T15" s="278">
        <f t="shared" si="8"/>
        <v>18542.846137469944</v>
      </c>
      <c r="U15" s="279">
        <f t="shared" si="9"/>
        <v>2104937.6038625301</v>
      </c>
      <c r="V15" s="277">
        <f t="shared" si="10"/>
        <v>13487.013869032628</v>
      </c>
      <c r="W15" s="278">
        <f t="shared" si="11"/>
        <v>634.93199854214015</v>
      </c>
      <c r="X15" s="278">
        <f t="shared" si="12"/>
        <v>18661.656130967371</v>
      </c>
      <c r="Y15" s="279">
        <f t="shared" si="0"/>
        <v>2086275.9477315627</v>
      </c>
      <c r="Z15" s="277">
        <f t="shared" si="1"/>
        <v>56816.884980596624</v>
      </c>
      <c r="AA15" s="278">
        <f t="shared" si="2"/>
        <v>74383.122268437306</v>
      </c>
      <c r="AB15" s="275">
        <f t="shared" si="3"/>
        <v>2086275.9442658992</v>
      </c>
      <c r="AC15" s="263"/>
    </row>
    <row r="16" spans="1:54" ht="23.25" customHeight="1">
      <c r="A16" s="273" t="s">
        <v>107</v>
      </c>
      <c r="B16" s="20" t="s">
        <v>195</v>
      </c>
      <c r="C16" s="274">
        <v>41341</v>
      </c>
      <c r="D16" s="274">
        <v>53329</v>
      </c>
      <c r="E16" s="274"/>
      <c r="F16" s="275">
        <v>3608859.3281609742</v>
      </c>
      <c r="G16" s="276">
        <f>2.588%-G4</f>
        <v>2.588E-2</v>
      </c>
      <c r="H16" s="44" t="s">
        <v>164</v>
      </c>
      <c r="I16" s="359"/>
      <c r="J16" s="278">
        <v>22966.54</v>
      </c>
      <c r="K16" s="278">
        <v>1109.28</v>
      </c>
      <c r="L16" s="278">
        <v>30940.45</v>
      </c>
      <c r="M16" s="360">
        <f t="shared" si="4"/>
        <v>3577918.88</v>
      </c>
      <c r="N16" s="277">
        <v>23022.639999999999</v>
      </c>
      <c r="O16" s="278">
        <v>1111.99</v>
      </c>
      <c r="P16" s="278">
        <v>30884.35</v>
      </c>
      <c r="Q16" s="279">
        <f t="shared" si="5"/>
        <v>3547034.53</v>
      </c>
      <c r="R16" s="277">
        <f t="shared" si="6"/>
        <v>23074.719493302731</v>
      </c>
      <c r="S16" s="278">
        <f t="shared" si="7"/>
        <v>1069.9251697049178</v>
      </c>
      <c r="T16" s="278">
        <f t="shared" si="8"/>
        <v>30832.270506697267</v>
      </c>
      <c r="U16" s="279">
        <f t="shared" si="9"/>
        <v>3516202.2594933026</v>
      </c>
      <c r="V16" s="277">
        <f t="shared" si="10"/>
        <v>22874.144622303753</v>
      </c>
      <c r="W16" s="278">
        <f t="shared" si="11"/>
        <v>1060.62494384716</v>
      </c>
      <c r="X16" s="278">
        <f t="shared" si="12"/>
        <v>31032.845377696245</v>
      </c>
      <c r="Y16" s="279">
        <f t="shared" si="0"/>
        <v>3485169.4141156063</v>
      </c>
      <c r="Z16" s="277">
        <f t="shared" si="1"/>
        <v>96289.864229158557</v>
      </c>
      <c r="AA16" s="278">
        <f t="shared" si="2"/>
        <v>123689.91588439351</v>
      </c>
      <c r="AB16" s="275">
        <f t="shared" si="3"/>
        <v>3485169.4122765805</v>
      </c>
      <c r="AC16" s="263"/>
    </row>
    <row r="17" spans="1:29" ht="23.25" customHeight="1">
      <c r="A17" s="273" t="s">
        <v>108</v>
      </c>
      <c r="B17" s="20" t="s">
        <v>196</v>
      </c>
      <c r="C17" s="274">
        <v>41740</v>
      </c>
      <c r="D17" s="274">
        <v>53329</v>
      </c>
      <c r="E17" s="274"/>
      <c r="F17" s="275">
        <v>1500266.0573246966</v>
      </c>
      <c r="G17" s="276">
        <f>2.588%-G4</f>
        <v>2.588E-2</v>
      </c>
      <c r="H17" s="44" t="s">
        <v>164</v>
      </c>
      <c r="I17" s="359"/>
      <c r="J17" s="278">
        <v>9547.59</v>
      </c>
      <c r="K17" s="278">
        <v>461.15</v>
      </c>
      <c r="L17" s="278">
        <v>12862.49</v>
      </c>
      <c r="M17" s="360">
        <f t="shared" si="4"/>
        <v>1487403.57</v>
      </c>
      <c r="N17" s="277">
        <v>9570.91</v>
      </c>
      <c r="O17" s="278">
        <v>462.27</v>
      </c>
      <c r="P17" s="278">
        <v>12839.17</v>
      </c>
      <c r="Q17" s="279">
        <f t="shared" si="5"/>
        <v>1474564.4000000001</v>
      </c>
      <c r="R17" s="277">
        <f t="shared" si="6"/>
        <v>9592.5651743825147</v>
      </c>
      <c r="S17" s="278">
        <f t="shared" si="7"/>
        <v>444.78663868852459</v>
      </c>
      <c r="T17" s="278">
        <f t="shared" si="8"/>
        <v>12817.514825617487</v>
      </c>
      <c r="U17" s="279">
        <f t="shared" si="9"/>
        <v>1461746.8851743827</v>
      </c>
      <c r="V17" s="277">
        <f t="shared" si="10"/>
        <v>9509.1826877726726</v>
      </c>
      <c r="W17" s="278">
        <f t="shared" si="11"/>
        <v>440.92037192145307</v>
      </c>
      <c r="X17" s="278">
        <f t="shared" si="12"/>
        <v>12900.897312227329</v>
      </c>
      <c r="Y17" s="279">
        <f t="shared" si="0"/>
        <v>1448845.9878621553</v>
      </c>
      <c r="Z17" s="277">
        <f t="shared" si="1"/>
        <v>40029.374872765169</v>
      </c>
      <c r="AA17" s="278">
        <f t="shared" si="2"/>
        <v>51420.072137844822</v>
      </c>
      <c r="AB17" s="275">
        <f t="shared" si="3"/>
        <v>1448845.9851868518</v>
      </c>
      <c r="AC17" s="263"/>
    </row>
    <row r="18" spans="1:29" ht="27" customHeight="1">
      <c r="A18" s="273" t="s">
        <v>162</v>
      </c>
      <c r="B18" s="20" t="s">
        <v>197</v>
      </c>
      <c r="C18" s="274">
        <v>42038</v>
      </c>
      <c r="D18" s="274">
        <v>54423</v>
      </c>
      <c r="E18" s="274"/>
      <c r="F18" s="275">
        <v>1079531.5155025455</v>
      </c>
      <c r="G18" s="276">
        <f>2.602%-G4</f>
        <v>2.6019999999999998E-2</v>
      </c>
      <c r="H18" s="276" t="s">
        <v>164</v>
      </c>
      <c r="I18" s="358"/>
      <c r="J18" s="278">
        <v>6907.23</v>
      </c>
      <c r="K18" s="278">
        <v>331.82</v>
      </c>
      <c r="L18" s="278">
        <v>7808.85</v>
      </c>
      <c r="M18" s="360">
        <f t="shared" si="4"/>
        <v>1071722.67</v>
      </c>
      <c r="N18" s="277">
        <v>6933.46</v>
      </c>
      <c r="O18" s="278">
        <v>333.08</v>
      </c>
      <c r="P18" s="278">
        <v>7782.62</v>
      </c>
      <c r="Q18" s="279">
        <f t="shared" si="5"/>
        <v>1063940.0499999998</v>
      </c>
      <c r="R18" s="277">
        <f t="shared" si="6"/>
        <v>6958.7493150054615</v>
      </c>
      <c r="S18" s="278">
        <f t="shared" si="7"/>
        <v>320.92617901639335</v>
      </c>
      <c r="T18" s="278">
        <f t="shared" si="8"/>
        <v>7757.3306849945384</v>
      </c>
      <c r="U18" s="279">
        <f t="shared" si="9"/>
        <v>1056182.7193150052</v>
      </c>
      <c r="V18" s="277">
        <f t="shared" si="10"/>
        <v>6908.0121333470825</v>
      </c>
      <c r="W18" s="278">
        <f t="shared" si="11"/>
        <v>318.58626287534577</v>
      </c>
      <c r="X18" s="278">
        <f t="shared" si="12"/>
        <v>7808.0678666529175</v>
      </c>
      <c r="Y18" s="279">
        <f t="shared" si="0"/>
        <v>1048374.6514483523</v>
      </c>
      <c r="Z18" s="277">
        <f t="shared" si="1"/>
        <v>29011.863890244284</v>
      </c>
      <c r="AA18" s="278">
        <f t="shared" si="2"/>
        <v>31156.868551647454</v>
      </c>
      <c r="AB18" s="275">
        <f t="shared" si="3"/>
        <v>1048374.6469508981</v>
      </c>
      <c r="AC18" s="263"/>
    </row>
    <row r="19" spans="1:29" ht="27" customHeight="1">
      <c r="A19" s="273" t="s">
        <v>163</v>
      </c>
      <c r="B19" s="20" t="s">
        <v>198</v>
      </c>
      <c r="C19" s="274">
        <v>42282</v>
      </c>
      <c r="D19" s="274">
        <v>54423</v>
      </c>
      <c r="E19" s="274"/>
      <c r="F19" s="275">
        <v>4401166.8607731638</v>
      </c>
      <c r="G19" s="276">
        <f>2.602%-G4</f>
        <v>2.6019999999999998E-2</v>
      </c>
      <c r="H19" s="276" t="s">
        <v>164</v>
      </c>
      <c r="I19" s="358"/>
      <c r="J19" s="278">
        <v>28160.25</v>
      </c>
      <c r="K19" s="278">
        <v>1352.82</v>
      </c>
      <c r="L19" s="278">
        <v>31836.080000000002</v>
      </c>
      <c r="M19" s="360">
        <f t="shared" si="4"/>
        <v>4369330.78</v>
      </c>
      <c r="N19" s="277">
        <v>28267.18</v>
      </c>
      <c r="O19" s="278">
        <v>1357.95</v>
      </c>
      <c r="P19" s="278">
        <v>31729.15</v>
      </c>
      <c r="Q19" s="279">
        <f t="shared" si="5"/>
        <v>4337601.63</v>
      </c>
      <c r="R19" s="277">
        <f t="shared" si="6"/>
        <v>28370.28493431475</v>
      </c>
      <c r="S19" s="278">
        <f t="shared" si="7"/>
        <v>1308.391311344262</v>
      </c>
      <c r="T19" s="278">
        <f t="shared" si="8"/>
        <v>31626.045065685252</v>
      </c>
      <c r="U19" s="279">
        <f t="shared" si="9"/>
        <v>4305975.5849343147</v>
      </c>
      <c r="V19" s="277">
        <f t="shared" si="10"/>
        <v>28163.433317593328</v>
      </c>
      <c r="W19" s="278">
        <f t="shared" si="11"/>
        <v>1298.8516518490389</v>
      </c>
      <c r="X19" s="278">
        <f t="shared" si="12"/>
        <v>31832.896682406674</v>
      </c>
      <c r="Y19" s="279">
        <f t="shared" si="0"/>
        <v>4274142.6882519079</v>
      </c>
      <c r="Z19" s="277">
        <f t="shared" si="1"/>
        <v>118279.16121510138</v>
      </c>
      <c r="AA19" s="278">
        <f t="shared" si="2"/>
        <v>127024.17174809193</v>
      </c>
      <c r="AB19" s="275">
        <f t="shared" si="3"/>
        <v>4274142.6890250724</v>
      </c>
      <c r="AC19" s="263"/>
    </row>
    <row r="20" spans="1:29" ht="27" customHeight="1">
      <c r="A20" s="273" t="s">
        <v>165</v>
      </c>
      <c r="B20" s="20" t="s">
        <v>199</v>
      </c>
      <c r="C20" s="274">
        <v>42632</v>
      </c>
      <c r="D20" s="274">
        <v>54423</v>
      </c>
      <c r="E20" s="274"/>
      <c r="F20" s="275">
        <v>3327030.9214991108</v>
      </c>
      <c r="G20" s="276">
        <f>2.631%-G4</f>
        <v>2.6309999999999997E-2</v>
      </c>
      <c r="H20" s="44" t="s">
        <v>164</v>
      </c>
      <c r="I20" s="359"/>
      <c r="J20" s="278">
        <v>21524.799999999999</v>
      </c>
      <c r="K20" s="278">
        <v>1022.65</v>
      </c>
      <c r="L20" s="278">
        <v>23976.51</v>
      </c>
      <c r="M20" s="360">
        <f t="shared" si="4"/>
        <v>3303054.41</v>
      </c>
      <c r="N20" s="277">
        <v>21607.119999999999</v>
      </c>
      <c r="O20" s="278">
        <v>1026.56</v>
      </c>
      <c r="P20" s="278">
        <v>23894.19</v>
      </c>
      <c r="Q20" s="279">
        <f t="shared" si="5"/>
        <v>3279160.22</v>
      </c>
      <c r="R20" s="277">
        <f t="shared" si="6"/>
        <v>21686.537966432785</v>
      </c>
      <c r="S20" s="278">
        <f t="shared" si="7"/>
        <v>989.12373849180335</v>
      </c>
      <c r="T20" s="278">
        <f t="shared" si="8"/>
        <v>23814.772033567213</v>
      </c>
      <c r="U20" s="279">
        <f t="shared" si="9"/>
        <v>3255345.4479664331</v>
      </c>
      <c r="V20" s="277">
        <f t="shared" si="10"/>
        <v>21529.040338010138</v>
      </c>
      <c r="W20" s="278">
        <f t="shared" si="11"/>
        <v>981.94026627184201</v>
      </c>
      <c r="X20" s="278">
        <f t="shared" si="12"/>
        <v>23972.26966198986</v>
      </c>
      <c r="Y20" s="279">
        <f t="shared" si="0"/>
        <v>3231373.1783044431</v>
      </c>
      <c r="Z20" s="277">
        <f t="shared" si="1"/>
        <v>90367.772309206557</v>
      </c>
      <c r="AA20" s="278">
        <f t="shared" si="2"/>
        <v>95657.741695557066</v>
      </c>
      <c r="AB20" s="275">
        <f t="shared" si="3"/>
        <v>3231373.1798035535</v>
      </c>
      <c r="AC20" s="263"/>
    </row>
    <row r="21" spans="1:29" ht="27" customHeight="1">
      <c r="A21" s="273" t="s">
        <v>172</v>
      </c>
      <c r="B21" s="20" t="s">
        <v>184</v>
      </c>
      <c r="C21" s="274">
        <v>42905</v>
      </c>
      <c r="D21" s="274">
        <v>54423</v>
      </c>
      <c r="E21" s="356"/>
      <c r="F21" s="275">
        <v>3911325.5544478251</v>
      </c>
      <c r="G21" s="276">
        <f>2.631%-G4</f>
        <v>2.6309999999999997E-2</v>
      </c>
      <c r="H21" s="44" t="s">
        <v>164</v>
      </c>
      <c r="I21" s="359">
        <v>0.01</v>
      </c>
      <c r="J21" s="278">
        <v>25304.99</v>
      </c>
      <c r="K21" s="278">
        <v>1202.25</v>
      </c>
      <c r="L21" s="278">
        <v>28187.279999999999</v>
      </c>
      <c r="M21" s="360">
        <f>ROUND(F21-L21,2)+I21</f>
        <v>3883138.28</v>
      </c>
      <c r="N21" s="277">
        <v>25401.77</v>
      </c>
      <c r="O21" s="278">
        <v>1206.8499999999999</v>
      </c>
      <c r="P21" s="278">
        <v>28090.5</v>
      </c>
      <c r="Q21" s="279">
        <f>M21-P21</f>
        <v>3855047.78</v>
      </c>
      <c r="R21" s="277">
        <f t="shared" si="6"/>
        <v>25495.137301763931</v>
      </c>
      <c r="S21" s="278">
        <f t="shared" si="7"/>
        <v>1162.8340844590161</v>
      </c>
      <c r="T21" s="278">
        <f t="shared" si="8"/>
        <v>27997.132698236073</v>
      </c>
      <c r="U21" s="279">
        <f t="shared" si="9"/>
        <v>3827050.6473017638</v>
      </c>
      <c r="V21" s="277">
        <f t="shared" si="10"/>
        <v>25309.979871057003</v>
      </c>
      <c r="W21" s="278">
        <f t="shared" si="11"/>
        <v>1154.3890477106959</v>
      </c>
      <c r="X21" s="278">
        <f t="shared" si="12"/>
        <v>28182.290128943001</v>
      </c>
      <c r="Y21" s="279">
        <f t="shared" si="0"/>
        <v>3798868.3571728207</v>
      </c>
      <c r="Z21" s="277">
        <f t="shared" si="1"/>
        <v>106238.20030499063</v>
      </c>
      <c r="AA21" s="278">
        <f t="shared" si="2"/>
        <v>112457.20282717908</v>
      </c>
      <c r="AB21" s="275">
        <f t="shared" si="3"/>
        <v>3798868.3516206462</v>
      </c>
      <c r="AC21" s="263"/>
    </row>
    <row r="22" spans="1:29" ht="27" customHeight="1">
      <c r="A22" s="20" t="s">
        <v>177</v>
      </c>
      <c r="B22" s="20" t="s">
        <v>200</v>
      </c>
      <c r="C22" s="274">
        <v>43165</v>
      </c>
      <c r="D22" s="274">
        <v>54423</v>
      </c>
      <c r="E22" s="274"/>
      <c r="F22" s="275">
        <v>1984640.0311434299</v>
      </c>
      <c r="G22" s="276">
        <f>2.301%-G4</f>
        <v>2.3010000000000003E-2</v>
      </c>
      <c r="H22" s="44" t="s">
        <v>164</v>
      </c>
      <c r="I22" s="359"/>
      <c r="J22" s="278">
        <v>11229.48</v>
      </c>
      <c r="K22" s="278">
        <v>610.03</v>
      </c>
      <c r="L22" s="278">
        <v>14921.42</v>
      </c>
      <c r="M22" s="360">
        <f t="shared" si="4"/>
        <v>1969718.61</v>
      </c>
      <c r="N22" s="277">
        <v>11268.89</v>
      </c>
      <c r="O22" s="278">
        <v>612.16999999999996</v>
      </c>
      <c r="P22" s="278">
        <v>14882.01</v>
      </c>
      <c r="Q22" s="279">
        <f t="shared" si="5"/>
        <v>1954836.6</v>
      </c>
      <c r="R22" s="277">
        <f t="shared" si="6"/>
        <v>11306.646708393444</v>
      </c>
      <c r="S22" s="278">
        <f t="shared" si="7"/>
        <v>589.65563016393435</v>
      </c>
      <c r="T22" s="278">
        <f t="shared" si="8"/>
        <v>14844.253291606557</v>
      </c>
      <c r="U22" s="279">
        <f t="shared" si="9"/>
        <v>1939992.3467083934</v>
      </c>
      <c r="V22" s="277">
        <f t="shared" si="10"/>
        <v>11220.788520748449</v>
      </c>
      <c r="W22" s="278">
        <f t="shared" si="11"/>
        <v>585.17801933499072</v>
      </c>
      <c r="X22" s="278">
        <f t="shared" si="12"/>
        <v>14930.111479251553</v>
      </c>
      <c r="Y22" s="279">
        <f t="shared" si="0"/>
        <v>1925062.2352291418</v>
      </c>
      <c r="Z22" s="277">
        <f t="shared" si="1"/>
        <v>47422.838878640825</v>
      </c>
      <c r="AA22" s="278">
        <f t="shared" si="2"/>
        <v>59577.794770858112</v>
      </c>
      <c r="AB22" s="275">
        <f t="shared" si="3"/>
        <v>1925062.2363725719</v>
      </c>
      <c r="AC22" s="263"/>
    </row>
    <row r="23" spans="1:29" ht="27" customHeight="1">
      <c r="A23" s="20" t="s">
        <v>178</v>
      </c>
      <c r="B23" s="20" t="s">
        <v>201</v>
      </c>
      <c r="C23" s="274">
        <v>43284</v>
      </c>
      <c r="D23" s="274">
        <v>54423</v>
      </c>
      <c r="E23" s="274"/>
      <c r="F23" s="275">
        <v>2180848.9784352933</v>
      </c>
      <c r="G23" s="276">
        <f>2.301%-G4</f>
        <v>2.3010000000000003E-2</v>
      </c>
      <c r="H23" s="44" t="s">
        <v>164</v>
      </c>
      <c r="I23" s="359"/>
      <c r="J23" s="278">
        <v>12339.67</v>
      </c>
      <c r="K23" s="278">
        <v>670.34</v>
      </c>
      <c r="L23" s="278">
        <v>16396.61</v>
      </c>
      <c r="M23" s="360">
        <f t="shared" si="4"/>
        <v>2164452.37</v>
      </c>
      <c r="N23" s="277">
        <v>12382.97</v>
      </c>
      <c r="O23" s="278">
        <v>672.7</v>
      </c>
      <c r="P23" s="278">
        <v>16353.31</v>
      </c>
      <c r="Q23" s="279">
        <f t="shared" si="5"/>
        <v>2148099.06</v>
      </c>
      <c r="R23" s="277">
        <f t="shared" si="6"/>
        <v>12424.464104085246</v>
      </c>
      <c r="S23" s="278">
        <f t="shared" si="7"/>
        <v>647.95119186885245</v>
      </c>
      <c r="T23" s="278">
        <f t="shared" si="8"/>
        <v>16311.815895914753</v>
      </c>
      <c r="U23" s="279">
        <f t="shared" si="9"/>
        <v>2131787.2441040855</v>
      </c>
      <c r="V23" s="277">
        <f t="shared" si="10"/>
        <v>12330.11763057055</v>
      </c>
      <c r="W23" s="278">
        <f t="shared" si="11"/>
        <v>643.03090641828146</v>
      </c>
      <c r="X23" s="278">
        <f t="shared" si="12"/>
        <v>16406.162369429447</v>
      </c>
      <c r="Y23" s="279">
        <f t="shared" si="0"/>
        <v>2115381.0817346559</v>
      </c>
      <c r="Z23" s="277">
        <f t="shared" si="1"/>
        <v>52111.243832942928</v>
      </c>
      <c r="AA23" s="278">
        <f t="shared" si="2"/>
        <v>65467.8982653442</v>
      </c>
      <c r="AB23" s="275">
        <f t="shared" si="3"/>
        <v>2115381.0801699492</v>
      </c>
      <c r="AC23" s="263"/>
    </row>
    <row r="24" spans="1:29" ht="27" customHeight="1">
      <c r="A24" s="20" t="s">
        <v>182</v>
      </c>
      <c r="B24" s="20" t="s">
        <v>202</v>
      </c>
      <c r="C24" s="274">
        <v>43441</v>
      </c>
      <c r="D24" s="274">
        <v>55884</v>
      </c>
      <c r="E24" s="274"/>
      <c r="F24" s="275">
        <v>2960673.0920707835</v>
      </c>
      <c r="G24" s="276">
        <f>3.046%-G4</f>
        <v>3.0459999999999997E-2</v>
      </c>
      <c r="H24" s="44" t="s">
        <v>164</v>
      </c>
      <c r="I24" s="359"/>
      <c r="J24" s="278">
        <v>22175.93</v>
      </c>
      <c r="K24" s="278">
        <v>910.04</v>
      </c>
      <c r="L24" s="278">
        <v>16342.33</v>
      </c>
      <c r="M24" s="360">
        <f t="shared" si="4"/>
        <v>2944330.76</v>
      </c>
      <c r="N24" s="277">
        <v>22298.560000000001</v>
      </c>
      <c r="O24" s="278">
        <v>915.08</v>
      </c>
      <c r="P24" s="278">
        <v>16219.7</v>
      </c>
      <c r="Q24" s="279">
        <f t="shared" si="5"/>
        <v>2928111.0599999996</v>
      </c>
      <c r="R24" s="277">
        <f t="shared" si="6"/>
        <v>22419.410343331143</v>
      </c>
      <c r="S24" s="278">
        <f t="shared" si="7"/>
        <v>883.23350006557348</v>
      </c>
      <c r="T24" s="278">
        <f t="shared" si="8"/>
        <v>16098.849656668859</v>
      </c>
      <c r="U24" s="279">
        <f t="shared" si="9"/>
        <v>2912012.2103433306</v>
      </c>
      <c r="V24" s="277">
        <f t="shared" si="10"/>
        <v>22296.147697511809</v>
      </c>
      <c r="W24" s="278">
        <f t="shared" si="11"/>
        <v>878.37745361175871</v>
      </c>
      <c r="X24" s="278">
        <f t="shared" si="12"/>
        <v>16222.112302488193</v>
      </c>
      <c r="Y24" s="279">
        <f t="shared" si="0"/>
        <v>2895790.0980408425</v>
      </c>
      <c r="Z24" s="277">
        <f t="shared" si="1"/>
        <v>92776.778994520282</v>
      </c>
      <c r="AA24" s="278">
        <f t="shared" si="2"/>
        <v>64882.991959157051</v>
      </c>
      <c r="AB24" s="275">
        <f t="shared" si="3"/>
        <v>2895790.1001116266</v>
      </c>
      <c r="AC24" s="263"/>
    </row>
    <row r="25" spans="1:29" ht="27" customHeight="1">
      <c r="A25" s="20" t="s">
        <v>203</v>
      </c>
      <c r="B25" s="20" t="s">
        <v>204</v>
      </c>
      <c r="C25" s="274">
        <v>43662</v>
      </c>
      <c r="D25" s="274">
        <v>55884</v>
      </c>
      <c r="E25" s="274"/>
      <c r="F25" s="275">
        <v>2934878.5904949033</v>
      </c>
      <c r="G25" s="276">
        <f>2.44%-G4</f>
        <v>2.4399999999999998E-2</v>
      </c>
      <c r="H25" s="44" t="s">
        <v>164</v>
      </c>
      <c r="I25" s="359"/>
      <c r="J25" s="278">
        <v>17609.27</v>
      </c>
      <c r="K25" s="278">
        <v>902.11</v>
      </c>
      <c r="L25" s="278">
        <v>17758.580000000002</v>
      </c>
      <c r="M25" s="360">
        <f t="shared" si="4"/>
        <v>2917120.01</v>
      </c>
      <c r="N25" s="277">
        <v>17697.189999999999</v>
      </c>
      <c r="O25" s="278">
        <v>906.62</v>
      </c>
      <c r="P25" s="278">
        <v>17670.66</v>
      </c>
      <c r="Q25" s="279">
        <f t="shared" si="5"/>
        <v>2899449.3499999996</v>
      </c>
      <c r="R25" s="277">
        <f t="shared" si="6"/>
        <v>17783.289346666661</v>
      </c>
      <c r="S25" s="278">
        <f t="shared" si="7"/>
        <v>874.58800065573757</v>
      </c>
      <c r="T25" s="278">
        <f t="shared" si="8"/>
        <v>17584.560653333338</v>
      </c>
      <c r="U25" s="279">
        <f t="shared" si="9"/>
        <v>2881864.7893466661</v>
      </c>
      <c r="V25" s="277">
        <f t="shared" si="10"/>
        <v>17675.437374659552</v>
      </c>
      <c r="W25" s="278">
        <f t="shared" si="11"/>
        <v>869.28380531112543</v>
      </c>
      <c r="X25" s="278">
        <f t="shared" si="12"/>
        <v>17692.412625340447</v>
      </c>
      <c r="Y25" s="279">
        <f t="shared" si="0"/>
        <v>2864172.3767213258</v>
      </c>
      <c r="Z25" s="277">
        <f t="shared" si="1"/>
        <v>74317.788527293058</v>
      </c>
      <c r="AA25" s="278">
        <f t="shared" si="2"/>
        <v>70706.213278673793</v>
      </c>
      <c r="AB25" s="275">
        <f t="shared" si="3"/>
        <v>2864172.3772162297</v>
      </c>
      <c r="AC25" s="263"/>
    </row>
    <row r="26" spans="1:29" ht="27" customHeight="1">
      <c r="A26" s="20" t="s">
        <v>215</v>
      </c>
      <c r="B26" s="20" t="s">
        <v>216</v>
      </c>
      <c r="C26" s="274">
        <v>43854</v>
      </c>
      <c r="D26" s="274">
        <v>55884</v>
      </c>
      <c r="E26" s="274"/>
      <c r="F26" s="275">
        <v>2184807.3937449222</v>
      </c>
      <c r="G26" s="44">
        <f>2.043%-G4</f>
        <v>2.043E-2</v>
      </c>
      <c r="H26" s="44" t="s">
        <v>164</v>
      </c>
      <c r="I26" s="359"/>
      <c r="J26" s="278">
        <v>10975.97</v>
      </c>
      <c r="K26" s="278">
        <v>671.56</v>
      </c>
      <c r="L26" s="278">
        <v>14029.42</v>
      </c>
      <c r="M26" s="360">
        <f t="shared" si="4"/>
        <v>2170777.9700000002</v>
      </c>
      <c r="N26" s="277">
        <v>11026.66</v>
      </c>
      <c r="O26" s="278">
        <v>674.66</v>
      </c>
      <c r="P26" s="278">
        <v>13978.73</v>
      </c>
      <c r="Q26" s="279">
        <f t="shared" si="5"/>
        <v>2156799.2400000002</v>
      </c>
      <c r="R26" s="277">
        <f t="shared" si="6"/>
        <v>11076.048031514756</v>
      </c>
      <c r="S26" s="278">
        <f t="shared" si="7"/>
        <v>650.57550845901642</v>
      </c>
      <c r="T26" s="278">
        <f t="shared" si="8"/>
        <v>13929.341968485243</v>
      </c>
      <c r="U26" s="279">
        <f t="shared" si="9"/>
        <v>2142869.8980315151</v>
      </c>
      <c r="V26" s="277">
        <f t="shared" si="10"/>
        <v>11004.515151759875</v>
      </c>
      <c r="W26" s="278">
        <f t="shared" si="11"/>
        <v>646.37387088163723</v>
      </c>
      <c r="X26" s="278">
        <f t="shared" si="12"/>
        <v>14000.874848240124</v>
      </c>
      <c r="Y26" s="279">
        <f t="shared" si="0"/>
        <v>2128869.023183275</v>
      </c>
      <c r="Z26" s="277">
        <f t="shared" si="1"/>
        <v>46726.362562615279</v>
      </c>
      <c r="AA26" s="278">
        <f t="shared" si="2"/>
        <v>55938.366816725364</v>
      </c>
      <c r="AB26" s="275">
        <f t="shared" si="3"/>
        <v>2128869.0269281967</v>
      </c>
      <c r="AC26" s="263"/>
    </row>
    <row r="27" spans="1:29" ht="27" customHeight="1">
      <c r="A27" s="20" t="s">
        <v>219</v>
      </c>
      <c r="B27" s="20" t="s">
        <v>220</v>
      </c>
      <c r="C27" s="274">
        <v>44011</v>
      </c>
      <c r="D27" s="274">
        <v>55884</v>
      </c>
      <c r="E27" s="274"/>
      <c r="F27" s="275">
        <v>2182131.2559250924</v>
      </c>
      <c r="G27" s="44">
        <f>1.133%-G4</f>
        <v>1.133E-2</v>
      </c>
      <c r="H27" s="44" t="s">
        <v>164</v>
      </c>
      <c r="I27" s="359"/>
      <c r="J27" s="278">
        <v>6079.56</v>
      </c>
      <c r="K27" s="278">
        <v>670.74</v>
      </c>
      <c r="L27" s="278">
        <v>16016.2</v>
      </c>
      <c r="M27" s="360">
        <f t="shared" si="4"/>
        <v>2166115.06</v>
      </c>
      <c r="N27" s="277">
        <v>6101.99</v>
      </c>
      <c r="O27" s="278">
        <v>673.21</v>
      </c>
      <c r="P27" s="278">
        <v>15993.77</v>
      </c>
      <c r="Q27" s="279">
        <f t="shared" si="5"/>
        <v>2150121.29</v>
      </c>
      <c r="R27" s="277">
        <f t="shared" si="6"/>
        <v>6123.4984367333336</v>
      </c>
      <c r="S27" s="278">
        <f t="shared" si="7"/>
        <v>648.56117599999993</v>
      </c>
      <c r="T27" s="278">
        <f t="shared" si="8"/>
        <v>15972.261563266668</v>
      </c>
      <c r="U27" s="279">
        <f t="shared" si="9"/>
        <v>2134149.0284367334</v>
      </c>
      <c r="V27" s="277">
        <f t="shared" si="10"/>
        <v>6078.0097849216208</v>
      </c>
      <c r="W27" s="278">
        <f t="shared" si="11"/>
        <v>643.74331349567035</v>
      </c>
      <c r="X27" s="278">
        <f t="shared" si="12"/>
        <v>16017.75021507838</v>
      </c>
      <c r="Y27" s="279">
        <f t="shared" si="0"/>
        <v>2118131.2782216552</v>
      </c>
      <c r="Z27" s="278">
        <f t="shared" si="1"/>
        <v>27019.312711150626</v>
      </c>
      <c r="AA27" s="278">
        <f t="shared" si="2"/>
        <v>63999.981778345056</v>
      </c>
      <c r="AB27" s="275">
        <f t="shared" si="3"/>
        <v>2118131.2741467473</v>
      </c>
      <c r="AC27" s="263"/>
    </row>
    <row r="28" spans="1:29" ht="27" customHeight="1">
      <c r="A28" s="20" t="s">
        <v>243</v>
      </c>
      <c r="B28" s="20" t="s">
        <v>244</v>
      </c>
      <c r="C28" s="274">
        <v>44250</v>
      </c>
      <c r="D28" s="274">
        <v>55884</v>
      </c>
      <c r="E28" s="274"/>
      <c r="F28" s="275">
        <v>2887818.6868902771</v>
      </c>
      <c r="G28" s="44">
        <f>2.522%-G4</f>
        <v>2.5219999999999999E-2</v>
      </c>
      <c r="H28" s="44" t="s">
        <v>164</v>
      </c>
      <c r="I28" s="359"/>
      <c r="J28" s="278">
        <v>17909.21</v>
      </c>
      <c r="K28" s="278">
        <v>887.65</v>
      </c>
      <c r="L28" s="278">
        <v>17259.32</v>
      </c>
      <c r="M28" s="360">
        <f t="shared" si="4"/>
        <v>2870559.37</v>
      </c>
      <c r="N28" s="277">
        <v>17999.98</v>
      </c>
      <c r="O28" s="278">
        <v>892.15</v>
      </c>
      <c r="P28" s="278">
        <v>17168.55</v>
      </c>
      <c r="Q28" s="279">
        <f t="shared" si="5"/>
        <v>2853390.8200000003</v>
      </c>
      <c r="R28" s="277">
        <f t="shared" si="6"/>
        <v>18088.938568843718</v>
      </c>
      <c r="S28" s="278">
        <f t="shared" si="7"/>
        <v>860.69493586885255</v>
      </c>
      <c r="T28" s="278">
        <f t="shared" si="8"/>
        <v>17079.591431156281</v>
      </c>
      <c r="U28" s="279">
        <f>Q28-T28</f>
        <v>2836311.228568844</v>
      </c>
      <c r="V28" s="277">
        <f t="shared" si="10"/>
        <v>17980.66329228026</v>
      </c>
      <c r="W28" s="278">
        <f t="shared" si="11"/>
        <v>855.54305910929065</v>
      </c>
      <c r="X28" s="278">
        <f t="shared" si="12"/>
        <v>17187.866707719739</v>
      </c>
      <c r="Y28" s="279">
        <f t="shared" si="0"/>
        <v>2819123.3618611242</v>
      </c>
      <c r="Z28" s="278">
        <f t="shared" si="1"/>
        <v>75474.829856102107</v>
      </c>
      <c r="AA28" s="278">
        <f t="shared" si="2"/>
        <v>68695.328138876008</v>
      </c>
      <c r="AB28" s="275">
        <f t="shared" si="3"/>
        <v>2819123.3587514013</v>
      </c>
      <c r="AC28" s="263"/>
    </row>
    <row r="29" spans="1:29" ht="27" customHeight="1">
      <c r="A29" s="20" t="s">
        <v>245</v>
      </c>
      <c r="B29" s="20" t="s">
        <v>246</v>
      </c>
      <c r="C29" s="274">
        <v>44529</v>
      </c>
      <c r="D29" s="274">
        <v>55884</v>
      </c>
      <c r="E29" s="274"/>
      <c r="F29" s="275">
        <v>2575750.220919752</v>
      </c>
      <c r="G29" s="44">
        <f>2.522%-G4</f>
        <v>2.5219999999999999E-2</v>
      </c>
      <c r="H29" s="44" t="s">
        <v>164</v>
      </c>
      <c r="I29" s="359"/>
      <c r="J29" s="278">
        <v>15973.87</v>
      </c>
      <c r="K29" s="278">
        <v>791.73</v>
      </c>
      <c r="L29" s="278">
        <v>15394.22</v>
      </c>
      <c r="M29" s="360">
        <f t="shared" si="4"/>
        <v>2560356</v>
      </c>
      <c r="N29" s="277">
        <v>16054.83</v>
      </c>
      <c r="O29" s="278">
        <v>795.74</v>
      </c>
      <c r="P29" s="278">
        <v>15313.26</v>
      </c>
      <c r="Q29" s="279">
        <f t="shared" si="5"/>
        <v>2545042.7400000002</v>
      </c>
      <c r="R29" s="277">
        <f t="shared" si="6"/>
        <v>16134.180237862296</v>
      </c>
      <c r="S29" s="278">
        <f t="shared" si="7"/>
        <v>767.68502321311485</v>
      </c>
      <c r="T29" s="278">
        <f t="shared" si="8"/>
        <v>15233.909762137704</v>
      </c>
      <c r="U29" s="279">
        <f>+Q29-T29</f>
        <v>2529808.8302378627</v>
      </c>
      <c r="V29" s="277">
        <f t="shared" si="10"/>
        <v>16037.605574511197</v>
      </c>
      <c r="W29" s="278">
        <f t="shared" si="11"/>
        <v>763.08987666191251</v>
      </c>
      <c r="X29" s="278">
        <f t="shared" si="12"/>
        <v>15330.484425488803</v>
      </c>
      <c r="Y29" s="279">
        <f t="shared" si="0"/>
        <v>2514478.3458123738</v>
      </c>
      <c r="Z29" s="278">
        <f t="shared" si="1"/>
        <v>67318.730712248522</v>
      </c>
      <c r="AA29" s="278">
        <f t="shared" si="2"/>
        <v>61271.874187626505</v>
      </c>
      <c r="AB29" s="275">
        <f t="shared" si="3"/>
        <v>2514478.3467321256</v>
      </c>
      <c r="AC29" s="263"/>
    </row>
    <row r="30" spans="1:29" ht="27" customHeight="1">
      <c r="A30" s="20" t="s">
        <v>247</v>
      </c>
      <c r="B30" s="20" t="s">
        <v>248</v>
      </c>
      <c r="C30" s="274">
        <v>44700</v>
      </c>
      <c r="D30" s="274">
        <v>55884</v>
      </c>
      <c r="E30" s="274">
        <v>47391</v>
      </c>
      <c r="F30" s="275">
        <v>2914356.16</v>
      </c>
      <c r="G30" s="44">
        <f>3.879%-G4</f>
        <v>3.8789999999999998E-2</v>
      </c>
      <c r="H30" s="44" t="s">
        <v>113</v>
      </c>
      <c r="I30" s="359"/>
      <c r="J30" s="278">
        <v>27798.66</v>
      </c>
      <c r="K30" s="278">
        <v>895.81</v>
      </c>
      <c r="L30" s="278">
        <v>14151.14</v>
      </c>
      <c r="M30" s="360">
        <f t="shared" si="4"/>
        <v>2900205.02</v>
      </c>
      <c r="N30" s="277">
        <v>27971.05</v>
      </c>
      <c r="O30" s="278">
        <v>901.36</v>
      </c>
      <c r="P30" s="278">
        <v>13978.75</v>
      </c>
      <c r="Q30" s="279">
        <f t="shared" si="5"/>
        <v>2886226.27</v>
      </c>
      <c r="R30" s="277">
        <f t="shared" si="6"/>
        <v>28142.125588042618</v>
      </c>
      <c r="S30" s="278">
        <f t="shared" si="7"/>
        <v>870.59939947540965</v>
      </c>
      <c r="T30" s="278">
        <f t="shared" si="8"/>
        <v>13807.674411957385</v>
      </c>
      <c r="U30" s="279">
        <f>+Q30-T30</f>
        <v>2872418.5955880424</v>
      </c>
      <c r="V30" s="277">
        <f t="shared" si="10"/>
        <v>28007.493971866486</v>
      </c>
      <c r="W30" s="278">
        <f t="shared" si="11"/>
        <v>866.43446161999964</v>
      </c>
      <c r="X30" s="278">
        <f t="shared" si="12"/>
        <v>13942.306028133517</v>
      </c>
      <c r="Y30" s="279">
        <f t="shared" si="0"/>
        <v>2858476.2895599087</v>
      </c>
      <c r="Z30" s="278">
        <f t="shared" si="1"/>
        <v>115453.53342100451</v>
      </c>
      <c r="AA30" s="278">
        <f t="shared" si="2"/>
        <v>55879.870440090905</v>
      </c>
      <c r="AB30" s="275">
        <f t="shared" si="3"/>
        <v>2858476.2895599091</v>
      </c>
      <c r="AC30" s="263"/>
    </row>
    <row r="31" spans="1:29" ht="27" customHeight="1">
      <c r="A31" s="20" t="s">
        <v>249</v>
      </c>
      <c r="B31" s="20" t="s">
        <v>250</v>
      </c>
      <c r="C31" s="274">
        <v>44812</v>
      </c>
      <c r="D31" s="274">
        <v>55884</v>
      </c>
      <c r="E31" s="274">
        <v>45930</v>
      </c>
      <c r="F31" s="275">
        <v>2269675.25</v>
      </c>
      <c r="G31" s="44">
        <f>3.532%-G4</f>
        <v>3.5319999999999997E-2</v>
      </c>
      <c r="H31" s="44" t="s">
        <v>113</v>
      </c>
      <c r="I31" s="359"/>
      <c r="J31" s="278">
        <v>19712.689999999999</v>
      </c>
      <c r="K31" s="278">
        <v>697.65</v>
      </c>
      <c r="L31" s="278">
        <v>11628.11</v>
      </c>
      <c r="M31" s="360">
        <f t="shared" si="4"/>
        <v>2258047.14</v>
      </c>
      <c r="N31" s="277">
        <v>19829.599999999999</v>
      </c>
      <c r="O31" s="278">
        <v>701.78</v>
      </c>
      <c r="P31" s="278">
        <v>11511.2</v>
      </c>
      <c r="Q31" s="279">
        <f t="shared" si="5"/>
        <v>2246535.94</v>
      </c>
      <c r="R31" s="277">
        <f t="shared" si="6"/>
        <v>19945.310778343166</v>
      </c>
      <c r="S31" s="278">
        <f t="shared" si="7"/>
        <v>677.6436278032786</v>
      </c>
      <c r="T31" s="278">
        <f t="shared" si="8"/>
        <v>11395.489221656833</v>
      </c>
      <c r="U31" s="279">
        <f>+Q31-T31</f>
        <v>2235140.4507783432</v>
      </c>
      <c r="V31" s="277">
        <f t="shared" si="10"/>
        <v>19844.138760593385</v>
      </c>
      <c r="W31" s="278">
        <f t="shared" si="11"/>
        <v>674.20629990691009</v>
      </c>
      <c r="X31" s="278">
        <f t="shared" si="12"/>
        <v>11496.661239406614</v>
      </c>
      <c r="Y31" s="279">
        <f t="shared" si="0"/>
        <v>2223643.7895389367</v>
      </c>
      <c r="Z31" s="278">
        <f t="shared" si="1"/>
        <v>82083.019466646743</v>
      </c>
      <c r="AA31" s="278">
        <f t="shared" si="2"/>
        <v>46031.460461063456</v>
      </c>
      <c r="AB31" s="275">
        <f t="shared" si="3"/>
        <v>2223643.7895389367</v>
      </c>
      <c r="AC31" s="263"/>
    </row>
    <row r="32" spans="1:29" ht="27" customHeight="1">
      <c r="A32" s="20"/>
      <c r="B32" s="20"/>
      <c r="C32" s="274"/>
      <c r="D32" s="274"/>
      <c r="E32" s="274"/>
      <c r="F32" s="275"/>
      <c r="G32" s="44"/>
      <c r="H32" s="44"/>
      <c r="I32" s="359"/>
      <c r="J32" s="278"/>
      <c r="K32" s="278"/>
      <c r="L32" s="278"/>
      <c r="M32" s="279"/>
      <c r="N32" s="277"/>
      <c r="O32" s="278"/>
      <c r="P32" s="278"/>
      <c r="Q32" s="279"/>
      <c r="R32" s="283"/>
      <c r="S32" s="278"/>
      <c r="T32" s="278"/>
      <c r="U32" s="279"/>
      <c r="V32" s="277"/>
      <c r="W32" s="278"/>
      <c r="X32" s="278"/>
      <c r="Y32" s="279"/>
      <c r="Z32" s="278"/>
      <c r="AA32" s="278"/>
      <c r="AB32" s="275"/>
      <c r="AC32" s="263"/>
    </row>
    <row r="33" spans="1:29" ht="25.5" customHeight="1">
      <c r="A33" s="273"/>
      <c r="B33" s="273"/>
      <c r="C33" s="273"/>
      <c r="D33" s="273"/>
      <c r="E33" s="287" t="s">
        <v>257</v>
      </c>
      <c r="F33" s="288">
        <f>SUM(F5:F31)</f>
        <v>52578399.113046497</v>
      </c>
      <c r="G33" s="289"/>
      <c r="H33" s="289"/>
      <c r="I33" s="357"/>
      <c r="J33" s="277">
        <f t="shared" ref="J33:Q33" si="13">SUM(J5:J31)</f>
        <v>372724.1</v>
      </c>
      <c r="K33" s="278">
        <f t="shared" si="13"/>
        <v>16161.389999999998</v>
      </c>
      <c r="L33" s="278">
        <f t="shared" si="13"/>
        <v>434871.51</v>
      </c>
      <c r="M33" s="366">
        <f t="shared" si="13"/>
        <v>52143527.609999999</v>
      </c>
      <c r="N33" s="277">
        <f t="shared" si="13"/>
        <v>373482.83999999985</v>
      </c>
      <c r="O33" s="278">
        <f t="shared" si="13"/>
        <v>16205.790000000003</v>
      </c>
      <c r="P33" s="278">
        <f t="shared" si="13"/>
        <v>434112.77</v>
      </c>
      <c r="Q33" s="324">
        <f t="shared" si="13"/>
        <v>51709414.840000004</v>
      </c>
      <c r="R33" s="290">
        <f>SUM(R5:R31)</f>
        <v>374170.54711866658</v>
      </c>
      <c r="S33" s="275">
        <f>SUM(S5:S31)</f>
        <v>15597.593984524588</v>
      </c>
      <c r="T33" s="275">
        <f>SUM(T5:T31)</f>
        <v>433425.06288133335</v>
      </c>
      <c r="U33" s="324">
        <f>SUM(U5:U31)</f>
        <v>51275989.777118675</v>
      </c>
      <c r="V33" s="291">
        <f t="shared" ref="V33:AA33" si="14">SUM(V5:V31)</f>
        <v>370756.69499632862</v>
      </c>
      <c r="W33" s="275">
        <f t="shared" si="14"/>
        <v>15466.855932770217</v>
      </c>
      <c r="X33" s="275">
        <f t="shared" si="14"/>
        <v>436838.91500367125</v>
      </c>
      <c r="Y33" s="129">
        <f t="shared" si="14"/>
        <v>50839150.862114996</v>
      </c>
      <c r="Z33" s="278">
        <f t="shared" si="14"/>
        <v>1554565.8120322896</v>
      </c>
      <c r="AA33" s="278">
        <f t="shared" si="14"/>
        <v>1739248.2578850049</v>
      </c>
      <c r="AB33" s="292">
        <f>SUM(AB5:AB31)</f>
        <v>50839150.855161503</v>
      </c>
      <c r="AC33" s="263"/>
    </row>
  </sheetData>
  <mergeCells count="4">
    <mergeCell ref="AZ1:BB1"/>
    <mergeCell ref="Z1:AY1"/>
    <mergeCell ref="V1:X1"/>
    <mergeCell ref="I3:I4"/>
  </mergeCells>
  <phoneticPr fontId="20" type="noConversion"/>
  <printOptions verticalCentered="1"/>
  <pageMargins left="0.25" right="0.25" top="0.75" bottom="0.75" header="0.3" footer="0.3"/>
  <pageSetup scale="42" orientation="landscape" copies="3" r:id="rId1"/>
  <headerFooter alignWithMargins="0"/>
  <colBreaks count="5" manualBreakCount="5">
    <brk id="13" max="46" man="1"/>
    <brk id="17" max="46" man="1"/>
    <brk id="21" max="46" man="1"/>
    <brk id="25" max="46" man="1"/>
    <brk id="29" max="4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21</vt:i4>
      </vt:variant>
    </vt:vector>
  </HeadingPairs>
  <TitlesOfParts>
    <vt:vector size="35" baseType="lpstr">
      <vt:lpstr>OLD - RUS Payts</vt:lpstr>
      <vt:lpstr>RUS Payts (2)</vt:lpstr>
      <vt:lpstr>RUS Payts (3)</vt:lpstr>
      <vt:lpstr>FFB Payts (3)</vt:lpstr>
      <vt:lpstr>CFC Payts (2)</vt:lpstr>
      <vt:lpstr>LTD Summary</vt:lpstr>
      <vt:lpstr>RUS Payts</vt:lpstr>
      <vt:lpstr>old CFC Payts</vt:lpstr>
      <vt:lpstr>FFB Payts</vt:lpstr>
      <vt:lpstr>CFC Payts</vt:lpstr>
      <vt:lpstr>Consumer Deposit Interest</vt:lpstr>
      <vt:lpstr>FFB Amortizatio</vt:lpstr>
      <vt:lpstr>FFB Payts (2)</vt:lpstr>
      <vt:lpstr>TREA  Amortizat</vt:lpstr>
      <vt:lpstr>'CFC Payts'!Print_Area</vt:lpstr>
      <vt:lpstr>'CFC Payts (2)'!Print_Area</vt:lpstr>
      <vt:lpstr>'FFB Payts'!Print_Area</vt:lpstr>
      <vt:lpstr>'FFB Payts (2)'!Print_Area</vt:lpstr>
      <vt:lpstr>'FFB Payts (3)'!Print_Area</vt:lpstr>
      <vt:lpstr>'OLD - RUS Payts'!Print_Area</vt:lpstr>
      <vt:lpstr>'old CFC Payts'!Print_Area</vt:lpstr>
      <vt:lpstr>'RUS Payts'!Print_Area</vt:lpstr>
      <vt:lpstr>'RUS Payts (2)'!Print_Area</vt:lpstr>
      <vt:lpstr>'RUS Payts (3)'!Print_Area</vt:lpstr>
      <vt:lpstr>Print_Area</vt:lpstr>
      <vt:lpstr>'CFC Payts'!Print_Titles</vt:lpstr>
      <vt:lpstr>'CFC Payts (2)'!Print_Titles</vt:lpstr>
      <vt:lpstr>'FFB Payts'!Print_Titles</vt:lpstr>
      <vt:lpstr>'FFB Payts (2)'!Print_Titles</vt:lpstr>
      <vt:lpstr>'FFB Payts (3)'!Print_Titles</vt:lpstr>
      <vt:lpstr>'OLD - RUS Payts'!Print_Titles</vt:lpstr>
      <vt:lpstr>'old CFC Payts'!Print_Titles</vt:lpstr>
      <vt:lpstr>'RUS Payts'!Print_Titles</vt:lpstr>
      <vt:lpstr>'RUS Payts (2)'!Print_Titles</vt:lpstr>
      <vt:lpstr>'RUS Payts (3)'!Print_Titles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Lancaster</dc:creator>
  <cp:lastModifiedBy>Michael Moriarty</cp:lastModifiedBy>
  <cp:lastPrinted>2024-07-10T23:48:11Z</cp:lastPrinted>
  <dcterms:created xsi:type="dcterms:W3CDTF">2012-02-15T20:15:48Z</dcterms:created>
  <dcterms:modified xsi:type="dcterms:W3CDTF">2025-01-28T14:51:38Z</dcterms:modified>
</cp:coreProperties>
</file>