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OAG First Data Request\DR 20\"/>
    </mc:Choice>
  </mc:AlternateContent>
  <xr:revisionPtr revIDLastSave="0" documentId="8_{3836B134-65D7-4232-BF94-3D8114DC2C4B}" xr6:coauthVersionLast="47" xr6:coauthVersionMax="47" xr10:uidLastSave="{00000000-0000-0000-0000-000000000000}"/>
  <bookViews>
    <workbookView xWindow="28680" yWindow="-120" windowWidth="29040" windowHeight="15720" xr2:uid="{1380683E-9AAB-4714-9A18-6B59C10B8AC1}"/>
  </bookViews>
  <sheets>
    <sheet name="Billing Determinants" sheetId="1" r:id="rId1"/>
    <sheet name="Form 7 Reconciliation" sheetId="2" state="hidden" r:id="rId2"/>
    <sheet name="Contract Min.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6" i="1" l="1"/>
  <c r="S206" i="1"/>
  <c r="R206" i="1"/>
  <c r="V204" i="1"/>
  <c r="W204" i="1"/>
  <c r="G215" i="1"/>
  <c r="K215" i="1"/>
  <c r="V188" i="1"/>
  <c r="S188" i="1"/>
  <c r="R188" i="1"/>
  <c r="V186" i="1"/>
  <c r="W186" i="1"/>
  <c r="G197" i="1"/>
  <c r="K197" i="1"/>
  <c r="V170" i="1"/>
  <c r="S170" i="1"/>
  <c r="R170" i="1"/>
  <c r="V168" i="1"/>
  <c r="W168" i="1" s="1"/>
  <c r="G179" i="1"/>
  <c r="K179" i="1"/>
  <c r="V152" i="1"/>
  <c r="S152" i="1"/>
  <c r="R152" i="1"/>
  <c r="V150" i="1"/>
  <c r="W150" i="1"/>
  <c r="G161" i="1"/>
  <c r="K161" i="1"/>
  <c r="V134" i="1"/>
  <c r="S134" i="1"/>
  <c r="R134" i="1"/>
  <c r="V132" i="1"/>
  <c r="G143" i="1"/>
  <c r="K143" i="1"/>
  <c r="V116" i="1"/>
  <c r="S116" i="1"/>
  <c r="R116" i="1"/>
  <c r="V114" i="1"/>
  <c r="G125" i="1"/>
  <c r="K125" i="1"/>
  <c r="V98" i="1"/>
  <c r="S98" i="1"/>
  <c r="R98" i="1"/>
  <c r="V96" i="1"/>
  <c r="G107" i="1"/>
  <c r="K107" i="1"/>
  <c r="V80" i="1"/>
  <c r="S80" i="1"/>
  <c r="R80" i="1"/>
  <c r="V78" i="1"/>
  <c r="G89" i="1"/>
  <c r="K89" i="1"/>
  <c r="V62" i="1"/>
  <c r="S62" i="1"/>
  <c r="R62" i="1"/>
  <c r="V60" i="1"/>
  <c r="G71" i="1"/>
  <c r="K71" i="1"/>
  <c r="V44" i="1"/>
  <c r="T44" i="1"/>
  <c r="S44" i="1"/>
  <c r="R44" i="1"/>
  <c r="V42" i="1"/>
  <c r="G53" i="1"/>
  <c r="K53" i="1"/>
  <c r="G35" i="1"/>
  <c r="K35" i="1"/>
  <c r="V26" i="1"/>
  <c r="S26" i="1"/>
  <c r="R26" i="1"/>
  <c r="V24" i="1"/>
  <c r="V8" i="1"/>
  <c r="S8" i="1"/>
  <c r="R8" i="1"/>
  <c r="V6" i="1"/>
  <c r="G17" i="1" l="1"/>
  <c r="K17" i="1"/>
  <c r="I244" i="1" l="1"/>
  <c r="I240" i="1"/>
  <c r="I239" i="1"/>
  <c r="H244" i="1"/>
  <c r="F244" i="1"/>
  <c r="H242" i="1"/>
  <c r="F242" i="1"/>
  <c r="L243" i="1"/>
  <c r="K243" i="1"/>
  <c r="H241" i="1"/>
  <c r="F241" i="1"/>
  <c r="G240" i="1"/>
  <c r="G239" i="1"/>
  <c r="L234" i="1"/>
  <c r="K234" i="1"/>
  <c r="H233" i="1"/>
  <c r="F233" i="1"/>
  <c r="I232" i="1"/>
  <c r="G232" i="1"/>
  <c r="I231" i="1"/>
  <c r="G231" i="1"/>
  <c r="J228" i="1"/>
  <c r="J227" i="1"/>
  <c r="J226" i="1"/>
  <c r="J204" i="1"/>
  <c r="J186" i="1"/>
  <c r="J168" i="1"/>
  <c r="J150" i="1"/>
  <c r="J132" i="1"/>
  <c r="J114" i="1"/>
  <c r="J96" i="1"/>
  <c r="J78" i="1"/>
  <c r="J60" i="1"/>
  <c r="J42" i="1"/>
  <c r="J24" i="1"/>
  <c r="J6" i="1"/>
  <c r="G17" i="2"/>
  <c r="G18" i="2" s="1"/>
  <c r="G7" i="2"/>
  <c r="G8" i="2" s="1"/>
  <c r="O217" i="1"/>
  <c r="O214" i="1"/>
  <c r="O199" i="1"/>
  <c r="O196" i="1"/>
  <c r="O181" i="1"/>
  <c r="O178" i="1"/>
  <c r="O163" i="1"/>
  <c r="O160" i="1"/>
  <c r="O145" i="1"/>
  <c r="O142" i="1"/>
  <c r="O127" i="1"/>
  <c r="N127" i="1"/>
  <c r="O124" i="1"/>
  <c r="N124" i="1"/>
  <c r="O109" i="1"/>
  <c r="N109" i="1"/>
  <c r="O106" i="1"/>
  <c r="N106" i="1"/>
  <c r="O91" i="1"/>
  <c r="N91" i="1"/>
  <c r="O88" i="1"/>
  <c r="N88" i="1"/>
  <c r="O73" i="1"/>
  <c r="N73" i="1"/>
  <c r="O70" i="1"/>
  <c r="N70" i="1"/>
  <c r="O52" i="1"/>
  <c r="N52" i="1"/>
  <c r="O55" i="1"/>
  <c r="N55" i="1"/>
  <c r="O37" i="1"/>
  <c r="N37" i="1"/>
  <c r="O34" i="1"/>
  <c r="N34" i="1"/>
  <c r="O19" i="1"/>
  <c r="N19" i="1"/>
  <c r="O16" i="1"/>
  <c r="N16" i="1"/>
  <c r="P14" i="3"/>
  <c r="D14" i="3"/>
  <c r="E14" i="3" l="1"/>
  <c r="O14" i="3"/>
  <c r="N14" i="3"/>
  <c r="M14" i="3"/>
  <c r="L14" i="3"/>
  <c r="K14" i="3"/>
  <c r="J14" i="3"/>
  <c r="I14" i="3"/>
  <c r="H14" i="3"/>
  <c r="G14" i="3"/>
  <c r="F14" i="3"/>
  <c r="O224" i="1" l="1"/>
  <c r="O223" i="1"/>
  <c r="N223" i="1"/>
  <c r="M223" i="1"/>
  <c r="L223" i="1"/>
  <c r="K223" i="1"/>
  <c r="J223" i="1"/>
  <c r="I223" i="1"/>
  <c r="H223" i="1"/>
  <c r="G223" i="1"/>
  <c r="F223" i="1"/>
  <c r="N221" i="1"/>
  <c r="M221" i="1"/>
  <c r="L221" i="1"/>
  <c r="K221" i="1"/>
  <c r="J221" i="1"/>
  <c r="I221" i="1"/>
  <c r="H221" i="1"/>
  <c r="G221" i="1"/>
  <c r="F221" i="1"/>
  <c r="E221" i="1"/>
  <c r="O222" i="1"/>
  <c r="N222" i="1"/>
  <c r="L222" i="1"/>
  <c r="K235" i="1" l="1"/>
  <c r="K244" i="1"/>
  <c r="L235" i="1"/>
  <c r="L244" i="1"/>
  <c r="F235" i="1"/>
  <c r="H235" i="1"/>
  <c r="N214" i="1"/>
  <c r="N206" i="1"/>
  <c r="M206" i="1"/>
  <c r="M215" i="1" s="1"/>
  <c r="L206" i="1"/>
  <c r="K206" i="1"/>
  <c r="K204" i="1"/>
  <c r="J206" i="1"/>
  <c r="J215" i="1" s="1"/>
  <c r="J222" i="1"/>
  <c r="I206" i="1"/>
  <c r="I215" i="1" s="1"/>
  <c r="I204" i="1"/>
  <c r="H206" i="1"/>
  <c r="H215" i="1" s="1"/>
  <c r="H204" i="1"/>
  <c r="G206" i="1"/>
  <c r="G204" i="1"/>
  <c r="F206" i="1"/>
  <c r="F215" i="1" s="1"/>
  <c r="F204" i="1"/>
  <c r="E206" i="1"/>
  <c r="D206" i="1"/>
  <c r="D204" i="1"/>
  <c r="M216" i="1"/>
  <c r="E215" i="1"/>
  <c r="D215" i="1"/>
  <c r="M213" i="1"/>
  <c r="L213" i="1"/>
  <c r="K213" i="1"/>
  <c r="J213" i="1"/>
  <c r="J214" i="1" s="1"/>
  <c r="I213" i="1"/>
  <c r="H213" i="1"/>
  <c r="G213" i="1"/>
  <c r="F213" i="1"/>
  <c r="E213" i="1"/>
  <c r="D213" i="1"/>
  <c r="D216" i="1" l="1"/>
  <c r="F216" i="1"/>
  <c r="E216" i="1"/>
  <c r="G216" i="1"/>
  <c r="H216" i="1"/>
  <c r="I216" i="1"/>
  <c r="J216" i="1"/>
  <c r="J217" i="1" s="1"/>
  <c r="N196" i="1"/>
  <c r="N188" i="1"/>
  <c r="M188" i="1"/>
  <c r="M197" i="1" s="1"/>
  <c r="L188" i="1"/>
  <c r="K188" i="1"/>
  <c r="K186" i="1"/>
  <c r="J188" i="1"/>
  <c r="J197" i="1" s="1"/>
  <c r="I188" i="1"/>
  <c r="I197" i="1" s="1"/>
  <c r="I186" i="1"/>
  <c r="H188" i="1"/>
  <c r="H197" i="1" s="1"/>
  <c r="H186" i="1"/>
  <c r="G188" i="1"/>
  <c r="G186" i="1"/>
  <c r="F188" i="1"/>
  <c r="F197" i="1" s="1"/>
  <c r="F186" i="1"/>
  <c r="E188" i="1"/>
  <c r="E197" i="1" s="1"/>
  <c r="E187" i="1"/>
  <c r="D188" i="1"/>
  <c r="D197" i="1" s="1"/>
  <c r="D186" i="1"/>
  <c r="M198" i="1"/>
  <c r="M195" i="1"/>
  <c r="L195" i="1"/>
  <c r="K195" i="1"/>
  <c r="J195" i="1"/>
  <c r="J196" i="1" s="1"/>
  <c r="I195" i="1"/>
  <c r="H195" i="1"/>
  <c r="G195" i="1"/>
  <c r="F195" i="1"/>
  <c r="E195" i="1"/>
  <c r="D195" i="1"/>
  <c r="F198" i="1" l="1"/>
  <c r="G198" i="1"/>
  <c r="H198" i="1"/>
  <c r="I198" i="1"/>
  <c r="J198" i="1"/>
  <c r="J199" i="1" s="1"/>
  <c r="D198" i="1"/>
  <c r="E198" i="1"/>
  <c r="N181" i="1"/>
  <c r="N178" i="1"/>
  <c r="N170" i="1"/>
  <c r="M170" i="1"/>
  <c r="M179" i="1" s="1"/>
  <c r="L170" i="1"/>
  <c r="K170" i="1"/>
  <c r="K168" i="1"/>
  <c r="J170" i="1"/>
  <c r="J179" i="1" s="1"/>
  <c r="I170" i="1"/>
  <c r="I179" i="1" s="1"/>
  <c r="I168" i="1"/>
  <c r="H170" i="1"/>
  <c r="H179" i="1" s="1"/>
  <c r="H168" i="1"/>
  <c r="G170" i="1"/>
  <c r="G168" i="1"/>
  <c r="F170" i="1"/>
  <c r="F179" i="1" s="1"/>
  <c r="F168" i="1"/>
  <c r="E170" i="1"/>
  <c r="E179" i="1" s="1"/>
  <c r="D170" i="1"/>
  <c r="D179" i="1" s="1"/>
  <c r="D168" i="1"/>
  <c r="M180" i="1"/>
  <c r="M177" i="1"/>
  <c r="L177" i="1"/>
  <c r="K177" i="1"/>
  <c r="J177" i="1"/>
  <c r="J178" i="1" s="1"/>
  <c r="I177" i="1"/>
  <c r="H177" i="1"/>
  <c r="G177" i="1"/>
  <c r="F177" i="1"/>
  <c r="E177" i="1"/>
  <c r="D177" i="1"/>
  <c r="N163" i="1"/>
  <c r="N160" i="1"/>
  <c r="N152" i="1"/>
  <c r="M152" i="1"/>
  <c r="M161" i="1" s="1"/>
  <c r="L152" i="1"/>
  <c r="K152" i="1"/>
  <c r="K150" i="1"/>
  <c r="J152" i="1"/>
  <c r="J161" i="1" s="1"/>
  <c r="I152" i="1"/>
  <c r="I161" i="1" s="1"/>
  <c r="I150" i="1"/>
  <c r="H152" i="1"/>
  <c r="H161" i="1" s="1"/>
  <c r="H150" i="1"/>
  <c r="G152" i="1"/>
  <c r="G150" i="1"/>
  <c r="F152" i="1"/>
  <c r="F161" i="1" s="1"/>
  <c r="F150" i="1"/>
  <c r="E152" i="1"/>
  <c r="D152" i="1"/>
  <c r="D161" i="1" s="1"/>
  <c r="D150" i="1"/>
  <c r="M162" i="1"/>
  <c r="E161" i="1"/>
  <c r="M159" i="1"/>
  <c r="L159" i="1"/>
  <c r="K159" i="1"/>
  <c r="J159" i="1"/>
  <c r="J160" i="1" s="1"/>
  <c r="I159" i="1"/>
  <c r="H159" i="1"/>
  <c r="G159" i="1"/>
  <c r="F159" i="1"/>
  <c r="E159" i="1"/>
  <c r="D159" i="1"/>
  <c r="I180" i="1" l="1"/>
  <c r="H180" i="1"/>
  <c r="J180" i="1"/>
  <c r="J181" i="1" s="1"/>
  <c r="D180" i="1"/>
  <c r="E180" i="1"/>
  <c r="F180" i="1"/>
  <c r="G180" i="1"/>
  <c r="I162" i="1"/>
  <c r="H162" i="1"/>
  <c r="J162" i="1"/>
  <c r="J163" i="1" s="1"/>
  <c r="E162" i="1"/>
  <c r="F162" i="1"/>
  <c r="G162" i="1"/>
  <c r="D162" i="1"/>
  <c r="N145" i="1" l="1"/>
  <c r="N142" i="1"/>
  <c r="N134" i="1"/>
  <c r="N224" i="1" s="1"/>
  <c r="M134" i="1"/>
  <c r="M143" i="1" s="1"/>
  <c r="L134" i="1"/>
  <c r="K134" i="1"/>
  <c r="K132" i="1"/>
  <c r="J134" i="1"/>
  <c r="J143" i="1" s="1"/>
  <c r="I134" i="1"/>
  <c r="I143" i="1" s="1"/>
  <c r="I132" i="1"/>
  <c r="H134" i="1"/>
  <c r="H143" i="1" s="1"/>
  <c r="H132" i="1"/>
  <c r="G134" i="1"/>
  <c r="G132" i="1"/>
  <c r="F134" i="1"/>
  <c r="F143" i="1" s="1"/>
  <c r="F132" i="1"/>
  <c r="E134" i="1"/>
  <c r="D134" i="1"/>
  <c r="D143" i="1" s="1"/>
  <c r="D132" i="1"/>
  <c r="M144" i="1"/>
  <c r="E143" i="1"/>
  <c r="M141" i="1"/>
  <c r="L141" i="1"/>
  <c r="K141" i="1"/>
  <c r="J141" i="1"/>
  <c r="J142" i="1" s="1"/>
  <c r="I141" i="1"/>
  <c r="H141" i="1"/>
  <c r="G141" i="1"/>
  <c r="F141" i="1"/>
  <c r="E141" i="1"/>
  <c r="D141" i="1"/>
  <c r="F144" i="1" l="1"/>
  <c r="J144" i="1"/>
  <c r="J145" i="1" s="1"/>
  <c r="I144" i="1"/>
  <c r="E144" i="1"/>
  <c r="G144" i="1"/>
  <c r="H144" i="1"/>
  <c r="D144" i="1"/>
  <c r="M116" i="1"/>
  <c r="M125" i="1" s="1"/>
  <c r="L116" i="1"/>
  <c r="K116" i="1"/>
  <c r="K114" i="1"/>
  <c r="J116" i="1"/>
  <c r="J125" i="1" s="1"/>
  <c r="I116" i="1"/>
  <c r="I125" i="1" s="1"/>
  <c r="I114" i="1"/>
  <c r="H116" i="1"/>
  <c r="H125" i="1" s="1"/>
  <c r="H114" i="1"/>
  <c r="G116" i="1"/>
  <c r="G114" i="1"/>
  <c r="F116" i="1"/>
  <c r="F125" i="1" s="1"/>
  <c r="F114" i="1"/>
  <c r="E116" i="1"/>
  <c r="E125" i="1" s="1"/>
  <c r="E115" i="1"/>
  <c r="E223" i="1" s="1"/>
  <c r="E114" i="1"/>
  <c r="D116" i="1"/>
  <c r="D125" i="1" s="1"/>
  <c r="D114" i="1"/>
  <c r="M126" i="1"/>
  <c r="M123" i="1"/>
  <c r="L123" i="1"/>
  <c r="K123" i="1"/>
  <c r="J123" i="1"/>
  <c r="J124" i="1" s="1"/>
  <c r="I123" i="1"/>
  <c r="H123" i="1"/>
  <c r="G123" i="1"/>
  <c r="F123" i="1"/>
  <c r="E123" i="1"/>
  <c r="D123" i="1"/>
  <c r="E126" i="1" l="1"/>
  <c r="F126" i="1"/>
  <c r="G126" i="1"/>
  <c r="H126" i="1"/>
  <c r="I126" i="1"/>
  <c r="J126" i="1"/>
  <c r="J127" i="1" s="1"/>
  <c r="D126" i="1"/>
  <c r="M98" i="1"/>
  <c r="M96" i="1"/>
  <c r="M222" i="1" s="1"/>
  <c r="L98" i="1"/>
  <c r="K98" i="1"/>
  <c r="J106" i="1"/>
  <c r="J98" i="1"/>
  <c r="J107" i="1" s="1"/>
  <c r="I98" i="1"/>
  <c r="I107" i="1" s="1"/>
  <c r="I96" i="1"/>
  <c r="H98" i="1"/>
  <c r="G98" i="1"/>
  <c r="G96" i="1"/>
  <c r="F98" i="1"/>
  <c r="F107" i="1" s="1"/>
  <c r="F96" i="1"/>
  <c r="E98" i="1"/>
  <c r="E107" i="1" s="1"/>
  <c r="E96" i="1"/>
  <c r="E222" i="1" s="1"/>
  <c r="D98" i="1"/>
  <c r="D107" i="1" s="1"/>
  <c r="D96" i="1"/>
  <c r="M108" i="1"/>
  <c r="M107" i="1"/>
  <c r="H107" i="1"/>
  <c r="M105" i="1"/>
  <c r="L105" i="1"/>
  <c r="K105" i="1"/>
  <c r="J105" i="1"/>
  <c r="I105" i="1"/>
  <c r="H105" i="1"/>
  <c r="G105" i="1"/>
  <c r="F105" i="1"/>
  <c r="E105" i="1"/>
  <c r="D105" i="1"/>
  <c r="I108" i="1" l="1"/>
  <c r="H108" i="1"/>
  <c r="J108" i="1"/>
  <c r="J109" i="1" s="1"/>
  <c r="D108" i="1"/>
  <c r="E108" i="1"/>
  <c r="F108" i="1"/>
  <c r="G108" i="1"/>
  <c r="M80" i="1"/>
  <c r="M89" i="1" s="1"/>
  <c r="L80" i="1"/>
  <c r="K80" i="1"/>
  <c r="J80" i="1"/>
  <c r="J89" i="1" s="1"/>
  <c r="I80" i="1"/>
  <c r="I89" i="1" s="1"/>
  <c r="I78" i="1"/>
  <c r="H80" i="1"/>
  <c r="H89" i="1" s="1"/>
  <c r="H78" i="1"/>
  <c r="G80" i="1"/>
  <c r="G78" i="1"/>
  <c r="F80" i="1"/>
  <c r="F78" i="1"/>
  <c r="E80" i="1"/>
  <c r="D80" i="1"/>
  <c r="D78" i="1"/>
  <c r="M90" i="1"/>
  <c r="F89" i="1"/>
  <c r="E89" i="1"/>
  <c r="D89" i="1"/>
  <c r="M87" i="1"/>
  <c r="L87" i="1"/>
  <c r="K87" i="1"/>
  <c r="J87" i="1"/>
  <c r="J88" i="1" s="1"/>
  <c r="I87" i="1"/>
  <c r="H87" i="1"/>
  <c r="G87" i="1"/>
  <c r="F87" i="1"/>
  <c r="E87" i="1"/>
  <c r="D87" i="1"/>
  <c r="M62" i="1"/>
  <c r="M71" i="1" s="1"/>
  <c r="L62" i="1"/>
  <c r="K62" i="1"/>
  <c r="K60" i="1"/>
  <c r="J62" i="1"/>
  <c r="J71" i="1" s="1"/>
  <c r="I62" i="1"/>
  <c r="I71" i="1" s="1"/>
  <c r="I60" i="1"/>
  <c r="H62" i="1"/>
  <c r="H71" i="1" s="1"/>
  <c r="H60" i="1"/>
  <c r="G62" i="1"/>
  <c r="G60" i="1"/>
  <c r="F62" i="1"/>
  <c r="F71" i="1" s="1"/>
  <c r="F60" i="1"/>
  <c r="E62" i="1"/>
  <c r="E71" i="1" s="1"/>
  <c r="D62" i="1"/>
  <c r="D71" i="1" s="1"/>
  <c r="D60" i="1"/>
  <c r="M72" i="1"/>
  <c r="M69" i="1"/>
  <c r="L69" i="1"/>
  <c r="K69" i="1"/>
  <c r="J69" i="1"/>
  <c r="J70" i="1" s="1"/>
  <c r="I69" i="1"/>
  <c r="H69" i="1"/>
  <c r="G69" i="1"/>
  <c r="F69" i="1"/>
  <c r="E69" i="1"/>
  <c r="D69" i="1"/>
  <c r="Z55" i="1"/>
  <c r="L44" i="1"/>
  <c r="M44" i="1"/>
  <c r="M53" i="1" s="1"/>
  <c r="K44" i="1"/>
  <c r="J44" i="1"/>
  <c r="J53" i="1" s="1"/>
  <c r="I44" i="1"/>
  <c r="I53" i="1" s="1"/>
  <c r="I42" i="1"/>
  <c r="H44" i="1"/>
  <c r="H53" i="1" s="1"/>
  <c r="G44" i="1"/>
  <c r="G42" i="1"/>
  <c r="F44" i="1"/>
  <c r="F53" i="1" s="1"/>
  <c r="F42" i="1"/>
  <c r="E44" i="1"/>
  <c r="E53" i="1" s="1"/>
  <c r="M54" i="1"/>
  <c r="M51" i="1"/>
  <c r="L51" i="1"/>
  <c r="K51" i="1"/>
  <c r="J51" i="1"/>
  <c r="J52" i="1" s="1"/>
  <c r="I51" i="1"/>
  <c r="H51" i="1"/>
  <c r="G51" i="1"/>
  <c r="F51" i="1"/>
  <c r="E51" i="1"/>
  <c r="D51" i="1"/>
  <c r="D44" i="1"/>
  <c r="D53" i="1" s="1"/>
  <c r="D42" i="1"/>
  <c r="J54" i="1" l="1"/>
  <c r="J55" i="1" s="1"/>
  <c r="D90" i="1"/>
  <c r="J90" i="1"/>
  <c r="J91" i="1" s="1"/>
  <c r="G90" i="1"/>
  <c r="I90" i="1"/>
  <c r="F90" i="1"/>
  <c r="E90" i="1"/>
  <c r="H90" i="1"/>
  <c r="E72" i="1"/>
  <c r="I72" i="1"/>
  <c r="G72" i="1"/>
  <c r="F72" i="1"/>
  <c r="D72" i="1"/>
  <c r="H72" i="1"/>
  <c r="J72" i="1"/>
  <c r="J73" i="1" s="1"/>
  <c r="D54" i="1"/>
  <c r="H54" i="1"/>
  <c r="G54" i="1"/>
  <c r="E54" i="1"/>
  <c r="I54" i="1"/>
  <c r="F54" i="1"/>
  <c r="M26" i="1"/>
  <c r="M35" i="1" s="1"/>
  <c r="L26" i="1"/>
  <c r="K26" i="1"/>
  <c r="K24" i="1"/>
  <c r="K222" i="1" s="1"/>
  <c r="J26" i="1"/>
  <c r="J35" i="1" s="1"/>
  <c r="I26" i="1"/>
  <c r="I35" i="1" s="1"/>
  <c r="I24" i="1"/>
  <c r="H26" i="1"/>
  <c r="H35" i="1" s="1"/>
  <c r="H24" i="1"/>
  <c r="H222" i="1" s="1"/>
  <c r="G26" i="1"/>
  <c r="G24" i="1"/>
  <c r="F26" i="1"/>
  <c r="F35" i="1" s="1"/>
  <c r="F24" i="1"/>
  <c r="E26" i="1"/>
  <c r="E35" i="1" s="1"/>
  <c r="D26" i="1"/>
  <c r="D35" i="1" s="1"/>
  <c r="D24" i="1"/>
  <c r="I6" i="1"/>
  <c r="G6" i="1"/>
  <c r="F6" i="1"/>
  <c r="F222" i="1" s="1"/>
  <c r="D6" i="1"/>
  <c r="M36" i="1"/>
  <c r="M33" i="1"/>
  <c r="L33" i="1"/>
  <c r="K33" i="1"/>
  <c r="J33" i="1"/>
  <c r="J34" i="1" s="1"/>
  <c r="I33" i="1"/>
  <c r="H33" i="1"/>
  <c r="G33" i="1"/>
  <c r="F33" i="1"/>
  <c r="E33" i="1"/>
  <c r="D33" i="1"/>
  <c r="G222" i="1" l="1"/>
  <c r="I222" i="1"/>
  <c r="I235" i="1" s="1"/>
  <c r="M8" i="1"/>
  <c r="L8" i="1"/>
  <c r="L224" i="1" s="1"/>
  <c r="K8" i="1"/>
  <c r="K224" i="1" s="1"/>
  <c r="J15" i="1"/>
  <c r="J16" i="1" s="1"/>
  <c r="H15" i="1"/>
  <c r="D15" i="1"/>
  <c r="J8" i="1"/>
  <c r="I8" i="1"/>
  <c r="H8" i="1"/>
  <c r="G8" i="1"/>
  <c r="F8" i="1"/>
  <c r="E8" i="1"/>
  <c r="D8" i="1"/>
  <c r="D17" i="1" s="1"/>
  <c r="G235" i="1" l="1"/>
  <c r="P235" i="1" s="1"/>
  <c r="G244" i="1"/>
  <c r="P244" i="1" s="1"/>
  <c r="F224" i="1"/>
  <c r="F17" i="1"/>
  <c r="J224" i="1"/>
  <c r="J17" i="1"/>
  <c r="E224" i="1"/>
  <c r="E17" i="1"/>
  <c r="I224" i="1"/>
  <c r="I17" i="1"/>
  <c r="G224" i="1"/>
  <c r="H224" i="1"/>
  <c r="H17" i="1"/>
  <c r="M224" i="1"/>
  <c r="M17" i="1"/>
  <c r="H18" i="1" l="1"/>
  <c r="D18" i="1"/>
  <c r="J18" i="1"/>
  <c r="J19" i="1" s="1"/>
  <c r="Z53" i="1"/>
  <c r="L19" i="1" l="1"/>
  <c r="K19" i="1"/>
  <c r="M18" i="1"/>
  <c r="Z19" i="1"/>
  <c r="Z16" i="1"/>
  <c r="Z17" i="1"/>
  <c r="Z14" i="1"/>
  <c r="Z37" i="1"/>
  <c r="L37" i="1"/>
  <c r="K37" i="1"/>
  <c r="Z35" i="1"/>
  <c r="Z32" i="1"/>
  <c r="L55" i="1"/>
  <c r="K55" i="1"/>
  <c r="Z50" i="1"/>
  <c r="L73" i="1"/>
  <c r="K73" i="1"/>
  <c r="Z73" i="1"/>
  <c r="Z68" i="1"/>
  <c r="L91" i="1"/>
  <c r="K91" i="1"/>
  <c r="Z91" i="1"/>
  <c r="Z89" i="1"/>
  <c r="Z86" i="1"/>
  <c r="L109" i="1"/>
  <c r="K109" i="1"/>
  <c r="Z109" i="1"/>
  <c r="Z107" i="1"/>
  <c r="Z104" i="1"/>
  <c r="L127" i="1"/>
  <c r="Z127" i="1"/>
  <c r="K127" i="1"/>
  <c r="Z125" i="1"/>
  <c r="Z122" i="1"/>
  <c r="L145" i="1"/>
  <c r="K145" i="1"/>
  <c r="Z143" i="1"/>
  <c r="Z140" i="1"/>
  <c r="Z145" i="1"/>
  <c r="L163" i="1"/>
  <c r="K163" i="1"/>
  <c r="Z163" i="1"/>
  <c r="Z161" i="1"/>
  <c r="Z158" i="1"/>
  <c r="L181" i="1"/>
  <c r="K181" i="1"/>
  <c r="Z179" i="1"/>
  <c r="Z181" i="1"/>
  <c r="Z176" i="1"/>
  <c r="N199" i="1"/>
  <c r="L199" i="1"/>
  <c r="Z197" i="1"/>
  <c r="Z199" i="1"/>
  <c r="Z196" i="1"/>
  <c r="Z194" i="1"/>
  <c r="K199" i="1"/>
  <c r="Z215" i="1" l="1"/>
  <c r="Z217" i="1"/>
  <c r="N217" i="1"/>
  <c r="L217" i="1"/>
  <c r="K217" i="1"/>
  <c r="M214" i="1"/>
  <c r="L214" i="1"/>
  <c r="K214" i="1"/>
  <c r="I214" i="1"/>
  <c r="H214" i="1"/>
  <c r="G214" i="1"/>
  <c r="F214" i="1"/>
  <c r="E214" i="1"/>
  <c r="D214" i="1"/>
  <c r="P212" i="1"/>
  <c r="P214" i="1" s="1"/>
  <c r="AB214" i="1" s="1"/>
  <c r="M196" i="1"/>
  <c r="L196" i="1"/>
  <c r="K196" i="1"/>
  <c r="I196" i="1"/>
  <c r="H196" i="1"/>
  <c r="G196" i="1"/>
  <c r="F196" i="1"/>
  <c r="E196" i="1"/>
  <c r="D196" i="1"/>
  <c r="P194" i="1"/>
  <c r="M178" i="1"/>
  <c r="L178" i="1"/>
  <c r="K178" i="1"/>
  <c r="I178" i="1"/>
  <c r="H178" i="1"/>
  <c r="G178" i="1"/>
  <c r="F178" i="1"/>
  <c r="E178" i="1"/>
  <c r="D178" i="1"/>
  <c r="P176" i="1"/>
  <c r="P178" i="1" s="1"/>
  <c r="AB178" i="1" s="1"/>
  <c r="M160" i="1"/>
  <c r="L160" i="1"/>
  <c r="K160" i="1"/>
  <c r="I160" i="1"/>
  <c r="H160" i="1"/>
  <c r="G160" i="1"/>
  <c r="F160" i="1"/>
  <c r="E160" i="1"/>
  <c r="D160" i="1"/>
  <c r="P158" i="1"/>
  <c r="P160" i="1" s="1"/>
  <c r="AB160" i="1" s="1"/>
  <c r="P187" i="1"/>
  <c r="AB158" i="1" l="1"/>
  <c r="AB176" i="1"/>
  <c r="P196" i="1"/>
  <c r="AB196" i="1" s="1"/>
  <c r="AB194" i="1"/>
  <c r="AB212" i="1"/>
  <c r="P150" i="1"/>
  <c r="P204" i="1"/>
  <c r="P186" i="1"/>
  <c r="M142" i="1" l="1"/>
  <c r="L142" i="1"/>
  <c r="K142" i="1"/>
  <c r="I142" i="1"/>
  <c r="H142" i="1"/>
  <c r="G142" i="1"/>
  <c r="F142" i="1"/>
  <c r="E142" i="1"/>
  <c r="D142" i="1"/>
  <c r="P140" i="1"/>
  <c r="M124" i="1"/>
  <c r="L124" i="1"/>
  <c r="K124" i="1"/>
  <c r="I124" i="1"/>
  <c r="H124" i="1"/>
  <c r="G124" i="1"/>
  <c r="F124" i="1"/>
  <c r="E124" i="1"/>
  <c r="D124" i="1"/>
  <c r="P122" i="1"/>
  <c r="P131" i="1"/>
  <c r="W131" i="1" s="1"/>
  <c r="M106" i="1"/>
  <c r="L106" i="1"/>
  <c r="K106" i="1"/>
  <c r="I106" i="1"/>
  <c r="H106" i="1"/>
  <c r="G106" i="1"/>
  <c r="F106" i="1"/>
  <c r="E106" i="1"/>
  <c r="D106" i="1"/>
  <c r="P104" i="1"/>
  <c r="M88" i="1"/>
  <c r="L88" i="1"/>
  <c r="K88" i="1"/>
  <c r="I88" i="1"/>
  <c r="H88" i="1"/>
  <c r="G88" i="1"/>
  <c r="F88" i="1"/>
  <c r="E88" i="1"/>
  <c r="D88" i="1"/>
  <c r="P86" i="1"/>
  <c r="P88" i="1" l="1"/>
  <c r="AB88" i="1" s="1"/>
  <c r="AB86" i="1"/>
  <c r="P106" i="1"/>
  <c r="AB106" i="1" s="1"/>
  <c r="AB104" i="1"/>
  <c r="P124" i="1"/>
  <c r="AB124" i="1" s="1"/>
  <c r="AB122" i="1"/>
  <c r="P142" i="1"/>
  <c r="AB142" i="1" s="1"/>
  <c r="AB140" i="1"/>
  <c r="P68" i="1"/>
  <c r="M70" i="1"/>
  <c r="L70" i="1"/>
  <c r="K70" i="1"/>
  <c r="I70" i="1"/>
  <c r="H70" i="1"/>
  <c r="G70" i="1"/>
  <c r="F70" i="1"/>
  <c r="E70" i="1"/>
  <c r="D70" i="1"/>
  <c r="M52" i="1"/>
  <c r="L52" i="1"/>
  <c r="K52" i="1"/>
  <c r="I52" i="1"/>
  <c r="H52" i="1"/>
  <c r="G52" i="1"/>
  <c r="F52" i="1"/>
  <c r="E52" i="1"/>
  <c r="D52" i="1"/>
  <c r="P50" i="1"/>
  <c r="P52" i="1" l="1"/>
  <c r="AB52" i="1" s="1"/>
  <c r="AB50" i="1"/>
  <c r="P70" i="1"/>
  <c r="AB70" i="1" s="1"/>
  <c r="AB68" i="1"/>
  <c r="F15" i="1" l="1"/>
  <c r="F16" i="1" s="1"/>
  <c r="I15" i="1"/>
  <c r="I16" i="1" s="1"/>
  <c r="G15" i="1"/>
  <c r="G16" i="1" s="1"/>
  <c r="E15" i="1"/>
  <c r="E16" i="1" s="1"/>
  <c r="H16" i="1"/>
  <c r="D16" i="1"/>
  <c r="K15" i="1"/>
  <c r="K16" i="1" s="1"/>
  <c r="L15" i="1"/>
  <c r="L16" i="1" s="1"/>
  <c r="M15" i="1"/>
  <c r="M16" i="1" s="1"/>
  <c r="P14" i="1" l="1"/>
  <c r="P16" i="1" l="1"/>
  <c r="AB16" i="1" s="1"/>
  <c r="AB14" i="1"/>
  <c r="O221" i="1"/>
  <c r="D223" i="1"/>
  <c r="D221" i="1"/>
  <c r="U206" i="1"/>
  <c r="P205" i="1"/>
  <c r="W205" i="1" s="1"/>
  <c r="P203" i="1"/>
  <c r="W203" i="1" s="1"/>
  <c r="U188" i="1"/>
  <c r="M199" i="1"/>
  <c r="W187" i="1"/>
  <c r="P185" i="1"/>
  <c r="W185" i="1" s="1"/>
  <c r="U170" i="1"/>
  <c r="M181" i="1"/>
  <c r="H181" i="1"/>
  <c r="P169" i="1"/>
  <c r="W169" i="1" s="1"/>
  <c r="P167" i="1"/>
  <c r="W167" i="1" s="1"/>
  <c r="U152" i="1"/>
  <c r="M163" i="1"/>
  <c r="P151" i="1"/>
  <c r="W151" i="1" s="1"/>
  <c r="P149" i="1"/>
  <c r="W149" i="1" s="1"/>
  <c r="U134" i="1"/>
  <c r="M145" i="1"/>
  <c r="H145" i="1"/>
  <c r="P133" i="1"/>
  <c r="W133" i="1" s="1"/>
  <c r="U116" i="1"/>
  <c r="P115" i="1"/>
  <c r="W115" i="1" s="1"/>
  <c r="P113" i="1"/>
  <c r="W113" i="1" s="1"/>
  <c r="G145" i="1" l="1"/>
  <c r="M127" i="1"/>
  <c r="D163" i="1"/>
  <c r="E163" i="1"/>
  <c r="D127" i="1"/>
  <c r="E127" i="1"/>
  <c r="F127" i="1"/>
  <c r="G127" i="1"/>
  <c r="H127" i="1"/>
  <c r="I127" i="1"/>
  <c r="I145" i="1"/>
  <c r="D145" i="1"/>
  <c r="E145" i="1"/>
  <c r="F145" i="1"/>
  <c r="I163" i="1"/>
  <c r="F163" i="1"/>
  <c r="H163" i="1"/>
  <c r="G163" i="1"/>
  <c r="E181" i="1"/>
  <c r="G181" i="1"/>
  <c r="F181" i="1"/>
  <c r="I181" i="1"/>
  <c r="D181" i="1"/>
  <c r="H199" i="1"/>
  <c r="I199" i="1"/>
  <c r="D199" i="1"/>
  <c r="E199" i="1"/>
  <c r="P168" i="1"/>
  <c r="F199" i="1"/>
  <c r="G199" i="1"/>
  <c r="P206" i="1"/>
  <c r="M217" i="1"/>
  <c r="P197" i="1"/>
  <c r="P179" i="1"/>
  <c r="P161" i="1"/>
  <c r="P143" i="1"/>
  <c r="P125" i="1"/>
  <c r="P114" i="1"/>
  <c r="W114" i="1" s="1"/>
  <c r="P132" i="1"/>
  <c r="W132" i="1" s="1"/>
  <c r="P152" i="1"/>
  <c r="P134" i="1"/>
  <c r="P116" i="1"/>
  <c r="W134" i="1" l="1"/>
  <c r="W206" i="1"/>
  <c r="W152" i="1"/>
  <c r="W116" i="1"/>
  <c r="AB125" i="1"/>
  <c r="P127" i="1"/>
  <c r="AB127" i="1" s="1"/>
  <c r="AB143" i="1"/>
  <c r="P145" i="1"/>
  <c r="AB145" i="1" s="1"/>
  <c r="AB161" i="1"/>
  <c r="P163" i="1"/>
  <c r="AB163" i="1" s="1"/>
  <c r="G217" i="1"/>
  <c r="AB179" i="1"/>
  <c r="P181" i="1"/>
  <c r="AB181" i="1" s="1"/>
  <c r="AB197" i="1"/>
  <c r="P199" i="1"/>
  <c r="AB199" i="1" s="1"/>
  <c r="H217" i="1"/>
  <c r="F217" i="1"/>
  <c r="P215" i="1"/>
  <c r="P217" i="1" s="1"/>
  <c r="AB217" i="1" s="1"/>
  <c r="E217" i="1"/>
  <c r="D217" i="1"/>
  <c r="I217" i="1"/>
  <c r="M109" i="1"/>
  <c r="P97" i="1"/>
  <c r="W97" i="1" s="1"/>
  <c r="U98" i="1"/>
  <c r="P95" i="1"/>
  <c r="W95" i="1" s="1"/>
  <c r="Y127" i="1" l="1"/>
  <c r="Y163" i="1"/>
  <c r="E109" i="1"/>
  <c r="Y217" i="1"/>
  <c r="H109" i="1"/>
  <c r="Y145" i="1"/>
  <c r="G109" i="1"/>
  <c r="F109" i="1"/>
  <c r="I109" i="1"/>
  <c r="D109" i="1"/>
  <c r="AB215" i="1"/>
  <c r="P107" i="1"/>
  <c r="P98" i="1"/>
  <c r="P96" i="1"/>
  <c r="W96" i="1" s="1"/>
  <c r="W98" i="1" l="1"/>
  <c r="AB107" i="1"/>
  <c r="P109" i="1"/>
  <c r="AB109" i="1" s="1"/>
  <c r="E91" i="1"/>
  <c r="D91" i="1"/>
  <c r="M91" i="1"/>
  <c r="U80" i="1"/>
  <c r="P79" i="1"/>
  <c r="W79" i="1" s="1"/>
  <c r="P77" i="1"/>
  <c r="W77" i="1" s="1"/>
  <c r="U62" i="1"/>
  <c r="M73" i="1"/>
  <c r="I73" i="1"/>
  <c r="P61" i="1"/>
  <c r="W61" i="1" s="1"/>
  <c r="P59" i="1"/>
  <c r="W59" i="1" s="1"/>
  <c r="U44" i="1"/>
  <c r="M55" i="1"/>
  <c r="E55" i="1"/>
  <c r="D55" i="1"/>
  <c r="P43" i="1"/>
  <c r="W43" i="1" s="1"/>
  <c r="P41" i="1"/>
  <c r="W41" i="1" s="1"/>
  <c r="H73" i="1" l="1"/>
  <c r="Y109" i="1"/>
  <c r="F55" i="1"/>
  <c r="G55" i="1"/>
  <c r="H55" i="1"/>
  <c r="I55" i="1"/>
  <c r="D73" i="1"/>
  <c r="E73" i="1"/>
  <c r="F73" i="1"/>
  <c r="G73" i="1"/>
  <c r="F91" i="1"/>
  <c r="H91" i="1"/>
  <c r="G91" i="1"/>
  <c r="I91" i="1"/>
  <c r="P89" i="1"/>
  <c r="P71" i="1"/>
  <c r="P53" i="1"/>
  <c r="P42" i="1"/>
  <c r="W42" i="1" s="1"/>
  <c r="P78" i="1"/>
  <c r="W78" i="1" s="1"/>
  <c r="P80" i="1"/>
  <c r="P60" i="1"/>
  <c r="W60" i="1" s="1"/>
  <c r="P62" i="1"/>
  <c r="P44" i="1"/>
  <c r="W44" i="1" l="1"/>
  <c r="W62" i="1"/>
  <c r="W80" i="1"/>
  <c r="AB53" i="1"/>
  <c r="P55" i="1"/>
  <c r="AB55" i="1" s="1"/>
  <c r="AB71" i="1"/>
  <c r="P73" i="1"/>
  <c r="AB73" i="1" s="1"/>
  <c r="AB89" i="1"/>
  <c r="P91" i="1"/>
  <c r="AB91" i="1" s="1"/>
  <c r="U26" i="1"/>
  <c r="D222" i="1"/>
  <c r="P25" i="1"/>
  <c r="W25" i="1" s="1"/>
  <c r="P23" i="1"/>
  <c r="W23" i="1" s="1"/>
  <c r="U8" i="1"/>
  <c r="P7" i="1"/>
  <c r="W7" i="1" s="1"/>
  <c r="P5" i="1"/>
  <c r="W5" i="1" s="1"/>
  <c r="Y55" i="1" l="1"/>
  <c r="Y91" i="1"/>
  <c r="D224" i="1"/>
  <c r="Y73" i="1"/>
  <c r="P24" i="1"/>
  <c r="W24" i="1" s="1"/>
  <c r="M19" i="1"/>
  <c r="P26" i="1"/>
  <c r="P8" i="1"/>
  <c r="P6" i="1"/>
  <c r="W6" i="1" s="1"/>
  <c r="P223" i="1"/>
  <c r="P221" i="1"/>
  <c r="P188" i="1"/>
  <c r="P170" i="1"/>
  <c r="W170" i="1" l="1"/>
  <c r="Y181" i="1"/>
  <c r="W188" i="1"/>
  <c r="Y199" i="1"/>
  <c r="W26" i="1"/>
  <c r="F18" i="1"/>
  <c r="F19" i="1" s="1"/>
  <c r="G18" i="1"/>
  <c r="G19" i="1" s="1"/>
  <c r="I18" i="1"/>
  <c r="I19" i="1" s="1"/>
  <c r="E18" i="1"/>
  <c r="E19" i="1" s="1"/>
  <c r="W8" i="1"/>
  <c r="P17" i="1"/>
  <c r="H19" i="1"/>
  <c r="D19" i="1"/>
  <c r="P224" i="1"/>
  <c r="P222" i="1"/>
  <c r="G9" i="2" s="1"/>
  <c r="G10" i="2" s="1"/>
  <c r="P19" i="1" l="1"/>
  <c r="AB19" i="1" s="1"/>
  <c r="AB17" i="1"/>
  <c r="Y19" i="1" l="1"/>
  <c r="E36" i="1" l="1"/>
  <c r="M37" i="1"/>
  <c r="M34" i="1"/>
  <c r="L34" i="1"/>
  <c r="F34" i="1"/>
  <c r="I34" i="1"/>
  <c r="K34" i="1"/>
  <c r="E34" i="1"/>
  <c r="G34" i="1"/>
  <c r="D34" i="1"/>
  <c r="H34" i="1"/>
  <c r="P32" i="1"/>
  <c r="AB32" i="1" s="1"/>
  <c r="F36" i="1" l="1"/>
  <c r="H36" i="1"/>
  <c r="H37" i="1" s="1"/>
  <c r="J36" i="1"/>
  <c r="J37" i="1" s="1"/>
  <c r="D36" i="1"/>
  <c r="D37" i="1" s="1"/>
  <c r="I36" i="1"/>
  <c r="I37" i="1" s="1"/>
  <c r="G36" i="1"/>
  <c r="E37" i="1"/>
  <c r="P35" i="1"/>
  <c r="P34" i="1"/>
  <c r="G37" i="1"/>
  <c r="F37" i="1"/>
  <c r="AB34" i="1" l="1"/>
  <c r="P37" i="1"/>
  <c r="AB37" i="1" s="1"/>
  <c r="AB35" i="1"/>
  <c r="Y37" i="1" l="1"/>
  <c r="Y224" i="1" l="1"/>
  <c r="G19" i="2" l="1"/>
  <c r="G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tc={46C38F28-9A01-4C0C-817E-AB7208832D85}</author>
    <author>tc={E054598F-577D-4782-AE66-730608900E0D}</author>
    <author>tc={B3E0690A-0490-479D-9779-4156864A83FC}</author>
    <author>tc={A3C96EB0-58B3-4230-8C60-C37DAD8FD24D}</author>
    <author>tc={5633F08F-852F-40DC-8707-9FF8B1B21DDD}</author>
    <author>tc={275A99B3-4FC4-4EBA-8633-6F72487E7B55}</author>
    <author>tc={078662B2-2025-4637-BEDC-40BEEB0E6C30}</author>
    <author>tc={D21C64E1-DC75-4829-9FB7-E0B08827D2FF}</author>
    <author>tc={71BDBFA8-636B-451C-AE68-DB806B367493}</author>
    <author>tc={EF87C4F0-A828-4152-8AB7-A8D36ECE43B7}</author>
    <author>tc={5C2BC811-494E-4563-9436-5BB855DC7857}</author>
    <author>tc={3C741EC5-6F16-4C8F-8C07-267F68C66CE2}</author>
    <author>tc={EEAF7030-AD5C-4145-8F77-D4D6C496AF2F}</author>
    <author>tc={F3B3AF25-7384-4C53-B6B6-EF253D13A203}</author>
    <author>tc={AD244778-DA7C-422F-B471-8CE3E78BF3BF}</author>
    <author>tc={92655771-C53E-419F-AD0F-9C4269B574ED}</author>
    <author>tc={F4196199-7AAF-444E-83EB-7190C95A1E2A}</author>
    <author>tc={ADF4E8B4-D8A9-442B-89CF-60EDCD9384E2}</author>
    <author>tc={FB79858F-4652-489C-A5D8-9688F7B90261}</author>
    <author>tc={88D05EBA-DB56-4206-86EB-A8D8EBA6E756}</author>
    <author>tc={D3EB5196-E550-426E-8E6F-06F23DC1B315}</author>
    <author>tc={E2FF99A8-0DE2-4B5F-8DE4-6378FFC9A389}</author>
    <author>tc={69748F68-E6DD-4EC1-A2A4-A0C15496230F}</author>
    <author>tc={908907F1-342E-4B08-9748-90B0027F963E}</author>
    <author>tc={04DB49A6-77D9-4109-BBB6-6141781C8008}</author>
    <author>tc={B0476954-2F4D-4532-936A-CD41F84AC5A5}</author>
    <author>tc={E75CD382-B3AC-41F4-89B9-9432A9B31987}</author>
    <author>tc={84DE3D4F-B1B0-42CE-BB3D-83584DF09786}</author>
    <author>tc={513E9623-D783-4F2A-AE5D-4ADB93B3D9EB}</author>
    <author>tc={DBD3869F-7DA7-4535-BFE1-A6125A57D03F}</author>
    <author>tc={BE4E1384-D188-4358-8DE6-6AE7871926AD}</author>
    <author>tc={44126038-F13A-4305-9526-DD7D68038269}</author>
    <author>tc={9E91F844-1D1B-4308-8F4A-416AA93B5B6D}</author>
    <author>tc={75627488-6D65-41D0-99A1-EE2BE31AAE18}</author>
    <author>tc={4866C1AA-4E8A-4BD0-965C-5B24471544BA}</author>
    <author>tc={F800705E-C636-4FED-A055-00BA4820E872}</author>
    <author>tc={639CD5E4-0060-408B-BA41-B9F2F9B6ACE7}</author>
    <author>tc={14EAF09D-F678-475F-9E7E-47A81410D1CB}</author>
  </authors>
  <commentList>
    <comment ref="R4" authorId="0" shapeId="0" xr:uid="{46C38F28-9A01-4C0C-817E-AB7208832D8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4" authorId="1" shapeId="0" xr:uid="{E054598F-577D-4782-AE66-730608900E0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5" authorId="2" shapeId="0" xr:uid="{B3E0690A-0490-479D-9779-4156864A83FC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K17" authorId="3" shapeId="0" xr:uid="{A3C96EB0-58B3-4230-8C60-C37DAD8FD24D}">
      <text>
        <t>[Threaded comment]
Your version of Excel allows you to read this threaded comment; however, any edits to it will get removed if the file is opened in a newer version of Excel. Learn more: https://go.microsoft.com/fwlink/?linkid=870924
Comment:
    Large power ES from page 1 of Billing Month-End</t>
      </text>
    </comment>
    <comment ref="R22" authorId="4" shapeId="0" xr:uid="{5633F08F-852F-40DC-8707-9FF8B1B21DD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22" authorId="5" shapeId="0" xr:uid="{275A99B3-4FC4-4EBA-8633-6F72487E7B5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23" authorId="6" shapeId="0" xr:uid="{078662B2-2025-4637-BEDC-40BEEB0E6C30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40" authorId="7" shapeId="0" xr:uid="{D21C64E1-DC75-4829-9FB7-E0B08827D2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40" authorId="8" shapeId="0" xr:uid="{71BDBFA8-636B-451C-AE68-DB806B36749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41" authorId="9" shapeId="0" xr:uid="{EF87C4F0-A828-4152-8AB7-A8D36ECE43B7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58" authorId="10" shapeId="0" xr:uid="{5C2BC811-494E-4563-9436-5BB855DC785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58" authorId="11" shapeId="0" xr:uid="{3C741EC5-6F16-4C8F-8C07-267F68C66CE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59" authorId="12" shapeId="0" xr:uid="{EEAF7030-AD5C-4145-8F77-D4D6C496AF2F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76" authorId="13" shapeId="0" xr:uid="{F3B3AF25-7384-4C53-B6B6-EF253D13A20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76" authorId="14" shapeId="0" xr:uid="{AD244778-DA7C-422F-B471-8CE3E78BF3B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77" authorId="15" shapeId="0" xr:uid="{92655771-C53E-419F-AD0F-9C4269B574ED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94" authorId="16" shapeId="0" xr:uid="{F4196199-7AAF-444E-83EB-7190C95A1E2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94" authorId="17" shapeId="0" xr:uid="{ADF4E8B4-D8A9-442B-89CF-60EDCD9384E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95" authorId="18" shapeId="0" xr:uid="{FB79858F-4652-489C-A5D8-9688F7B90261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112" authorId="19" shapeId="0" xr:uid="{88D05EBA-DB56-4206-86EB-A8D8EBA6E75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112" authorId="20" shapeId="0" xr:uid="{D3EB5196-E550-426E-8E6F-06F23DC1B31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113" authorId="21" shapeId="0" xr:uid="{E2FF99A8-0DE2-4B5F-8DE4-6378FFC9A389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130" authorId="22" shapeId="0" xr:uid="{69748F68-E6DD-4EC1-A2A4-A0C15496230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130" authorId="23" shapeId="0" xr:uid="{908907F1-342E-4B08-9748-90B0027F96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135" authorId="24" shapeId="0" xr:uid="{04DB49A6-77D9-4109-BBB6-6141781C8008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148" authorId="25" shapeId="0" xr:uid="{B0476954-2F4D-4532-936A-CD41F84AC5A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148" authorId="26" shapeId="0" xr:uid="{E75CD382-B3AC-41F4-89B9-9432A9B3198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149" authorId="27" shapeId="0" xr:uid="{84DE3D4F-B1B0-42CE-BB3D-83584DF09786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166" authorId="28" shapeId="0" xr:uid="{513E9623-D783-4F2A-AE5D-4ADB93B3D9E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166" authorId="29" shapeId="0" xr:uid="{DBD3869F-7DA7-4535-BFE1-A6125A57D03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167" authorId="30" shapeId="0" xr:uid="{BE4E1384-D188-4358-8DE6-6AE7871926AD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184" authorId="31" shapeId="0" xr:uid="{44126038-F13A-4305-9526-DD7D6803826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184" authorId="32" shapeId="0" xr:uid="{9E91F844-1D1B-4308-8F4A-416AA93B5B6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185" authorId="33" shapeId="0" xr:uid="{75627488-6D65-41D0-99A1-EE2BE31AAE18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R202" authorId="34" shapeId="0" xr:uid="{4866C1AA-4E8A-4BD0-965C-5B24471544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Revenue for each rate schedule</t>
      </text>
    </comment>
    <comment ref="S202" authorId="35" shapeId="0" xr:uid="{F800705E-C636-4FED-A055-00BA4820E87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Included in Revenue for each rate schedule
</t>
      </text>
    </comment>
    <comment ref="B203" authorId="36" shapeId="0" xr:uid="{639CD5E4-0060-408B-BA41-B9F2F9B6ACE7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  <comment ref="B221" authorId="37" shapeId="0" xr:uid="{14EAF09D-F678-475F-9E7E-47A81410D1CB}">
      <text>
        <t>[Threaded comment]
Your version of Excel allows you to read this threaded comment; however, any edits to it will get removed if the file is opened in a newer version of Excel. Learn more: https://go.microsoft.com/fwlink/?linkid=870924
Comment:
    Billed Agreements per Month-End revenue report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tc={31ED12C6-F537-4D01-8577-9E47CAEF5DCC}</author>
  </authors>
  <commentList>
    <comment ref="D14" authorId="0" shapeId="0" xr:uid="{31ED12C6-F537-4D01-8577-9E47CAEF5DCC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used for Jan and Feb from Month End Sales Summary Spreadsheet - not broken out by member</t>
      </text>
    </comment>
  </commentList>
</comments>
</file>

<file path=xl/sharedStrings.xml><?xml version="1.0" encoding="utf-8"?>
<sst xmlns="http://schemas.openxmlformats.org/spreadsheetml/2006/main" count="571" uniqueCount="84">
  <si>
    <t>a.</t>
  </si>
  <si>
    <t>b.</t>
  </si>
  <si>
    <t>kWh sales</t>
  </si>
  <si>
    <t>c.</t>
  </si>
  <si>
    <t>Number of customers</t>
  </si>
  <si>
    <t>kW billing demand</t>
  </si>
  <si>
    <t>d.</t>
  </si>
  <si>
    <t>e.</t>
  </si>
  <si>
    <t>Seasonal/TOU by rate block</t>
  </si>
  <si>
    <t>02</t>
  </si>
  <si>
    <t>09</t>
  </si>
  <si>
    <t>11</t>
  </si>
  <si>
    <t>12</t>
  </si>
  <si>
    <t>13</t>
  </si>
  <si>
    <t>15</t>
  </si>
  <si>
    <t>B1</t>
  </si>
  <si>
    <t>B2</t>
  </si>
  <si>
    <t>Lights</t>
  </si>
  <si>
    <t>Net-C</t>
  </si>
  <si>
    <t>Net-G</t>
  </si>
  <si>
    <t>Total</t>
  </si>
  <si>
    <t>Rate</t>
  </si>
  <si>
    <t>Billing Report Total</t>
  </si>
  <si>
    <t>FAC</t>
  </si>
  <si>
    <t>ES - Total</t>
  </si>
  <si>
    <t>ES - B Rates</t>
  </si>
  <si>
    <t>ES - All Other</t>
  </si>
  <si>
    <t>Revenue per rate class</t>
  </si>
  <si>
    <t>Total per billing register</t>
  </si>
  <si>
    <t>Adjusted total kWh sold</t>
  </si>
  <si>
    <t>Form 7 kWh Sold reconciliation to billing register:</t>
  </si>
  <si>
    <t>FAC - as billed</t>
  </si>
  <si>
    <t>FAC - (over)/under billed</t>
  </si>
  <si>
    <t>Total FAC</t>
  </si>
  <si>
    <t>ES - as billed</t>
  </si>
  <si>
    <t>ES - (over)/under billed</t>
  </si>
  <si>
    <t>Total ES</t>
  </si>
  <si>
    <t>A</t>
  </si>
  <si>
    <t>B</t>
  </si>
  <si>
    <t>2023 Billing Determinants by month</t>
  </si>
  <si>
    <t>ES RATE</t>
  </si>
  <si>
    <t>Total - 2023</t>
  </si>
  <si>
    <t xml:space="preserve">Less: Dec 2023 Unbilled </t>
  </si>
  <si>
    <t>Member</t>
  </si>
  <si>
    <t>Account #</t>
  </si>
  <si>
    <t>Bemis Company Inc.-MS #4</t>
  </si>
  <si>
    <t>Lowes Home Centers</t>
  </si>
  <si>
    <t>Wal-Mart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</si>
  <si>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</si>
  <si>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</si>
  <si>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</si>
  <si>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</si>
  <si>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</si>
  <si>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</si>
  <si>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</si>
  <si>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</si>
  <si>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</si>
  <si>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</si>
  <si>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</si>
  <si>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</si>
  <si>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Difference b/w Contract Minimum and Actual kWh Usage</t>
  </si>
  <si>
    <t>Diageo American Supply, Inc</t>
  </si>
  <si>
    <t>Amcor Flexibles (#3,#4, #5)</t>
  </si>
  <si>
    <t>Contract Minimum Difference</t>
  </si>
  <si>
    <t>Difference</t>
  </si>
  <si>
    <t>Form 7, Part O, Total kWh Sold</t>
  </si>
  <si>
    <t>Plus: Dec 2022 Unbilled</t>
  </si>
  <si>
    <t>Form 7 Revenue reconciliation to billing register:</t>
  </si>
  <si>
    <t>Revenue Per Billing Register</t>
  </si>
  <si>
    <t>Form 7, Part O Line 12</t>
  </si>
  <si>
    <t>Less: Dec 2023 Unbilled Revenue</t>
  </si>
  <si>
    <t>Plus: Dec 2022 Unbilled Revenue</t>
  </si>
  <si>
    <t>Total Revenue</t>
  </si>
  <si>
    <t>First 100kWh per KW Demand</t>
  </si>
  <si>
    <t>Next 100kWh per KW Demand</t>
  </si>
  <si>
    <t>Over 200kWh per KW Demand</t>
  </si>
  <si>
    <t>Residential Fixed Charge</t>
  </si>
  <si>
    <t>Residential kWh</t>
  </si>
  <si>
    <t>General Service Fixed Charge</t>
  </si>
  <si>
    <t>Industrial Demand</t>
  </si>
  <si>
    <t>General Service kWh Charge</t>
  </si>
  <si>
    <t>Residential kWh Charge</t>
  </si>
  <si>
    <t>Adjustment for Rate Increase in Case 2023-00213</t>
  </si>
  <si>
    <t>Adjustment for Rate Increase in Case 2023-00213 - Re-Hearing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</si>
</sst>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7" fontId="0" fillId="2" borderId="0" xfId="0" applyNumberFormat="1" applyFill="1" applyAlignment="1">
      <alignment horizontal="left"/>
    </xf>
    <xf numFmtId="43" fontId="0" fillId="0" borderId="0" xfId="0" applyNumberFormat="1"/>
    <xf numFmtId="0" fontId="2" fillId="0" borderId="0" xfId="0" applyFont="1"/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/>
    <xf numFmtId="164" fontId="0" fillId="0" borderId="2" xfId="1" applyNumberFormat="1" applyFont="1" applyBorder="1"/>
    <xf numFmtId="0" fontId="5" fillId="0" borderId="0" xfId="0" applyFont="1"/>
    <xf numFmtId="43" fontId="0" fillId="0" borderId="0" xfId="1" applyFont="1" applyFill="1"/>
    <xf numFmtId="43" fontId="0" fillId="0" borderId="0" xfId="1" applyFont="1" applyFill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/>
    <xf numFmtId="43" fontId="0" fillId="0" borderId="2" xfId="1" applyFont="1" applyFill="1" applyBorder="1" applyAlignment="1">
      <alignment horizontal="center"/>
    </xf>
    <xf numFmtId="164" fontId="0" fillId="0" borderId="1" xfId="1" applyNumberFormat="1" applyFont="1" applyFill="1" applyBorder="1"/>
    <xf numFmtId="164" fontId="0" fillId="0" borderId="3" xfId="1" applyNumberFormat="1" applyFont="1" applyFill="1" applyBorder="1"/>
    <xf numFmtId="165" fontId="0" fillId="0" borderId="0" xfId="2" applyNumberFormat="1" applyFont="1" applyFill="1"/>
    <xf numFmtId="165" fontId="0" fillId="0" borderId="3" xfId="2" applyNumberFormat="1" applyFont="1" applyFill="1" applyBorder="1"/>
    <xf numFmtId="164" fontId="0" fillId="3" borderId="0" xfId="1" applyNumberFormat="1" applyFont="1" applyFill="1"/>
    <xf numFmtId="0" fontId="0" fillId="3" borderId="0" xfId="0" applyFill="1"/>
    <xf numFmtId="43" fontId="0" fillId="3" borderId="0" xfId="0" applyNumberFormat="1" applyFill="1"/>
    <xf numFmtId="0" fontId="3" fillId="3" borderId="0" xfId="0" applyFont="1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1" fontId="0" fillId="0" borderId="0" xfId="0" applyNumberFormat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ael Moriarty" id="{85031E45-116C-4082-875F-5AE2EF1B3158}" userId="S-1-5-21-2786737081-2817301943-3226038951-5755" providerId="AD"/>
  <person displayName="Michael Moriarty" id="{B053C6C7-DD10-49B6-9645-765A597213A8}" userId="S::michaelm@shelbyenergy.com::13fe62a7-c947-47c1-9598-6cb6b32998d4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4" dT="2023-02-08T20:59:06.61" personId="{B053C6C7-DD10-49B6-9645-765A597213A8}" id="{46C38F28-9A01-4C0C-817E-AB7208832D85}">
    <text>Not included in Revenue for each rate schedule</text>
  </threadedComment>
  <threadedComment ref="S4" dT="2023-02-08T20:59:33.54" personId="{B053C6C7-DD10-49B6-9645-765A597213A8}" id="{E054598F-577D-4782-AE66-730608900E0D}">
    <text xml:space="preserve">Included in Revenue for each rate schedule
</text>
  </threadedComment>
  <threadedComment ref="B5" dT="2023-02-08T20:27:59.65" personId="{B053C6C7-DD10-49B6-9645-765A597213A8}" id="{B3E0690A-0490-479D-9779-4156864A83FC}">
    <text>Billed Agreements per Month-End revenue report</text>
  </threadedComment>
  <threadedComment ref="K17" dT="2024-07-19T19:19:25.91" personId="{85031E45-116C-4082-875F-5AE2EF1B3158}" id="{A3C96EB0-58B3-4230-8C60-C37DAD8FD24D}">
    <text>Large power ES from page 1 of Billing Month-End</text>
  </threadedComment>
  <threadedComment ref="R22" dT="2023-02-08T20:59:06.61" personId="{B053C6C7-DD10-49B6-9645-765A597213A8}" id="{5633F08F-852F-40DC-8707-9FF8B1B21DDD}">
    <text>Not included in Revenue for each rate schedule</text>
  </threadedComment>
  <threadedComment ref="S22" dT="2023-02-08T20:59:33.54" personId="{B053C6C7-DD10-49B6-9645-765A597213A8}" id="{275A99B3-4FC4-4EBA-8633-6F72487E7B55}">
    <text xml:space="preserve">Included in Revenue for each rate schedule
</text>
  </threadedComment>
  <threadedComment ref="B23" dT="2023-02-08T20:27:59.65" personId="{B053C6C7-DD10-49B6-9645-765A597213A8}" id="{078662B2-2025-4637-BEDC-40BEEB0E6C30}">
    <text>Billed Agreements per Month-End revenue report</text>
  </threadedComment>
  <threadedComment ref="R40" dT="2023-02-08T20:59:06.61" personId="{B053C6C7-DD10-49B6-9645-765A597213A8}" id="{D21C64E1-DC75-4829-9FB7-E0B08827D2FF}">
    <text>Not included in Revenue for each rate schedule</text>
  </threadedComment>
  <threadedComment ref="S40" dT="2023-02-08T20:59:33.54" personId="{B053C6C7-DD10-49B6-9645-765A597213A8}" id="{71BDBFA8-636B-451C-AE68-DB806B367493}">
    <text xml:space="preserve">Included in Revenue for each rate schedule
</text>
  </threadedComment>
  <threadedComment ref="B41" dT="2023-02-08T20:27:59.65" personId="{B053C6C7-DD10-49B6-9645-765A597213A8}" id="{EF87C4F0-A828-4152-8AB7-A8D36ECE43B7}">
    <text>Billed Agreements per Month-End revenue report</text>
  </threadedComment>
  <threadedComment ref="R58" dT="2023-02-08T20:59:06.61" personId="{B053C6C7-DD10-49B6-9645-765A597213A8}" id="{5C2BC811-494E-4563-9436-5BB855DC7857}">
    <text>Not included in Revenue for each rate schedule</text>
  </threadedComment>
  <threadedComment ref="S58" dT="2023-02-08T20:59:33.54" personId="{B053C6C7-DD10-49B6-9645-765A597213A8}" id="{3C741EC5-6F16-4C8F-8C07-267F68C66CE2}">
    <text xml:space="preserve">Included in Revenue for each rate schedule
</text>
  </threadedComment>
  <threadedComment ref="B59" dT="2023-02-08T20:27:59.65" personId="{B053C6C7-DD10-49B6-9645-765A597213A8}" id="{EEAF7030-AD5C-4145-8F77-D4D6C496AF2F}">
    <text>Billed Agreements per Month-End revenue report</text>
  </threadedComment>
  <threadedComment ref="R76" dT="2023-02-08T20:59:06.61" personId="{B053C6C7-DD10-49B6-9645-765A597213A8}" id="{F3B3AF25-7384-4C53-B6B6-EF253D13A203}">
    <text>Not included in Revenue for each rate schedule</text>
  </threadedComment>
  <threadedComment ref="S76" dT="2023-02-08T20:59:33.54" personId="{B053C6C7-DD10-49B6-9645-765A597213A8}" id="{AD244778-DA7C-422F-B471-8CE3E78BF3BF}">
    <text xml:space="preserve">Included in Revenue for each rate schedule
</text>
  </threadedComment>
  <threadedComment ref="B77" dT="2023-02-08T20:27:59.65" personId="{B053C6C7-DD10-49B6-9645-765A597213A8}" id="{92655771-C53E-419F-AD0F-9C4269B574ED}">
    <text>Billed Agreements per Month-End revenue report</text>
  </threadedComment>
  <threadedComment ref="R94" dT="2023-02-08T20:59:06.61" personId="{B053C6C7-DD10-49B6-9645-765A597213A8}" id="{F4196199-7AAF-444E-83EB-7190C95A1E2A}">
    <text>Not included in Revenue for each rate schedule</text>
  </threadedComment>
  <threadedComment ref="S94" dT="2023-02-08T20:59:33.54" personId="{B053C6C7-DD10-49B6-9645-765A597213A8}" id="{ADF4E8B4-D8A9-442B-89CF-60EDCD9384E2}">
    <text xml:space="preserve">Included in Revenue for each rate schedule
</text>
  </threadedComment>
  <threadedComment ref="B95" dT="2023-02-08T20:27:59.65" personId="{B053C6C7-DD10-49B6-9645-765A597213A8}" id="{FB79858F-4652-489C-A5D8-9688F7B90261}">
    <text>Billed Agreements per Month-End revenue report</text>
  </threadedComment>
  <threadedComment ref="R112" dT="2023-02-08T20:59:06.61" personId="{B053C6C7-DD10-49B6-9645-765A597213A8}" id="{88D05EBA-DB56-4206-86EB-A8D8EBA6E756}">
    <text>Not included in Revenue for each rate schedule</text>
  </threadedComment>
  <threadedComment ref="S112" dT="2023-02-08T20:59:33.54" personId="{B053C6C7-DD10-49B6-9645-765A597213A8}" id="{D3EB5196-E550-426E-8E6F-06F23DC1B315}">
    <text xml:space="preserve">Included in Revenue for each rate schedule
</text>
  </threadedComment>
  <threadedComment ref="B113" dT="2023-02-08T20:27:59.65" personId="{B053C6C7-DD10-49B6-9645-765A597213A8}" id="{E2FF99A8-0DE2-4B5F-8DE4-6378FFC9A389}">
    <text>Billed Agreements per Month-End revenue report</text>
  </threadedComment>
  <threadedComment ref="R130" dT="2023-02-08T20:59:06.61" personId="{B053C6C7-DD10-49B6-9645-765A597213A8}" id="{69748F68-E6DD-4EC1-A2A4-A0C15496230F}">
    <text>Not included in Revenue for each rate schedule</text>
  </threadedComment>
  <threadedComment ref="S130" dT="2023-02-08T20:59:33.54" personId="{B053C6C7-DD10-49B6-9645-765A597213A8}" id="{908907F1-342E-4B08-9748-90B0027F963E}">
    <text xml:space="preserve">Included in Revenue for each rate schedule
</text>
  </threadedComment>
  <threadedComment ref="B135" dT="2023-02-08T20:27:59.65" personId="{B053C6C7-DD10-49B6-9645-765A597213A8}" id="{04DB49A6-77D9-4109-BBB6-6141781C8008}">
    <text>Billed Agreements per Month-End revenue report</text>
  </threadedComment>
  <threadedComment ref="R148" dT="2023-02-08T20:59:06.61" personId="{B053C6C7-DD10-49B6-9645-765A597213A8}" id="{B0476954-2F4D-4532-936A-CD41F84AC5A5}">
    <text>Not included in Revenue for each rate schedule</text>
  </threadedComment>
  <threadedComment ref="S148" dT="2023-02-08T20:59:33.54" personId="{B053C6C7-DD10-49B6-9645-765A597213A8}" id="{E75CD382-B3AC-41F4-89B9-9432A9B31987}">
    <text xml:space="preserve">Included in Revenue for each rate schedule
</text>
  </threadedComment>
  <threadedComment ref="B149" dT="2023-02-08T20:27:59.65" personId="{B053C6C7-DD10-49B6-9645-765A597213A8}" id="{84DE3D4F-B1B0-42CE-BB3D-83584DF09786}">
    <text>Billed Agreements per Month-End revenue report</text>
  </threadedComment>
  <threadedComment ref="R166" dT="2023-02-08T20:59:06.61" personId="{B053C6C7-DD10-49B6-9645-765A597213A8}" id="{513E9623-D783-4F2A-AE5D-4ADB93B3D9EB}">
    <text>Not included in Revenue for each rate schedule</text>
  </threadedComment>
  <threadedComment ref="S166" dT="2023-02-08T20:59:33.54" personId="{B053C6C7-DD10-49B6-9645-765A597213A8}" id="{DBD3869F-7DA7-4535-BFE1-A6125A57D03F}">
    <text xml:space="preserve">Included in Revenue for each rate schedule
</text>
  </threadedComment>
  <threadedComment ref="B167" dT="2023-02-08T20:27:59.65" personId="{B053C6C7-DD10-49B6-9645-765A597213A8}" id="{BE4E1384-D188-4358-8DE6-6AE7871926AD}">
    <text>Billed Agreements per Month-End revenue report</text>
  </threadedComment>
  <threadedComment ref="R184" dT="2023-02-08T20:59:06.61" personId="{B053C6C7-DD10-49B6-9645-765A597213A8}" id="{44126038-F13A-4305-9526-DD7D68038269}">
    <text>Not included in Revenue for each rate schedule</text>
  </threadedComment>
  <threadedComment ref="S184" dT="2023-02-08T20:59:33.54" personId="{B053C6C7-DD10-49B6-9645-765A597213A8}" id="{9E91F844-1D1B-4308-8F4A-416AA93B5B6D}">
    <text xml:space="preserve">Included in Revenue for each rate schedule
</text>
  </threadedComment>
  <threadedComment ref="B185" dT="2023-02-08T20:27:59.65" personId="{B053C6C7-DD10-49B6-9645-765A597213A8}" id="{75627488-6D65-41D0-99A1-EE2BE31AAE18}">
    <text>Billed Agreements per Month-End revenue report</text>
  </threadedComment>
  <threadedComment ref="R202" dT="2023-02-08T20:59:06.61" personId="{B053C6C7-DD10-49B6-9645-765A597213A8}" id="{4866C1AA-4E8A-4BD0-965C-5B24471544BA}">
    <text>Not included in Revenue for each rate schedule</text>
  </threadedComment>
  <threadedComment ref="S202" dT="2023-02-08T20:59:33.54" personId="{B053C6C7-DD10-49B6-9645-765A597213A8}" id="{F800705E-C636-4FED-A055-00BA4820E872}">
    <text xml:space="preserve">Included in Revenue for each rate schedule
</text>
  </threadedComment>
  <threadedComment ref="B203" dT="2023-02-08T20:27:59.65" personId="{B053C6C7-DD10-49B6-9645-765A597213A8}" id="{639CD5E4-0060-408B-BA41-B9F2F9B6ACE7}">
    <text>Billed Agreements per Month-End revenue report</text>
  </threadedComment>
  <threadedComment ref="B221" dT="2023-02-08T20:27:59.65" personId="{B053C6C7-DD10-49B6-9645-765A597213A8}" id="{14EAF09D-F678-475F-9E7E-47A81410D1CB}">
    <text>Billed Agreements per Month-End revenue report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4" dT="2024-07-22T11:42:43.39" personId="{85031E45-116C-4082-875F-5AE2EF1B3158}" id="{31ED12C6-F537-4D01-8577-9E47CAEF5DCC}">
    <text>Total used for Jan and Feb from Month End Sales Summary Spreadsheet - not broken out by member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5B28-A865-424F-BC01-73D4F42E9640}">
  <dimension ref="A1:AD244"/>
  <sheetViews>
    <sheetView tabSelected="1" topLeftCell="A217" workbookViewId="0">
      <selection activeCell="I226" sqref="I226"/>
    </sheetView>
  </sheetViews>
  <sheetFormatPr defaultRowHeight="15" x14ac:dyDescent="0.25"/>
  <cols>
    <col min="1" max="1" width="2.7109375" bestFit="1" customWidth="1"/>
    <col min="2" max="2" width="29.42578125" bestFit="1" customWidth="1"/>
    <col min="3" max="3" width="7.85546875" bestFit="1" customWidth="1"/>
    <col min="4" max="4" width="13.28515625" bestFit="1" customWidth="1"/>
    <col min="5" max="5" width="9" bestFit="1" customWidth="1"/>
    <col min="6" max="6" width="14.28515625" customWidth="1"/>
    <col min="7" max="7" width="14.28515625" bestFit="1" customWidth="1"/>
    <col min="8" max="9" width="11.7109375" bestFit="1" customWidth="1"/>
    <col min="10" max="10" width="11.5703125" customWidth="1"/>
    <col min="11" max="11" width="12.7109375" bestFit="1" customWidth="1"/>
    <col min="12" max="12" width="11.7109375" bestFit="1" customWidth="1"/>
    <col min="13" max="13" width="10.5703125" bestFit="1" customWidth="1"/>
    <col min="14" max="14" width="9.7109375" customWidth="1"/>
    <col min="15" max="15" width="6.28515625" hidden="1" customWidth="1"/>
    <col min="16" max="16" width="15.42578125" bestFit="1" customWidth="1"/>
    <col min="17" max="17" width="9.140625" customWidth="1"/>
    <col min="18" max="18" width="13.28515625" hidden="1" customWidth="1"/>
    <col min="19" max="20" width="11.5703125" hidden="1" customWidth="1"/>
    <col min="21" max="21" width="12.5703125" hidden="1" customWidth="1"/>
    <col min="22" max="22" width="18.140625" hidden="1" customWidth="1"/>
    <col min="23" max="23" width="12.28515625" hidden="1" customWidth="1"/>
    <col min="24" max="24" width="9.140625" hidden="1" customWidth="1"/>
    <col min="25" max="25" width="14.28515625" style="2" hidden="1" customWidth="1"/>
    <col min="26" max="26" width="11.5703125" style="3" hidden="1" customWidth="1"/>
    <col min="27" max="27" width="9.140625" hidden="1" customWidth="1"/>
    <col min="28" max="28" width="15.28515625" hidden="1" customWidth="1"/>
    <col min="30" max="30" width="12.5703125" bestFit="1" customWidth="1"/>
    <col min="32" max="32" width="9.85546875" bestFit="1" customWidth="1"/>
  </cols>
  <sheetData>
    <row r="1" spans="1:28" x14ac:dyDescent="0.25">
      <c r="A1" s="6" t="s">
        <v>39</v>
      </c>
    </row>
    <row r="3" spans="1:28" x14ac:dyDescent="0.25">
      <c r="B3" s="4">
        <v>44927</v>
      </c>
      <c r="C3" s="4" t="s">
        <v>40</v>
      </c>
      <c r="D3" s="29" t="s">
        <v>21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8" x14ac:dyDescent="0.25"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>
        <v>22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22</v>
      </c>
    </row>
    <row r="5" spans="1:28" x14ac:dyDescent="0.25">
      <c r="A5" t="s">
        <v>0</v>
      </c>
      <c r="B5" t="s">
        <v>4</v>
      </c>
      <c r="D5" s="3">
        <v>64</v>
      </c>
      <c r="E5" s="3">
        <v>26</v>
      </c>
      <c r="F5" s="3">
        <v>3590</v>
      </c>
      <c r="G5" s="3">
        <v>13037</v>
      </c>
      <c r="H5" s="3">
        <v>250</v>
      </c>
      <c r="I5" s="3">
        <v>783</v>
      </c>
      <c r="J5" s="3">
        <v>1</v>
      </c>
      <c r="K5" s="3">
        <v>13</v>
      </c>
      <c r="L5" s="3">
        <v>1</v>
      </c>
      <c r="M5" s="3">
        <v>35</v>
      </c>
      <c r="N5" s="3">
        <v>0</v>
      </c>
      <c r="O5" s="3">
        <v>0</v>
      </c>
      <c r="P5" s="3">
        <f>SUM(D5:O5)</f>
        <v>17800</v>
      </c>
      <c r="V5" s="3">
        <v>17800</v>
      </c>
      <c r="W5" s="3">
        <f>P5-V5</f>
        <v>0</v>
      </c>
    </row>
    <row r="6" spans="1:28" x14ac:dyDescent="0.25">
      <c r="A6" t="s">
        <v>1</v>
      </c>
      <c r="B6" t="s">
        <v>2</v>
      </c>
      <c r="D6" s="3">
        <f>5293720+74</f>
        <v>5293794</v>
      </c>
      <c r="E6" s="3">
        <v>30532</v>
      </c>
      <c r="F6" s="3">
        <f>2098912+1008</f>
        <v>2099920</v>
      </c>
      <c r="G6" s="3">
        <f>21831219+4664</f>
        <v>21835883</v>
      </c>
      <c r="H6" s="3">
        <v>1231638</v>
      </c>
      <c r="I6" s="3">
        <f>1631172+452</f>
        <v>1631624</v>
      </c>
      <c r="J6" s="3">
        <f>SUM(J10:J12)</f>
        <v>82969</v>
      </c>
      <c r="K6" s="3">
        <v>8952628</v>
      </c>
      <c r="L6" s="3">
        <v>2625258</v>
      </c>
      <c r="M6" s="3">
        <v>142518</v>
      </c>
      <c r="N6" s="3">
        <v>0</v>
      </c>
      <c r="O6" s="3">
        <v>0</v>
      </c>
      <c r="P6" s="3">
        <f t="shared" ref="P6:P14" si="0">SUM(D6:O6)</f>
        <v>43926764</v>
      </c>
      <c r="V6" s="3">
        <f>43778048+148716</f>
        <v>43926764</v>
      </c>
      <c r="W6" s="3">
        <f>P6-V6</f>
        <v>0</v>
      </c>
    </row>
    <row r="7" spans="1:28" x14ac:dyDescent="0.25">
      <c r="A7" t="s">
        <v>3</v>
      </c>
      <c r="B7" t="s">
        <v>5</v>
      </c>
      <c r="D7" s="3">
        <v>14106.81</v>
      </c>
      <c r="E7" s="3">
        <v>0</v>
      </c>
      <c r="F7" s="3">
        <v>9.6</v>
      </c>
      <c r="G7" s="3">
        <v>79.44</v>
      </c>
      <c r="H7" s="3">
        <v>4715.973</v>
      </c>
      <c r="I7" s="3">
        <v>0</v>
      </c>
      <c r="J7" s="3">
        <v>200</v>
      </c>
      <c r="K7" s="3">
        <v>19747</v>
      </c>
      <c r="L7" s="3">
        <v>5231</v>
      </c>
      <c r="M7" s="3">
        <v>0</v>
      </c>
      <c r="N7" s="3">
        <v>0</v>
      </c>
      <c r="O7" s="3">
        <v>0</v>
      </c>
      <c r="P7" s="3">
        <f t="shared" si="0"/>
        <v>44089.823000000004</v>
      </c>
      <c r="V7" s="3">
        <v>44385</v>
      </c>
      <c r="W7" s="3">
        <f>P7-V7</f>
        <v>-295.17699999999604</v>
      </c>
    </row>
    <row r="8" spans="1:28" x14ac:dyDescent="0.25">
      <c r="A8" t="s">
        <v>6</v>
      </c>
      <c r="B8" t="s">
        <v>27</v>
      </c>
      <c r="D8" s="3">
        <f>528746.54-60718.96</f>
        <v>468027.58</v>
      </c>
      <c r="E8" s="3">
        <f>2465.63-350.19</f>
        <v>2115.44</v>
      </c>
      <c r="F8" s="3">
        <f>319033.49-24074.42</f>
        <v>294959.07</v>
      </c>
      <c r="G8" s="3">
        <f>2702406.76-250317.92</f>
        <v>2452088.84</v>
      </c>
      <c r="H8" s="3">
        <f>154070.67-14126.97</f>
        <v>139943.70000000001</v>
      </c>
      <c r="I8" s="3">
        <f>199095.36-18709.52</f>
        <v>180385.84</v>
      </c>
      <c r="J8" s="3">
        <f>8361.54-951.65</f>
        <v>7409.8900000000012</v>
      </c>
      <c r="K8" s="3">
        <f>786315.6-99836.46</f>
        <v>686479.14</v>
      </c>
      <c r="L8" s="3">
        <f>196690.84-30111.71</f>
        <v>166579.13</v>
      </c>
      <c r="M8" s="3">
        <f>51374.24-1644.69</f>
        <v>49729.549999999996</v>
      </c>
      <c r="N8" s="3">
        <v>0</v>
      </c>
      <c r="O8" s="3">
        <v>0</v>
      </c>
      <c r="P8" s="3">
        <f t="shared" si="0"/>
        <v>4447718.18</v>
      </c>
      <c r="R8" s="2">
        <f>499197.8+1644.69</f>
        <v>500842.49</v>
      </c>
      <c r="S8" s="2">
        <f>530032.33+117504-103395.26</f>
        <v>544141.06999999995</v>
      </c>
      <c r="T8" s="2">
        <v>117504</v>
      </c>
      <c r="U8" s="5">
        <f>S8-T8</f>
        <v>426637.06999999995</v>
      </c>
      <c r="V8" s="3">
        <f>4948560.67-500842.49</f>
        <v>4447718.18</v>
      </c>
      <c r="W8" s="3">
        <f>P8-V8</f>
        <v>0</v>
      </c>
    </row>
    <row r="9" spans="1:28" x14ac:dyDescent="0.25">
      <c r="A9" t="s">
        <v>7</v>
      </c>
      <c r="B9" t="s">
        <v>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8" x14ac:dyDescent="0.25">
      <c r="B10" s="10" t="s">
        <v>73</v>
      </c>
      <c r="D10" s="24"/>
      <c r="E10" s="24"/>
      <c r="F10" s="24"/>
      <c r="G10" s="24"/>
      <c r="H10" s="24"/>
      <c r="I10" s="24"/>
      <c r="J10" s="3">
        <v>20000</v>
      </c>
      <c r="K10" s="24"/>
      <c r="L10" s="24"/>
      <c r="M10" s="24"/>
      <c r="N10" s="24"/>
      <c r="O10" s="24"/>
      <c r="P10" s="25"/>
    </row>
    <row r="11" spans="1:28" x14ac:dyDescent="0.25">
      <c r="B11" s="10" t="s">
        <v>74</v>
      </c>
      <c r="D11" s="24"/>
      <c r="E11" s="24"/>
      <c r="F11" s="24"/>
      <c r="G11" s="24"/>
      <c r="H11" s="24"/>
      <c r="I11" s="24"/>
      <c r="J11" s="3">
        <v>20000</v>
      </c>
      <c r="K11" s="24"/>
      <c r="L11" s="24"/>
      <c r="M11" s="24"/>
      <c r="N11" s="24"/>
      <c r="O11" s="24"/>
      <c r="P11" s="25"/>
    </row>
    <row r="12" spans="1:28" x14ac:dyDescent="0.25">
      <c r="B12" s="10" t="s">
        <v>75</v>
      </c>
      <c r="D12" s="24"/>
      <c r="E12" s="24"/>
      <c r="F12" s="24"/>
      <c r="G12" s="24"/>
      <c r="H12" s="24"/>
      <c r="I12" s="24"/>
      <c r="J12" s="3">
        <v>42969</v>
      </c>
      <c r="K12" s="24"/>
      <c r="L12" s="24"/>
      <c r="M12" s="24"/>
      <c r="N12" s="24"/>
      <c r="O12" s="24"/>
      <c r="P12" s="25"/>
    </row>
    <row r="13" spans="1:28" x14ac:dyDescent="0.2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8" x14ac:dyDescent="0.25">
      <c r="A14" s="31"/>
      <c r="B14" t="s">
        <v>31</v>
      </c>
      <c r="D14" s="3">
        <v>60718.96</v>
      </c>
      <c r="E14" s="3">
        <v>350.19</v>
      </c>
      <c r="F14" s="3">
        <v>24074.42</v>
      </c>
      <c r="G14" s="3">
        <v>250317.92</v>
      </c>
      <c r="H14" s="3">
        <v>14126.97</v>
      </c>
      <c r="I14" s="3">
        <v>18709.52</v>
      </c>
      <c r="J14" s="3">
        <v>951.65</v>
      </c>
      <c r="K14" s="3">
        <v>99836.46</v>
      </c>
      <c r="L14" s="3">
        <v>30111.71</v>
      </c>
      <c r="M14" s="3">
        <v>1644.69</v>
      </c>
      <c r="N14" s="3">
        <v>0</v>
      </c>
      <c r="O14" s="3">
        <v>0</v>
      </c>
      <c r="P14" s="3">
        <f t="shared" si="0"/>
        <v>500842.49000000005</v>
      </c>
      <c r="Z14" s="3">
        <f>573825.74+1755.6</f>
        <v>575581.34</v>
      </c>
      <c r="AA14" s="14" t="s">
        <v>37</v>
      </c>
      <c r="AB14" s="9">
        <f>P14-Z14</f>
        <v>-74738.849999999919</v>
      </c>
    </row>
    <row r="15" spans="1:28" x14ac:dyDescent="0.25">
      <c r="A15" s="31"/>
      <c r="B15" t="s">
        <v>32</v>
      </c>
      <c r="D15" s="3">
        <f>(0.17327*(D14/(D14+H14+J14)))*P15</f>
        <v>71515.28463026743</v>
      </c>
      <c r="E15" s="3">
        <f>(0.58642*(E14/(E14+F14+G14+I14)))*P15</f>
        <v>360.56359724421117</v>
      </c>
      <c r="F15" s="3">
        <f>(0.58642*(F14/(E14+F14+G14+I14)))*P15</f>
        <v>24787.570966526691</v>
      </c>
      <c r="G15" s="3">
        <f>(0.58642*(G14/(E14+F14+G14+I14)))*P15</f>
        <v>257733.0297549578</v>
      </c>
      <c r="H15" s="3">
        <f>(0.17327*(H14/(D14+H14+J14)))*P15</f>
        <v>16638.860094330485</v>
      </c>
      <c r="I15" s="3">
        <f>(0.58642*(I14/(E14+F14+G14+I14)))*P15</f>
        <v>19263.747776671273</v>
      </c>
      <c r="J15" s="3">
        <f>(0.17327*(J14/(D14+H14+J14)))*P15</f>
        <v>1120.8611053021002</v>
      </c>
      <c r="K15" s="3">
        <f>(0.23905*(K14/(K14+L14)))*P15</f>
        <v>94626.824310724813</v>
      </c>
      <c r="L15" s="3">
        <f>(0.23905*(L14/(K14+L14)))*P15</f>
        <v>28540.429937775189</v>
      </c>
      <c r="M15" s="3">
        <f>0.00126*P15</f>
        <v>649.19782620000001</v>
      </c>
      <c r="N15" s="3">
        <v>0</v>
      </c>
      <c r="O15" s="3">
        <v>0</v>
      </c>
      <c r="P15" s="3">
        <v>515236.37</v>
      </c>
    </row>
    <row r="16" spans="1:28" x14ac:dyDescent="0.25">
      <c r="A16" s="31"/>
      <c r="B16" s="11" t="s">
        <v>33</v>
      </c>
      <c r="C16" s="11"/>
      <c r="D16" s="13">
        <f>D14+D15</f>
        <v>132234.24463026744</v>
      </c>
      <c r="E16" s="13">
        <f t="shared" ref="E16:O16" si="1">E14+E15</f>
        <v>710.75359724421116</v>
      </c>
      <c r="F16" s="13">
        <f t="shared" si="1"/>
        <v>48861.99096652669</v>
      </c>
      <c r="G16" s="13">
        <f t="shared" si="1"/>
        <v>508050.94975495781</v>
      </c>
      <c r="H16" s="13">
        <f t="shared" si="1"/>
        <v>30765.830094330486</v>
      </c>
      <c r="I16" s="13">
        <f t="shared" si="1"/>
        <v>37973.267776671273</v>
      </c>
      <c r="J16" s="13">
        <f t="shared" si="1"/>
        <v>2072.5111053021001</v>
      </c>
      <c r="K16" s="13">
        <f t="shared" si="1"/>
        <v>194463.28431072482</v>
      </c>
      <c r="L16" s="13">
        <f t="shared" si="1"/>
        <v>58652.139937775188</v>
      </c>
      <c r="M16" s="13">
        <f t="shared" si="1"/>
        <v>2293.8878261999998</v>
      </c>
      <c r="N16" s="13">
        <f t="shared" si="1"/>
        <v>0</v>
      </c>
      <c r="O16" s="13">
        <f t="shared" si="1"/>
        <v>0</v>
      </c>
      <c r="P16" s="13">
        <f t="shared" ref="P16" si="2">P14+P15</f>
        <v>1016078.8600000001</v>
      </c>
      <c r="Z16" s="3">
        <f>420313</f>
        <v>420313</v>
      </c>
      <c r="AA16" s="12" t="s">
        <v>38</v>
      </c>
      <c r="AB16" s="9">
        <f>P16-Z16</f>
        <v>595765.8600000001</v>
      </c>
    </row>
    <row r="17" spans="1:28" x14ac:dyDescent="0.25">
      <c r="A17" s="31"/>
      <c r="B17" t="s">
        <v>34</v>
      </c>
      <c r="C17">
        <v>0.11990000000000001</v>
      </c>
      <c r="D17" s="3">
        <f>((D8+D14)/(1+C17))*C17</f>
        <v>56609.259885704094</v>
      </c>
      <c r="E17" s="3">
        <f>((E8+E14)/(1+C17))*C17</f>
        <v>263.97806679167792</v>
      </c>
      <c r="F17" s="3">
        <f>((F8+F14)/(1+C17))*C17</f>
        <v>34156.724217340838</v>
      </c>
      <c r="G17" s="3">
        <f>(((G8+G14)/(1+C17))*C17)-52.93</f>
        <v>289275.19797928387</v>
      </c>
      <c r="H17" s="3">
        <f>((H8+H14)/(1+C17))*C17</f>
        <v>16495.288269488348</v>
      </c>
      <c r="I17" s="3">
        <f>(((I8+I14)/(1+C17))*C17)+(2352*C17)</f>
        <v>21597.777336833646</v>
      </c>
      <c r="J17" s="3">
        <f>(((J8+J14)/(1+C17))*C17)</f>
        <v>895.21264934369162</v>
      </c>
      <c r="K17" s="3">
        <f>117504-L17+1843.4</f>
        <v>93061.4</v>
      </c>
      <c r="L17" s="3">
        <v>26286</v>
      </c>
      <c r="M17" s="3">
        <f>((M8+M14)/(1+C17))*C17</f>
        <v>5500.2869684793286</v>
      </c>
      <c r="N17" s="3">
        <v>0</v>
      </c>
      <c r="O17" s="3">
        <v>0</v>
      </c>
      <c r="P17" s="3">
        <f t="shared" ref="P17" si="3">SUM(D17:O17)</f>
        <v>544141.12537326547</v>
      </c>
      <c r="Z17" s="3">
        <f>642548.04</f>
        <v>642548.04</v>
      </c>
      <c r="AA17" s="14" t="s">
        <v>37</v>
      </c>
      <c r="AB17" s="9">
        <f>P17-Z17</f>
        <v>-98406.914626734564</v>
      </c>
    </row>
    <row r="18" spans="1:28" x14ac:dyDescent="0.25">
      <c r="A18" s="31"/>
      <c r="B18" t="s">
        <v>35</v>
      </c>
      <c r="D18" s="3">
        <f>(0.2277*(D17/(D17+H17+J17)))*P18</f>
        <v>-5726.4685228102726</v>
      </c>
      <c r="E18" s="3">
        <f>(0.7706*(E17/(E17+F17+G17+I17)))*P18</f>
        <v>-19.36755993216407</v>
      </c>
      <c r="F18" s="3">
        <f>(0.7706*(F17/(E17+F17+G17+I17)))*P18</f>
        <v>-2506.012758581971</v>
      </c>
      <c r="G18" s="3">
        <f>(0.7706*(G17/(E17+F17+G17+I17)))*P18</f>
        <v>-21223.561494500009</v>
      </c>
      <c r="H18" s="3">
        <f>(0.2277*(H17/(H17+D17+J17)))*P18</f>
        <v>-1668.6271687816416</v>
      </c>
      <c r="I18" s="3">
        <f>(0.7706*(I17/(I17+E17+F17+G17)))*P18</f>
        <v>-1584.5871289858528</v>
      </c>
      <c r="J18" s="3">
        <f>(0.2277*(J17/(H17+D17+J17)))*P18</f>
        <v>-90.557747408085177</v>
      </c>
      <c r="K18" s="3">
        <v>0</v>
      </c>
      <c r="L18" s="3">
        <v>0</v>
      </c>
      <c r="M18" s="3">
        <f>0.0017*P18</f>
        <v>-55.887618999999994</v>
      </c>
      <c r="N18" s="3">
        <v>0</v>
      </c>
      <c r="O18" s="3">
        <v>0</v>
      </c>
      <c r="P18" s="3">
        <v>-32875.07</v>
      </c>
    </row>
    <row r="19" spans="1:28" x14ac:dyDescent="0.25">
      <c r="A19" s="31"/>
      <c r="B19" s="11" t="s">
        <v>36</v>
      </c>
      <c r="C19" s="11"/>
      <c r="D19" s="13">
        <f>D17+D18</f>
        <v>50882.791362893819</v>
      </c>
      <c r="E19" s="13">
        <f t="shared" ref="E19" si="4">E17+E18</f>
        <v>244.61050685951386</v>
      </c>
      <c r="F19" s="13">
        <f t="shared" ref="F19" si="5">F17+F18</f>
        <v>31650.711458758866</v>
      </c>
      <c r="G19" s="13">
        <f t="shared" ref="G19" si="6">G17+G18</f>
        <v>268051.63648478384</v>
      </c>
      <c r="H19" s="13">
        <f t="shared" ref="H19" si="7">H17+H18</f>
        <v>14826.661100706708</v>
      </c>
      <c r="I19" s="13">
        <f t="shared" ref="I19:J19" si="8">I17+I18</f>
        <v>20013.190207847794</v>
      </c>
      <c r="J19" s="13">
        <f t="shared" si="8"/>
        <v>804.6549019356064</v>
      </c>
      <c r="K19" s="13">
        <f t="shared" ref="K19" si="9">K17+K18</f>
        <v>93061.4</v>
      </c>
      <c r="L19" s="13">
        <f t="shared" ref="L19" si="10">L17+L18</f>
        <v>26286</v>
      </c>
      <c r="M19" s="13">
        <f t="shared" ref="M19:O19" si="11">M17+M18</f>
        <v>5444.3993494793285</v>
      </c>
      <c r="N19" s="13">
        <f t="shared" si="11"/>
        <v>0</v>
      </c>
      <c r="O19" s="13">
        <f t="shared" si="11"/>
        <v>0</v>
      </c>
      <c r="P19" s="13">
        <f t="shared" ref="P19" si="12">P17+P18</f>
        <v>511266.05537326547</v>
      </c>
      <c r="Y19" s="2">
        <f>P8+P16-P17+P19</f>
        <v>5430921.9699999997</v>
      </c>
      <c r="Z19" s="3">
        <f>493563-379</f>
        <v>493184</v>
      </c>
      <c r="AA19" s="12" t="s">
        <v>38</v>
      </c>
      <c r="AB19" s="9">
        <f>P19-Z19</f>
        <v>18082.055373265466</v>
      </c>
    </row>
    <row r="20" spans="1:28" x14ac:dyDescent="0.25">
      <c r="A20" s="3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28" x14ac:dyDescent="0.25">
      <c r="B21" s="4">
        <v>44958</v>
      </c>
      <c r="C21" s="4"/>
      <c r="D21" s="29" t="s">
        <v>21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28" x14ac:dyDescent="0.25">
      <c r="D22" s="7" t="s">
        <v>9</v>
      </c>
      <c r="E22" s="7" t="s">
        <v>10</v>
      </c>
      <c r="F22" s="7" t="s">
        <v>11</v>
      </c>
      <c r="G22" s="7" t="s">
        <v>12</v>
      </c>
      <c r="H22" s="7" t="s">
        <v>13</v>
      </c>
      <c r="I22" s="7" t="s">
        <v>14</v>
      </c>
      <c r="J22" s="7">
        <v>22</v>
      </c>
      <c r="K22" s="8" t="s">
        <v>15</v>
      </c>
      <c r="L22" s="8" t="s">
        <v>16</v>
      </c>
      <c r="M22" s="8" t="s">
        <v>17</v>
      </c>
      <c r="N22" s="8" t="s">
        <v>18</v>
      </c>
      <c r="O22" s="8" t="s">
        <v>19</v>
      </c>
      <c r="P22" s="8" t="s">
        <v>20</v>
      </c>
      <c r="R22" s="1" t="s">
        <v>23</v>
      </c>
      <c r="S22" s="1" t="s">
        <v>24</v>
      </c>
      <c r="T22" s="1" t="s">
        <v>25</v>
      </c>
      <c r="U22" s="1" t="s">
        <v>26</v>
      </c>
      <c r="V22" s="1" t="s">
        <v>22</v>
      </c>
    </row>
    <row r="23" spans="1:28" x14ac:dyDescent="0.25">
      <c r="A23" t="s">
        <v>0</v>
      </c>
      <c r="B23" t="s">
        <v>4</v>
      </c>
      <c r="D23" s="3">
        <v>64</v>
      </c>
      <c r="E23" s="3">
        <v>28</v>
      </c>
      <c r="F23" s="3">
        <v>3705</v>
      </c>
      <c r="G23" s="3">
        <v>13038</v>
      </c>
      <c r="H23" s="3">
        <v>245</v>
      </c>
      <c r="I23" s="3">
        <v>782</v>
      </c>
      <c r="J23" s="3">
        <v>1</v>
      </c>
      <c r="K23" s="3">
        <v>13</v>
      </c>
      <c r="L23" s="3">
        <v>1</v>
      </c>
      <c r="M23" s="3">
        <v>35</v>
      </c>
      <c r="N23" s="3">
        <v>0</v>
      </c>
      <c r="O23" s="3">
        <v>0</v>
      </c>
      <c r="P23" s="3">
        <f>SUM(D23:O23)</f>
        <v>17912</v>
      </c>
      <c r="V23" s="3">
        <v>17912</v>
      </c>
      <c r="W23" s="3">
        <f>P23-V23</f>
        <v>0</v>
      </c>
    </row>
    <row r="24" spans="1:28" x14ac:dyDescent="0.25">
      <c r="A24" t="s">
        <v>1</v>
      </c>
      <c r="B24" t="s">
        <v>2</v>
      </c>
      <c r="D24" s="3">
        <f>4984543+74</f>
        <v>4984617</v>
      </c>
      <c r="E24" s="3">
        <v>24626</v>
      </c>
      <c r="F24" s="3">
        <f>1977198+1008</f>
        <v>1978206</v>
      </c>
      <c r="G24" s="3">
        <f>19139185+4904</f>
        <v>19144089</v>
      </c>
      <c r="H24" s="3">
        <f>1271117</f>
        <v>1271117</v>
      </c>
      <c r="I24" s="3">
        <f>1210245+452</f>
        <v>1210697</v>
      </c>
      <c r="J24" s="3">
        <f>SUM(J28:J30)</f>
        <v>71330</v>
      </c>
      <c r="K24" s="3">
        <f>8827129</f>
        <v>8827129</v>
      </c>
      <c r="L24" s="3">
        <v>2448360</v>
      </c>
      <c r="M24" s="3">
        <v>142189</v>
      </c>
      <c r="N24" s="3">
        <v>0</v>
      </c>
      <c r="O24" s="3">
        <v>0</v>
      </c>
      <c r="P24" s="3">
        <f t="shared" ref="P24:P26" si="13">SUM(D24:O24)</f>
        <v>40102360</v>
      </c>
      <c r="V24" s="3">
        <f>39953733+148627</f>
        <v>40102360</v>
      </c>
      <c r="W24" s="3">
        <f>P24-V24</f>
        <v>0</v>
      </c>
    </row>
    <row r="25" spans="1:28" x14ac:dyDescent="0.25">
      <c r="A25" t="s">
        <v>3</v>
      </c>
      <c r="B25" t="s">
        <v>5</v>
      </c>
      <c r="D25" s="3">
        <v>14547.431</v>
      </c>
      <c r="E25" s="3">
        <v>0</v>
      </c>
      <c r="F25" s="3">
        <v>8.8000000000000007</v>
      </c>
      <c r="G25" s="3">
        <v>74.28</v>
      </c>
      <c r="H25" s="3">
        <v>4910.2669999999998</v>
      </c>
      <c r="I25" s="3">
        <v>0</v>
      </c>
      <c r="J25" s="3">
        <v>200</v>
      </c>
      <c r="K25" s="3">
        <v>20092</v>
      </c>
      <c r="L25" s="3">
        <v>5000</v>
      </c>
      <c r="M25" s="3">
        <v>0</v>
      </c>
      <c r="N25" s="3">
        <v>0</v>
      </c>
      <c r="O25" s="3">
        <v>0</v>
      </c>
      <c r="P25" s="3">
        <f t="shared" si="13"/>
        <v>44832.777999999998</v>
      </c>
      <c r="V25" s="3">
        <v>44832.777999999998</v>
      </c>
      <c r="W25" s="3">
        <f>P25-V25</f>
        <v>0</v>
      </c>
    </row>
    <row r="26" spans="1:28" x14ac:dyDescent="0.25">
      <c r="A26" t="s">
        <v>6</v>
      </c>
      <c r="B26" t="s">
        <v>27</v>
      </c>
      <c r="D26" s="3">
        <f>493369.77-55029.34</f>
        <v>438340.43000000005</v>
      </c>
      <c r="E26" s="3">
        <f>1940.15-271.89</f>
        <v>1668.2600000000002</v>
      </c>
      <c r="F26" s="3">
        <f>300671.92-21836.42</f>
        <v>278835.5</v>
      </c>
      <c r="G26" s="3">
        <f>2344338.21-211258.31</f>
        <v>2133079.9</v>
      </c>
      <c r="H26" s="3">
        <f>154473.25-14024.72</f>
        <v>140448.53</v>
      </c>
      <c r="I26" s="3">
        <f>147942.54-13361.01</f>
        <v>134581.53</v>
      </c>
      <c r="J26" s="3">
        <f>7281.1-787.48</f>
        <v>6493.6200000000008</v>
      </c>
      <c r="K26" s="3">
        <f>734072.49-92671.05</f>
        <v>641401.43999999994</v>
      </c>
      <c r="L26" s="3">
        <f>170989.8-27029.89</f>
        <v>143959.90999999997</v>
      </c>
      <c r="M26" s="3">
        <f>52339.26-1552.01</f>
        <v>50787.25</v>
      </c>
      <c r="N26" s="3">
        <v>0</v>
      </c>
      <c r="O26" s="3">
        <v>0</v>
      </c>
      <c r="P26" s="3">
        <f t="shared" si="13"/>
        <v>3969596.3699999996</v>
      </c>
      <c r="R26" s="2">
        <f>436270.11+1552.01</f>
        <v>437822.12</v>
      </c>
      <c r="S26" s="2">
        <f>400667.05+63569-83154.94</f>
        <v>381081.11</v>
      </c>
      <c r="T26" s="2">
        <v>63569</v>
      </c>
      <c r="U26" s="5">
        <f>S26-T26</f>
        <v>317512.11</v>
      </c>
      <c r="V26" s="3">
        <f>4407418.49-437822.12</f>
        <v>3969596.37</v>
      </c>
      <c r="W26" s="3">
        <f>P26-V26</f>
        <v>0</v>
      </c>
    </row>
    <row r="27" spans="1:28" x14ac:dyDescent="0.25">
      <c r="A27" t="s">
        <v>7</v>
      </c>
      <c r="B27" t="s">
        <v>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28" x14ac:dyDescent="0.25">
      <c r="B28" s="10" t="s">
        <v>73</v>
      </c>
      <c r="D28" s="24"/>
      <c r="E28" s="24"/>
      <c r="F28" s="24"/>
      <c r="G28" s="24"/>
      <c r="H28" s="24"/>
      <c r="I28" s="24"/>
      <c r="J28" s="3">
        <v>20000</v>
      </c>
      <c r="K28" s="24"/>
      <c r="L28" s="24"/>
      <c r="M28" s="24"/>
      <c r="N28" s="24"/>
      <c r="O28" s="24"/>
      <c r="P28" s="25"/>
    </row>
    <row r="29" spans="1:28" x14ac:dyDescent="0.25">
      <c r="B29" s="10" t="s">
        <v>74</v>
      </c>
      <c r="D29" s="24"/>
      <c r="E29" s="24"/>
      <c r="F29" s="24"/>
      <c r="G29" s="24"/>
      <c r="H29" s="24"/>
      <c r="I29" s="24"/>
      <c r="J29" s="3">
        <v>20000</v>
      </c>
      <c r="K29" s="24"/>
      <c r="L29" s="24"/>
      <c r="M29" s="24"/>
      <c r="N29" s="24"/>
      <c r="O29" s="24"/>
      <c r="P29" s="25"/>
    </row>
    <row r="30" spans="1:28" x14ac:dyDescent="0.25">
      <c r="B30" s="10" t="s">
        <v>75</v>
      </c>
      <c r="D30" s="24"/>
      <c r="E30" s="24"/>
      <c r="F30" s="24"/>
      <c r="G30" s="24"/>
      <c r="H30" s="24"/>
      <c r="I30" s="24"/>
      <c r="J30" s="3">
        <v>31330</v>
      </c>
      <c r="K30" s="24"/>
      <c r="L30" s="24"/>
      <c r="M30" s="24"/>
      <c r="N30" s="24"/>
      <c r="O30" s="24"/>
      <c r="P30" s="25"/>
    </row>
    <row r="31" spans="1:28" x14ac:dyDescent="0.2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28" x14ac:dyDescent="0.25">
      <c r="B32" t="s">
        <v>31</v>
      </c>
      <c r="D32" s="3">
        <v>55029.34</v>
      </c>
      <c r="E32" s="3">
        <v>271.89</v>
      </c>
      <c r="F32" s="3">
        <v>21836.42</v>
      </c>
      <c r="G32" s="3">
        <v>211258.31</v>
      </c>
      <c r="H32" s="3">
        <v>14024.72</v>
      </c>
      <c r="I32" s="3">
        <v>13361.01</v>
      </c>
      <c r="J32" s="3">
        <v>787.48</v>
      </c>
      <c r="K32" s="3">
        <v>92671.05</v>
      </c>
      <c r="L32" s="3">
        <v>27029.89</v>
      </c>
      <c r="M32" s="3">
        <v>1552.01</v>
      </c>
      <c r="N32" s="3">
        <v>0</v>
      </c>
      <c r="O32" s="3">
        <v>0</v>
      </c>
      <c r="P32" s="3">
        <f t="shared" ref="P32:P35" si="14">SUM(D32:O32)</f>
        <v>437822.11999999994</v>
      </c>
      <c r="Z32" s="3">
        <f>800955.74+2711.84</f>
        <v>803667.58</v>
      </c>
      <c r="AA32" s="14" t="s">
        <v>37</v>
      </c>
      <c r="AB32" s="9">
        <f>P32-Z32</f>
        <v>-365845.46</v>
      </c>
    </row>
    <row r="33" spans="1:28" x14ac:dyDescent="0.25">
      <c r="B33" t="s">
        <v>32</v>
      </c>
      <c r="D33" s="3">
        <f>(0.17327*(D32/(D32+H32+J32)))*P33</f>
        <v>966.15254902268168</v>
      </c>
      <c r="E33" s="3">
        <f>(0.58642*(E32/(E32+F32+G32+I32)))*P33</f>
        <v>4.5732616857485491</v>
      </c>
      <c r="F33" s="3">
        <f>(0.58642*(F32/(E32+F32+G32+I32)))*P33</f>
        <v>367.29435779143517</v>
      </c>
      <c r="G33" s="3">
        <f>(0.58642*(G32/(E32+F32+G32+I32)))*P33</f>
        <v>3553.4206293684556</v>
      </c>
      <c r="H33" s="3">
        <f>(0.17327*(H32/(D32+H32+J32)))*P33</f>
        <v>246.23262749161421</v>
      </c>
      <c r="I33" s="3">
        <f>(0.58642*(I32/(E32+F32+G32+I32)))*P33</f>
        <v>224.73572075436098</v>
      </c>
      <c r="J33" s="3">
        <f>(0.17327*(J32/(D32+H32+J32)))*P33</f>
        <v>13.825821085704126</v>
      </c>
      <c r="K33" s="3">
        <f>(0.23905*(K32/(K32+L32)))*P33</f>
        <v>1309.7159075981542</v>
      </c>
      <c r="L33" s="3">
        <f>(0.23905*(L32/(K32+L32)))*P33</f>
        <v>382.01225640184583</v>
      </c>
      <c r="M33" s="3">
        <f>0.00126*P33</f>
        <v>8.9168688000000014</v>
      </c>
      <c r="N33" s="3">
        <v>0</v>
      </c>
      <c r="O33" s="3">
        <v>0</v>
      </c>
      <c r="P33" s="3">
        <v>7076.88</v>
      </c>
    </row>
    <row r="34" spans="1:28" x14ac:dyDescent="0.25">
      <c r="B34" s="11" t="s">
        <v>33</v>
      </c>
      <c r="C34" s="11"/>
      <c r="D34" s="13">
        <f>D32+D33</f>
        <v>55995.492549022681</v>
      </c>
      <c r="E34" s="13">
        <f t="shared" ref="E34" si="15">E32+E33</f>
        <v>276.46326168574853</v>
      </c>
      <c r="F34" s="13">
        <f t="shared" ref="F34" si="16">F32+F33</f>
        <v>22203.714357791432</v>
      </c>
      <c r="G34" s="13">
        <f t="shared" ref="G34" si="17">G32+G33</f>
        <v>214811.73062936845</v>
      </c>
      <c r="H34" s="13">
        <f t="shared" ref="H34" si="18">H32+H33</f>
        <v>14270.952627491613</v>
      </c>
      <c r="I34" s="13">
        <f t="shared" ref="I34:J34" si="19">I32+I33</f>
        <v>13585.745720754361</v>
      </c>
      <c r="J34" s="13">
        <f t="shared" si="19"/>
        <v>801.30582108570411</v>
      </c>
      <c r="K34" s="13">
        <f t="shared" ref="K34" si="20">K32+K33</f>
        <v>93980.76590759815</v>
      </c>
      <c r="L34" s="13">
        <f t="shared" ref="L34" si="21">L32+L33</f>
        <v>27411.902256401845</v>
      </c>
      <c r="M34" s="13">
        <f t="shared" ref="M34:O34" si="22">M32+M33</f>
        <v>1560.9268688</v>
      </c>
      <c r="N34" s="13">
        <f t="shared" si="22"/>
        <v>0</v>
      </c>
      <c r="O34" s="13">
        <f t="shared" si="22"/>
        <v>0</v>
      </c>
      <c r="P34" s="13">
        <f t="shared" ref="P34" si="23">P32+P33</f>
        <v>444898.99999999994</v>
      </c>
      <c r="Z34" s="3">
        <v>436733</v>
      </c>
      <c r="AA34" s="12" t="s">
        <v>38</v>
      </c>
      <c r="AB34" s="9">
        <f>P34-Z34</f>
        <v>8165.9999999999418</v>
      </c>
    </row>
    <row r="35" spans="1:28" x14ac:dyDescent="0.25">
      <c r="B35" t="s">
        <v>34</v>
      </c>
      <c r="C35">
        <v>9.9099999999999994E-2</v>
      </c>
      <c r="D35" s="3">
        <f>((D26+D32)/(1+C35))*C35</f>
        <v>44484.527528887273</v>
      </c>
      <c r="E35" s="3">
        <f>((E26+E32)/(1+C35))*C35</f>
        <v>174.933004276226</v>
      </c>
      <c r="F35" s="3">
        <f>((F26+F32)/(1+C35))*C35</f>
        <v>27109.987509780727</v>
      </c>
      <c r="G35" s="3">
        <f>(((G26+G32)/(1+C35))*C35)-15</f>
        <v>211361.50496861068</v>
      </c>
      <c r="H35" s="3">
        <f>((H26+H32)/(1+C35))*C35</f>
        <v>13928.031184605587</v>
      </c>
      <c r="I35" s="3">
        <f>(((I26+I32)/(1+C35))*C35)+(2343*C35)</f>
        <v>13571.383106023111</v>
      </c>
      <c r="J35" s="3">
        <f>(((J26+J32)/(1+C35))*C35)</f>
        <v>656.49805295241561</v>
      </c>
      <c r="K35" s="3">
        <f>63569-L35+1505.84</f>
        <v>51122.84</v>
      </c>
      <c r="L35" s="3">
        <v>13952</v>
      </c>
      <c r="M35" s="3">
        <f>((M26+M32)/(1+C35))*C35</f>
        <v>4719.1526394322627</v>
      </c>
      <c r="N35" s="3">
        <v>0</v>
      </c>
      <c r="O35" s="3">
        <v>0</v>
      </c>
      <c r="P35" s="3">
        <f t="shared" si="14"/>
        <v>381080.85799456836</v>
      </c>
      <c r="Z35" s="3">
        <f>204573.46+68690</f>
        <v>273263.45999999996</v>
      </c>
      <c r="AA35" s="14" t="s">
        <v>37</v>
      </c>
      <c r="AB35" s="9">
        <f>P35-Z35</f>
        <v>107817.3979945684</v>
      </c>
    </row>
    <row r="36" spans="1:28" x14ac:dyDescent="0.25">
      <c r="B36" t="s">
        <v>35</v>
      </c>
      <c r="D36" s="3">
        <f>(0.2277*(D35/(D35+H35+J35)))*P36</f>
        <v>-19771.594669352624</v>
      </c>
      <c r="E36" s="3">
        <f>(0.7706*(E35/(E35+F35+G35+I35)))*P36</f>
        <v>-61.624687936295942</v>
      </c>
      <c r="F36" s="3">
        <f>(0.7706*(F35/(E35+F35+G35+I35)))*P36</f>
        <v>-9550.1962431806496</v>
      </c>
      <c r="G36" s="3">
        <f>(0.7706*(G35/(E35+F35+G35+I35)))*P36</f>
        <v>-74457.572139270982</v>
      </c>
      <c r="H36" s="3">
        <f>(0.2277*(H35/(H35+D35+J35)))*P36</f>
        <v>-6190.4532299528109</v>
      </c>
      <c r="I36" s="3">
        <f>(0.7706*(I35/(I35+E35+F35+G35)))*P36</f>
        <v>-4780.8716956120643</v>
      </c>
      <c r="J36" s="3">
        <f>(0.2277*(J35/(H35+D35+J35)))*P36</f>
        <v>-291.78714769456462</v>
      </c>
      <c r="K36" s="3">
        <v>0</v>
      </c>
      <c r="L36" s="3">
        <v>0</v>
      </c>
      <c r="M36" s="3">
        <f>0.0017*P36</f>
        <v>-196.010187</v>
      </c>
      <c r="N36" s="3">
        <v>0</v>
      </c>
      <c r="O36" s="3">
        <v>0</v>
      </c>
      <c r="P36" s="3">
        <v>-115300.11</v>
      </c>
    </row>
    <row r="37" spans="1:28" x14ac:dyDescent="0.25">
      <c r="B37" s="11" t="s">
        <v>36</v>
      </c>
      <c r="C37" s="11"/>
      <c r="D37" s="13">
        <f>D35+D36</f>
        <v>24712.932859534649</v>
      </c>
      <c r="E37" s="13">
        <f t="shared" ref="E37" si="24">E35+E36</f>
        <v>113.30831633993006</v>
      </c>
      <c r="F37" s="13">
        <f t="shared" ref="F37" si="25">F35+F36</f>
        <v>17559.791266600078</v>
      </c>
      <c r="G37" s="13">
        <f t="shared" ref="G37" si="26">G35+G36</f>
        <v>136903.9328293397</v>
      </c>
      <c r="H37" s="13">
        <f t="shared" ref="H37" si="27">H35+H36</f>
        <v>7737.5779546527756</v>
      </c>
      <c r="I37" s="13">
        <f t="shared" ref="I37:J37" si="28">I35+I36</f>
        <v>8790.5114104110471</v>
      </c>
      <c r="J37" s="13">
        <f t="shared" si="28"/>
        <v>364.71090525785098</v>
      </c>
      <c r="K37" s="13">
        <f t="shared" ref="K37" si="29">K35+K36</f>
        <v>51122.84</v>
      </c>
      <c r="L37" s="13">
        <f t="shared" ref="L37" si="30">L35+L36</f>
        <v>13952</v>
      </c>
      <c r="M37" s="13">
        <f t="shared" ref="M37:O37" si="31">M35+M36</f>
        <v>4523.1424524322629</v>
      </c>
      <c r="N37" s="13">
        <f t="shared" si="31"/>
        <v>0</v>
      </c>
      <c r="O37" s="13">
        <f t="shared" si="31"/>
        <v>0</v>
      </c>
      <c r="P37" s="13">
        <f t="shared" ref="P37" si="32">P35+P36</f>
        <v>265780.74799456837</v>
      </c>
      <c r="Y37" s="2">
        <f>P26+P34-P35+P37</f>
        <v>4299195.2599999988</v>
      </c>
      <c r="Z37" s="3">
        <f>421637-198</f>
        <v>421439</v>
      </c>
      <c r="AA37" s="12" t="s">
        <v>38</v>
      </c>
      <c r="AB37" s="9">
        <f>P37-Z37</f>
        <v>-155658.25200543163</v>
      </c>
    </row>
    <row r="39" spans="1:28" x14ac:dyDescent="0.25">
      <c r="B39" s="4">
        <v>45016</v>
      </c>
      <c r="C39" s="4"/>
      <c r="D39" s="29" t="s">
        <v>21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28" x14ac:dyDescent="0.25">
      <c r="D40" s="7" t="s">
        <v>9</v>
      </c>
      <c r="E40" s="7" t="s">
        <v>10</v>
      </c>
      <c r="F40" s="7" t="s">
        <v>11</v>
      </c>
      <c r="G40" s="7" t="s">
        <v>12</v>
      </c>
      <c r="H40" s="7" t="s">
        <v>13</v>
      </c>
      <c r="I40" s="7" t="s">
        <v>14</v>
      </c>
      <c r="J40" s="7">
        <v>22</v>
      </c>
      <c r="K40" s="8" t="s">
        <v>15</v>
      </c>
      <c r="L40" s="8" t="s">
        <v>16</v>
      </c>
      <c r="M40" s="8" t="s">
        <v>17</v>
      </c>
      <c r="N40" s="8" t="s">
        <v>18</v>
      </c>
      <c r="O40" s="8" t="s">
        <v>19</v>
      </c>
      <c r="P40" s="8" t="s">
        <v>20</v>
      </c>
      <c r="R40" s="1" t="s">
        <v>23</v>
      </c>
      <c r="S40" s="1" t="s">
        <v>24</v>
      </c>
      <c r="T40" s="1" t="s">
        <v>25</v>
      </c>
      <c r="U40" s="1" t="s">
        <v>26</v>
      </c>
      <c r="V40" s="1" t="s">
        <v>22</v>
      </c>
    </row>
    <row r="41" spans="1:28" x14ac:dyDescent="0.25">
      <c r="A41" t="s">
        <v>0</v>
      </c>
      <c r="B41" t="s">
        <v>4</v>
      </c>
      <c r="D41" s="3">
        <v>64</v>
      </c>
      <c r="E41" s="3">
        <v>25</v>
      </c>
      <c r="F41" s="3">
        <v>3694</v>
      </c>
      <c r="G41" s="3">
        <v>13072</v>
      </c>
      <c r="H41" s="3">
        <v>249</v>
      </c>
      <c r="I41" s="3">
        <v>765</v>
      </c>
      <c r="J41" s="3">
        <v>1</v>
      </c>
      <c r="K41" s="3">
        <v>13</v>
      </c>
      <c r="L41" s="3">
        <v>1</v>
      </c>
      <c r="M41" s="3">
        <v>35</v>
      </c>
      <c r="N41" s="3">
        <v>0</v>
      </c>
      <c r="O41" s="3">
        <v>0</v>
      </c>
      <c r="P41" s="3">
        <f>SUM(D41:O41)</f>
        <v>17919</v>
      </c>
      <c r="V41" s="3">
        <v>17919</v>
      </c>
      <c r="W41" s="3">
        <f>P41-V41</f>
        <v>0</v>
      </c>
    </row>
    <row r="42" spans="1:28" x14ac:dyDescent="0.25">
      <c r="A42" t="s">
        <v>1</v>
      </c>
      <c r="B42" t="s">
        <v>2</v>
      </c>
      <c r="D42" s="3">
        <f>5089789+74</f>
        <v>5089863</v>
      </c>
      <c r="E42" s="3">
        <v>21490</v>
      </c>
      <c r="F42" s="3">
        <f>1789453+1080</f>
        <v>1790533</v>
      </c>
      <c r="G42" s="3">
        <f>16892536+5024</f>
        <v>16897560</v>
      </c>
      <c r="H42" s="3">
        <v>1165308</v>
      </c>
      <c r="I42" s="3">
        <f>1113892+476</f>
        <v>1114368</v>
      </c>
      <c r="J42" s="3">
        <f>SUM(J46:J48)</f>
        <v>81136</v>
      </c>
      <c r="K42" s="3">
        <v>9704538</v>
      </c>
      <c r="L42" s="3">
        <v>2807527</v>
      </c>
      <c r="M42" s="3">
        <v>141491</v>
      </c>
      <c r="N42" s="3">
        <v>0</v>
      </c>
      <c r="O42" s="3">
        <v>0</v>
      </c>
      <c r="P42" s="3">
        <f t="shared" ref="P42:P44" si="33">SUM(D42:O42)</f>
        <v>38813814</v>
      </c>
      <c r="V42" s="3">
        <f>38665669+148145</f>
        <v>38813814</v>
      </c>
      <c r="W42" s="3">
        <f>P42-V42</f>
        <v>0</v>
      </c>
    </row>
    <row r="43" spans="1:28" x14ac:dyDescent="0.25">
      <c r="A43" t="s">
        <v>3</v>
      </c>
      <c r="B43" t="s">
        <v>5</v>
      </c>
      <c r="D43" s="3">
        <v>14645.985000000001</v>
      </c>
      <c r="E43" s="3">
        <v>0</v>
      </c>
      <c r="F43" s="3">
        <v>10.88</v>
      </c>
      <c r="G43" s="3">
        <v>73.319999999999993</v>
      </c>
      <c r="H43" s="3">
        <v>5022.5330000000004</v>
      </c>
      <c r="I43" s="3">
        <v>0</v>
      </c>
      <c r="J43" s="3">
        <v>200</v>
      </c>
      <c r="K43" s="3">
        <v>20213</v>
      </c>
      <c r="L43" s="3">
        <v>5074</v>
      </c>
      <c r="M43" s="3">
        <v>0</v>
      </c>
      <c r="N43" s="3">
        <v>0</v>
      </c>
      <c r="O43" s="3">
        <v>0</v>
      </c>
      <c r="P43" s="3">
        <f t="shared" si="33"/>
        <v>45239.718000000001</v>
      </c>
      <c r="V43" s="3">
        <v>45239.718000000001</v>
      </c>
      <c r="W43" s="3">
        <f>P43-V43</f>
        <v>0</v>
      </c>
    </row>
    <row r="44" spans="1:28" x14ac:dyDescent="0.25">
      <c r="A44" t="s">
        <v>6</v>
      </c>
      <c r="B44" t="s">
        <v>27</v>
      </c>
      <c r="D44" s="3">
        <f>537131.48-110855.55</f>
        <v>426275.93</v>
      </c>
      <c r="E44" s="3">
        <f>1864.69-468.04</f>
        <v>1396.65</v>
      </c>
      <c r="F44" s="3">
        <f>287295.69-38974.39</f>
        <v>248321.3</v>
      </c>
      <c r="G44" s="3">
        <f>2197700.1-367877.15</f>
        <v>1829822.9500000002</v>
      </c>
      <c r="H44" s="3">
        <f>150237.56-25380.36</f>
        <v>124857.2</v>
      </c>
      <c r="I44" s="3">
        <f>143804.51-24260.57</f>
        <v>119543.94</v>
      </c>
      <c r="J44" s="3">
        <f>8605.87-1767.14</f>
        <v>6838.7300000000005</v>
      </c>
      <c r="K44" s="3">
        <f>906010.29-205162.53</f>
        <v>700847.76</v>
      </c>
      <c r="L44" s="3">
        <f>250359.39-61147.94</f>
        <v>189211.45</v>
      </c>
      <c r="M44" s="3">
        <f>52223.88-3068.82</f>
        <v>49155.06</v>
      </c>
      <c r="N44" s="3">
        <v>0</v>
      </c>
      <c r="O44" s="3">
        <v>0</v>
      </c>
      <c r="P44" s="3">
        <f t="shared" si="33"/>
        <v>3696270.97</v>
      </c>
      <c r="R44" s="2">
        <f>835893.67+3068.82</f>
        <v>838962.49</v>
      </c>
      <c r="S44" s="2">
        <f>225509.04+86758-55081.45</f>
        <v>257185.59000000003</v>
      </c>
      <c r="T44" s="2">
        <f>86758</f>
        <v>86758</v>
      </c>
      <c r="U44" s="5">
        <f>S44-T44</f>
        <v>170427.59000000003</v>
      </c>
      <c r="V44" s="3">
        <f>4535233.46-838962.49</f>
        <v>3696270.9699999997</v>
      </c>
      <c r="W44" s="3">
        <f>P44-V44</f>
        <v>0</v>
      </c>
    </row>
    <row r="45" spans="1:28" x14ac:dyDescent="0.25">
      <c r="A45" t="s">
        <v>7</v>
      </c>
      <c r="B45" t="s">
        <v>8</v>
      </c>
      <c r="N45" s="3"/>
      <c r="O45" s="3"/>
    </row>
    <row r="46" spans="1:28" x14ac:dyDescent="0.25">
      <c r="B46" s="10" t="s">
        <v>73</v>
      </c>
      <c r="D46" s="24"/>
      <c r="E46" s="24"/>
      <c r="F46" s="24"/>
      <c r="G46" s="24"/>
      <c r="H46" s="24"/>
      <c r="I46" s="24"/>
      <c r="J46" s="3">
        <v>20000</v>
      </c>
      <c r="K46" s="24"/>
      <c r="L46" s="24"/>
      <c r="M46" s="24"/>
      <c r="N46" s="24"/>
      <c r="O46" s="24"/>
      <c r="P46" s="25"/>
    </row>
    <row r="47" spans="1:28" x14ac:dyDescent="0.25">
      <c r="B47" s="10" t="s">
        <v>74</v>
      </c>
      <c r="D47" s="24"/>
      <c r="E47" s="24"/>
      <c r="F47" s="24"/>
      <c r="G47" s="24"/>
      <c r="H47" s="24"/>
      <c r="I47" s="24"/>
      <c r="J47" s="3">
        <v>20000</v>
      </c>
      <c r="K47" s="24"/>
      <c r="L47" s="24"/>
      <c r="M47" s="24"/>
      <c r="N47" s="24"/>
      <c r="O47" s="24"/>
      <c r="P47" s="25"/>
    </row>
    <row r="48" spans="1:28" x14ac:dyDescent="0.25">
      <c r="B48" s="10" t="s">
        <v>75</v>
      </c>
      <c r="D48" s="24"/>
      <c r="E48" s="24"/>
      <c r="F48" s="24"/>
      <c r="G48" s="24"/>
      <c r="H48" s="24"/>
      <c r="I48" s="24"/>
      <c r="J48" s="3">
        <v>41136</v>
      </c>
      <c r="K48" s="24"/>
      <c r="L48" s="24"/>
      <c r="M48" s="24"/>
      <c r="N48" s="24"/>
      <c r="O48" s="24"/>
      <c r="P48" s="25"/>
    </row>
    <row r="49" spans="1:30" x14ac:dyDescent="0.25">
      <c r="N49" s="3"/>
      <c r="O49" s="3"/>
    </row>
    <row r="50" spans="1:30" x14ac:dyDescent="0.25">
      <c r="B50" t="s">
        <v>31</v>
      </c>
      <c r="D50" s="3">
        <v>110855.55</v>
      </c>
      <c r="E50" s="3">
        <v>468.04</v>
      </c>
      <c r="F50" s="3">
        <v>38974.39</v>
      </c>
      <c r="G50" s="3">
        <v>367877.15</v>
      </c>
      <c r="H50" s="3">
        <v>25380.36</v>
      </c>
      <c r="I50" s="3">
        <v>24260.57</v>
      </c>
      <c r="J50" s="3">
        <v>1767.14</v>
      </c>
      <c r="K50" s="3">
        <v>205162.53</v>
      </c>
      <c r="L50" s="3">
        <v>61147.94</v>
      </c>
      <c r="M50" s="3">
        <v>3068.82</v>
      </c>
      <c r="N50" s="3">
        <v>0</v>
      </c>
      <c r="O50" s="3">
        <v>0</v>
      </c>
      <c r="P50" s="3">
        <f t="shared" ref="P50" si="34">SUM(D50:O50)</f>
        <v>838962.48999999987</v>
      </c>
      <c r="Z50" s="3">
        <f>228275.53+875.4</f>
        <v>229150.93</v>
      </c>
      <c r="AA50" s="14" t="s">
        <v>37</v>
      </c>
      <c r="AB50" s="9">
        <f>P50-Z50</f>
        <v>609811.55999999982</v>
      </c>
    </row>
    <row r="51" spans="1:30" x14ac:dyDescent="0.25">
      <c r="B51" t="s">
        <v>32</v>
      </c>
      <c r="D51" s="3">
        <f>(0.17327*(D50/(D50+H50+J50)))*P51</f>
        <v>-65248.280577959536</v>
      </c>
      <c r="E51" s="3">
        <f>(0.58642*(E50/(E50+F50+G50+I50)))*P51</f>
        <v>-298.13105896776449</v>
      </c>
      <c r="F51" s="3">
        <f>(0.58642*(F50/(E50+F50+G50+I50)))*P51</f>
        <v>-24825.818655077881</v>
      </c>
      <c r="G51" s="3">
        <f>(0.58642*(G50/(E50+F50+G50+I50)))*P51</f>
        <v>-234329.55366965034</v>
      </c>
      <c r="H51" s="3">
        <f>(0.17327*(H50/(D50+H50+J50)))*P51</f>
        <v>-14938.583142202815</v>
      </c>
      <c r="I51" s="3">
        <f>(0.58642*(I50/(E50+F50+G50+I50)))*P51</f>
        <v>-15453.442922104046</v>
      </c>
      <c r="J51" s="3">
        <f>(0.17327*(J50/(D50+H50+J50)))*P51</f>
        <v>-1040.1179421376328</v>
      </c>
      <c r="K51" s="3">
        <f>(0.23905*(K50/(K50+L50)))*P51</f>
        <v>-86332.733720067452</v>
      </c>
      <c r="L51" s="3">
        <f>(0.23905*(L50/(K50+L50)))*P51</f>
        <v>-25731.15481443255</v>
      </c>
      <c r="M51" s="3">
        <f>0.00126*P51</f>
        <v>-590.67349739999997</v>
      </c>
      <c r="N51" s="3">
        <v>0</v>
      </c>
      <c r="O51" s="3">
        <v>0</v>
      </c>
      <c r="P51" s="3">
        <v>-468788.49</v>
      </c>
    </row>
    <row r="52" spans="1:30" x14ac:dyDescent="0.25">
      <c r="B52" s="11" t="s">
        <v>33</v>
      </c>
      <c r="C52" s="11"/>
      <c r="D52" s="13">
        <f>D50+D51</f>
        <v>45607.269422040466</v>
      </c>
      <c r="E52" s="13">
        <f t="shared" ref="E52" si="35">E50+E51</f>
        <v>169.90894103223553</v>
      </c>
      <c r="F52" s="13">
        <f t="shared" ref="F52" si="36">F50+F51</f>
        <v>14148.571344922118</v>
      </c>
      <c r="G52" s="13">
        <f t="shared" ref="G52" si="37">G50+G51</f>
        <v>133547.59633034968</v>
      </c>
      <c r="H52" s="13">
        <f t="shared" ref="H52" si="38">H50+H51</f>
        <v>10441.776857797186</v>
      </c>
      <c r="I52" s="13">
        <f t="shared" ref="I52:J52" si="39">I50+I51</f>
        <v>8807.1270778959533</v>
      </c>
      <c r="J52" s="13">
        <f t="shared" si="39"/>
        <v>727.02205786236732</v>
      </c>
      <c r="K52" s="13">
        <f t="shared" ref="K52" si="40">K50+K51</f>
        <v>118829.79627993255</v>
      </c>
      <c r="L52" s="13">
        <f t="shared" ref="L52" si="41">L50+L51</f>
        <v>35416.785185567453</v>
      </c>
      <c r="M52" s="13">
        <f t="shared" ref="M52:O52" si="42">M50+M51</f>
        <v>2478.1465026000001</v>
      </c>
      <c r="N52" s="13">
        <f t="shared" si="42"/>
        <v>0</v>
      </c>
      <c r="O52" s="13">
        <f t="shared" si="42"/>
        <v>0</v>
      </c>
      <c r="P52" s="13">
        <f t="shared" ref="P52" si="43">P50+P51</f>
        <v>370173.99999999988</v>
      </c>
      <c r="Z52" s="3">
        <v>399672</v>
      </c>
      <c r="AA52" s="12" t="s">
        <v>38</v>
      </c>
      <c r="AB52" s="9">
        <f>P52-Z52</f>
        <v>-29498.000000000116</v>
      </c>
    </row>
    <row r="53" spans="1:30" x14ac:dyDescent="0.25">
      <c r="B53" t="s">
        <v>34</v>
      </c>
      <c r="C53">
        <v>5.28E-2</v>
      </c>
      <c r="D53" s="3">
        <f>((D44+D50)/(1+C53))*C53</f>
        <v>26938.20492401216</v>
      </c>
      <c r="E53" s="3">
        <f>((E44+E50)/(1+C53))*C53</f>
        <v>93.517887537993929</v>
      </c>
      <c r="F53" s="3">
        <f>((F44+F50)/(1+C53))*C53</f>
        <v>14408.446458966568</v>
      </c>
      <c r="G53" s="3">
        <f>(((G44+G50)/(1+C53))*C53)-5</f>
        <v>110214.0019756839</v>
      </c>
      <c r="H53" s="3">
        <f>((H44+H50)/(1+C53))*C53</f>
        <v>7534.710455927052</v>
      </c>
      <c r="I53" s="3">
        <f>(((I44+I50)/(1+C53))*C53)+(2325*C53)</f>
        <v>7334.8402887538005</v>
      </c>
      <c r="J53" s="3">
        <f>(((J44+J50)/(1+C53))*C53)</f>
        <v>431.60138297872345</v>
      </c>
      <c r="K53" s="3">
        <f>86758-L53+853.48</f>
        <v>68416.479999999996</v>
      </c>
      <c r="L53" s="3">
        <v>19195</v>
      </c>
      <c r="M53" s="3">
        <f>((M44+M50)/(1+C53))*C53</f>
        <v>2619.1307598784192</v>
      </c>
      <c r="N53" s="3">
        <v>0</v>
      </c>
      <c r="O53" s="3">
        <v>0</v>
      </c>
      <c r="P53" s="3">
        <f t="shared" ref="P53" si="44">SUM(D53:O53)</f>
        <v>257185.93413373863</v>
      </c>
      <c r="Z53" s="3">
        <f>323137.64-9265</f>
        <v>313872.64000000001</v>
      </c>
      <c r="AA53" s="14" t="s">
        <v>37</v>
      </c>
      <c r="AB53" s="9">
        <f>P53-Z53</f>
        <v>-56686.705866261385</v>
      </c>
    </row>
    <row r="54" spans="1:30" x14ac:dyDescent="0.25">
      <c r="B54" t="s">
        <v>35</v>
      </c>
      <c r="D54" s="3">
        <f>(0.2277*(D53/(D53+H53+J53)))*P54</f>
        <v>15010.720425145653</v>
      </c>
      <c r="E54" s="3">
        <f>(0.7706*(E53/(E53+F53+G53+I53)))*P54</f>
        <v>46.615904724717716</v>
      </c>
      <c r="F54" s="3">
        <f>(0.7706*(F53/(E53+F53+G53+I53)))*P54</f>
        <v>7182.1849813438375</v>
      </c>
      <c r="G54" s="3">
        <f>(0.7706*(G53/(E53+F53+G53+I53)))*P54</f>
        <v>54938.424623214516</v>
      </c>
      <c r="H54" s="3">
        <f>(0.2277*(H53/(H53+D53+J53)))*P54</f>
        <v>4198.5511825075782</v>
      </c>
      <c r="I54" s="3">
        <f>(0.7706*(I53/(I53+E53+F53+G53)))*P54</f>
        <v>3656.20123671693</v>
      </c>
      <c r="J54" s="3">
        <f>(0.2277*(J53/(H53+D53+J53)))*P54</f>
        <v>240.5003493467712</v>
      </c>
      <c r="K54" s="3">
        <v>0</v>
      </c>
      <c r="L54" s="3">
        <v>0</v>
      </c>
      <c r="M54" s="3">
        <f>0.0017*P54</f>
        <v>145.211297</v>
      </c>
      <c r="N54" s="3">
        <v>0</v>
      </c>
      <c r="O54" s="3">
        <v>0</v>
      </c>
      <c r="P54" s="3">
        <v>85418.41</v>
      </c>
    </row>
    <row r="55" spans="1:30" x14ac:dyDescent="0.25">
      <c r="B55" s="11" t="s">
        <v>36</v>
      </c>
      <c r="C55" s="11"/>
      <c r="D55" s="13">
        <f>D53+D54</f>
        <v>41948.925349157813</v>
      </c>
      <c r="E55" s="13">
        <f t="shared" ref="E55" si="45">E53+E54</f>
        <v>140.13379226271164</v>
      </c>
      <c r="F55" s="13">
        <f t="shared" ref="F55" si="46">F53+F54</f>
        <v>21590.631440310404</v>
      </c>
      <c r="G55" s="13">
        <f t="shared" ref="G55" si="47">G53+G54</f>
        <v>165152.42659889843</v>
      </c>
      <c r="H55" s="13">
        <f t="shared" ref="H55" si="48">H53+H54</f>
        <v>11733.261638434629</v>
      </c>
      <c r="I55" s="13">
        <f t="shared" ref="I55:J55" si="49">I53+I54</f>
        <v>10991.04152547073</v>
      </c>
      <c r="J55" s="13">
        <f t="shared" si="49"/>
        <v>672.10173232549459</v>
      </c>
      <c r="K55" s="13">
        <f t="shared" ref="K55" si="50">K53+K54</f>
        <v>68416.479999999996</v>
      </c>
      <c r="L55" s="13">
        <f t="shared" ref="L55" si="51">L53+L54</f>
        <v>19195</v>
      </c>
      <c r="M55" s="13">
        <f t="shared" ref="M55:O55" si="52">M53+M54</f>
        <v>2764.342056878419</v>
      </c>
      <c r="N55" s="13">
        <f t="shared" si="52"/>
        <v>0</v>
      </c>
      <c r="O55" s="13">
        <f t="shared" si="52"/>
        <v>0</v>
      </c>
      <c r="P55" s="13">
        <f t="shared" ref="P55" si="53">P53+P54</f>
        <v>342604.34413373866</v>
      </c>
      <c r="Y55" s="2">
        <f>P44+P52-P53+P55</f>
        <v>4151863.38</v>
      </c>
      <c r="Z55" s="3">
        <f>294081-288</f>
        <v>293793</v>
      </c>
      <c r="AA55" s="12" t="s">
        <v>38</v>
      </c>
      <c r="AB55" s="9">
        <f>P55-Z55</f>
        <v>48811.344133738661</v>
      </c>
    </row>
    <row r="57" spans="1:30" x14ac:dyDescent="0.25">
      <c r="B57" s="4">
        <v>45046</v>
      </c>
      <c r="C57" s="4"/>
      <c r="D57" s="29" t="s">
        <v>21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AD57" s="5"/>
    </row>
    <row r="58" spans="1:30" x14ac:dyDescent="0.25">
      <c r="D58" s="7" t="s">
        <v>9</v>
      </c>
      <c r="E58" s="7" t="s">
        <v>10</v>
      </c>
      <c r="F58" s="7" t="s">
        <v>11</v>
      </c>
      <c r="G58" s="7" t="s">
        <v>12</v>
      </c>
      <c r="H58" s="7" t="s">
        <v>13</v>
      </c>
      <c r="I58" s="7" t="s">
        <v>14</v>
      </c>
      <c r="J58" s="7">
        <v>22</v>
      </c>
      <c r="K58" s="8" t="s">
        <v>15</v>
      </c>
      <c r="L58" s="8" t="s">
        <v>16</v>
      </c>
      <c r="M58" s="8" t="s">
        <v>17</v>
      </c>
      <c r="N58" s="8" t="s">
        <v>18</v>
      </c>
      <c r="O58" s="8" t="s">
        <v>19</v>
      </c>
      <c r="P58" s="8" t="s">
        <v>20</v>
      </c>
      <c r="R58" s="1" t="s">
        <v>23</v>
      </c>
      <c r="S58" s="1" t="s">
        <v>24</v>
      </c>
      <c r="T58" s="1" t="s">
        <v>25</v>
      </c>
      <c r="U58" s="1" t="s">
        <v>26</v>
      </c>
      <c r="V58" s="1" t="s">
        <v>22</v>
      </c>
      <c r="AD58" s="5"/>
    </row>
    <row r="59" spans="1:30" x14ac:dyDescent="0.25">
      <c r="A59" t="s">
        <v>0</v>
      </c>
      <c r="B59" t="s">
        <v>4</v>
      </c>
      <c r="D59" s="3">
        <v>64</v>
      </c>
      <c r="E59" s="3">
        <v>19</v>
      </c>
      <c r="F59" s="3">
        <v>3688</v>
      </c>
      <c r="G59" s="3">
        <v>13167</v>
      </c>
      <c r="H59" s="3">
        <v>249</v>
      </c>
      <c r="I59" s="3">
        <v>767</v>
      </c>
      <c r="J59" s="3">
        <v>1</v>
      </c>
      <c r="K59" s="3">
        <v>13</v>
      </c>
      <c r="L59" s="3">
        <v>1</v>
      </c>
      <c r="M59" s="3">
        <v>35</v>
      </c>
      <c r="N59" s="3">
        <v>0</v>
      </c>
      <c r="O59" s="3">
        <v>0</v>
      </c>
      <c r="P59" s="3">
        <f>SUM(D59:O59)</f>
        <v>18004</v>
      </c>
      <c r="V59" s="3">
        <v>18004</v>
      </c>
      <c r="W59" s="3">
        <f>P59-V59</f>
        <v>0</v>
      </c>
    </row>
    <row r="60" spans="1:30" x14ac:dyDescent="0.25">
      <c r="A60" t="s">
        <v>1</v>
      </c>
      <c r="B60" t="s">
        <v>2</v>
      </c>
      <c r="D60" s="3">
        <f>4818523+74</f>
        <v>4818597</v>
      </c>
      <c r="E60" s="3">
        <v>9285</v>
      </c>
      <c r="F60" s="3">
        <f>1498157+1128</f>
        <v>1499285</v>
      </c>
      <c r="G60" s="3">
        <f>13096317+5192</f>
        <v>13101509</v>
      </c>
      <c r="H60" s="3">
        <f>1177323</f>
        <v>1177323</v>
      </c>
      <c r="I60" s="3">
        <f>882576+524</f>
        <v>883100</v>
      </c>
      <c r="J60" s="3">
        <f>SUM(J64:J66)</f>
        <v>75985</v>
      </c>
      <c r="K60" s="3">
        <f>9258469</f>
        <v>9258469</v>
      </c>
      <c r="L60" s="3">
        <v>2752432</v>
      </c>
      <c r="M60" s="3">
        <v>141206</v>
      </c>
      <c r="N60" s="3">
        <v>0</v>
      </c>
      <c r="O60" s="3">
        <v>0</v>
      </c>
      <c r="P60" s="3">
        <f t="shared" ref="P60:P62" si="54">SUM(D60:O60)</f>
        <v>33717191</v>
      </c>
      <c r="V60" s="3">
        <f>33569067+148124</f>
        <v>33717191</v>
      </c>
      <c r="W60" s="3">
        <f>P60-V60</f>
        <v>0</v>
      </c>
    </row>
    <row r="61" spans="1:30" x14ac:dyDescent="0.25">
      <c r="A61" t="s">
        <v>3</v>
      </c>
      <c r="B61" t="s">
        <v>5</v>
      </c>
      <c r="D61" s="3">
        <v>14027.424000000001</v>
      </c>
      <c r="E61" s="3">
        <v>0</v>
      </c>
      <c r="F61" s="3">
        <v>33.119999999999997</v>
      </c>
      <c r="G61" s="3">
        <v>67.64</v>
      </c>
      <c r="H61" s="3">
        <v>5287.9120000000003</v>
      </c>
      <c r="I61" s="3">
        <v>0</v>
      </c>
      <c r="J61" s="3">
        <v>200</v>
      </c>
      <c r="K61" s="3">
        <v>20412</v>
      </c>
      <c r="L61" s="3">
        <v>5000</v>
      </c>
      <c r="M61" s="3">
        <v>0</v>
      </c>
      <c r="N61" s="3">
        <v>0</v>
      </c>
      <c r="O61" s="3">
        <v>0</v>
      </c>
      <c r="P61" s="3">
        <f t="shared" si="54"/>
        <v>45028.096000000005</v>
      </c>
      <c r="V61" s="3">
        <v>45028.095999999998</v>
      </c>
      <c r="W61" s="3">
        <f>P61-V61</f>
        <v>0</v>
      </c>
    </row>
    <row r="62" spans="1:30" x14ac:dyDescent="0.25">
      <c r="A62" t="s">
        <v>6</v>
      </c>
      <c r="B62" t="s">
        <v>27</v>
      </c>
      <c r="D62" s="3">
        <f>487421.6-66784.76</f>
        <v>420636.83999999997</v>
      </c>
      <c r="E62" s="3">
        <f>754.66-128.67</f>
        <v>625.99</v>
      </c>
      <c r="F62" s="3">
        <f>248903.4-20764.26</f>
        <v>228139.13999999998</v>
      </c>
      <c r="G62" s="3">
        <f>1706161.93-181510.72</f>
        <v>1524651.21</v>
      </c>
      <c r="H62" s="3">
        <f>147071.2-16317.69</f>
        <v>130753.51000000001</v>
      </c>
      <c r="I62" s="3">
        <f>113349.07-12232.59</f>
        <v>101116.48000000001</v>
      </c>
      <c r="J62" s="3">
        <f>7812.72-1053.15</f>
        <v>6759.57</v>
      </c>
      <c r="K62" s="3">
        <f>826631.29-122848.72</f>
        <v>703782.57000000007</v>
      </c>
      <c r="L62" s="3">
        <f>184090.9-38148.71</f>
        <v>145942.19</v>
      </c>
      <c r="M62" s="3">
        <f>51434.61-1949.36</f>
        <v>49485.25</v>
      </c>
      <c r="N62" s="3">
        <v>0</v>
      </c>
      <c r="O62" s="3">
        <v>0</v>
      </c>
      <c r="P62" s="3">
        <f t="shared" si="54"/>
        <v>3311892.7499999995</v>
      </c>
      <c r="R62" s="2">
        <f>459789.27+1949.36</f>
        <v>461738.63</v>
      </c>
      <c r="S62" s="2">
        <f>315492.45+114218-83475.17</f>
        <v>346235.28</v>
      </c>
      <c r="T62" s="2">
        <v>114218</v>
      </c>
      <c r="U62" s="5">
        <f>S62-T62</f>
        <v>232017.28000000003</v>
      </c>
      <c r="V62" s="3">
        <f>3773631.38-461738.63</f>
        <v>3311892.75</v>
      </c>
      <c r="W62" s="3">
        <f>P62-V62</f>
        <v>0</v>
      </c>
    </row>
    <row r="63" spans="1:30" x14ac:dyDescent="0.25">
      <c r="A63" t="s">
        <v>7</v>
      </c>
      <c r="B63" t="s">
        <v>8</v>
      </c>
      <c r="N63" s="3"/>
      <c r="O63" s="3"/>
    </row>
    <row r="64" spans="1:30" x14ac:dyDescent="0.25">
      <c r="B64" s="10" t="s">
        <v>73</v>
      </c>
      <c r="D64" s="24"/>
      <c r="E64" s="24"/>
      <c r="F64" s="24"/>
      <c r="G64" s="24"/>
      <c r="H64" s="24"/>
      <c r="I64" s="24"/>
      <c r="J64" s="3">
        <v>20000</v>
      </c>
      <c r="K64" s="24"/>
      <c r="L64" s="24"/>
      <c r="M64" s="24"/>
      <c r="N64" s="24"/>
      <c r="O64" s="24"/>
      <c r="P64" s="25"/>
    </row>
    <row r="65" spans="1:28" x14ac:dyDescent="0.25">
      <c r="B65" s="10" t="s">
        <v>74</v>
      </c>
      <c r="D65" s="24"/>
      <c r="E65" s="24"/>
      <c r="F65" s="24"/>
      <c r="G65" s="24"/>
      <c r="H65" s="24"/>
      <c r="I65" s="24"/>
      <c r="J65" s="3">
        <v>20000</v>
      </c>
      <c r="K65" s="24"/>
      <c r="L65" s="24"/>
      <c r="M65" s="24"/>
      <c r="N65" s="24"/>
      <c r="O65" s="24"/>
      <c r="P65" s="25"/>
    </row>
    <row r="66" spans="1:28" x14ac:dyDescent="0.25">
      <c r="B66" s="10" t="s">
        <v>75</v>
      </c>
      <c r="D66" s="24"/>
      <c r="E66" s="24"/>
      <c r="F66" s="24"/>
      <c r="G66" s="24"/>
      <c r="H66" s="24"/>
      <c r="I66" s="24"/>
      <c r="J66" s="3">
        <v>35985</v>
      </c>
      <c r="K66" s="24"/>
      <c r="L66" s="24"/>
      <c r="M66" s="24"/>
      <c r="N66" s="24"/>
      <c r="O66" s="24"/>
      <c r="P66" s="25"/>
    </row>
    <row r="67" spans="1:28" x14ac:dyDescent="0.25">
      <c r="N67" s="3"/>
      <c r="O67" s="3"/>
    </row>
    <row r="68" spans="1:28" x14ac:dyDescent="0.25">
      <c r="B68" t="s">
        <v>31</v>
      </c>
      <c r="D68" s="3">
        <v>66784.759999999995</v>
      </c>
      <c r="E68" s="3">
        <v>128.66999999999999</v>
      </c>
      <c r="F68">
        <v>20764.259999999998</v>
      </c>
      <c r="G68">
        <v>181510.72</v>
      </c>
      <c r="H68">
        <v>16317.69</v>
      </c>
      <c r="I68">
        <v>12232.59</v>
      </c>
      <c r="J68" s="3">
        <v>1053.1500000000001</v>
      </c>
      <c r="K68">
        <v>122848.72</v>
      </c>
      <c r="L68" s="3">
        <v>38148.71</v>
      </c>
      <c r="M68" s="3">
        <v>1949.36</v>
      </c>
      <c r="N68" s="3">
        <v>0</v>
      </c>
      <c r="O68" s="3">
        <v>0</v>
      </c>
      <c r="P68" s="3">
        <f t="shared" ref="P68" si="55">SUM(D68:O68)</f>
        <v>461738.63000000006</v>
      </c>
      <c r="Z68" s="3">
        <f>293143.01+1239.83</f>
        <v>294382.84000000003</v>
      </c>
      <c r="AA68" s="14" t="s">
        <v>37</v>
      </c>
      <c r="AB68" s="9">
        <f>P68-Z68</f>
        <v>167355.79000000004</v>
      </c>
    </row>
    <row r="69" spans="1:28" x14ac:dyDescent="0.25">
      <c r="B69" t="s">
        <v>32</v>
      </c>
      <c r="D69" s="3">
        <f>(0.17327*(D68/(D68+H68+J68)))*P69</f>
        <v>-18316.45321933438</v>
      </c>
      <c r="E69" s="3">
        <f>(0.58642*(E68/(E68+F68+G68+I68)))*P69</f>
        <v>-46.828115365149628</v>
      </c>
      <c r="F69" s="3">
        <f>(0.58642*(F68/(E68+F68+G68+I68)))*P69</f>
        <v>-7556.9376136781057</v>
      </c>
      <c r="G69" s="3">
        <f>(0.58642*(G68/(E68+F68+G68+I68)))*P69</f>
        <v>-66058.948753954872</v>
      </c>
      <c r="H69" s="3">
        <f>(0.17327*(H68/(D68+H68+J68)))*P69</f>
        <v>-4475.3055267788714</v>
      </c>
      <c r="I69" s="3">
        <f>(0.58642*(I68/(E68+F68+G68+I68)))*P69</f>
        <v>-4451.9245802018786</v>
      </c>
      <c r="J69" s="3">
        <f>(0.17327*(J68/(D68+H68+J68)))*P69</f>
        <v>-288.83794308674629</v>
      </c>
      <c r="K69" s="3">
        <f>(0.23905*(K68/(K68+L68)))*P69</f>
        <v>-24297.640224262184</v>
      </c>
      <c r="L69" s="3">
        <f>(0.23905*(L68/(K68+L68)))*P69</f>
        <v>-7545.2445137378154</v>
      </c>
      <c r="M69" s="3">
        <f>0.00126*P69</f>
        <v>-167.83950959999999</v>
      </c>
      <c r="N69" s="3">
        <v>0</v>
      </c>
      <c r="O69" s="3">
        <v>0</v>
      </c>
      <c r="P69" s="3">
        <v>-133205.96</v>
      </c>
    </row>
    <row r="70" spans="1:28" x14ac:dyDescent="0.25">
      <c r="B70" s="11" t="s">
        <v>33</v>
      </c>
      <c r="C70" s="11"/>
      <c r="D70" s="13">
        <f>D68+D69</f>
        <v>48468.306780665618</v>
      </c>
      <c r="E70" s="13">
        <f t="shared" ref="E70" si="56">E68+E69</f>
        <v>81.841884634850359</v>
      </c>
      <c r="F70" s="13">
        <f t="shared" ref="F70" si="57">F68+F69</f>
        <v>13207.322386321892</v>
      </c>
      <c r="G70" s="13">
        <f t="shared" ref="G70" si="58">G68+G69</f>
        <v>115451.77124604513</v>
      </c>
      <c r="H70" s="13">
        <f t="shared" ref="H70" si="59">H68+H69</f>
        <v>11842.384473221129</v>
      </c>
      <c r="I70" s="13">
        <f t="shared" ref="I70:J70" si="60">I68+I69</f>
        <v>7780.6654197981215</v>
      </c>
      <c r="J70" s="13">
        <f t="shared" si="60"/>
        <v>764.31205691325385</v>
      </c>
      <c r="K70" s="13">
        <f t="shared" ref="K70" si="61">K68+K69</f>
        <v>98551.079775737817</v>
      </c>
      <c r="L70" s="13">
        <f t="shared" ref="L70" si="62">L68+L69</f>
        <v>30603.465486262183</v>
      </c>
      <c r="M70" s="13">
        <f t="shared" ref="M70:O70" si="63">M68+M69</f>
        <v>1781.5204904</v>
      </c>
      <c r="N70" s="13">
        <f t="shared" si="63"/>
        <v>0</v>
      </c>
      <c r="O70" s="13">
        <f t="shared" si="63"/>
        <v>0</v>
      </c>
      <c r="P70" s="13">
        <f t="shared" ref="P70" si="64">P68+P69</f>
        <v>328532.67000000004</v>
      </c>
      <c r="Z70" s="3">
        <v>264101</v>
      </c>
      <c r="AA70" s="12" t="s">
        <v>38</v>
      </c>
      <c r="AB70" s="9">
        <f>P70-Z70</f>
        <v>64431.670000000042</v>
      </c>
    </row>
    <row r="71" spans="1:28" x14ac:dyDescent="0.25">
      <c r="B71" t="s">
        <v>34</v>
      </c>
      <c r="C71">
        <v>9.0999999999999998E-2</v>
      </c>
      <c r="D71" s="3">
        <f>((D62+D68)/(1+C71))*C71</f>
        <v>40655.697158570118</v>
      </c>
      <c r="E71" s="3">
        <f>((E62+E68)/(1+C71))*C71</f>
        <v>62.945976168652614</v>
      </c>
      <c r="F71" s="3">
        <f>((F62+F68)/(1+C71))*C71</f>
        <v>20760.961869844177</v>
      </c>
      <c r="G71" s="3">
        <f>(((G62+G68)/(1+C71))*C71)-39</f>
        <v>142271.48178735105</v>
      </c>
      <c r="H71" s="3">
        <f>((H62+H68)/(1+C71))*C71</f>
        <v>12267.167002749771</v>
      </c>
      <c r="I71" s="3">
        <f>(((I62+I68)/(1+C71))*C71)+(2301*C71)</f>
        <v>9663.8047213565533</v>
      </c>
      <c r="J71" s="3">
        <f>(((J62+J68)/(1+C71))*C71)</f>
        <v>651.65675527039411</v>
      </c>
      <c r="K71" s="3">
        <f>114218-L71+1393.5</f>
        <v>89638.5</v>
      </c>
      <c r="L71" s="3">
        <v>25973</v>
      </c>
      <c r="M71" s="3">
        <f>((M62+M68)/(1+C71))*C71</f>
        <v>4290.1462053162231</v>
      </c>
      <c r="N71" s="3">
        <v>0</v>
      </c>
      <c r="O71" s="3">
        <v>0</v>
      </c>
      <c r="P71" s="3">
        <f t="shared" ref="P71" si="65">SUM(D71:O71)</f>
        <v>346235.36147662695</v>
      </c>
      <c r="Z71" s="3">
        <v>264373.78000000003</v>
      </c>
      <c r="AA71" s="14" t="s">
        <v>37</v>
      </c>
      <c r="AB71" s="9">
        <f>P71-Z71</f>
        <v>81861.581476626918</v>
      </c>
    </row>
    <row r="72" spans="1:28" x14ac:dyDescent="0.25">
      <c r="B72" t="s">
        <v>35</v>
      </c>
      <c r="D72" s="3">
        <f>(0.2277*(D71/(D71+H71+J71)))*P72</f>
        <v>7093.2770994756384</v>
      </c>
      <c r="E72" s="3">
        <f>(0.7706*(E71/(E71+F71+G71+I71)))*P72</f>
        <v>11.525946152962783</v>
      </c>
      <c r="F72" s="3">
        <f>(0.7706*(F71/(E71+F71+G71+I71)))*P72</f>
        <v>3801.5095350082906</v>
      </c>
      <c r="G72" s="3">
        <f>(0.7706*(G71/(E71+F71+G71+I71)))*P72</f>
        <v>26051.124122527603</v>
      </c>
      <c r="H72" s="3">
        <f>(0.2277*(H71/(H71+D71+J71)))*P72</f>
        <v>2140.2760463475593</v>
      </c>
      <c r="I72" s="3">
        <f>(0.7706*(I71/(I71+E71+F71+G71)))*P72</f>
        <v>1769.5252283111488</v>
      </c>
      <c r="J72" s="3">
        <f>(0.2277*(J71/(H71+D71+J71)))*P72</f>
        <v>113.69579817680486</v>
      </c>
      <c r="K72" s="3">
        <v>0</v>
      </c>
      <c r="L72" s="3">
        <v>0</v>
      </c>
      <c r="M72" s="3">
        <f>0.0017*P72</f>
        <v>69.786224000000004</v>
      </c>
      <c r="N72" s="3">
        <v>0</v>
      </c>
      <c r="O72" s="3">
        <v>0</v>
      </c>
      <c r="P72" s="3">
        <v>41050.720000000001</v>
      </c>
    </row>
    <row r="73" spans="1:28" x14ac:dyDescent="0.25">
      <c r="B73" s="11" t="s">
        <v>36</v>
      </c>
      <c r="C73" s="11"/>
      <c r="D73" s="13">
        <f>D71+D72</f>
        <v>47748.974258045753</v>
      </c>
      <c r="E73" s="13">
        <f t="shared" ref="E73" si="66">E71+E72</f>
        <v>74.471922321615395</v>
      </c>
      <c r="F73" s="13">
        <f t="shared" ref="F73" si="67">F71+F72</f>
        <v>24562.471404852469</v>
      </c>
      <c r="G73" s="13">
        <f t="shared" ref="G73" si="68">G71+G72</f>
        <v>168322.60590987865</v>
      </c>
      <c r="H73" s="13">
        <f t="shared" ref="H73" si="69">H71+H72</f>
        <v>14407.44304909733</v>
      </c>
      <c r="I73" s="13">
        <f t="shared" ref="I73:J73" si="70">I71+I72</f>
        <v>11433.329949667703</v>
      </c>
      <c r="J73" s="13">
        <f t="shared" si="70"/>
        <v>765.35255344719894</v>
      </c>
      <c r="K73" s="13">
        <f t="shared" ref="K73" si="71">K71+K72</f>
        <v>89638.5</v>
      </c>
      <c r="L73" s="13">
        <f t="shared" ref="L73" si="72">L71+L72</f>
        <v>25973</v>
      </c>
      <c r="M73" s="13">
        <f t="shared" ref="M73:O73" si="73">M71+M72</f>
        <v>4359.9324293162235</v>
      </c>
      <c r="N73" s="13">
        <f t="shared" si="73"/>
        <v>0</v>
      </c>
      <c r="O73" s="13">
        <f t="shared" si="73"/>
        <v>0</v>
      </c>
      <c r="P73" s="13">
        <f t="shared" ref="P73" si="74">P71+P72</f>
        <v>387286.08147662692</v>
      </c>
      <c r="Y73" s="2">
        <f>P62+P70-P71+P73</f>
        <v>3681476.1399999997</v>
      </c>
      <c r="Z73" s="3">
        <f>365767-424</f>
        <v>365343</v>
      </c>
      <c r="AA73" s="12" t="s">
        <v>38</v>
      </c>
      <c r="AB73" s="9">
        <f>P73-Z73</f>
        <v>21943.081476626918</v>
      </c>
    </row>
    <row r="75" spans="1:28" x14ac:dyDescent="0.25">
      <c r="B75" s="4">
        <v>45077</v>
      </c>
      <c r="C75" s="4"/>
      <c r="D75" s="29" t="s">
        <v>21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28" x14ac:dyDescent="0.25"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>
        <v>22</v>
      </c>
      <c r="K76" s="8" t="s">
        <v>15</v>
      </c>
      <c r="L76" s="8" t="s">
        <v>16</v>
      </c>
      <c r="M76" s="8" t="s">
        <v>17</v>
      </c>
      <c r="N76" s="8" t="s">
        <v>18</v>
      </c>
      <c r="O76" s="8" t="s">
        <v>19</v>
      </c>
      <c r="P76" s="8" t="s">
        <v>20</v>
      </c>
      <c r="R76" s="1" t="s">
        <v>23</v>
      </c>
      <c r="S76" s="1" t="s">
        <v>24</v>
      </c>
      <c r="T76" s="1" t="s">
        <v>25</v>
      </c>
      <c r="U76" s="1" t="s">
        <v>26</v>
      </c>
      <c r="V76" s="1" t="s">
        <v>22</v>
      </c>
    </row>
    <row r="77" spans="1:28" x14ac:dyDescent="0.25">
      <c r="A77" t="s">
        <v>0</v>
      </c>
      <c r="B77" t="s">
        <v>4</v>
      </c>
      <c r="D77" s="3">
        <v>64</v>
      </c>
      <c r="E77" s="3">
        <v>13</v>
      </c>
      <c r="F77" s="3">
        <v>3707</v>
      </c>
      <c r="G77" s="3">
        <v>13212</v>
      </c>
      <c r="H77" s="3">
        <v>249</v>
      </c>
      <c r="I77" s="3">
        <v>760</v>
      </c>
      <c r="J77" s="3">
        <v>1</v>
      </c>
      <c r="K77" s="3">
        <v>13</v>
      </c>
      <c r="L77" s="3">
        <v>1</v>
      </c>
      <c r="M77" s="3">
        <v>35</v>
      </c>
      <c r="N77" s="3">
        <v>0</v>
      </c>
      <c r="O77" s="3">
        <v>0</v>
      </c>
      <c r="P77" s="3">
        <f>SUM(D77:O77)</f>
        <v>18055</v>
      </c>
      <c r="V77" s="3">
        <v>18055</v>
      </c>
      <c r="W77" s="3">
        <f>P77-V77</f>
        <v>0</v>
      </c>
    </row>
    <row r="78" spans="1:28" x14ac:dyDescent="0.25">
      <c r="A78" t="s">
        <v>1</v>
      </c>
      <c r="B78" t="s">
        <v>2</v>
      </c>
      <c r="D78" s="3">
        <f>5086017+74</f>
        <v>5086091</v>
      </c>
      <c r="E78" s="3">
        <v>2908</v>
      </c>
      <c r="F78" s="3">
        <f>1448946+1104</f>
        <v>1450050</v>
      </c>
      <c r="G78" s="3">
        <f>12767790+5386</f>
        <v>12773176</v>
      </c>
      <c r="H78" s="3">
        <f>1244985+0</f>
        <v>1244985</v>
      </c>
      <c r="I78" s="3">
        <f>839433+524</f>
        <v>839957</v>
      </c>
      <c r="J78" s="3">
        <f>SUM(J82:J84)</f>
        <v>81036</v>
      </c>
      <c r="K78" s="3">
        <v>9696027</v>
      </c>
      <c r="L78" s="3">
        <v>3049253</v>
      </c>
      <c r="M78" s="3">
        <v>140816</v>
      </c>
      <c r="N78" s="3">
        <v>0</v>
      </c>
      <c r="O78" s="3">
        <v>0</v>
      </c>
      <c r="P78" s="3">
        <f t="shared" ref="P78:P80" si="75">SUM(D78:O78)</f>
        <v>34364299</v>
      </c>
      <c r="V78" s="3">
        <f>34216395+147904</f>
        <v>34364299</v>
      </c>
      <c r="W78" s="3">
        <f>P78-V78</f>
        <v>0</v>
      </c>
    </row>
    <row r="79" spans="1:28" x14ac:dyDescent="0.25">
      <c r="A79" t="s">
        <v>3</v>
      </c>
      <c r="B79" t="s">
        <v>5</v>
      </c>
      <c r="D79" s="3">
        <v>14050.793</v>
      </c>
      <c r="E79" s="3">
        <v>0</v>
      </c>
      <c r="F79" s="3">
        <v>92.64</v>
      </c>
      <c r="G79" s="3">
        <v>70.84</v>
      </c>
      <c r="H79" s="3">
        <v>5179.3599999999997</v>
      </c>
      <c r="I79" s="3">
        <v>0</v>
      </c>
      <c r="J79" s="3">
        <v>200</v>
      </c>
      <c r="K79" s="3">
        <v>20324</v>
      </c>
      <c r="L79" s="3">
        <v>5172</v>
      </c>
      <c r="M79" s="3">
        <v>0</v>
      </c>
      <c r="N79" s="3">
        <v>0</v>
      </c>
      <c r="O79" s="3">
        <v>0</v>
      </c>
      <c r="P79" s="3">
        <f t="shared" si="75"/>
        <v>45089.633000000002</v>
      </c>
      <c r="V79" s="3">
        <v>45089.633000000002</v>
      </c>
      <c r="W79" s="3">
        <f>P79-V79</f>
        <v>0</v>
      </c>
    </row>
    <row r="80" spans="1:28" x14ac:dyDescent="0.25">
      <c r="A80" t="s">
        <v>6</v>
      </c>
      <c r="B80" t="s">
        <v>27</v>
      </c>
      <c r="D80" s="3">
        <f>515227.45-61286.47</f>
        <v>453940.98</v>
      </c>
      <c r="E80" s="3">
        <f>237.91-35.03</f>
        <v>202.88</v>
      </c>
      <c r="F80" s="3">
        <f>248335.4-17459.68</f>
        <v>230875.72</v>
      </c>
      <c r="G80" s="3">
        <f>1697807.42-153842.41</f>
        <v>1543965.01</v>
      </c>
      <c r="H80" s="3">
        <f>157255.8-15002.12</f>
        <v>142253.68</v>
      </c>
      <c r="I80" s="3">
        <f>110213.3-10115.28</f>
        <v>100098.02</v>
      </c>
      <c r="J80" s="3">
        <f>8304.77-976.48</f>
        <v>7328.2900000000009</v>
      </c>
      <c r="K80" s="3">
        <f>846410.16-114020.94</f>
        <v>732389.22</v>
      </c>
      <c r="L80" s="3">
        <f>223148.67-36743.5</f>
        <v>186405.17</v>
      </c>
      <c r="M80" s="3">
        <f>51201.7-1696.57</f>
        <v>49505.13</v>
      </c>
      <c r="N80" s="3">
        <v>0</v>
      </c>
      <c r="O80" s="3">
        <v>0</v>
      </c>
      <c r="P80" s="3">
        <f t="shared" si="75"/>
        <v>3446964.0999999996</v>
      </c>
      <c r="R80" s="2">
        <f>409481.91+1696.57</f>
        <v>411178.48</v>
      </c>
      <c r="S80" s="2">
        <f>431369.78+123951-118284.26</f>
        <v>437036.52</v>
      </c>
      <c r="T80" s="2">
        <v>123951</v>
      </c>
      <c r="U80" s="5">
        <f>S80-T80</f>
        <v>313085.52</v>
      </c>
      <c r="V80" s="3">
        <f>3858142.58-411178.48</f>
        <v>3446964.1</v>
      </c>
      <c r="W80" s="3">
        <f>P80-V80</f>
        <v>0</v>
      </c>
    </row>
    <row r="81" spans="1:28" x14ac:dyDescent="0.25">
      <c r="A81" t="s">
        <v>7</v>
      </c>
      <c r="B81" t="s">
        <v>8</v>
      </c>
      <c r="N81" s="3"/>
      <c r="O81" s="3"/>
    </row>
    <row r="82" spans="1:28" x14ac:dyDescent="0.25">
      <c r="B82" s="10" t="s">
        <v>73</v>
      </c>
      <c r="D82" s="24"/>
      <c r="E82" s="24"/>
      <c r="F82" s="24"/>
      <c r="G82" s="24"/>
      <c r="H82" s="24"/>
      <c r="I82" s="24"/>
      <c r="J82" s="3">
        <v>20000</v>
      </c>
      <c r="K82" s="24"/>
      <c r="L82" s="24"/>
      <c r="M82" s="24"/>
      <c r="N82" s="24"/>
      <c r="O82" s="24"/>
      <c r="P82" s="25"/>
    </row>
    <row r="83" spans="1:28" x14ac:dyDescent="0.25">
      <c r="B83" s="10" t="s">
        <v>74</v>
      </c>
      <c r="D83" s="24"/>
      <c r="E83" s="24"/>
      <c r="F83" s="24"/>
      <c r="G83" s="24"/>
      <c r="H83" s="24"/>
      <c r="I83" s="24"/>
      <c r="J83" s="3">
        <v>20000</v>
      </c>
      <c r="K83" s="24"/>
      <c r="L83" s="24"/>
      <c r="M83" s="24"/>
      <c r="N83" s="24"/>
      <c r="O83" s="24"/>
      <c r="P83" s="25"/>
    </row>
    <row r="84" spans="1:28" x14ac:dyDescent="0.25">
      <c r="B84" s="10" t="s">
        <v>75</v>
      </c>
      <c r="D84" s="24"/>
      <c r="E84" s="24"/>
      <c r="F84" s="24"/>
      <c r="G84" s="24"/>
      <c r="H84" s="24"/>
      <c r="I84" s="24"/>
      <c r="J84" s="3">
        <v>41036</v>
      </c>
      <c r="K84" s="24"/>
      <c r="L84" s="24"/>
      <c r="M84" s="24"/>
      <c r="N84" s="24"/>
      <c r="O84" s="24"/>
      <c r="P84" s="25"/>
    </row>
    <row r="85" spans="1:28" x14ac:dyDescent="0.25">
      <c r="N85" s="3"/>
      <c r="O85" s="3"/>
    </row>
    <row r="86" spans="1:28" x14ac:dyDescent="0.25">
      <c r="B86" t="s">
        <v>31</v>
      </c>
      <c r="D86" s="3">
        <v>61286.47</v>
      </c>
      <c r="E86" s="3">
        <v>35.03</v>
      </c>
      <c r="F86">
        <v>17459.68</v>
      </c>
      <c r="G86">
        <v>153842.41</v>
      </c>
      <c r="H86" s="3">
        <v>15002.12</v>
      </c>
      <c r="I86" s="3">
        <v>10115.280000000001</v>
      </c>
      <c r="J86" s="3">
        <v>976.48</v>
      </c>
      <c r="K86" s="3">
        <v>114020.94</v>
      </c>
      <c r="L86" s="3">
        <v>36743.5</v>
      </c>
      <c r="M86" s="3">
        <v>1696.57</v>
      </c>
      <c r="N86" s="3">
        <v>0</v>
      </c>
      <c r="O86" s="3">
        <v>0</v>
      </c>
      <c r="P86" s="3">
        <f t="shared" ref="P86" si="76">SUM(D86:O86)</f>
        <v>411178.48000000004</v>
      </c>
      <c r="Z86" s="3">
        <f>432069.3+1813.01</f>
        <v>433882.31</v>
      </c>
      <c r="AA86" s="14" t="s">
        <v>37</v>
      </c>
      <c r="AB86" s="9">
        <f>P86-Z86</f>
        <v>-22703.829999999958</v>
      </c>
    </row>
    <row r="87" spans="1:28" x14ac:dyDescent="0.25">
      <c r="B87" t="s">
        <v>32</v>
      </c>
      <c r="D87" s="3">
        <f>(0.17327*(D86/(D86+H86+J86)))*P87</f>
        <v>-1449.1586853578931</v>
      </c>
      <c r="E87" s="3">
        <f>(0.58642*(E86/(E86+F86+G86+I86)))*P87</f>
        <v>-1.1937059476499843</v>
      </c>
      <c r="F87" s="3">
        <f>(0.58642*(F86/(E86+F86+G86+I86)))*P87</f>
        <v>-594.96785212861766</v>
      </c>
      <c r="G87" s="3">
        <f>(0.58642*(G86/(E86+F86+G86+I86)))*P87</f>
        <v>-5242.4379051615024</v>
      </c>
      <c r="H87" s="3">
        <f>(0.17327*(H86/(D86+H86+J86)))*P87</f>
        <v>-354.73494389187948</v>
      </c>
      <c r="I87" s="3">
        <f>(0.58642*(I86/(E86+F86+G86+I86)))*P87</f>
        <v>-344.69511556223046</v>
      </c>
      <c r="J87" s="3">
        <f>(0.17327*(J86/(D86+H86+J86)))*P87</f>
        <v>-23.089508550227734</v>
      </c>
      <c r="K87" s="3">
        <f>(0.23905*(K86/(K86+L86)))*P87</f>
        <v>-1906.2752523964336</v>
      </c>
      <c r="L87" s="3">
        <f>(0.23905*(L86/(K86+L86)))*P87</f>
        <v>-614.30141460356629</v>
      </c>
      <c r="M87" s="3">
        <f>0.00126*P87</f>
        <v>-13.2856164</v>
      </c>
      <c r="N87" s="3">
        <v>0</v>
      </c>
      <c r="O87" s="3">
        <v>0</v>
      </c>
      <c r="P87" s="3">
        <v>-10544.14</v>
      </c>
    </row>
    <row r="88" spans="1:28" x14ac:dyDescent="0.25">
      <c r="B88" s="11" t="s">
        <v>33</v>
      </c>
      <c r="C88" s="11"/>
      <c r="D88" s="13">
        <f>D86+D87</f>
        <v>59837.311314642109</v>
      </c>
      <c r="E88" s="13">
        <f t="shared" ref="E88" si="77">E86+E87</f>
        <v>33.83629405235002</v>
      </c>
      <c r="F88" s="13">
        <f t="shared" ref="F88" si="78">F86+F87</f>
        <v>16864.712147871382</v>
      </c>
      <c r="G88" s="13">
        <f t="shared" ref="G88" si="79">G86+G87</f>
        <v>148599.97209483851</v>
      </c>
      <c r="H88" s="13">
        <f t="shared" ref="H88" si="80">H86+H87</f>
        <v>14647.385056108122</v>
      </c>
      <c r="I88" s="13">
        <f t="shared" ref="I88:J88" si="81">I86+I87</f>
        <v>9770.5848844377706</v>
      </c>
      <c r="J88" s="13">
        <f t="shared" si="81"/>
        <v>953.3904914497723</v>
      </c>
      <c r="K88" s="13">
        <f t="shared" ref="K88" si="82">K86+K87</f>
        <v>112114.66474760357</v>
      </c>
      <c r="L88" s="13">
        <f t="shared" ref="L88" si="83">L86+L87</f>
        <v>36129.198585396436</v>
      </c>
      <c r="M88" s="13">
        <f t="shared" ref="M88:O88" si="84">M86+M87</f>
        <v>1683.2843836</v>
      </c>
      <c r="N88" s="13">
        <f t="shared" si="84"/>
        <v>0</v>
      </c>
      <c r="O88" s="13">
        <f t="shared" si="84"/>
        <v>0</v>
      </c>
      <c r="P88" s="13">
        <f t="shared" ref="P88" si="85">P86+P87</f>
        <v>400634.34</v>
      </c>
      <c r="Z88" s="3">
        <v>258726</v>
      </c>
      <c r="AA88" s="12" t="s">
        <v>38</v>
      </c>
      <c r="AB88" s="9">
        <f>P88-Z88</f>
        <v>141908.34000000003</v>
      </c>
    </row>
    <row r="89" spans="1:28" x14ac:dyDescent="0.25">
      <c r="B89" t="s">
        <v>34</v>
      </c>
      <c r="C89">
        <v>0.1255</v>
      </c>
      <c r="D89" s="3">
        <f>((D80+D86)/(1+C89))*C89</f>
        <v>57450.950666370503</v>
      </c>
      <c r="E89" s="3">
        <f>((E80+E86)/(1+C89))*C89</f>
        <v>26.528391825855177</v>
      </c>
      <c r="F89" s="3">
        <f>((F80+F86)/(1+C89))*C89</f>
        <v>27690.88645046646</v>
      </c>
      <c r="G89" s="3">
        <f>(((G80+G86)/(1+C89))*C89)-58</f>
        <v>189257.70964904487</v>
      </c>
      <c r="H89" s="3">
        <f>((H80+H86)/(1+C89))*C89</f>
        <v>17534.964815637497</v>
      </c>
      <c r="I89" s="3">
        <f>(((I80+I86)/(1+C89))*C89)+(2280*C89)</f>
        <v>12575.583936028432</v>
      </c>
      <c r="J89" s="3">
        <f>(((J80+J86)/(1+C89))*C89)</f>
        <v>926.03166148378511</v>
      </c>
      <c r="K89" s="3">
        <f>123951-L89+1914.02</f>
        <v>97500.02</v>
      </c>
      <c r="L89" s="3">
        <v>28365</v>
      </c>
      <c r="M89" s="3">
        <f>((M80+M86)/(1+C89))*C89</f>
        <v>5709.2966237227893</v>
      </c>
      <c r="N89" s="3">
        <v>0</v>
      </c>
      <c r="O89" s="3">
        <v>0</v>
      </c>
      <c r="P89" s="3">
        <f t="shared" ref="P89" si="86">SUM(D89:O89)</f>
        <v>437036.97219458019</v>
      </c>
      <c r="Z89" s="3">
        <f>411089.39</f>
        <v>411089.39</v>
      </c>
      <c r="AA89" s="14" t="s">
        <v>37</v>
      </c>
      <c r="AB89" s="9">
        <f>P89-Z89</f>
        <v>25947.582194580173</v>
      </c>
    </row>
    <row r="90" spans="1:28" x14ac:dyDescent="0.25">
      <c r="B90" t="s">
        <v>35</v>
      </c>
      <c r="D90" s="3">
        <f>(0.2277*(D89/(D89+H89+J89)))*P90</f>
        <v>-5298.5887322806375</v>
      </c>
      <c r="E90" s="3">
        <f>(0.7706*(E89/(E89+F89+G89+I89)))*P90</f>
        <v>-2.7382391999608466</v>
      </c>
      <c r="F90" s="3">
        <f>(0.7706*(F89/(E89+F89+G89+I89)))*P90</f>
        <v>-2858.230957160089</v>
      </c>
      <c r="G90" s="3">
        <f>(0.7706*(G89/(E89+F89+G89+I89)))*P90</f>
        <v>-19535.028088311828</v>
      </c>
      <c r="H90" s="3">
        <f>(0.2277*(H89/(H89+D89+J89)))*P90</f>
        <v>-1617.2154840852861</v>
      </c>
      <c r="I90" s="3">
        <f>(0.7706*(I89/(I89+E89+F89+G89)))*P90</f>
        <v>-1298.0416273281169</v>
      </c>
      <c r="J90" s="3">
        <f>(0.2277*(J89/(H89+D89+J89)))*P90</f>
        <v>-85.406087634077494</v>
      </c>
      <c r="K90" s="3">
        <v>0</v>
      </c>
      <c r="L90" s="3">
        <v>0</v>
      </c>
      <c r="M90" s="3">
        <f>0.0017*P90</f>
        <v>-52.270783999999999</v>
      </c>
      <c r="N90" s="3">
        <v>0</v>
      </c>
      <c r="O90" s="3">
        <v>0</v>
      </c>
      <c r="P90" s="3">
        <v>-30747.52</v>
      </c>
    </row>
    <row r="91" spans="1:28" x14ac:dyDescent="0.25">
      <c r="B91" s="11" t="s">
        <v>36</v>
      </c>
      <c r="C91" s="11"/>
      <c r="D91" s="13">
        <f>D89+D90</f>
        <v>52152.361934089866</v>
      </c>
      <c r="E91" s="13">
        <f t="shared" ref="E91" si="87">E89+E90</f>
        <v>23.790152625894329</v>
      </c>
      <c r="F91" s="13">
        <f t="shared" ref="F91" si="88">F89+F90</f>
        <v>24832.655493306371</v>
      </c>
      <c r="G91" s="13">
        <f t="shared" ref="G91" si="89">G89+G90</f>
        <v>169722.68156073304</v>
      </c>
      <c r="H91" s="13">
        <f t="shared" ref="H91" si="90">H89+H90</f>
        <v>15917.749331552212</v>
      </c>
      <c r="I91" s="13">
        <f t="shared" ref="I91:J91" si="91">I89+I90</f>
        <v>11277.542308700315</v>
      </c>
      <c r="J91" s="13">
        <f t="shared" si="91"/>
        <v>840.62557384970762</v>
      </c>
      <c r="K91" s="13">
        <f t="shared" ref="K91" si="92">K89+K90</f>
        <v>97500.02</v>
      </c>
      <c r="L91" s="13">
        <f t="shared" ref="L91" si="93">L89+L90</f>
        <v>28365</v>
      </c>
      <c r="M91" s="13">
        <f t="shared" ref="M91:O91" si="94">M89+M90</f>
        <v>5657.025839722789</v>
      </c>
      <c r="N91" s="13">
        <f t="shared" si="94"/>
        <v>0</v>
      </c>
      <c r="O91" s="13">
        <f t="shared" si="94"/>
        <v>0</v>
      </c>
      <c r="P91" s="13">
        <f t="shared" ref="P91" si="95">P89+P90</f>
        <v>406289.45219458017</v>
      </c>
      <c r="Y91" s="2">
        <f>P80+P88-P89+P91</f>
        <v>3816850.9199999995</v>
      </c>
      <c r="Z91" s="3">
        <f>406881-451</f>
        <v>406430</v>
      </c>
      <c r="AA91" s="12" t="s">
        <v>38</v>
      </c>
      <c r="AB91" s="9">
        <f>P91-Z91</f>
        <v>-140.547805419832</v>
      </c>
    </row>
    <row r="93" spans="1:28" x14ac:dyDescent="0.25">
      <c r="B93" s="4">
        <v>45107</v>
      </c>
      <c r="C93" s="4"/>
      <c r="D93" s="29" t="s">
        <v>21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28" x14ac:dyDescent="0.25">
      <c r="D94" s="7" t="s">
        <v>9</v>
      </c>
      <c r="E94" s="7" t="s">
        <v>10</v>
      </c>
      <c r="F94" s="7" t="s">
        <v>11</v>
      </c>
      <c r="G94" s="7" t="s">
        <v>12</v>
      </c>
      <c r="H94" s="7" t="s">
        <v>13</v>
      </c>
      <c r="I94" s="7" t="s">
        <v>14</v>
      </c>
      <c r="J94" s="7">
        <v>22</v>
      </c>
      <c r="K94" s="8" t="s">
        <v>15</v>
      </c>
      <c r="L94" s="8" t="s">
        <v>16</v>
      </c>
      <c r="M94" s="8" t="s">
        <v>17</v>
      </c>
      <c r="N94" s="8" t="s">
        <v>18</v>
      </c>
      <c r="O94" s="8" t="s">
        <v>19</v>
      </c>
      <c r="P94" s="8" t="s">
        <v>20</v>
      </c>
      <c r="R94" s="1" t="s">
        <v>23</v>
      </c>
      <c r="S94" s="1" t="s">
        <v>24</v>
      </c>
      <c r="T94" s="1" t="s">
        <v>25</v>
      </c>
      <c r="U94" s="1" t="s">
        <v>26</v>
      </c>
      <c r="V94" s="1" t="s">
        <v>22</v>
      </c>
    </row>
    <row r="95" spans="1:28" x14ac:dyDescent="0.25">
      <c r="A95" t="s">
        <v>0</v>
      </c>
      <c r="B95" t="s">
        <v>4</v>
      </c>
      <c r="D95" s="3">
        <v>64</v>
      </c>
      <c r="E95" s="3">
        <v>6</v>
      </c>
      <c r="F95" s="3">
        <v>3688</v>
      </c>
      <c r="G95" s="3">
        <v>13246</v>
      </c>
      <c r="H95" s="3">
        <v>249</v>
      </c>
      <c r="I95" s="3">
        <v>755</v>
      </c>
      <c r="J95" s="3">
        <v>1</v>
      </c>
      <c r="K95" s="3">
        <v>13</v>
      </c>
      <c r="L95" s="3">
        <v>1</v>
      </c>
      <c r="M95" s="3">
        <v>35</v>
      </c>
      <c r="N95" s="3">
        <v>0</v>
      </c>
      <c r="O95" s="3">
        <v>0</v>
      </c>
      <c r="P95" s="3">
        <f>SUM(D95:O95)</f>
        <v>18058</v>
      </c>
      <c r="V95" s="3">
        <v>18058</v>
      </c>
      <c r="W95" s="3">
        <f>P95-V95</f>
        <v>0</v>
      </c>
    </row>
    <row r="96" spans="1:28" x14ac:dyDescent="0.25">
      <c r="A96" t="s">
        <v>1</v>
      </c>
      <c r="B96" t="s">
        <v>2</v>
      </c>
      <c r="D96" s="3">
        <f>5123953+74</f>
        <v>5124027</v>
      </c>
      <c r="E96" s="3">
        <f>1638</f>
        <v>1638</v>
      </c>
      <c r="F96" s="3">
        <f>1564270+1174</f>
        <v>1565444</v>
      </c>
      <c r="G96" s="3">
        <f>14899521+5458</f>
        <v>14904979</v>
      </c>
      <c r="H96" s="3">
        <v>1379675</v>
      </c>
      <c r="I96" s="3">
        <f>1007789+524</f>
        <v>1008313</v>
      </c>
      <c r="J96" s="3">
        <f>SUM(J100:J102)</f>
        <v>73603</v>
      </c>
      <c r="K96" s="3">
        <v>9403144</v>
      </c>
      <c r="L96" s="3">
        <v>3102490</v>
      </c>
      <c r="M96" s="3">
        <f>140027</f>
        <v>140027</v>
      </c>
      <c r="N96" s="3">
        <v>0</v>
      </c>
      <c r="O96" s="3">
        <v>0</v>
      </c>
      <c r="P96" s="3">
        <f t="shared" ref="P96:P98" si="96">SUM(D96:O96)</f>
        <v>36703340</v>
      </c>
      <c r="V96" s="3">
        <f>36556083+147257</f>
        <v>36703340</v>
      </c>
      <c r="W96" s="3">
        <f>P96-V96</f>
        <v>0</v>
      </c>
    </row>
    <row r="97" spans="1:28" x14ac:dyDescent="0.25">
      <c r="A97" t="s">
        <v>3</v>
      </c>
      <c r="B97" t="s">
        <v>5</v>
      </c>
      <c r="D97" s="3">
        <v>14184.588</v>
      </c>
      <c r="E97" s="3">
        <v>0</v>
      </c>
      <c r="F97" s="3">
        <v>56.8</v>
      </c>
      <c r="G97" s="3">
        <v>51.2</v>
      </c>
      <c r="H97" s="3">
        <v>5160.7939999999999</v>
      </c>
      <c r="I97" s="3">
        <v>0</v>
      </c>
      <c r="J97" s="3">
        <v>200</v>
      </c>
      <c r="K97" s="3">
        <v>20224</v>
      </c>
      <c r="L97" s="3">
        <v>5370</v>
      </c>
      <c r="M97" s="3">
        <v>0</v>
      </c>
      <c r="N97" s="3">
        <v>0</v>
      </c>
      <c r="O97" s="3">
        <v>0</v>
      </c>
      <c r="P97" s="3">
        <f t="shared" si="96"/>
        <v>45247.381999999998</v>
      </c>
      <c r="V97" s="3">
        <v>45247.381999999998</v>
      </c>
      <c r="W97" s="3">
        <f>P97-V97</f>
        <v>0</v>
      </c>
    </row>
    <row r="98" spans="1:28" x14ac:dyDescent="0.25">
      <c r="A98" t="s">
        <v>6</v>
      </c>
      <c r="B98" t="s">
        <v>27</v>
      </c>
      <c r="D98" s="3">
        <f>523737.6-70044.43</f>
        <v>453693.17</v>
      </c>
      <c r="E98" s="3">
        <f>135.69-22.38</f>
        <v>113.31</v>
      </c>
      <c r="F98" s="3">
        <f>261721.51-21383.2</f>
        <v>240338.31</v>
      </c>
      <c r="G98" s="3">
        <f>1950589.5-203650.98</f>
        <v>1746938.52</v>
      </c>
      <c r="H98" s="3">
        <f>173882.41-18860.14</f>
        <v>155022.27000000002</v>
      </c>
      <c r="I98" s="3">
        <f>129969.98-13776.49</f>
        <v>116193.48999999999</v>
      </c>
      <c r="J98" s="3">
        <f>7777.98-1006.15</f>
        <v>6771.83</v>
      </c>
      <c r="K98" s="3">
        <f>844893.81-125426.34</f>
        <v>719467.47000000009</v>
      </c>
      <c r="L98" s="3">
        <f>234977.24-42411.04</f>
        <v>192566.19999999998</v>
      </c>
      <c r="M98" s="3">
        <f>51257.12-1916.88</f>
        <v>49340.240000000005</v>
      </c>
      <c r="N98" s="3">
        <v>0</v>
      </c>
      <c r="O98" s="3">
        <v>0</v>
      </c>
      <c r="P98" s="3">
        <f t="shared" si="96"/>
        <v>3680444.810000001</v>
      </c>
      <c r="R98" s="2">
        <f>496581.15+1916.88</f>
        <v>498498.03</v>
      </c>
      <c r="S98" s="2">
        <f>430661.22+128525-109038.32</f>
        <v>450147.89999999997</v>
      </c>
      <c r="T98" s="2">
        <v>128525</v>
      </c>
      <c r="U98" s="5">
        <f>S98-T98</f>
        <v>321622.89999999997</v>
      </c>
      <c r="V98" s="3">
        <f>4178942.84-498498.03</f>
        <v>3680444.8099999996</v>
      </c>
      <c r="W98" s="3">
        <f>P98-V98</f>
        <v>0</v>
      </c>
    </row>
    <row r="99" spans="1:28" x14ac:dyDescent="0.25">
      <c r="A99" t="s">
        <v>7</v>
      </c>
      <c r="B99" t="s">
        <v>8</v>
      </c>
      <c r="N99" s="3"/>
      <c r="O99" s="3"/>
    </row>
    <row r="100" spans="1:28" x14ac:dyDescent="0.25">
      <c r="B100" s="10" t="s">
        <v>73</v>
      </c>
      <c r="D100" s="24"/>
      <c r="E100" s="24"/>
      <c r="F100" s="24"/>
      <c r="G100" s="24"/>
      <c r="H100" s="24"/>
      <c r="I100" s="24"/>
      <c r="J100" s="3">
        <v>20000</v>
      </c>
      <c r="K100" s="24"/>
      <c r="L100" s="24"/>
      <c r="M100" s="24"/>
      <c r="N100" s="24"/>
      <c r="O100" s="24"/>
      <c r="P100" s="25"/>
    </row>
    <row r="101" spans="1:28" x14ac:dyDescent="0.25">
      <c r="B101" s="10" t="s">
        <v>74</v>
      </c>
      <c r="D101" s="24"/>
      <c r="E101" s="24"/>
      <c r="F101" s="24"/>
      <c r="G101" s="24"/>
      <c r="H101" s="24"/>
      <c r="I101" s="24"/>
      <c r="J101" s="3">
        <v>20000</v>
      </c>
      <c r="K101" s="24"/>
      <c r="L101" s="24"/>
      <c r="M101" s="24"/>
      <c r="N101" s="24"/>
      <c r="O101" s="24"/>
      <c r="P101" s="25"/>
    </row>
    <row r="102" spans="1:28" x14ac:dyDescent="0.25">
      <c r="B102" s="10" t="s">
        <v>75</v>
      </c>
      <c r="D102" s="24"/>
      <c r="E102" s="24"/>
      <c r="F102" s="24"/>
      <c r="G102" s="24"/>
      <c r="H102" s="24"/>
      <c r="I102" s="24"/>
      <c r="J102" s="3">
        <v>33603</v>
      </c>
      <c r="K102" s="24"/>
      <c r="L102" s="24"/>
      <c r="M102" s="24"/>
      <c r="N102" s="24"/>
      <c r="O102" s="24"/>
      <c r="P102" s="25"/>
    </row>
    <row r="103" spans="1:28" x14ac:dyDescent="0.25">
      <c r="N103" s="3"/>
      <c r="O103" s="3"/>
    </row>
    <row r="104" spans="1:28" x14ac:dyDescent="0.25">
      <c r="B104" t="s">
        <v>31</v>
      </c>
      <c r="D104" s="3">
        <v>70044.429999999993</v>
      </c>
      <c r="E104" s="3">
        <v>22.38</v>
      </c>
      <c r="F104">
        <v>21383.200000000001</v>
      </c>
      <c r="G104">
        <v>203650.98</v>
      </c>
      <c r="H104" s="3">
        <v>18860.14</v>
      </c>
      <c r="I104" s="3">
        <v>13776.49</v>
      </c>
      <c r="J104" s="3">
        <v>1006.15</v>
      </c>
      <c r="K104" s="3">
        <v>125426.34</v>
      </c>
      <c r="L104" s="3">
        <v>42411.040000000001</v>
      </c>
      <c r="M104" s="3">
        <v>1916.88</v>
      </c>
      <c r="N104" s="3">
        <v>0</v>
      </c>
      <c r="O104" s="3">
        <v>0</v>
      </c>
      <c r="P104" s="3">
        <f t="shared" ref="P104" si="97">SUM(D104:O104)</f>
        <v>498498.02999999997</v>
      </c>
      <c r="Z104" s="3">
        <f>393310.49+1409.22</f>
        <v>394719.70999999996</v>
      </c>
      <c r="AA104" s="14" t="s">
        <v>37</v>
      </c>
      <c r="AB104" s="9">
        <f>P104-Z104</f>
        <v>103778.32</v>
      </c>
    </row>
    <row r="105" spans="1:28" x14ac:dyDescent="0.25">
      <c r="B105" t="s">
        <v>32</v>
      </c>
      <c r="D105" s="3">
        <f>(0.17327*(D104/(D104+H104+J104)))*P105</f>
        <v>-43958.026677481052</v>
      </c>
      <c r="E105" s="3">
        <f>(0.58642*(E104/(E104+F104+G104+I104)))*P105</f>
        <v>-17.894810917649465</v>
      </c>
      <c r="F105" s="3">
        <f>(0.58642*(F104/(E104+F104+G104+I104)))*P105</f>
        <v>-17097.780197242271</v>
      </c>
      <c r="G105" s="3">
        <f>(0.58642*(G104/(E104+F104+G104+I104)))*P105</f>
        <v>-162837.16623297645</v>
      </c>
      <c r="H105" s="3">
        <f>(0.17327*(H104/(D104+H104+J104)))*P105</f>
        <v>-11836.123689792714</v>
      </c>
      <c r="I105" s="3">
        <f>(0.58642*(I104/(E104+F104+G104+I104)))*P105</f>
        <v>-11015.53546286366</v>
      </c>
      <c r="J105" s="3">
        <f>(0.17327*(J104/(D104+H104+J104)))*P105</f>
        <v>-631.43305672624592</v>
      </c>
      <c r="K105" s="3">
        <f>(0.23905*(K104/(K104+L104)))*P105</f>
        <v>-58175.682768641542</v>
      </c>
      <c r="L105" s="3">
        <f>(0.23905*(L104/(K104+L104)))*P105</f>
        <v>-19671.236591358462</v>
      </c>
      <c r="M105" s="3">
        <f>0.00126*P105</f>
        <v>-410.32051200000001</v>
      </c>
      <c r="N105" s="3">
        <v>0</v>
      </c>
      <c r="O105" s="3">
        <v>0</v>
      </c>
      <c r="P105" s="3">
        <v>-325651.20000000001</v>
      </c>
    </row>
    <row r="106" spans="1:28" x14ac:dyDescent="0.25">
      <c r="B106" s="11" t="s">
        <v>33</v>
      </c>
      <c r="C106" s="11"/>
      <c r="D106" s="13">
        <f>D104+D105</f>
        <v>26086.403322518941</v>
      </c>
      <c r="E106" s="13">
        <f t="shared" ref="E106" si="98">E104+E105</f>
        <v>4.4851890823505336</v>
      </c>
      <c r="F106" s="13">
        <f t="shared" ref="F106" si="99">F104+F105</f>
        <v>4285.4198027577295</v>
      </c>
      <c r="G106" s="13">
        <f t="shared" ref="G106" si="100">G104+G105</f>
        <v>40813.813767023559</v>
      </c>
      <c r="H106" s="13">
        <f t="shared" ref="H106" si="101">H104+H105</f>
        <v>7024.0163102072856</v>
      </c>
      <c r="I106" s="13">
        <f t="shared" ref="I106:J106" si="102">I104+I105</f>
        <v>2760.9545371363402</v>
      </c>
      <c r="J106" s="13">
        <f t="shared" si="102"/>
        <v>374.71694327375405</v>
      </c>
      <c r="K106" s="13">
        <f t="shared" ref="K106" si="103">K104+K105</f>
        <v>67250.657231358462</v>
      </c>
      <c r="L106" s="13">
        <f t="shared" ref="L106" si="104">L104+L105</f>
        <v>22739.803408641539</v>
      </c>
      <c r="M106" s="13">
        <f t="shared" ref="M106:O106" si="105">M104+M105</f>
        <v>1506.5594880000001</v>
      </c>
      <c r="N106" s="13">
        <f t="shared" si="105"/>
        <v>0</v>
      </c>
      <c r="O106" s="13">
        <f t="shared" si="105"/>
        <v>0</v>
      </c>
      <c r="P106" s="13">
        <f t="shared" ref="P106" si="106">P104+P105</f>
        <v>172846.82999999996</v>
      </c>
      <c r="Z106" s="3">
        <v>381811</v>
      </c>
      <c r="AA106" s="12" t="s">
        <v>38</v>
      </c>
      <c r="AB106" s="9">
        <f>P106-Z106</f>
        <v>-208964.17000000004</v>
      </c>
    </row>
    <row r="107" spans="1:28" x14ac:dyDescent="0.25">
      <c r="B107" t="s">
        <v>34</v>
      </c>
      <c r="C107">
        <v>0.115</v>
      </c>
      <c r="D107" s="3">
        <f>((D98+D104)/(1+C107))*C107</f>
        <v>54017.779372197314</v>
      </c>
      <c r="E107" s="3">
        <f>((E98+E104)/(1+C107))*C107</f>
        <v>13.99493273542601</v>
      </c>
      <c r="F107" s="3">
        <f>((F98+F104)/(1+C107))*C107</f>
        <v>26993.698340807179</v>
      </c>
      <c r="G107" s="3">
        <f>(((G98+G104)/(1+C107))*C107)-52</f>
        <v>201129.87668161435</v>
      </c>
      <c r="H107" s="3">
        <f>((H98+H104)/(1+C107))*C107</f>
        <v>17934.060224215253</v>
      </c>
      <c r="I107" s="3">
        <f>(((I98+I104)/(1+C107))*C107)+(2268*C107)</f>
        <v>13665.795515695067</v>
      </c>
      <c r="J107" s="3">
        <f>(((J98+J104)/(1+C107))*C107)</f>
        <v>802.21318385650227</v>
      </c>
      <c r="K107" s="3">
        <f>128525-L107+1779.03</f>
        <v>100122.03</v>
      </c>
      <c r="L107" s="3">
        <v>30182</v>
      </c>
      <c r="M107" s="3">
        <f>((M98+M104)/(1+C107))*C107</f>
        <v>5286.608789237669</v>
      </c>
      <c r="N107" s="3">
        <v>0</v>
      </c>
      <c r="O107" s="3">
        <v>0</v>
      </c>
      <c r="P107" s="3">
        <f t="shared" ref="P107" si="107">SUM(D107:O107)</f>
        <v>450148.05704035878</v>
      </c>
      <c r="Z107" s="3">
        <f>444866.13+141967-104781.27</f>
        <v>482051.86</v>
      </c>
      <c r="AA107" s="14" t="s">
        <v>37</v>
      </c>
      <c r="AB107" s="9">
        <f>P107-Z107</f>
        <v>-31903.802959641209</v>
      </c>
    </row>
    <row r="108" spans="1:28" x14ac:dyDescent="0.25">
      <c r="B108" t="s">
        <v>35</v>
      </c>
      <c r="D108" s="3">
        <f>(0.2277*(D107/(D107+H107+J107)))*P108</f>
        <v>1174.1432071723823</v>
      </c>
      <c r="E108" s="3">
        <f>(0.7706*(E107/(E107+F107+G107+I107)))*P108</f>
        <v>0.30975332882972095</v>
      </c>
      <c r="F108" s="3">
        <f>(0.7706*(F107/(E107+F107+G107+I107)))*P108</f>
        <v>597.45824267699243</v>
      </c>
      <c r="G108" s="3">
        <f>(0.7706*(G107/(E107+F107+G107+I107)))*P108</f>
        <v>4451.6576111535605</v>
      </c>
      <c r="H108" s="3">
        <f>(0.2277*(H107/(H107+D107+J107)))*P108</f>
        <v>389.81896764384146</v>
      </c>
      <c r="I108" s="3">
        <f>(0.7706*(I107/(I107+E107+F107+G107)))*P108</f>
        <v>302.46845284061777</v>
      </c>
      <c r="J108" s="3">
        <f>(0.2277*(J107/(H107+D107+J107)))*P108</f>
        <v>17.437095183776467</v>
      </c>
      <c r="K108" s="3">
        <v>0</v>
      </c>
      <c r="L108" s="3">
        <v>0</v>
      </c>
      <c r="M108" s="3">
        <f>0.0017*P108</f>
        <v>11.80667</v>
      </c>
      <c r="N108" s="3">
        <v>0</v>
      </c>
      <c r="O108" s="3">
        <v>0</v>
      </c>
      <c r="P108" s="3">
        <v>6945.1</v>
      </c>
    </row>
    <row r="109" spans="1:28" x14ac:dyDescent="0.25">
      <c r="B109" s="11" t="s">
        <v>36</v>
      </c>
      <c r="C109" s="11"/>
      <c r="D109" s="13">
        <f>D107+D108</f>
        <v>55191.922579369697</v>
      </c>
      <c r="E109" s="13">
        <f t="shared" ref="E109" si="108">E107+E108</f>
        <v>14.304686064255732</v>
      </c>
      <c r="F109" s="13">
        <f t="shared" ref="F109" si="109">F107+F108</f>
        <v>27591.156583484171</v>
      </c>
      <c r="G109" s="13">
        <f t="shared" ref="G109" si="110">G107+G108</f>
        <v>205581.5342927679</v>
      </c>
      <c r="H109" s="13">
        <f t="shared" ref="H109" si="111">H107+H108</f>
        <v>18323.879191859094</v>
      </c>
      <c r="I109" s="13">
        <f t="shared" ref="I109:J109" si="112">I107+I108</f>
        <v>13968.263968535684</v>
      </c>
      <c r="J109" s="13">
        <f t="shared" si="112"/>
        <v>819.65027904027875</v>
      </c>
      <c r="K109" s="13">
        <f t="shared" ref="K109" si="113">K107+K108</f>
        <v>100122.03</v>
      </c>
      <c r="L109" s="13">
        <f t="shared" ref="L109" si="114">L107+L108</f>
        <v>30182</v>
      </c>
      <c r="M109" s="13">
        <f t="shared" ref="M109:O109" si="115">M107+M108</f>
        <v>5298.415459237669</v>
      </c>
      <c r="N109" s="13">
        <f t="shared" si="115"/>
        <v>0</v>
      </c>
      <c r="O109" s="13">
        <f t="shared" si="115"/>
        <v>0</v>
      </c>
      <c r="P109" s="13">
        <f t="shared" ref="P109" si="116">P107+P108</f>
        <v>457093.15704035875</v>
      </c>
      <c r="Y109" s="2">
        <f>P98+P106-P107+P109</f>
        <v>3860236.7400000012</v>
      </c>
      <c r="Z109" s="3">
        <f>537729-48</f>
        <v>537681</v>
      </c>
      <c r="AA109" s="12" t="s">
        <v>38</v>
      </c>
      <c r="AB109" s="9">
        <f>P109-Z109</f>
        <v>-80587.842959641246</v>
      </c>
    </row>
    <row r="111" spans="1:28" x14ac:dyDescent="0.25">
      <c r="B111" s="4">
        <v>45138</v>
      </c>
      <c r="C111" s="4"/>
      <c r="D111" s="29" t="s">
        <v>21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28" x14ac:dyDescent="0.25">
      <c r="D112" s="7" t="s">
        <v>9</v>
      </c>
      <c r="E112" s="7" t="s">
        <v>10</v>
      </c>
      <c r="F112" s="7" t="s">
        <v>11</v>
      </c>
      <c r="G112" s="7" t="s">
        <v>12</v>
      </c>
      <c r="H112" s="7" t="s">
        <v>13</v>
      </c>
      <c r="I112" s="7" t="s">
        <v>14</v>
      </c>
      <c r="J112" s="7">
        <v>22</v>
      </c>
      <c r="K112" s="8" t="s">
        <v>15</v>
      </c>
      <c r="L112" s="8" t="s">
        <v>16</v>
      </c>
      <c r="M112" s="8" t="s">
        <v>17</v>
      </c>
      <c r="N112" s="8" t="s">
        <v>18</v>
      </c>
      <c r="O112" s="8" t="s">
        <v>19</v>
      </c>
      <c r="P112" s="8" t="s">
        <v>20</v>
      </c>
      <c r="R112" s="1" t="s">
        <v>23</v>
      </c>
      <c r="S112" s="1" t="s">
        <v>24</v>
      </c>
      <c r="T112" s="1" t="s">
        <v>25</v>
      </c>
      <c r="U112" s="1" t="s">
        <v>26</v>
      </c>
      <c r="V112" s="1" t="s">
        <v>22</v>
      </c>
    </row>
    <row r="113" spans="1:28" x14ac:dyDescent="0.25">
      <c r="A113" t="s">
        <v>0</v>
      </c>
      <c r="B113" t="s">
        <v>4</v>
      </c>
      <c r="D113" s="3">
        <v>64</v>
      </c>
      <c r="E113" s="3">
        <v>6</v>
      </c>
      <c r="F113" s="3">
        <v>3689</v>
      </c>
      <c r="G113" s="3">
        <v>13283</v>
      </c>
      <c r="H113" s="3">
        <v>251</v>
      </c>
      <c r="I113" s="3">
        <v>750</v>
      </c>
      <c r="J113" s="3">
        <v>1</v>
      </c>
      <c r="K113" s="3">
        <v>13</v>
      </c>
      <c r="L113" s="3">
        <v>1</v>
      </c>
      <c r="M113" s="3">
        <v>35</v>
      </c>
      <c r="N113" s="3">
        <v>1</v>
      </c>
      <c r="O113" s="3">
        <v>0</v>
      </c>
      <c r="P113" s="3">
        <f>SUM(D113:O113)</f>
        <v>18094</v>
      </c>
      <c r="V113" s="3">
        <v>18094</v>
      </c>
      <c r="W113" s="3">
        <f>P113-V113</f>
        <v>0</v>
      </c>
    </row>
    <row r="114" spans="1:28" x14ac:dyDescent="0.25">
      <c r="A114" t="s">
        <v>1</v>
      </c>
      <c r="B114" t="s">
        <v>2</v>
      </c>
      <c r="D114" s="3">
        <f>5235069+74</f>
        <v>5235143</v>
      </c>
      <c r="E114" s="3">
        <f>521</f>
        <v>521</v>
      </c>
      <c r="F114" s="3">
        <f>1762578+1174</f>
        <v>1763752</v>
      </c>
      <c r="G114" s="3">
        <f>17936154+5436</f>
        <v>17941590</v>
      </c>
      <c r="H114" s="3">
        <f>1489929+24</f>
        <v>1489953</v>
      </c>
      <c r="I114" s="3">
        <f>1215482+500</f>
        <v>1215982</v>
      </c>
      <c r="J114" s="3">
        <f>SUM(J118:J120)</f>
        <v>52167</v>
      </c>
      <c r="K114" s="3">
        <f>9853841</f>
        <v>9853841</v>
      </c>
      <c r="L114" s="3">
        <v>3151697</v>
      </c>
      <c r="M114" s="3">
        <v>139769</v>
      </c>
      <c r="N114" s="3">
        <v>0</v>
      </c>
      <c r="O114" s="3">
        <v>0</v>
      </c>
      <c r="P114" s="3">
        <f t="shared" ref="P114:P116" si="117">SUM(D114:O114)</f>
        <v>40844415</v>
      </c>
      <c r="V114" s="3">
        <f>40697438+146977</f>
        <v>40844415</v>
      </c>
      <c r="W114" s="3">
        <f>P114-V114</f>
        <v>0</v>
      </c>
    </row>
    <row r="115" spans="1:28" x14ac:dyDescent="0.25">
      <c r="A115" t="s">
        <v>3</v>
      </c>
      <c r="B115" t="s">
        <v>5</v>
      </c>
      <c r="D115" s="3">
        <v>14196.214</v>
      </c>
      <c r="E115" s="3">
        <f>0</f>
        <v>0</v>
      </c>
      <c r="F115" s="3">
        <v>57.28</v>
      </c>
      <c r="G115" s="3">
        <v>58.68</v>
      </c>
      <c r="H115" s="3">
        <v>5322.89</v>
      </c>
      <c r="I115" s="3">
        <v>0</v>
      </c>
      <c r="J115" s="3">
        <v>200</v>
      </c>
      <c r="K115" s="3">
        <v>20285</v>
      </c>
      <c r="L115" s="3">
        <v>5419</v>
      </c>
      <c r="M115" s="3">
        <v>0</v>
      </c>
      <c r="N115" s="3">
        <v>0</v>
      </c>
      <c r="O115" s="3">
        <v>0</v>
      </c>
      <c r="P115" s="3">
        <f t="shared" si="117"/>
        <v>45539.063999999998</v>
      </c>
      <c r="V115" s="3">
        <v>45539.063999999998</v>
      </c>
      <c r="W115" s="3">
        <f>P115-V115</f>
        <v>0</v>
      </c>
    </row>
    <row r="116" spans="1:28" x14ac:dyDescent="0.25">
      <c r="A116" t="s">
        <v>6</v>
      </c>
      <c r="B116" t="s">
        <v>27</v>
      </c>
      <c r="D116" s="3">
        <f>533044.08-61250.29</f>
        <v>471793.79</v>
      </c>
      <c r="E116" s="3">
        <f>42.89-6.09</f>
        <v>36.799999999999997</v>
      </c>
      <c r="F116" s="3">
        <f>287428.44-20622.34</f>
        <v>266806.09999999998</v>
      </c>
      <c r="G116" s="3">
        <f>2309169.97-209820.81</f>
        <v>2099349.16</v>
      </c>
      <c r="H116" s="3">
        <f>187474.95-17432.17</f>
        <v>170042.78000000003</v>
      </c>
      <c r="I116" s="3">
        <f>154345.61-14221.12</f>
        <v>140124.49</v>
      </c>
      <c r="J116" s="3">
        <f>6069.89-610.35</f>
        <v>5459.54</v>
      </c>
      <c r="K116" s="3">
        <f>870360.15-114174.66</f>
        <v>756185.49</v>
      </c>
      <c r="L116" s="3">
        <f>234727.92-36874.85</f>
        <v>197853.07</v>
      </c>
      <c r="M116" s="3">
        <f>51005.85-1636.98</f>
        <v>49368.869999999995</v>
      </c>
      <c r="N116" s="3">
        <v>0</v>
      </c>
      <c r="O116" s="3">
        <v>0</v>
      </c>
      <c r="P116" s="3">
        <f t="shared" si="117"/>
        <v>4157020.0900000003</v>
      </c>
      <c r="R116" s="2">
        <f>475012.68+1636.98</f>
        <v>476649.66</v>
      </c>
      <c r="S116" s="2">
        <f>563050.65+144323-132228.76</f>
        <v>575144.89</v>
      </c>
      <c r="T116" s="2">
        <v>144323</v>
      </c>
      <c r="U116" s="5">
        <f>S116-T116</f>
        <v>430821.89</v>
      </c>
      <c r="V116" s="3">
        <f>4633669.75-476649.66</f>
        <v>4157020.09</v>
      </c>
      <c r="W116" s="3">
        <f>P116-V116</f>
        <v>0</v>
      </c>
    </row>
    <row r="117" spans="1:28" x14ac:dyDescent="0.25">
      <c r="A117" t="s">
        <v>7</v>
      </c>
      <c r="B117" t="s">
        <v>8</v>
      </c>
      <c r="O117" s="3"/>
    </row>
    <row r="118" spans="1:28" x14ac:dyDescent="0.25">
      <c r="B118" s="10" t="s">
        <v>73</v>
      </c>
      <c r="D118" s="24"/>
      <c r="E118" s="24"/>
      <c r="F118" s="24"/>
      <c r="G118" s="24"/>
      <c r="H118" s="24"/>
      <c r="I118" s="24"/>
      <c r="J118" s="3">
        <v>20000</v>
      </c>
      <c r="K118" s="24"/>
      <c r="L118" s="24"/>
      <c r="M118" s="24"/>
      <c r="N118" s="24"/>
      <c r="O118" s="24"/>
      <c r="P118" s="25"/>
    </row>
    <row r="119" spans="1:28" x14ac:dyDescent="0.25">
      <c r="B119" s="10" t="s">
        <v>74</v>
      </c>
      <c r="D119" s="24"/>
      <c r="E119" s="24"/>
      <c r="F119" s="24"/>
      <c r="G119" s="24"/>
      <c r="H119" s="24"/>
      <c r="I119" s="24"/>
      <c r="J119" s="3">
        <v>20000</v>
      </c>
      <c r="K119" s="24"/>
      <c r="L119" s="24"/>
      <c r="M119" s="24"/>
      <c r="N119" s="24"/>
      <c r="O119" s="24"/>
      <c r="P119" s="25"/>
    </row>
    <row r="120" spans="1:28" x14ac:dyDescent="0.25">
      <c r="B120" s="10" t="s">
        <v>75</v>
      </c>
      <c r="D120" s="24"/>
      <c r="E120" s="24"/>
      <c r="F120" s="24"/>
      <c r="G120" s="24"/>
      <c r="H120" s="24"/>
      <c r="I120" s="24"/>
      <c r="J120" s="3">
        <v>12167</v>
      </c>
      <c r="K120" s="24"/>
      <c r="L120" s="24"/>
      <c r="M120" s="24"/>
      <c r="N120" s="24"/>
      <c r="O120" s="24"/>
      <c r="P120" s="25"/>
    </row>
    <row r="121" spans="1:28" x14ac:dyDescent="0.25">
      <c r="O121" s="3"/>
    </row>
    <row r="122" spans="1:28" x14ac:dyDescent="0.25">
      <c r="B122" t="s">
        <v>31</v>
      </c>
      <c r="D122" s="3">
        <v>61250.29</v>
      </c>
      <c r="E122" s="3">
        <v>6.09</v>
      </c>
      <c r="F122">
        <v>20622.34</v>
      </c>
      <c r="G122">
        <v>209820.81</v>
      </c>
      <c r="H122" s="3">
        <v>17432.169999999998</v>
      </c>
      <c r="I122" s="3">
        <v>14221.12</v>
      </c>
      <c r="J122" s="3">
        <v>610.35</v>
      </c>
      <c r="K122" s="3">
        <v>114174.66</v>
      </c>
      <c r="L122" s="3">
        <v>36874.85</v>
      </c>
      <c r="M122" s="3">
        <v>1636.98</v>
      </c>
      <c r="N122" s="3">
        <v>0</v>
      </c>
      <c r="O122" s="3">
        <v>0</v>
      </c>
      <c r="P122" s="3">
        <f t="shared" ref="P122" si="118">SUM(D122:O122)</f>
        <v>476649.65999999992</v>
      </c>
      <c r="Z122" s="3">
        <f>365340.36+1263.21</f>
        <v>366603.57</v>
      </c>
      <c r="AA122" s="14" t="s">
        <v>37</v>
      </c>
      <c r="AB122" s="9">
        <f>P122-Z122</f>
        <v>110046.08999999991</v>
      </c>
    </row>
    <row r="123" spans="1:28" x14ac:dyDescent="0.25">
      <c r="B123" t="s">
        <v>32</v>
      </c>
      <c r="D123" s="3">
        <f>(0.17327*(D122/(D122+H122+J122)))*P123</f>
        <v>-23173.457716886467</v>
      </c>
      <c r="E123" s="3">
        <f>(0.58642*(E122/(E122+F122+G122+I122)))*P123</f>
        <v>-2.5271896202415451</v>
      </c>
      <c r="F123" s="3">
        <f>(0.58642*(F122/(E122+F122+G122+I122)))*P123</f>
        <v>-8557.728012001975</v>
      </c>
      <c r="G123" s="3">
        <f>(0.58642*(G122/(E122+F122+G122+I122)))*P123</f>
        <v>-87070.110532458668</v>
      </c>
      <c r="H123" s="3">
        <f>(0.17327*(H122/(D122+H122+J122)))*P123</f>
        <v>-6595.2937432390409</v>
      </c>
      <c r="I123" s="3">
        <f>(0.58642*(I122/(E122+F122+G122+I122)))*P123</f>
        <v>-5901.3902877191204</v>
      </c>
      <c r="J123" s="3">
        <f>(0.17327*(J122/(D122+H122+J122)))*P123</f>
        <v>-230.92004817449282</v>
      </c>
      <c r="K123" s="3">
        <f>(0.23905*(K122/(K122+L122)))*P123</f>
        <v>-31284.720416315758</v>
      </c>
      <c r="L123" s="3">
        <f>(0.23905*(L122/(K122+L122)))*P123</f>
        <v>-10103.987808184243</v>
      </c>
      <c r="M123" s="3">
        <f>0.00126*P123</f>
        <v>-218.15424540000001</v>
      </c>
      <c r="N123" s="3">
        <v>0</v>
      </c>
      <c r="O123" s="3">
        <v>0</v>
      </c>
      <c r="P123" s="3">
        <v>-173138.29</v>
      </c>
    </row>
    <row r="124" spans="1:28" x14ac:dyDescent="0.25">
      <c r="B124" s="11" t="s">
        <v>33</v>
      </c>
      <c r="C124" s="11"/>
      <c r="D124" s="13">
        <f>D122+D123</f>
        <v>38076.83228311353</v>
      </c>
      <c r="E124" s="13">
        <f t="shared" ref="E124" si="119">E122+E123</f>
        <v>3.5628103797584547</v>
      </c>
      <c r="F124" s="13">
        <f t="shared" ref="F124" si="120">F122+F123</f>
        <v>12064.611987998025</v>
      </c>
      <c r="G124" s="13">
        <f t="shared" ref="G124" si="121">G122+G123</f>
        <v>122750.69946754133</v>
      </c>
      <c r="H124" s="13">
        <f t="shared" ref="H124" si="122">H122+H123</f>
        <v>10836.876256760957</v>
      </c>
      <c r="I124" s="13">
        <f t="shared" ref="I124:J124" si="123">I122+I123</f>
        <v>8319.7297122808814</v>
      </c>
      <c r="J124" s="13">
        <f t="shared" si="123"/>
        <v>379.4299518255072</v>
      </c>
      <c r="K124" s="13">
        <f t="shared" ref="K124" si="124">K122+K123</f>
        <v>82889.939583684245</v>
      </c>
      <c r="L124" s="13">
        <f t="shared" ref="L124" si="125">L122+L123</f>
        <v>26770.862191815755</v>
      </c>
      <c r="M124" s="13">
        <f t="shared" ref="M124:O124" si="126">M122+M123</f>
        <v>1418.8257546</v>
      </c>
      <c r="N124" s="13">
        <f t="shared" si="126"/>
        <v>0</v>
      </c>
      <c r="O124" s="13">
        <f t="shared" si="126"/>
        <v>0</v>
      </c>
      <c r="P124" s="13">
        <f t="shared" ref="P124" si="127">P122+P123</f>
        <v>303511.36999999988</v>
      </c>
      <c r="Z124" s="3">
        <v>746723</v>
      </c>
      <c r="AA124" s="12" t="s">
        <v>38</v>
      </c>
      <c r="AB124" s="9">
        <f>P124-Z124</f>
        <v>-443211.63000000012</v>
      </c>
    </row>
    <row r="125" spans="1:28" x14ac:dyDescent="0.25">
      <c r="B125" t="s">
        <v>34</v>
      </c>
      <c r="C125">
        <v>0.13819999999999999</v>
      </c>
      <c r="D125" s="3">
        <f>((D116+D122)/(1+C125))*C125</f>
        <v>64722.097923036374</v>
      </c>
      <c r="E125" s="3">
        <f>((E116+E122)/(1+C125))*C125</f>
        <v>5.2076946055174833</v>
      </c>
      <c r="F125" s="3">
        <f>((F116+F122)/(1+C125))*C125</f>
        <v>34899.499567738538</v>
      </c>
      <c r="G125" s="3">
        <f>(((G116+G122)/(1+C125))*C125)-73</f>
        <v>280305.92273238453</v>
      </c>
      <c r="H125" s="3">
        <f>((H116+H122)/(1+C125))*C125</f>
        <v>22763.168239325252</v>
      </c>
      <c r="I125" s="3">
        <f>(((I116+I122)/(1+C125))*C125)+(2253*C125)</f>
        <v>19051.975478580214</v>
      </c>
      <c r="J125" s="3">
        <f>(((J116+J122)/(1+C125))*C125)</f>
        <v>737.00474257599728</v>
      </c>
      <c r="K125" s="3">
        <f>144323-L125+2144.36</f>
        <v>114006.36</v>
      </c>
      <c r="L125" s="3">
        <v>32461</v>
      </c>
      <c r="M125" s="3">
        <f>((M116+M122)/(1+C125))*C125</f>
        <v>6193.1193726937272</v>
      </c>
      <c r="N125" s="3">
        <v>0</v>
      </c>
      <c r="O125" s="3">
        <v>0</v>
      </c>
      <c r="P125" s="3">
        <f t="shared" ref="P125" si="128">SUM(D125:O125)</f>
        <v>575145.35575094004</v>
      </c>
      <c r="Z125" s="3">
        <f>523239.68+154860-117416.37</f>
        <v>560683.30999999994</v>
      </c>
      <c r="AA125" s="14" t="s">
        <v>37</v>
      </c>
      <c r="AB125" s="9">
        <f>P125-Z125</f>
        <v>14462.045750940102</v>
      </c>
    </row>
    <row r="126" spans="1:28" x14ac:dyDescent="0.25">
      <c r="B126" t="s">
        <v>35</v>
      </c>
      <c r="D126" s="3">
        <f>(0.2277*(D125/(D125+H125+J125)))*P126</f>
        <v>86.882555824539352</v>
      </c>
      <c r="E126" s="3">
        <f>(0.7706*(E125/(E125+F125+G125+I125)))*P126</f>
        <v>6.2442735802037538E-3</v>
      </c>
      <c r="F126" s="3">
        <f>(0.7706*(F125/(E125+F125+G125+I125)))*P126</f>
        <v>41.846160272585223</v>
      </c>
      <c r="G126" s="3">
        <f>(0.7706*(G125/(E125+F125+G125+I125)))*P126</f>
        <v>336.1001364861213</v>
      </c>
      <c r="H126" s="3">
        <f>(0.2277*(H125/(H125+D125+J125)))*P126</f>
        <v>30.557140432134105</v>
      </c>
      <c r="I126" s="3">
        <f>(0.7706*(I125/(I125+E125+F125+G125)))*P126</f>
        <v>22.84422496771327</v>
      </c>
      <c r="J126" s="3">
        <f>(0.2277*(J125/(H125+D125+J125)))*P126</f>
        <v>0.98935074332654305</v>
      </c>
      <c r="K126" s="3">
        <v>0</v>
      </c>
      <c r="L126" s="3">
        <v>0</v>
      </c>
      <c r="M126" s="3">
        <f>0.0017*P126</f>
        <v>0.88418699999999995</v>
      </c>
      <c r="N126" s="3">
        <v>0</v>
      </c>
      <c r="O126" s="3">
        <v>0</v>
      </c>
      <c r="P126" s="3">
        <v>520.11</v>
      </c>
    </row>
    <row r="127" spans="1:28" x14ac:dyDescent="0.25">
      <c r="B127" s="11" t="s">
        <v>36</v>
      </c>
      <c r="C127" s="11"/>
      <c r="D127" s="13">
        <f>D125+D126</f>
        <v>64808.980478860911</v>
      </c>
      <c r="E127" s="13">
        <f t="shared" ref="E127" si="129">E125+E126</f>
        <v>5.2139388790976868</v>
      </c>
      <c r="F127" s="13">
        <f t="shared" ref="F127" si="130">F125+F126</f>
        <v>34941.345728011125</v>
      </c>
      <c r="G127" s="13">
        <f t="shared" ref="G127" si="131">G125+G126</f>
        <v>280642.02286887064</v>
      </c>
      <c r="H127" s="13">
        <f t="shared" ref="H127" si="132">H125+H126</f>
        <v>22793.725379757387</v>
      </c>
      <c r="I127" s="13">
        <f t="shared" ref="I127:J127" si="133">I125+I126</f>
        <v>19074.819703547928</v>
      </c>
      <c r="J127" s="13">
        <f t="shared" si="133"/>
        <v>737.99409331932384</v>
      </c>
      <c r="K127" s="13">
        <f t="shared" ref="K127" si="134">K125+K126</f>
        <v>114006.36</v>
      </c>
      <c r="L127" s="13">
        <f t="shared" ref="L127" si="135">L125+L126</f>
        <v>32461</v>
      </c>
      <c r="M127" s="13">
        <f t="shared" ref="M127:O127" si="136">M125+M126</f>
        <v>6194.0035596937269</v>
      </c>
      <c r="N127" s="13">
        <f t="shared" si="136"/>
        <v>0</v>
      </c>
      <c r="O127" s="13">
        <f t="shared" si="136"/>
        <v>0</v>
      </c>
      <c r="P127" s="13">
        <f t="shared" ref="P127" si="137">P125+P126</f>
        <v>575665.46575094003</v>
      </c>
      <c r="Y127" s="2">
        <f>P116+P124-P125+P127</f>
        <v>4461051.57</v>
      </c>
      <c r="Z127" s="3">
        <f>613418-489</f>
        <v>612929</v>
      </c>
      <c r="AA127" s="12" t="s">
        <v>38</v>
      </c>
      <c r="AB127" s="9">
        <f>P127-Z127</f>
        <v>-37263.534249059972</v>
      </c>
    </row>
    <row r="129" spans="1:30" x14ac:dyDescent="0.25">
      <c r="B129" s="4">
        <v>45169</v>
      </c>
      <c r="C129" s="4"/>
      <c r="D129" s="29" t="s">
        <v>21</v>
      </c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spans="1:30" x14ac:dyDescent="0.25">
      <c r="D130" s="7" t="s">
        <v>9</v>
      </c>
      <c r="E130" s="7" t="s">
        <v>10</v>
      </c>
      <c r="F130" s="7" t="s">
        <v>11</v>
      </c>
      <c r="G130" s="7" t="s">
        <v>12</v>
      </c>
      <c r="H130" s="7" t="s">
        <v>13</v>
      </c>
      <c r="I130" s="7" t="s">
        <v>14</v>
      </c>
      <c r="J130" s="7">
        <v>22</v>
      </c>
      <c r="K130" s="8" t="s">
        <v>15</v>
      </c>
      <c r="L130" s="8" t="s">
        <v>16</v>
      </c>
      <c r="M130" s="8" t="s">
        <v>17</v>
      </c>
      <c r="N130" s="8" t="s">
        <v>18</v>
      </c>
      <c r="O130" s="8" t="s">
        <v>19</v>
      </c>
      <c r="P130" s="8" t="s">
        <v>20</v>
      </c>
      <c r="R130" s="1" t="s">
        <v>23</v>
      </c>
      <c r="S130" s="1" t="s">
        <v>24</v>
      </c>
      <c r="T130" s="1" t="s">
        <v>25</v>
      </c>
      <c r="U130" s="1" t="s">
        <v>26</v>
      </c>
      <c r="V130" s="1" t="s">
        <v>22</v>
      </c>
    </row>
    <row r="131" spans="1:30" x14ac:dyDescent="0.25">
      <c r="A131" t="s">
        <v>0</v>
      </c>
      <c r="B131" t="s">
        <v>4</v>
      </c>
      <c r="D131" s="3">
        <v>64</v>
      </c>
      <c r="E131" s="3">
        <v>3</v>
      </c>
      <c r="F131" s="3">
        <v>3684</v>
      </c>
      <c r="G131" s="3">
        <v>13301</v>
      </c>
      <c r="H131" s="3">
        <v>248</v>
      </c>
      <c r="I131" s="3">
        <v>746</v>
      </c>
      <c r="J131" s="3">
        <v>1</v>
      </c>
      <c r="K131" s="3">
        <v>13</v>
      </c>
      <c r="L131" s="3">
        <v>1</v>
      </c>
      <c r="M131" s="3">
        <v>35</v>
      </c>
      <c r="N131" s="3">
        <v>1</v>
      </c>
      <c r="O131" s="3">
        <v>0</v>
      </c>
      <c r="P131" s="3">
        <f>SUM(D131:O131)</f>
        <v>18097</v>
      </c>
      <c r="V131" s="3">
        <v>18097</v>
      </c>
      <c r="W131" s="3">
        <f>P131-V131</f>
        <v>0</v>
      </c>
    </row>
    <row r="132" spans="1:30" x14ac:dyDescent="0.25">
      <c r="A132" t="s">
        <v>1</v>
      </c>
      <c r="B132" t="s">
        <v>2</v>
      </c>
      <c r="D132" s="3">
        <f>5729558+74</f>
        <v>5729632</v>
      </c>
      <c r="E132" s="3">
        <v>187</v>
      </c>
      <c r="F132" s="3">
        <f>1812749+1246</f>
        <v>1813995</v>
      </c>
      <c r="G132" s="3">
        <f>18500097+5604</f>
        <v>18505701</v>
      </c>
      <c r="H132" s="3">
        <f>1585806+24</f>
        <v>1585830</v>
      </c>
      <c r="I132" s="3">
        <f>1056168+570</f>
        <v>1056738</v>
      </c>
      <c r="J132" s="3">
        <f>SUM(J136:J138)</f>
        <v>48810</v>
      </c>
      <c r="K132" s="3">
        <f>10335775</f>
        <v>10335775</v>
      </c>
      <c r="L132" s="3">
        <v>3255658</v>
      </c>
      <c r="M132" s="3">
        <v>139689</v>
      </c>
      <c r="N132" s="3">
        <v>0</v>
      </c>
      <c r="O132" s="3">
        <v>0</v>
      </c>
      <c r="P132" s="3">
        <f t="shared" ref="P132:P134" si="138">SUM(D132:O132)</f>
        <v>42472015</v>
      </c>
      <c r="V132" s="3">
        <f>42324808+147207</f>
        <v>42472015</v>
      </c>
      <c r="W132" s="3">
        <f>P132-V132</f>
        <v>0</v>
      </c>
    </row>
    <row r="133" spans="1:30" x14ac:dyDescent="0.25">
      <c r="A133" t="s">
        <v>3</v>
      </c>
      <c r="B133" t="s">
        <v>5</v>
      </c>
      <c r="D133" s="3">
        <v>14781.875</v>
      </c>
      <c r="E133" s="3">
        <v>0</v>
      </c>
      <c r="F133" s="3">
        <v>79.84</v>
      </c>
      <c r="G133" s="3">
        <v>47.64</v>
      </c>
      <c r="H133" s="3">
        <v>5422.9380000000001</v>
      </c>
      <c r="I133" s="3">
        <v>0</v>
      </c>
      <c r="J133" s="3">
        <v>200</v>
      </c>
      <c r="K133" s="3">
        <v>20404</v>
      </c>
      <c r="L133" s="3">
        <v>5370</v>
      </c>
      <c r="M133" s="3">
        <v>0</v>
      </c>
      <c r="N133" s="3">
        <v>0</v>
      </c>
      <c r="O133" s="3">
        <v>0</v>
      </c>
      <c r="P133" s="3">
        <f t="shared" si="138"/>
        <v>46306.292999999998</v>
      </c>
      <c r="V133" s="3">
        <v>46306.292999999998</v>
      </c>
      <c r="W133" s="3">
        <f>P133-V133</f>
        <v>0</v>
      </c>
    </row>
    <row r="134" spans="1:30" x14ac:dyDescent="0.25">
      <c r="A134" t="s">
        <v>6</v>
      </c>
      <c r="B134" t="s">
        <v>27</v>
      </c>
      <c r="D134" s="3">
        <f>515241.37-9969.41</f>
        <v>505271.96</v>
      </c>
      <c r="E134" s="3">
        <f>13.3-0.33</f>
        <v>12.97</v>
      </c>
      <c r="F134" s="3">
        <f>273317.38-3154.09</f>
        <v>270163.28999999998</v>
      </c>
      <c r="G134" s="3">
        <f>2169622.68-32185.52</f>
        <v>2137437.16</v>
      </c>
      <c r="H134" s="3">
        <f>181100.69-2759.35</f>
        <v>178341.34</v>
      </c>
      <c r="I134" s="3">
        <f>124224.67-1837.67</f>
        <v>122387</v>
      </c>
      <c r="J134" s="3">
        <f>5260.96-84.93</f>
        <v>5176.03</v>
      </c>
      <c r="K134" s="3">
        <f>814136.7-17810.84</f>
        <v>796325.86</v>
      </c>
      <c r="L134" s="3">
        <f>211522.68-5664.84</f>
        <v>205857.84</v>
      </c>
      <c r="M134" s="3">
        <f>49626.72-239.85</f>
        <v>49386.87</v>
      </c>
      <c r="N134" s="3">
        <f>16.66</f>
        <v>16.66</v>
      </c>
      <c r="O134" s="3">
        <v>0</v>
      </c>
      <c r="P134" s="3">
        <f t="shared" si="138"/>
        <v>4270376.9799999995</v>
      </c>
      <c r="R134" s="2">
        <f>73466.98+239.85</f>
        <v>73706.83</v>
      </c>
      <c r="S134" s="2">
        <f>532731.18+161575-121142</f>
        <v>573164.18000000005</v>
      </c>
      <c r="T134" s="2">
        <v>161575</v>
      </c>
      <c r="U134" s="5">
        <f>S134-T134</f>
        <v>411589.18000000005</v>
      </c>
      <c r="V134" s="3">
        <f>4344083.81-73706.83</f>
        <v>4270376.9799999995</v>
      </c>
      <c r="W134" s="3">
        <f>P134-V134</f>
        <v>0</v>
      </c>
    </row>
    <row r="135" spans="1:30" x14ac:dyDescent="0.25">
      <c r="A135" t="s">
        <v>7</v>
      </c>
      <c r="B135" t="s">
        <v>8</v>
      </c>
      <c r="O135" s="3"/>
    </row>
    <row r="136" spans="1:30" x14ac:dyDescent="0.25">
      <c r="B136" s="10" t="s">
        <v>73</v>
      </c>
      <c r="D136" s="24"/>
      <c r="E136" s="24"/>
      <c r="F136" s="24"/>
      <c r="G136" s="24"/>
      <c r="H136" s="24"/>
      <c r="I136" s="24"/>
      <c r="J136" s="3">
        <v>20000</v>
      </c>
      <c r="K136" s="24"/>
      <c r="L136" s="24"/>
      <c r="M136" s="24"/>
      <c r="N136" s="24"/>
      <c r="O136" s="24"/>
      <c r="P136" s="25"/>
      <c r="AD136" s="5"/>
    </row>
    <row r="137" spans="1:30" x14ac:dyDescent="0.25">
      <c r="B137" s="10" t="s">
        <v>74</v>
      </c>
      <c r="D137" s="24"/>
      <c r="E137" s="24"/>
      <c r="F137" s="24"/>
      <c r="G137" s="24"/>
      <c r="H137" s="24"/>
      <c r="I137" s="24"/>
      <c r="J137" s="3">
        <v>20000</v>
      </c>
      <c r="K137" s="24"/>
      <c r="L137" s="24"/>
      <c r="M137" s="24"/>
      <c r="N137" s="24"/>
      <c r="O137" s="24"/>
      <c r="P137" s="25"/>
      <c r="AD137" s="5"/>
    </row>
    <row r="138" spans="1:30" x14ac:dyDescent="0.25">
      <c r="B138" s="10" t="s">
        <v>75</v>
      </c>
      <c r="D138" s="24"/>
      <c r="E138" s="24"/>
      <c r="F138" s="24"/>
      <c r="G138" s="24"/>
      <c r="H138" s="24"/>
      <c r="I138" s="24"/>
      <c r="J138" s="3">
        <v>8810</v>
      </c>
      <c r="K138" s="24"/>
      <c r="L138" s="24"/>
      <c r="M138" s="24"/>
      <c r="N138" s="24"/>
      <c r="O138" s="24"/>
      <c r="P138" s="25"/>
      <c r="AD138" s="5"/>
    </row>
    <row r="139" spans="1:30" x14ac:dyDescent="0.25">
      <c r="O139" s="3"/>
    </row>
    <row r="140" spans="1:30" x14ac:dyDescent="0.25">
      <c r="B140" t="s">
        <v>31</v>
      </c>
      <c r="D140" s="3">
        <v>9969.41</v>
      </c>
      <c r="E140" s="3">
        <v>0.33</v>
      </c>
      <c r="F140">
        <v>3154.09</v>
      </c>
      <c r="G140">
        <v>32185.52</v>
      </c>
      <c r="H140" s="3">
        <v>2759.35</v>
      </c>
      <c r="I140" s="3">
        <v>1837.67</v>
      </c>
      <c r="J140" s="3">
        <v>84.93</v>
      </c>
      <c r="K140" s="3">
        <v>17810.84</v>
      </c>
      <c r="L140" s="3">
        <v>5664.84</v>
      </c>
      <c r="M140" s="3">
        <v>239.85</v>
      </c>
      <c r="N140" s="3">
        <v>0</v>
      </c>
      <c r="O140" s="3">
        <v>0</v>
      </c>
      <c r="P140" s="3">
        <f t="shared" ref="P140" si="139">SUM(D140:O140)</f>
        <v>73706.83</v>
      </c>
      <c r="Z140" s="3">
        <f>324249.06+1146.4</f>
        <v>325395.46000000002</v>
      </c>
      <c r="AA140" s="14" t="s">
        <v>37</v>
      </c>
      <c r="AB140" s="9">
        <f>P140-Z140</f>
        <v>-251688.63</v>
      </c>
    </row>
    <row r="141" spans="1:30" x14ac:dyDescent="0.25">
      <c r="B141" t="s">
        <v>32</v>
      </c>
      <c r="D141" s="3">
        <f>(0.17327*(D140/(D140+H140+J140)))*P141</f>
        <v>56001.194614115346</v>
      </c>
      <c r="E141" s="3">
        <f>(0.58642*(E140/(E140+F140+G140+I140)))*P141</f>
        <v>2.1623197653558157</v>
      </c>
      <c r="F141" s="3">
        <f>(0.58642*(F140/(E140+F140+G140+I140)))*P141</f>
        <v>20667.124693064012</v>
      </c>
      <c r="G141" s="3">
        <f>(0.58642*(G140/(E140+F140+G140+I140)))*P141</f>
        <v>210895.10925531786</v>
      </c>
      <c r="H141" s="3">
        <f>(0.17327*(H140/(D140+H140+J140)))*P141</f>
        <v>15500.104455374909</v>
      </c>
      <c r="I141" s="3">
        <f>(0.58642*(I140/(E140+F140+G140+I140)))*P141</f>
        <v>12041.30352485279</v>
      </c>
      <c r="J141" s="3">
        <f>(0.17327*(J140/(D140+H140+J140)))*P141</f>
        <v>477.0775260097455</v>
      </c>
      <c r="K141" s="3">
        <f>(0.23905*(K140/(K140+L140)))*P141</f>
        <v>75341.392233919032</v>
      </c>
      <c r="L141" s="3">
        <f>(0.23905*(L140/(K140+L140)))*P141</f>
        <v>23962.762698580973</v>
      </c>
      <c r="M141" s="3">
        <f>0.00126*P141</f>
        <v>523.418679</v>
      </c>
      <c r="N141" s="3">
        <v>0</v>
      </c>
      <c r="O141" s="3">
        <v>0</v>
      </c>
      <c r="P141" s="3">
        <v>415411.65</v>
      </c>
    </row>
    <row r="142" spans="1:30" x14ac:dyDescent="0.25">
      <c r="B142" s="11" t="s">
        <v>33</v>
      </c>
      <c r="C142" s="11"/>
      <c r="D142" s="13">
        <f>D140+D141</f>
        <v>65970.604614115349</v>
      </c>
      <c r="E142" s="13">
        <f t="shared" ref="E142" si="140">E140+E141</f>
        <v>2.4923197653558158</v>
      </c>
      <c r="F142" s="13">
        <f t="shared" ref="F142" si="141">F140+F141</f>
        <v>23821.214693064012</v>
      </c>
      <c r="G142" s="13">
        <f t="shared" ref="G142" si="142">G140+G141</f>
        <v>243080.62925531785</v>
      </c>
      <c r="H142" s="13">
        <f t="shared" ref="H142" si="143">H140+H141</f>
        <v>18259.454455374907</v>
      </c>
      <c r="I142" s="13">
        <f t="shared" ref="I142:J142" si="144">I140+I141</f>
        <v>13878.97352485279</v>
      </c>
      <c r="J142" s="13">
        <f t="shared" si="144"/>
        <v>562.00752600974556</v>
      </c>
      <c r="K142" s="13">
        <f t="shared" ref="K142" si="145">K140+K141</f>
        <v>93152.232233919029</v>
      </c>
      <c r="L142" s="13">
        <f t="shared" ref="L142" si="146">L140+L141</f>
        <v>29627.602698580973</v>
      </c>
      <c r="M142" s="13">
        <f t="shared" ref="M142:O142" si="147">M140+M141</f>
        <v>763.26867900000002</v>
      </c>
      <c r="N142" s="13">
        <f t="shared" si="147"/>
        <v>0</v>
      </c>
      <c r="O142" s="13">
        <f t="shared" si="147"/>
        <v>0</v>
      </c>
      <c r="P142" s="13">
        <f t="shared" ref="P142" si="148">P140+P141</f>
        <v>489118.48000000004</v>
      </c>
      <c r="Z142" s="3">
        <v>647010</v>
      </c>
      <c r="AA142" s="12" t="s">
        <v>38</v>
      </c>
      <c r="AB142" s="9">
        <f>P142-Z142</f>
        <v>-157891.51999999996</v>
      </c>
    </row>
    <row r="143" spans="1:30" x14ac:dyDescent="0.25">
      <c r="B143" t="s">
        <v>34</v>
      </c>
      <c r="C143">
        <v>0.14069999999999999</v>
      </c>
      <c r="D143" s="3">
        <f>((D134+D140)/(1+C143))*C143</f>
        <v>63552.60871307092</v>
      </c>
      <c r="E143" s="3">
        <f>((E134+E140)/(1+C143))*C143</f>
        <v>1.6404926799333741</v>
      </c>
      <c r="F143" s="3">
        <f>((F134+F140)/(1+C143))*C143</f>
        <v>33712.418134478823</v>
      </c>
      <c r="G143" s="3">
        <f>(((G134+G140)/(1+C143))*C143)-72</f>
        <v>267540.79133514507</v>
      </c>
      <c r="H143" s="3">
        <f>((H134+H140)/(1+C143))*C143</f>
        <v>22337.921524502497</v>
      </c>
      <c r="I143" s="3">
        <f>(((I134+I140)/(1+C143))*C143)+(2241*C143)</f>
        <v>15637.839662566843</v>
      </c>
      <c r="J143" s="3">
        <f>(((J134+J140)/(1+C143))*C143)</f>
        <v>648.91476461821674</v>
      </c>
      <c r="K143" s="3">
        <f>161575-L143+2035.39</f>
        <v>127412.39</v>
      </c>
      <c r="L143" s="3">
        <v>36198</v>
      </c>
      <c r="M143" s="3">
        <f>((M134+M140)/(1+C143))*C143</f>
        <v>6121.2233751205395</v>
      </c>
      <c r="N143" s="3">
        <v>0</v>
      </c>
      <c r="O143" s="3">
        <v>0</v>
      </c>
      <c r="P143" s="3">
        <f t="shared" ref="P143" si="149">SUM(D143:O143)</f>
        <v>573163.74800218281</v>
      </c>
      <c r="Z143" s="3">
        <f>450622.52+126325-108246.02</f>
        <v>468701.5</v>
      </c>
      <c r="AA143" s="14" t="s">
        <v>37</v>
      </c>
      <c r="AB143" s="9">
        <f>P143-Z143</f>
        <v>104462.24800218281</v>
      </c>
    </row>
    <row r="144" spans="1:30" x14ac:dyDescent="0.25">
      <c r="B144" t="s">
        <v>35</v>
      </c>
      <c r="D144" s="3">
        <f>(0.2277*(D143/(D143+H143+J143)))*P144</f>
        <v>5756.7744748040468</v>
      </c>
      <c r="E144" s="3">
        <f>(0.7706*(E143/(E143+F143+G143+I143)))*P144</f>
        <v>0.13733713704739231</v>
      </c>
      <c r="F144" s="3">
        <f>(0.7706*(F143/(E143+F143+G143+I143)))*P144</f>
        <v>2822.3027424431725</v>
      </c>
      <c r="G144" s="3">
        <f>(0.7706*(G143/(E143+F143+G143+I143)))*P144</f>
        <v>22397.714281087119</v>
      </c>
      <c r="H144" s="3">
        <f>(0.2277*(H143/(H143+D143+J143)))*P144</f>
        <v>2023.4319102936172</v>
      </c>
      <c r="I144" s="3">
        <f>(0.7706*(I143/(I143+E143+F143+G143)))*P144</f>
        <v>1309.1531313326634</v>
      </c>
      <c r="J144" s="3">
        <f>(0.2277*(J143/(H143+D143+J143)))*P144</f>
        <v>58.780528902337728</v>
      </c>
      <c r="K144" s="3">
        <v>0</v>
      </c>
      <c r="L144" s="3">
        <v>0</v>
      </c>
      <c r="M144" s="3">
        <f>0.0017*P144</f>
        <v>58.525593999999998</v>
      </c>
      <c r="N144" s="3">
        <v>0</v>
      </c>
      <c r="O144" s="3">
        <v>0</v>
      </c>
      <c r="P144" s="3">
        <v>34426.82</v>
      </c>
    </row>
    <row r="145" spans="1:28" x14ac:dyDescent="0.25">
      <c r="B145" s="11" t="s">
        <v>36</v>
      </c>
      <c r="C145" s="11"/>
      <c r="D145" s="13">
        <f>D143+D144</f>
        <v>69309.383187874962</v>
      </c>
      <c r="E145" s="13">
        <f t="shared" ref="E145" si="150">E143+E144</f>
        <v>1.7778298169807665</v>
      </c>
      <c r="F145" s="13">
        <f t="shared" ref="F145" si="151">F143+F144</f>
        <v>36534.720876921994</v>
      </c>
      <c r="G145" s="13">
        <f t="shared" ref="G145" si="152">G143+G144</f>
        <v>289938.50561623217</v>
      </c>
      <c r="H145" s="13">
        <f t="shared" ref="H145" si="153">H143+H144</f>
        <v>24361.353434796114</v>
      </c>
      <c r="I145" s="13">
        <f t="shared" ref="I145:J145" si="154">I143+I144</f>
        <v>16946.992793899506</v>
      </c>
      <c r="J145" s="13">
        <f t="shared" si="154"/>
        <v>707.69529352055451</v>
      </c>
      <c r="K145" s="13">
        <f t="shared" ref="K145" si="155">K143+K144</f>
        <v>127412.39</v>
      </c>
      <c r="L145" s="13">
        <f t="shared" ref="L145" si="156">L143+L144</f>
        <v>36198</v>
      </c>
      <c r="M145" s="13">
        <f t="shared" ref="M145:O145" si="157">M143+M144</f>
        <v>6179.7489691205392</v>
      </c>
      <c r="N145" s="13">
        <f t="shared" si="157"/>
        <v>0</v>
      </c>
      <c r="O145" s="13">
        <f t="shared" si="157"/>
        <v>0</v>
      </c>
      <c r="P145" s="13">
        <f t="shared" ref="P145" si="158">P143+P144</f>
        <v>607590.56800218276</v>
      </c>
      <c r="Y145" s="2">
        <f>P134+P142-P143+P145</f>
        <v>4793922.28</v>
      </c>
      <c r="Z145" s="3">
        <f>473520-43</f>
        <v>473477</v>
      </c>
      <c r="AA145" s="12" t="s">
        <v>38</v>
      </c>
      <c r="AB145" s="9">
        <f>P145-Z145</f>
        <v>134113.56800218276</v>
      </c>
    </row>
    <row r="147" spans="1:28" x14ac:dyDescent="0.25">
      <c r="B147" s="4">
        <v>45199</v>
      </c>
      <c r="C147" s="4"/>
      <c r="D147" s="29" t="s">
        <v>21</v>
      </c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</row>
    <row r="148" spans="1:28" x14ac:dyDescent="0.25">
      <c r="D148" s="7" t="s">
        <v>9</v>
      </c>
      <c r="E148" s="7" t="s">
        <v>10</v>
      </c>
      <c r="F148" s="7" t="s">
        <v>11</v>
      </c>
      <c r="G148" s="7" t="s">
        <v>12</v>
      </c>
      <c r="H148" s="7" t="s">
        <v>13</v>
      </c>
      <c r="I148" s="7" t="s">
        <v>14</v>
      </c>
      <c r="J148" s="7">
        <v>22</v>
      </c>
      <c r="K148" s="8" t="s">
        <v>15</v>
      </c>
      <c r="L148" s="8" t="s">
        <v>16</v>
      </c>
      <c r="M148" s="8" t="s">
        <v>17</v>
      </c>
      <c r="N148" s="8" t="s">
        <v>18</v>
      </c>
      <c r="O148" s="8" t="s">
        <v>19</v>
      </c>
      <c r="P148" s="8" t="s">
        <v>20</v>
      </c>
      <c r="R148" s="1" t="s">
        <v>23</v>
      </c>
      <c r="S148" s="1" t="s">
        <v>24</v>
      </c>
      <c r="T148" s="1" t="s">
        <v>25</v>
      </c>
      <c r="U148" s="1" t="s">
        <v>26</v>
      </c>
      <c r="V148" s="1" t="s">
        <v>22</v>
      </c>
    </row>
    <row r="149" spans="1:28" x14ac:dyDescent="0.25">
      <c r="A149" t="s">
        <v>0</v>
      </c>
      <c r="B149" t="s">
        <v>4</v>
      </c>
      <c r="D149" s="3">
        <v>65</v>
      </c>
      <c r="E149" s="3">
        <v>10</v>
      </c>
      <c r="F149" s="3">
        <v>3689</v>
      </c>
      <c r="G149" s="3">
        <v>13295</v>
      </c>
      <c r="H149" s="3">
        <v>250</v>
      </c>
      <c r="I149" s="3">
        <v>739</v>
      </c>
      <c r="J149" s="3">
        <v>1</v>
      </c>
      <c r="K149" s="3">
        <v>13</v>
      </c>
      <c r="L149" s="3">
        <v>1</v>
      </c>
      <c r="M149" s="3">
        <v>35</v>
      </c>
      <c r="N149" s="3">
        <v>1</v>
      </c>
      <c r="O149" s="3">
        <v>0</v>
      </c>
      <c r="P149" s="3">
        <f>SUM(D149:O149)</f>
        <v>18099</v>
      </c>
      <c r="V149" s="3">
        <v>18099</v>
      </c>
      <c r="W149" s="3">
        <f>P149-V149</f>
        <v>0</v>
      </c>
    </row>
    <row r="150" spans="1:28" x14ac:dyDescent="0.25">
      <c r="A150" t="s">
        <v>1</v>
      </c>
      <c r="B150" t="s">
        <v>2</v>
      </c>
      <c r="D150" s="3">
        <f>5255545+74</f>
        <v>5255619</v>
      </c>
      <c r="E150" s="3">
        <v>500</v>
      </c>
      <c r="F150" s="3">
        <f>1629830+1198</f>
        <v>1631028</v>
      </c>
      <c r="G150" s="3">
        <f>15038228+5582</f>
        <v>15043810</v>
      </c>
      <c r="H150" s="3">
        <f>1415177+24</f>
        <v>1415201</v>
      </c>
      <c r="I150" s="3">
        <f>719128+594</f>
        <v>719722</v>
      </c>
      <c r="J150" s="3">
        <f>SUM(J154:J156)</f>
        <v>44195</v>
      </c>
      <c r="K150" s="3">
        <f>9590937</f>
        <v>9590937</v>
      </c>
      <c r="L150" s="3">
        <v>3003605</v>
      </c>
      <c r="M150" s="3">
        <v>139051</v>
      </c>
      <c r="N150" s="3">
        <v>0</v>
      </c>
      <c r="O150" s="3">
        <v>0</v>
      </c>
      <c r="P150" s="3">
        <f>SUM(D150:O150)</f>
        <v>36843668</v>
      </c>
      <c r="V150">
        <f>36697145+146523</f>
        <v>36843668</v>
      </c>
      <c r="W150" s="3">
        <f>P150-V150</f>
        <v>0</v>
      </c>
    </row>
    <row r="151" spans="1:28" x14ac:dyDescent="0.25">
      <c r="A151" t="s">
        <v>3</v>
      </c>
      <c r="B151" t="s">
        <v>5</v>
      </c>
      <c r="D151" s="3">
        <v>14694.396000000001</v>
      </c>
      <c r="E151" s="3">
        <v>0</v>
      </c>
      <c r="F151" s="3">
        <v>64.16</v>
      </c>
      <c r="G151" s="3">
        <v>49.12</v>
      </c>
      <c r="H151" s="3">
        <v>5422.4129999999996</v>
      </c>
      <c r="I151" s="3">
        <v>0</v>
      </c>
      <c r="J151" s="3">
        <v>200</v>
      </c>
      <c r="K151" s="3">
        <v>20465</v>
      </c>
      <c r="L151" s="3">
        <v>5145</v>
      </c>
      <c r="M151" s="3">
        <v>0</v>
      </c>
      <c r="N151" s="3">
        <v>0</v>
      </c>
      <c r="O151" s="3">
        <v>0</v>
      </c>
      <c r="P151" s="3">
        <f t="shared" ref="P151:P152" si="159">SUM(D151:O151)</f>
        <v>46040.089</v>
      </c>
      <c r="V151" s="3">
        <v>46040.089</v>
      </c>
      <c r="W151" s="3">
        <f>P151-V151</f>
        <v>0</v>
      </c>
    </row>
    <row r="152" spans="1:28" x14ac:dyDescent="0.25">
      <c r="A152" t="s">
        <v>6</v>
      </c>
      <c r="B152" t="s">
        <v>27</v>
      </c>
      <c r="D152" s="3">
        <f>509090.99-37051.6</f>
        <v>472039.39</v>
      </c>
      <c r="E152" s="3">
        <f>38.37-3.53</f>
        <v>34.839999999999996</v>
      </c>
      <c r="F152" s="3">
        <f>262086.8-11490.62</f>
        <v>250596.18</v>
      </c>
      <c r="G152" s="3">
        <f>1888587.15-106009.77</f>
        <v>1782577.38</v>
      </c>
      <c r="H152" s="3">
        <f>170522.7-9977.08</f>
        <v>160545.62000000002</v>
      </c>
      <c r="I152" s="3">
        <f>92767.98-5069.79</f>
        <v>87698.19</v>
      </c>
      <c r="J152" s="3">
        <f>5182.13-311.65</f>
        <v>4870.4800000000005</v>
      </c>
      <c r="K152" s="3">
        <f>789539.96-66487.4</f>
        <v>723052.55999999994</v>
      </c>
      <c r="L152" s="3">
        <f>202918.39-21175.42</f>
        <v>181742.97000000003</v>
      </c>
      <c r="M152" s="3">
        <f>49933.44-965.6</f>
        <v>48967.840000000004</v>
      </c>
      <c r="N152" s="3">
        <f>11.49</f>
        <v>11.49</v>
      </c>
      <c r="O152" s="3">
        <v>0</v>
      </c>
      <c r="P152" s="3">
        <f t="shared" si="159"/>
        <v>3712136.9400000004</v>
      </c>
      <c r="R152" s="2">
        <f>257576.86+965.6</f>
        <v>258542.46</v>
      </c>
      <c r="S152" s="2">
        <f>470973.42+115672-117046.92</f>
        <v>469598.49999999994</v>
      </c>
      <c r="T152" s="2">
        <v>115672</v>
      </c>
      <c r="U152" s="5">
        <f>S152-T152</f>
        <v>353926.49999999994</v>
      </c>
      <c r="V152" s="3">
        <f>3970679.4-258542.46</f>
        <v>3712136.94</v>
      </c>
      <c r="W152" s="3">
        <f>P152-V152</f>
        <v>0</v>
      </c>
    </row>
    <row r="153" spans="1:28" x14ac:dyDescent="0.25">
      <c r="A153" t="s">
        <v>7</v>
      </c>
      <c r="B153" t="s">
        <v>8</v>
      </c>
      <c r="O153" s="3"/>
    </row>
    <row r="154" spans="1:28" x14ac:dyDescent="0.25">
      <c r="B154" s="10" t="s">
        <v>73</v>
      </c>
      <c r="D154" s="24"/>
      <c r="E154" s="24"/>
      <c r="F154" s="24"/>
      <c r="G154" s="24"/>
      <c r="H154" s="24"/>
      <c r="I154" s="24"/>
      <c r="J154" s="3">
        <v>20000</v>
      </c>
      <c r="K154" s="24"/>
      <c r="L154" s="24"/>
      <c r="M154" s="24"/>
      <c r="N154" s="24"/>
      <c r="O154" s="24"/>
      <c r="P154" s="25"/>
    </row>
    <row r="155" spans="1:28" x14ac:dyDescent="0.25">
      <c r="B155" s="10" t="s">
        <v>74</v>
      </c>
      <c r="D155" s="24"/>
      <c r="E155" s="24"/>
      <c r="F155" s="24"/>
      <c r="G155" s="24"/>
      <c r="H155" s="24"/>
      <c r="I155" s="24"/>
      <c r="J155" s="3">
        <v>20000</v>
      </c>
      <c r="K155" s="24"/>
      <c r="L155" s="24"/>
      <c r="M155" s="24"/>
      <c r="N155" s="24"/>
      <c r="O155" s="24"/>
      <c r="P155" s="25"/>
    </row>
    <row r="156" spans="1:28" x14ac:dyDescent="0.25">
      <c r="B156" s="10" t="s">
        <v>75</v>
      </c>
      <c r="D156" s="24"/>
      <c r="E156" s="24"/>
      <c r="F156" s="24"/>
      <c r="G156" s="24"/>
      <c r="H156" s="24"/>
      <c r="I156" s="24"/>
      <c r="J156" s="3">
        <v>4195</v>
      </c>
      <c r="K156" s="24"/>
      <c r="L156" s="24"/>
      <c r="M156" s="24"/>
      <c r="N156" s="24"/>
      <c r="O156" s="24"/>
      <c r="P156" s="25"/>
    </row>
    <row r="157" spans="1:28" x14ac:dyDescent="0.25">
      <c r="O157" s="3"/>
    </row>
    <row r="158" spans="1:28" x14ac:dyDescent="0.25">
      <c r="B158" t="s">
        <v>31</v>
      </c>
      <c r="D158" s="3">
        <v>37051.599999999999</v>
      </c>
      <c r="E158" s="3">
        <v>3.53</v>
      </c>
      <c r="F158" s="2">
        <v>11490.62</v>
      </c>
      <c r="G158" s="2">
        <v>106009.77</v>
      </c>
      <c r="H158" s="3">
        <v>9977.08</v>
      </c>
      <c r="I158" s="3">
        <v>5069.79</v>
      </c>
      <c r="J158" s="3">
        <v>311.64999999999998</v>
      </c>
      <c r="K158" s="3">
        <v>66487.399999999994</v>
      </c>
      <c r="L158" s="3">
        <v>21175.42</v>
      </c>
      <c r="M158" s="3">
        <v>965.6</v>
      </c>
      <c r="N158" s="3">
        <v>0</v>
      </c>
      <c r="O158" s="3">
        <v>0</v>
      </c>
      <c r="P158" s="3">
        <f t="shared" ref="P158" si="160">SUM(D158:O158)</f>
        <v>258542.46</v>
      </c>
      <c r="Z158" s="3">
        <f>547623.24+2230.15</f>
        <v>549853.39</v>
      </c>
      <c r="AA158" s="14" t="s">
        <v>37</v>
      </c>
      <c r="AB158" s="9">
        <f>P158-Z158</f>
        <v>-291310.93000000005</v>
      </c>
    </row>
    <row r="159" spans="1:28" x14ac:dyDescent="0.25">
      <c r="B159" t="s">
        <v>32</v>
      </c>
      <c r="D159" s="3">
        <f>(0.17327*(D158/(D158+H158+J158)))*P159</f>
        <v>17200.187267269815</v>
      </c>
      <c r="E159" s="3">
        <f>(0.58642*(E158/(E158+F158+G158+I158)))*P159</f>
        <v>2.1420039222081471</v>
      </c>
      <c r="F159" s="3">
        <f>(0.58642*(F158/(E158+F158+G158+I158)))*P159</f>
        <v>6972.507962777162</v>
      </c>
      <c r="G159" s="3">
        <f>(0.58642*(G158/(E158+F158+G158+I158)))*P159</f>
        <v>64326.726099825384</v>
      </c>
      <c r="H159" s="3">
        <f>(0.17327*(H158/(D158+H158+J158)))*P159</f>
        <v>4631.585258950553</v>
      </c>
      <c r="I159" s="3">
        <f>(0.58642*(I158/(E158+F158+G158+I158)))*P159</f>
        <v>3076.3484602752528</v>
      </c>
      <c r="J159" s="3">
        <f>(0.17327*(J158/(D158+H158+J158)))*P159</f>
        <v>144.67494957963052</v>
      </c>
      <c r="K159" s="3">
        <f>(0.23905*(K158/(K158+L158)))*P159</f>
        <v>22995.707451380342</v>
      </c>
      <c r="L159" s="3">
        <f>(0.23905*(L158/(K158+L158)))*P159</f>
        <v>7323.8502856196574</v>
      </c>
      <c r="M159" s="3">
        <f>0.00126*P159</f>
        <v>159.8102604</v>
      </c>
      <c r="N159" s="3">
        <v>0</v>
      </c>
      <c r="O159" s="3">
        <v>0</v>
      </c>
      <c r="P159" s="3">
        <v>126833.54</v>
      </c>
    </row>
    <row r="160" spans="1:28" x14ac:dyDescent="0.25">
      <c r="B160" s="11" t="s">
        <v>33</v>
      </c>
      <c r="C160" s="11"/>
      <c r="D160" s="13">
        <f>D158+D159</f>
        <v>54251.787267269814</v>
      </c>
      <c r="E160" s="13">
        <f t="shared" ref="E160" si="161">E158+E159</f>
        <v>5.6720039222081464</v>
      </c>
      <c r="F160" s="13">
        <f t="shared" ref="F160" si="162">F158+F159</f>
        <v>18463.127962777162</v>
      </c>
      <c r="G160" s="13">
        <f t="shared" ref="G160" si="163">G158+G159</f>
        <v>170336.4960998254</v>
      </c>
      <c r="H160" s="13">
        <f t="shared" ref="H160" si="164">H158+H159</f>
        <v>14608.665258950554</v>
      </c>
      <c r="I160" s="13">
        <f t="shared" ref="I160:J160" si="165">I158+I159</f>
        <v>8146.1384602752532</v>
      </c>
      <c r="J160" s="13">
        <f t="shared" si="165"/>
        <v>456.32494957963047</v>
      </c>
      <c r="K160" s="13">
        <f t="shared" ref="K160" si="166">K158+K159</f>
        <v>89483.107451380332</v>
      </c>
      <c r="L160" s="13">
        <f t="shared" ref="L160" si="167">L158+L159</f>
        <v>28499.270285619656</v>
      </c>
      <c r="M160" s="13">
        <f t="shared" ref="M160:O160" si="168">M158+M159</f>
        <v>1125.4102604</v>
      </c>
      <c r="N160" s="13">
        <f t="shared" si="168"/>
        <v>0</v>
      </c>
      <c r="O160" s="13">
        <f t="shared" si="168"/>
        <v>0</v>
      </c>
      <c r="P160" s="13">
        <f t="shared" ref="P160" si="169">P158+P159</f>
        <v>385376</v>
      </c>
      <c r="Z160" s="3">
        <v>705748</v>
      </c>
      <c r="AA160" s="12" t="s">
        <v>38</v>
      </c>
      <c r="AB160" s="9">
        <f>P160-Z160</f>
        <v>-320372</v>
      </c>
    </row>
    <row r="161" spans="1:28" x14ac:dyDescent="0.25">
      <c r="B161" t="s">
        <v>34</v>
      </c>
      <c r="C161">
        <v>0.13389999999999999</v>
      </c>
      <c r="D161" s="3">
        <f>((D152+D158)/(1+C161))*C161</f>
        <v>60117.544369873889</v>
      </c>
      <c r="E161" s="3">
        <f>((E152+E158)/(1+C161))*C161</f>
        <v>4.5310371284945754</v>
      </c>
      <c r="F161" s="3">
        <f>((F152+F158)/(1+C161))*C161</f>
        <v>30949.30992150983</v>
      </c>
      <c r="G161" s="3">
        <f>(((G152+G158)/(1+C161))*C161)-57</f>
        <v>222962.50735073638</v>
      </c>
      <c r="H161" s="3">
        <f>((H152+H158)/(1+C161))*C161</f>
        <v>20136.68712408502</v>
      </c>
      <c r="I161" s="3">
        <f>(((I152+I158)/(1+C161))*C161)+(2220*C161)</f>
        <v>11252.044596701649</v>
      </c>
      <c r="J161" s="3">
        <f>(((J152+J158)/(1+C161))*C161)</f>
        <v>611.94744421906694</v>
      </c>
      <c r="K161" s="3">
        <f>115672-L161+1994.99</f>
        <v>91524.99</v>
      </c>
      <c r="L161" s="3">
        <v>26142</v>
      </c>
      <c r="M161" s="3">
        <f>((M152+M158)/(1+C161))*C161</f>
        <v>5896.5408025399074</v>
      </c>
      <c r="N161" s="3">
        <v>0</v>
      </c>
      <c r="O161" s="3">
        <v>0</v>
      </c>
      <c r="P161" s="3">
        <f t="shared" ref="P161" si="170">SUM(D161:O161)</f>
        <v>469598.10264679423</v>
      </c>
      <c r="Z161" s="3">
        <f>317804.01+93691-77782.43</f>
        <v>333712.58</v>
      </c>
      <c r="AA161" s="14" t="s">
        <v>37</v>
      </c>
      <c r="AB161" s="9">
        <f>P161-Z161</f>
        <v>135885.52264679421</v>
      </c>
    </row>
    <row r="162" spans="1:28" x14ac:dyDescent="0.25">
      <c r="B162" t="s">
        <v>35</v>
      </c>
      <c r="D162" s="3">
        <f>(0.2277*(D161/(D161+H161+J161)))*P162</f>
        <v>-10107.938597060051</v>
      </c>
      <c r="E162" s="3">
        <f>(0.7706*(E161/(E161+F161+G161+I161)))*P162</f>
        <v>-0.78626713553564109</v>
      </c>
      <c r="F162" s="3">
        <f>(0.7706*(F161/(E161+F161+G161+I161)))*P162</f>
        <v>-5370.608222509838</v>
      </c>
      <c r="G162" s="3">
        <f>(0.7706*(G161/(E161+F161+G161+I161)))*P162</f>
        <v>-38690.499992603996</v>
      </c>
      <c r="H162" s="3">
        <f>(0.2277*(H161/(H161+D161+J161)))*P162</f>
        <v>-3385.7071031740161</v>
      </c>
      <c r="I162" s="3">
        <f>(0.7706*(I161/(I161+E161+F161+G161)))*P162</f>
        <v>-1952.5580177506333</v>
      </c>
      <c r="J162" s="3">
        <f>(0.2277*(J161/(H161+D161+J161)))*P162</f>
        <v>-102.89054976593242</v>
      </c>
      <c r="K162" s="3">
        <v>0</v>
      </c>
      <c r="L162" s="3">
        <v>0</v>
      </c>
      <c r="M162" s="3">
        <f>0.0017*P162</f>
        <v>-101.51124999999999</v>
      </c>
      <c r="N162" s="3">
        <v>0</v>
      </c>
      <c r="O162" s="3">
        <v>0</v>
      </c>
      <c r="P162" s="3">
        <v>-59712.5</v>
      </c>
    </row>
    <row r="163" spans="1:28" x14ac:dyDescent="0.25">
      <c r="B163" s="11" t="s">
        <v>36</v>
      </c>
      <c r="C163" s="11"/>
      <c r="D163" s="13">
        <f>D161+D162</f>
        <v>50009.60577281384</v>
      </c>
      <c r="E163" s="13">
        <f t="shared" ref="E163" si="171">E161+E162</f>
        <v>3.7447699929589344</v>
      </c>
      <c r="F163" s="13">
        <f t="shared" ref="F163" si="172">F161+F162</f>
        <v>25578.70169899999</v>
      </c>
      <c r="G163" s="13">
        <f t="shared" ref="G163" si="173">G161+G162</f>
        <v>184272.0073581324</v>
      </c>
      <c r="H163" s="13">
        <f t="shared" ref="H163" si="174">H161+H162</f>
        <v>16750.980020911004</v>
      </c>
      <c r="I163" s="13">
        <f t="shared" ref="I163:J163" si="175">I161+I162</f>
        <v>9299.4865789510168</v>
      </c>
      <c r="J163" s="13">
        <f t="shared" si="175"/>
        <v>509.05689445313453</v>
      </c>
      <c r="K163" s="13">
        <f t="shared" ref="K163" si="176">K161+K162</f>
        <v>91524.99</v>
      </c>
      <c r="L163" s="13">
        <f t="shared" ref="L163" si="177">L161+L162</f>
        <v>26142</v>
      </c>
      <c r="M163" s="13">
        <f t="shared" ref="M163:O163" si="178">M161+M162</f>
        <v>5795.0295525399079</v>
      </c>
      <c r="N163" s="13">
        <f t="shared" si="178"/>
        <v>0</v>
      </c>
      <c r="O163" s="13">
        <f t="shared" si="178"/>
        <v>0</v>
      </c>
      <c r="P163" s="13">
        <f t="shared" ref="P163" si="179">P161+P162</f>
        <v>409885.60264679423</v>
      </c>
      <c r="Y163" s="2">
        <f>P152+P160-P161+P163</f>
        <v>4037800.4400000004</v>
      </c>
      <c r="Z163" s="3">
        <f>339113</f>
        <v>339113</v>
      </c>
      <c r="AA163" s="12" t="s">
        <v>38</v>
      </c>
      <c r="AB163" s="9">
        <f>P163-Z163</f>
        <v>70772.602646794228</v>
      </c>
    </row>
    <row r="165" spans="1:28" x14ac:dyDescent="0.25">
      <c r="B165" s="4">
        <v>45230</v>
      </c>
      <c r="C165" s="4"/>
      <c r="D165" s="29" t="s">
        <v>21</v>
      </c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28" x14ac:dyDescent="0.25">
      <c r="D166" s="7" t="s">
        <v>9</v>
      </c>
      <c r="E166" s="7" t="s">
        <v>10</v>
      </c>
      <c r="F166" s="7" t="s">
        <v>11</v>
      </c>
      <c r="G166" s="7" t="s">
        <v>12</v>
      </c>
      <c r="H166" s="7" t="s">
        <v>13</v>
      </c>
      <c r="I166" s="7" t="s">
        <v>14</v>
      </c>
      <c r="J166" s="7">
        <v>22</v>
      </c>
      <c r="K166" s="8" t="s">
        <v>15</v>
      </c>
      <c r="L166" s="8" t="s">
        <v>16</v>
      </c>
      <c r="M166" s="8" t="s">
        <v>17</v>
      </c>
      <c r="N166" s="8" t="s">
        <v>18</v>
      </c>
      <c r="O166" s="8" t="s">
        <v>19</v>
      </c>
      <c r="P166" s="8" t="s">
        <v>20</v>
      </c>
      <c r="R166" s="1" t="s">
        <v>23</v>
      </c>
      <c r="S166" s="1" t="s">
        <v>24</v>
      </c>
      <c r="T166" s="1" t="s">
        <v>25</v>
      </c>
      <c r="U166" s="1" t="s">
        <v>26</v>
      </c>
      <c r="V166" s="1" t="s">
        <v>22</v>
      </c>
    </row>
    <row r="167" spans="1:28" x14ac:dyDescent="0.25">
      <c r="A167" t="s">
        <v>0</v>
      </c>
      <c r="B167" t="s">
        <v>4</v>
      </c>
      <c r="D167" s="3">
        <v>65</v>
      </c>
      <c r="E167" s="3">
        <v>15</v>
      </c>
      <c r="F167" s="3">
        <v>3698</v>
      </c>
      <c r="G167" s="3">
        <v>13350</v>
      </c>
      <c r="H167" s="3">
        <v>251</v>
      </c>
      <c r="I167" s="3">
        <v>742</v>
      </c>
      <c r="J167" s="3">
        <v>1</v>
      </c>
      <c r="K167" s="3">
        <v>13</v>
      </c>
      <c r="L167" s="3">
        <v>1</v>
      </c>
      <c r="M167" s="3">
        <v>35</v>
      </c>
      <c r="N167" s="3">
        <v>1</v>
      </c>
      <c r="O167" s="3">
        <v>0</v>
      </c>
      <c r="P167" s="3">
        <f>SUM(D167:O167)</f>
        <v>18172</v>
      </c>
      <c r="V167" s="3">
        <v>18172</v>
      </c>
      <c r="W167" s="3">
        <f>P167-V167</f>
        <v>0</v>
      </c>
    </row>
    <row r="168" spans="1:28" x14ac:dyDescent="0.25">
      <c r="A168" t="s">
        <v>1</v>
      </c>
      <c r="B168" t="s">
        <v>2</v>
      </c>
      <c r="D168" s="3">
        <f>5113745+74</f>
        <v>5113819</v>
      </c>
      <c r="E168" s="3">
        <v>5905</v>
      </c>
      <c r="F168" s="3">
        <f>1490305+1412</f>
        <v>1491717</v>
      </c>
      <c r="G168" s="3">
        <f>12879077+5811</f>
        <v>12884888</v>
      </c>
      <c r="H168" s="3">
        <f>1287083+24</f>
        <v>1287107</v>
      </c>
      <c r="I168" s="3">
        <f>971099+570</f>
        <v>971669</v>
      </c>
      <c r="J168" s="3">
        <f>SUM(J172:J174)</f>
        <v>52735</v>
      </c>
      <c r="K168" s="3">
        <f>9355954</f>
        <v>9355954</v>
      </c>
      <c r="L168" s="3">
        <v>2917912</v>
      </c>
      <c r="M168" s="3">
        <v>138354</v>
      </c>
      <c r="N168" s="3">
        <v>0</v>
      </c>
      <c r="O168" s="3">
        <v>0</v>
      </c>
      <c r="P168" s="3">
        <f>SUM(D168:O168)</f>
        <v>34220060</v>
      </c>
      <c r="V168">
        <f>34073815+146245</f>
        <v>34220060</v>
      </c>
      <c r="W168" s="3">
        <f>P168-V168</f>
        <v>0</v>
      </c>
    </row>
    <row r="169" spans="1:28" x14ac:dyDescent="0.25">
      <c r="A169" t="s">
        <v>3</v>
      </c>
      <c r="B169" t="s">
        <v>5</v>
      </c>
      <c r="D169" s="3">
        <v>15003.681</v>
      </c>
      <c r="E169" s="3">
        <v>0</v>
      </c>
      <c r="F169" s="3">
        <v>28</v>
      </c>
      <c r="G169" s="3">
        <v>52.9</v>
      </c>
      <c r="H169" s="3">
        <v>5610.0039999999999</v>
      </c>
      <c r="I169" s="3">
        <v>0</v>
      </c>
      <c r="J169" s="3">
        <v>200</v>
      </c>
      <c r="K169" s="3">
        <v>20077</v>
      </c>
      <c r="L169" s="3">
        <v>5000</v>
      </c>
      <c r="M169" s="3">
        <v>0</v>
      </c>
      <c r="N169" s="3">
        <v>0</v>
      </c>
      <c r="O169" s="3">
        <v>0</v>
      </c>
      <c r="P169" s="3">
        <f t="shared" ref="P169:P170" si="180">SUM(D169:O169)</f>
        <v>45971.584999999999</v>
      </c>
      <c r="V169" s="3">
        <v>45971.584999999999</v>
      </c>
      <c r="W169" s="3">
        <f>P169-V169</f>
        <v>0</v>
      </c>
    </row>
    <row r="170" spans="1:28" x14ac:dyDescent="0.25">
      <c r="A170" t="s">
        <v>6</v>
      </c>
      <c r="B170" t="s">
        <v>27</v>
      </c>
      <c r="D170" s="3">
        <f>503677.72-57989.88</f>
        <v>445687.83999999997</v>
      </c>
      <c r="E170" s="3">
        <f>463.1-66.96</f>
        <v>396.14000000000004</v>
      </c>
      <c r="F170" s="3">
        <f>243798.23-16899.62</f>
        <v>226898.61000000002</v>
      </c>
      <c r="G170" s="3">
        <f>1647203.86-146028.42</f>
        <v>1501175.4400000002</v>
      </c>
      <c r="H170" s="3">
        <f>156079.53-14595.54</f>
        <v>141483.99</v>
      </c>
      <c r="I170" s="3">
        <f>120072.42-11012.38</f>
        <v>109060.04</v>
      </c>
      <c r="J170" s="3">
        <f>5832.05-598.01</f>
        <v>5234.04</v>
      </c>
      <c r="K170" s="3">
        <f>803047.22-102590.93</f>
        <v>700456.29</v>
      </c>
      <c r="L170" s="3">
        <f>209660.94-33089.12</f>
        <v>176571.82</v>
      </c>
      <c r="M170" s="3">
        <f>50429.87-1560.71</f>
        <v>48869.16</v>
      </c>
      <c r="N170" s="3">
        <f>3.75</f>
        <v>3.75</v>
      </c>
      <c r="O170" s="3">
        <v>0</v>
      </c>
      <c r="P170" s="3">
        <f t="shared" si="180"/>
        <v>3355837.1200000006</v>
      </c>
      <c r="R170" s="2">
        <f>382870.86+1560.71</f>
        <v>384431.57</v>
      </c>
      <c r="S170" s="2">
        <f>306168.55+109154-80585.05</f>
        <v>334737.5</v>
      </c>
      <c r="T170" s="2">
        <v>109154</v>
      </c>
      <c r="U170" s="5">
        <f>S170-T170</f>
        <v>225583.5</v>
      </c>
      <c r="V170" s="3">
        <f>3740268.69-384431.57</f>
        <v>3355837.12</v>
      </c>
      <c r="W170" s="3">
        <f>P170-V170</f>
        <v>0</v>
      </c>
    </row>
    <row r="171" spans="1:28" x14ac:dyDescent="0.25">
      <c r="A171" t="s">
        <v>7</v>
      </c>
      <c r="B171" t="s">
        <v>8</v>
      </c>
      <c r="O171" s="3"/>
    </row>
    <row r="172" spans="1:28" x14ac:dyDescent="0.25">
      <c r="B172" s="10" t="s">
        <v>73</v>
      </c>
      <c r="D172" s="24"/>
      <c r="E172" s="24"/>
      <c r="F172" s="24"/>
      <c r="G172" s="24"/>
      <c r="H172" s="24"/>
      <c r="I172" s="24"/>
      <c r="J172" s="3">
        <v>20000</v>
      </c>
      <c r="K172" s="24"/>
      <c r="L172" s="24"/>
      <c r="M172" s="24"/>
      <c r="N172" s="24"/>
      <c r="O172" s="24"/>
      <c r="P172" s="25"/>
    </row>
    <row r="173" spans="1:28" x14ac:dyDescent="0.25">
      <c r="B173" s="10" t="s">
        <v>74</v>
      </c>
      <c r="D173" s="24"/>
      <c r="E173" s="24"/>
      <c r="F173" s="24"/>
      <c r="G173" s="24"/>
      <c r="H173" s="24"/>
      <c r="I173" s="24"/>
      <c r="J173" s="3">
        <v>20000</v>
      </c>
      <c r="K173" s="24"/>
      <c r="L173" s="24"/>
      <c r="M173" s="24"/>
      <c r="N173" s="24"/>
      <c r="O173" s="24"/>
      <c r="P173" s="25"/>
    </row>
    <row r="174" spans="1:28" x14ac:dyDescent="0.25">
      <c r="B174" s="10" t="s">
        <v>75</v>
      </c>
      <c r="D174" s="24"/>
      <c r="E174" s="24"/>
      <c r="F174" s="24"/>
      <c r="G174" s="24"/>
      <c r="H174" s="24"/>
      <c r="I174" s="24"/>
      <c r="J174" s="3">
        <v>12735</v>
      </c>
      <c r="K174" s="24"/>
      <c r="L174" s="24"/>
      <c r="M174" s="24"/>
      <c r="N174" s="24"/>
      <c r="O174" s="24"/>
      <c r="P174" s="25"/>
    </row>
    <row r="175" spans="1:28" x14ac:dyDescent="0.25">
      <c r="O175" s="3"/>
    </row>
    <row r="176" spans="1:28" x14ac:dyDescent="0.25">
      <c r="B176" t="s">
        <v>31</v>
      </c>
      <c r="D176" s="3">
        <v>57989.88</v>
      </c>
      <c r="E176" s="3">
        <v>66.959999999999994</v>
      </c>
      <c r="F176">
        <v>16899.62</v>
      </c>
      <c r="G176">
        <v>146028.42000000001</v>
      </c>
      <c r="H176" s="3">
        <v>14595.54</v>
      </c>
      <c r="I176" s="3">
        <v>11012.38</v>
      </c>
      <c r="J176" s="3">
        <v>598.01</v>
      </c>
      <c r="K176" s="3">
        <v>102590.93</v>
      </c>
      <c r="L176" s="3">
        <v>33089.120000000003</v>
      </c>
      <c r="M176" s="3">
        <v>1560.71</v>
      </c>
      <c r="N176" s="3">
        <v>0</v>
      </c>
      <c r="O176" s="3">
        <v>0</v>
      </c>
      <c r="P176" s="3">
        <f t="shared" ref="P176" si="181">SUM(D176:O176)</f>
        <v>384431.57</v>
      </c>
      <c r="Z176" s="3">
        <f>490390.64+2188.47</f>
        <v>492579.11</v>
      </c>
      <c r="AA176" s="14" t="s">
        <v>37</v>
      </c>
      <c r="AB176" s="9">
        <f>P176-Z176</f>
        <v>-108147.53999999998</v>
      </c>
    </row>
    <row r="177" spans="1:28" x14ac:dyDescent="0.25">
      <c r="B177" t="s">
        <v>32</v>
      </c>
      <c r="D177" s="3">
        <f>(0.17327*(D176/(D176+H176+J176)))*P177</f>
        <v>334.79049376787981</v>
      </c>
      <c r="E177" s="3">
        <f>(0.58642*(E176/(E176+F176+G176+I176)))*P177</f>
        <v>0.55025860578658214</v>
      </c>
      <c r="F177" s="3">
        <f>(0.58642*(F176/(E176+F176+G176+I176)))*P177</f>
        <v>138.87636409084587</v>
      </c>
      <c r="G177" s="3">
        <f>(0.58642*(G176/(E176+F176+G176+I176)))*P177</f>
        <v>1200.020830263104</v>
      </c>
      <c r="H177" s="3">
        <f>(0.17327*(H176/(D176+H176+J176)))*P177</f>
        <v>84.263806778162689</v>
      </c>
      <c r="I177" s="3">
        <f>(0.58642*(I176/(E176+F176+G176+I176)))*P177</f>
        <v>90.496667640263453</v>
      </c>
      <c r="J177" s="3">
        <f>(0.17327*(J176/(D176+H176+J176)))*P177</f>
        <v>3.4524655539575146</v>
      </c>
      <c r="K177" s="3">
        <f>(0.23905*(K176/(K176+L176)))*P177</f>
        <v>440.74968710733884</v>
      </c>
      <c r="L177" s="3">
        <f>(0.23905*(L176/(K176+L176)))*P177</f>
        <v>142.15700439266115</v>
      </c>
      <c r="M177" s="3">
        <f>0.00126*P177</f>
        <v>3.0724217999999999</v>
      </c>
      <c r="N177" s="3">
        <v>0</v>
      </c>
      <c r="O177" s="3">
        <v>0</v>
      </c>
      <c r="P177" s="3">
        <v>2438.4299999999998</v>
      </c>
    </row>
    <row r="178" spans="1:28" x14ac:dyDescent="0.25">
      <c r="B178" s="11" t="s">
        <v>33</v>
      </c>
      <c r="C178" s="11"/>
      <c r="D178" s="13">
        <f>D176+D177</f>
        <v>58324.670493767881</v>
      </c>
      <c r="E178" s="13">
        <f t="shared" ref="E178" si="182">E176+E177</f>
        <v>67.510258605786575</v>
      </c>
      <c r="F178" s="13">
        <f t="shared" ref="F178" si="183">F176+F177</f>
        <v>17038.496364090846</v>
      </c>
      <c r="G178" s="13">
        <f t="shared" ref="G178" si="184">G176+G177</f>
        <v>147228.44083026311</v>
      </c>
      <c r="H178" s="13">
        <f t="shared" ref="H178" si="185">H176+H177</f>
        <v>14679.803806778164</v>
      </c>
      <c r="I178" s="13">
        <f t="shared" ref="I178:J178" si="186">I176+I177</f>
        <v>11102.876667640263</v>
      </c>
      <c r="J178" s="13">
        <f t="shared" si="186"/>
        <v>601.46246555395749</v>
      </c>
      <c r="K178" s="13">
        <f t="shared" ref="K178" si="187">K176+K177</f>
        <v>103031.67968710733</v>
      </c>
      <c r="L178" s="13">
        <f t="shared" ref="L178" si="188">L176+L177</f>
        <v>33231.277004392665</v>
      </c>
      <c r="M178" s="13">
        <f t="shared" ref="M178:O178" si="189">M176+M177</f>
        <v>1563.7824218000001</v>
      </c>
      <c r="N178" s="13">
        <f t="shared" si="189"/>
        <v>0</v>
      </c>
      <c r="O178" s="13">
        <f t="shared" si="189"/>
        <v>0</v>
      </c>
      <c r="P178" s="13">
        <f t="shared" ref="P178" si="190">P176+P177</f>
        <v>386870</v>
      </c>
      <c r="Z178" s="3">
        <v>717039</v>
      </c>
      <c r="AA178" s="12" t="s">
        <v>38</v>
      </c>
      <c r="AB178" s="9">
        <f>P178-Z178</f>
        <v>-330169</v>
      </c>
    </row>
    <row r="179" spans="1:28" x14ac:dyDescent="0.25">
      <c r="B179" t="s">
        <v>34</v>
      </c>
      <c r="C179">
        <v>8.9499999999999996E-2</v>
      </c>
      <c r="D179" s="3">
        <f>((D170+D176)/(1+C179))*C179</f>
        <v>41376.003616337766</v>
      </c>
      <c r="E179" s="3">
        <f>((E170+E176)/(1+C179))*C179</f>
        <v>38.042634235888023</v>
      </c>
      <c r="F179" s="3">
        <f>((F170+F176)/(1+C179))*C179</f>
        <v>20027.48195043598</v>
      </c>
      <c r="G179" s="3">
        <f>(((G170+G176)/(1+C179))*C179)-38</f>
        <v>135276.13076640663</v>
      </c>
      <c r="H179" s="3">
        <f>((H170+H176)/(1+C179))*C179</f>
        <v>12821.585988985775</v>
      </c>
      <c r="I179" s="3">
        <f>(((I170+I176)/(1+C179))*C179)+(2229*C179)</f>
        <v>10063.177546810464</v>
      </c>
      <c r="J179" s="3">
        <f>(((J170+J176)/(1+C179))*C179)</f>
        <v>479.08992657182193</v>
      </c>
      <c r="K179" s="3">
        <f>109154-L179+1359.28</f>
        <v>85201.279999999999</v>
      </c>
      <c r="L179" s="3">
        <v>25312</v>
      </c>
      <c r="M179" s="3">
        <f>((M170+M176)/(1+C179))*C179</f>
        <v>4142.7015741165669</v>
      </c>
      <c r="N179" s="3">
        <v>0</v>
      </c>
      <c r="O179" s="3">
        <v>0</v>
      </c>
      <c r="P179" s="3">
        <f t="shared" ref="P179" si="191">SUM(D179:O179)</f>
        <v>334737.49400390091</v>
      </c>
      <c r="Z179" s="3">
        <f>230769.8+110398-59873.36</f>
        <v>281294.44</v>
      </c>
      <c r="AA179" s="14" t="s">
        <v>37</v>
      </c>
      <c r="AB179" s="9">
        <f>P179-Z179</f>
        <v>53443.054003900907</v>
      </c>
    </row>
    <row r="180" spans="1:28" x14ac:dyDescent="0.25">
      <c r="B180" t="s">
        <v>35</v>
      </c>
      <c r="D180" s="3">
        <f>(0.2277*(D179/(D179+H179+J179)))*P180</f>
        <v>5517.6114136302167</v>
      </c>
      <c r="E180" s="3">
        <f>(0.7706*(E179/(E179+F179+G179+I179)))*P180</f>
        <v>5.675355406869417</v>
      </c>
      <c r="F180" s="3">
        <f>(0.7706*(F179/(E179+F179+G179+I179)))*P180</f>
        <v>2987.7814787641846</v>
      </c>
      <c r="G180" s="3">
        <f>(0.7706*(G179/(E179+F179+G179+I179)))*P180</f>
        <v>20181.045176972588</v>
      </c>
      <c r="H180" s="3">
        <f>(0.2277*(H179/(H179+D179+J179)))*P180</f>
        <v>1709.7960897735161</v>
      </c>
      <c r="I180" s="3">
        <f>(0.7706*(I179/(I179+E179+F179+G179)))*P180</f>
        <v>1501.2658888563565</v>
      </c>
      <c r="J180" s="3">
        <f>(0.2277*(J179/(H179+D179+J179)))*P180</f>
        <v>63.888046596268147</v>
      </c>
      <c r="K180" s="3">
        <v>0</v>
      </c>
      <c r="L180" s="3">
        <v>0</v>
      </c>
      <c r="M180" s="3">
        <f>0.0017*P180</f>
        <v>54.436549999999997</v>
      </c>
      <c r="N180" s="3">
        <v>0</v>
      </c>
      <c r="O180" s="3">
        <v>0</v>
      </c>
      <c r="P180" s="3">
        <v>32021.5</v>
      </c>
    </row>
    <row r="181" spans="1:28" x14ac:dyDescent="0.25">
      <c r="B181" s="11" t="s">
        <v>36</v>
      </c>
      <c r="C181" s="11"/>
      <c r="D181" s="13">
        <f>D179+D180</f>
        <v>46893.615029967987</v>
      </c>
      <c r="E181" s="13">
        <f t="shared" ref="E181" si="192">E179+E180</f>
        <v>43.717989642757438</v>
      </c>
      <c r="F181" s="13">
        <f t="shared" ref="F181" si="193">F179+F180</f>
        <v>23015.263429200164</v>
      </c>
      <c r="G181" s="13">
        <f t="shared" ref="G181" si="194">G179+G180</f>
        <v>155457.1759433792</v>
      </c>
      <c r="H181" s="13">
        <f t="shared" ref="H181" si="195">H179+H180</f>
        <v>14531.38207875929</v>
      </c>
      <c r="I181" s="13">
        <f t="shared" ref="I181:J181" si="196">I179+I180</f>
        <v>11564.443435666821</v>
      </c>
      <c r="J181" s="13">
        <f t="shared" si="196"/>
        <v>542.9779731680901</v>
      </c>
      <c r="K181" s="13">
        <f t="shared" ref="K181" si="197">K179+K180</f>
        <v>85201.279999999999</v>
      </c>
      <c r="L181" s="13">
        <f t="shared" ref="L181" si="198">L179+L180</f>
        <v>25312</v>
      </c>
      <c r="M181" s="13">
        <f t="shared" ref="M181:O181" si="199">M179+M180</f>
        <v>4197.1381241165673</v>
      </c>
      <c r="N181" s="13">
        <f t="shared" si="199"/>
        <v>0</v>
      </c>
      <c r="O181" s="13">
        <f t="shared" si="199"/>
        <v>0</v>
      </c>
      <c r="P181" s="13">
        <f t="shared" ref="P181" si="200">P179+P180</f>
        <v>366758.99400390091</v>
      </c>
      <c r="Y181" s="2">
        <f>P170+P178-P179+P181</f>
        <v>3774728.6200000006</v>
      </c>
      <c r="Z181" s="3">
        <f>374134-371</f>
        <v>373763</v>
      </c>
      <c r="AA181" s="12" t="s">
        <v>38</v>
      </c>
      <c r="AB181" s="9">
        <f>P181-Z181</f>
        <v>-7004.0059960990911</v>
      </c>
    </row>
    <row r="183" spans="1:28" x14ac:dyDescent="0.25">
      <c r="B183" s="4">
        <v>45260</v>
      </c>
      <c r="C183" s="4"/>
      <c r="D183" s="29" t="s">
        <v>21</v>
      </c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</row>
    <row r="184" spans="1:28" x14ac:dyDescent="0.25">
      <c r="D184" s="7" t="s">
        <v>9</v>
      </c>
      <c r="E184" s="7" t="s">
        <v>10</v>
      </c>
      <c r="F184" s="7" t="s">
        <v>11</v>
      </c>
      <c r="G184" s="7" t="s">
        <v>12</v>
      </c>
      <c r="H184" s="7" t="s">
        <v>13</v>
      </c>
      <c r="I184" s="7" t="s">
        <v>14</v>
      </c>
      <c r="J184" s="7">
        <v>22</v>
      </c>
      <c r="K184" s="8" t="s">
        <v>15</v>
      </c>
      <c r="L184" s="8" t="s">
        <v>16</v>
      </c>
      <c r="M184" s="8" t="s">
        <v>17</v>
      </c>
      <c r="N184" s="8" t="s">
        <v>18</v>
      </c>
      <c r="O184" s="8" t="s">
        <v>19</v>
      </c>
      <c r="P184" s="8" t="s">
        <v>20</v>
      </c>
      <c r="R184" s="1" t="s">
        <v>23</v>
      </c>
      <c r="S184" s="1" t="s">
        <v>24</v>
      </c>
      <c r="T184" s="1" t="s">
        <v>25</v>
      </c>
      <c r="U184" s="1" t="s">
        <v>26</v>
      </c>
      <c r="V184" s="1" t="s">
        <v>22</v>
      </c>
    </row>
    <row r="185" spans="1:28" x14ac:dyDescent="0.25">
      <c r="A185" t="s">
        <v>0</v>
      </c>
      <c r="B185" t="s">
        <v>4</v>
      </c>
      <c r="D185" s="3">
        <v>67</v>
      </c>
      <c r="E185" s="3">
        <v>19</v>
      </c>
      <c r="F185" s="3">
        <v>3701</v>
      </c>
      <c r="G185" s="3">
        <v>13247</v>
      </c>
      <c r="H185" s="3">
        <v>251</v>
      </c>
      <c r="I185" s="3">
        <v>736</v>
      </c>
      <c r="J185" s="3">
        <v>1</v>
      </c>
      <c r="K185" s="3">
        <v>13</v>
      </c>
      <c r="L185" s="3">
        <v>1</v>
      </c>
      <c r="M185" s="3">
        <v>35</v>
      </c>
      <c r="N185" s="3">
        <v>1</v>
      </c>
      <c r="O185" s="3">
        <v>0</v>
      </c>
      <c r="P185" s="3">
        <f>SUM(D185:O185)</f>
        <v>18072</v>
      </c>
      <c r="V185" s="3">
        <v>18072</v>
      </c>
      <c r="W185" s="3">
        <f>P185-V185</f>
        <v>0</v>
      </c>
    </row>
    <row r="186" spans="1:28" x14ac:dyDescent="0.25">
      <c r="A186" t="s">
        <v>1</v>
      </c>
      <c r="B186" t="s">
        <v>2</v>
      </c>
      <c r="D186" s="3">
        <f>5025984+74</f>
        <v>5026058</v>
      </c>
      <c r="E186" s="3">
        <v>14658</v>
      </c>
      <c r="F186" s="3">
        <f>1723361+993</f>
        <v>1724354</v>
      </c>
      <c r="G186" s="3">
        <f>16131813+2861</f>
        <v>16134674</v>
      </c>
      <c r="H186" s="3">
        <f>1300754+0</f>
        <v>1300754</v>
      </c>
      <c r="I186" s="3">
        <f>1240627+24</f>
        <v>1240651</v>
      </c>
      <c r="J186" s="3">
        <f>SUM(J190:J192)</f>
        <v>61600</v>
      </c>
      <c r="K186" s="3">
        <f>9049087</f>
        <v>9049087</v>
      </c>
      <c r="L186" s="3">
        <v>2435599</v>
      </c>
      <c r="M186" s="3">
        <v>143021</v>
      </c>
      <c r="N186" s="3">
        <v>24</v>
      </c>
      <c r="O186" s="3">
        <v>0</v>
      </c>
      <c r="P186" s="3">
        <f t="shared" ref="P186" si="201">SUM(D186:O186)</f>
        <v>37130480</v>
      </c>
      <c r="V186">
        <f>36983483+146997</f>
        <v>37130480</v>
      </c>
      <c r="W186" s="3">
        <f>P186-V186</f>
        <v>0</v>
      </c>
    </row>
    <row r="187" spans="1:28" x14ac:dyDescent="0.25">
      <c r="A187" t="s">
        <v>3</v>
      </c>
      <c r="B187" t="s">
        <v>5</v>
      </c>
      <c r="D187" s="3">
        <v>15336.558000000001</v>
      </c>
      <c r="E187" s="3">
        <f>0</f>
        <v>0</v>
      </c>
      <c r="F187" s="3">
        <v>7.68</v>
      </c>
      <c r="G187" s="3">
        <v>58.88</v>
      </c>
      <c r="H187" s="3">
        <v>5439.1890000000003</v>
      </c>
      <c r="I187" s="3">
        <v>0</v>
      </c>
      <c r="J187" s="3">
        <v>200</v>
      </c>
      <c r="K187" s="3">
        <v>19679</v>
      </c>
      <c r="L187" s="3">
        <v>5153</v>
      </c>
      <c r="M187" s="3">
        <v>0</v>
      </c>
      <c r="N187" s="3">
        <v>0</v>
      </c>
      <c r="O187" s="3">
        <v>0</v>
      </c>
      <c r="P187" s="3">
        <f t="shared" ref="P187:P188" si="202">SUM(D187:O187)</f>
        <v>45874.307000000001</v>
      </c>
      <c r="V187" s="3">
        <v>45874.307000000001</v>
      </c>
      <c r="W187" s="3">
        <f>P187-V187</f>
        <v>0</v>
      </c>
    </row>
    <row r="188" spans="1:28" x14ac:dyDescent="0.25">
      <c r="A188" t="s">
        <v>6</v>
      </c>
      <c r="B188" t="s">
        <v>27</v>
      </c>
      <c r="D188" s="3">
        <f>508631.33-59708.72</f>
        <v>448922.61</v>
      </c>
      <c r="E188" s="3">
        <f>1173.04-174.14</f>
        <v>998.9</v>
      </c>
      <c r="F188" s="3">
        <f>274395.57-20455.47</f>
        <v>253940.1</v>
      </c>
      <c r="G188" s="3">
        <f>2037669.97-191629.08</f>
        <v>1846040.89</v>
      </c>
      <c r="H188" s="3">
        <f>160368.2-15452.92</f>
        <v>144915.28</v>
      </c>
      <c r="I188" s="3">
        <f>152091.17-14738.01</f>
        <v>137353.16</v>
      </c>
      <c r="J188" s="3">
        <f>6624.09-731.81</f>
        <v>5892.2800000000007</v>
      </c>
      <c r="K188" s="3">
        <f>789550.13-101653.5</f>
        <v>687896.63</v>
      </c>
      <c r="L188" s="3">
        <f>184711.31-28934.92</f>
        <v>155776.39000000001</v>
      </c>
      <c r="M188" s="3">
        <f>52696.37-1701.62</f>
        <v>50994.75</v>
      </c>
      <c r="N188" s="3">
        <f>16.97</f>
        <v>16.97</v>
      </c>
      <c r="O188" s="3">
        <v>0</v>
      </c>
      <c r="P188" s="3">
        <f t="shared" si="202"/>
        <v>3732747.96</v>
      </c>
      <c r="R188" s="2">
        <f>433478.57+1701.62</f>
        <v>435180.19</v>
      </c>
      <c r="S188" s="2">
        <f>390004.64+114593-88690.32</f>
        <v>415907.32</v>
      </c>
      <c r="T188" s="2">
        <v>114593</v>
      </c>
      <c r="U188" s="5">
        <f>S188-T188</f>
        <v>301314.32</v>
      </c>
      <c r="V188" s="3">
        <f>4167928.15-435180.19</f>
        <v>3732747.96</v>
      </c>
      <c r="W188" s="3">
        <f>P188-V188</f>
        <v>0</v>
      </c>
    </row>
    <row r="189" spans="1:28" x14ac:dyDescent="0.25">
      <c r="A189" t="s">
        <v>7</v>
      </c>
      <c r="B189" t="s">
        <v>8</v>
      </c>
      <c r="O189" s="3"/>
    </row>
    <row r="190" spans="1:28" x14ac:dyDescent="0.25">
      <c r="B190" s="10" t="s">
        <v>73</v>
      </c>
      <c r="D190" s="24"/>
      <c r="E190" s="24"/>
      <c r="F190" s="24"/>
      <c r="G190" s="24"/>
      <c r="H190" s="24"/>
      <c r="I190" s="24"/>
      <c r="J190" s="3">
        <v>20000</v>
      </c>
      <c r="K190" s="24"/>
      <c r="L190" s="24"/>
      <c r="M190" s="24"/>
      <c r="N190" s="24"/>
      <c r="O190" s="24"/>
      <c r="P190" s="25"/>
    </row>
    <row r="191" spans="1:28" x14ac:dyDescent="0.25">
      <c r="B191" s="10" t="s">
        <v>74</v>
      </c>
      <c r="D191" s="24"/>
      <c r="E191" s="24"/>
      <c r="F191" s="24"/>
      <c r="G191" s="24"/>
      <c r="H191" s="24"/>
      <c r="I191" s="24"/>
      <c r="J191" s="3">
        <v>20000</v>
      </c>
      <c r="K191" s="24"/>
      <c r="L191" s="24"/>
      <c r="M191" s="24"/>
      <c r="N191" s="24"/>
      <c r="O191" s="24"/>
      <c r="P191" s="25"/>
    </row>
    <row r="192" spans="1:28" x14ac:dyDescent="0.25">
      <c r="B192" s="10" t="s">
        <v>75</v>
      </c>
      <c r="D192" s="24"/>
      <c r="E192" s="24"/>
      <c r="F192" s="24"/>
      <c r="G192" s="24"/>
      <c r="H192" s="24"/>
      <c r="I192" s="24"/>
      <c r="J192" s="3">
        <v>21600</v>
      </c>
      <c r="K192" s="24"/>
      <c r="L192" s="24"/>
      <c r="M192" s="24"/>
      <c r="N192" s="24"/>
      <c r="O192" s="24"/>
      <c r="P192" s="25"/>
    </row>
    <row r="193" spans="1:30" x14ac:dyDescent="0.25">
      <c r="O193" s="3"/>
    </row>
    <row r="194" spans="1:30" x14ac:dyDescent="0.25">
      <c r="B194" t="s">
        <v>31</v>
      </c>
      <c r="D194" s="3">
        <v>59708.72</v>
      </c>
      <c r="E194" s="3">
        <v>174.14</v>
      </c>
      <c r="F194">
        <v>20455.47</v>
      </c>
      <c r="G194">
        <v>191629.08</v>
      </c>
      <c r="H194" s="3">
        <v>15452.92</v>
      </c>
      <c r="I194" s="3">
        <v>14738.01</v>
      </c>
      <c r="J194" s="3">
        <v>731.81</v>
      </c>
      <c r="K194" s="3">
        <v>101653.5</v>
      </c>
      <c r="L194" s="3">
        <v>28934.92</v>
      </c>
      <c r="M194" s="3">
        <v>1701.62</v>
      </c>
      <c r="N194" s="3">
        <v>0</v>
      </c>
      <c r="O194" s="3">
        <v>0</v>
      </c>
      <c r="P194" s="3">
        <f t="shared" ref="P194" si="203">SUM(D194:O194)</f>
        <v>435180.18999999994</v>
      </c>
      <c r="Z194" s="3">
        <f>992231.34+3464.67</f>
        <v>995696.01</v>
      </c>
      <c r="AA194" s="14" t="s">
        <v>37</v>
      </c>
      <c r="AB194" s="9">
        <f>P194-Z194</f>
        <v>-560515.82000000007</v>
      </c>
    </row>
    <row r="195" spans="1:30" x14ac:dyDescent="0.25">
      <c r="B195" t="s">
        <v>32</v>
      </c>
      <c r="D195" s="3">
        <f>(0.17327*(D194/(D194+H194+J194)))*P195</f>
        <v>-16872.458644753115</v>
      </c>
      <c r="E195" s="3">
        <f>(0.58642*(E194/(E194+F194+G194+I194)))*P195</f>
        <v>-55.681291704412004</v>
      </c>
      <c r="F195" s="3">
        <f>(0.58642*(F194/(E194+F194+G194+I194)))*P195</f>
        <v>-6540.6396693513761</v>
      </c>
      <c r="G195" s="3">
        <f>(0.58642*(G194/(E194+F194+G194+I194)))*P195</f>
        <v>-61273.427716366736</v>
      </c>
      <c r="H195" s="3">
        <f>(0.17327*(H194/(D194+H194+J194)))*P195</f>
        <v>-4366.6779934434753</v>
      </c>
      <c r="I195" s="3">
        <f>(0.58642*(I194/(E194+F194+G194+I194)))*P195</f>
        <v>-4712.4809575774734</v>
      </c>
      <c r="J195" s="3">
        <f>(0.17327*(J194/(D194+H194+J194)))*P195</f>
        <v>-206.79448430341122</v>
      </c>
      <c r="K195" s="3">
        <f>(0.23905*(K194/(K194+L194)))*P195</f>
        <v>-23031.80359530199</v>
      </c>
      <c r="L195" s="3">
        <f>(0.23905*(L194/(K194+L194)))*P195</f>
        <v>-6555.8332421980112</v>
      </c>
      <c r="M195" s="3">
        <f>0.00126*P195</f>
        <v>-155.952405</v>
      </c>
      <c r="N195" s="3">
        <v>0</v>
      </c>
      <c r="O195" s="3">
        <v>0</v>
      </c>
      <c r="P195" s="3">
        <v>-123771.75</v>
      </c>
    </row>
    <row r="196" spans="1:30" x14ac:dyDescent="0.25">
      <c r="B196" s="11" t="s">
        <v>33</v>
      </c>
      <c r="C196" s="11"/>
      <c r="D196" s="13">
        <f>D194+D195</f>
        <v>42836.261355246883</v>
      </c>
      <c r="E196" s="13">
        <f t="shared" ref="E196" si="204">E194+E195</f>
        <v>118.45870829558798</v>
      </c>
      <c r="F196" s="13">
        <f t="shared" ref="F196" si="205">F194+F195</f>
        <v>13914.830330648625</v>
      </c>
      <c r="G196" s="13">
        <f t="shared" ref="G196" si="206">G194+G195</f>
        <v>130355.65228363324</v>
      </c>
      <c r="H196" s="13">
        <f t="shared" ref="H196" si="207">H194+H195</f>
        <v>11086.242006556524</v>
      </c>
      <c r="I196" s="13">
        <f t="shared" ref="I196:J196" si="208">I194+I195</f>
        <v>10025.529042422528</v>
      </c>
      <c r="J196" s="13">
        <f t="shared" si="208"/>
        <v>525.01551569658875</v>
      </c>
      <c r="K196" s="13">
        <f t="shared" ref="K196" si="209">K194+K195</f>
        <v>78621.696404698014</v>
      </c>
      <c r="L196" s="13">
        <f t="shared" ref="L196" si="210">L194+L195</f>
        <v>22379.086757801986</v>
      </c>
      <c r="M196" s="13">
        <f t="shared" ref="M196:O196" si="211">M194+M195</f>
        <v>1545.6675949999999</v>
      </c>
      <c r="N196" s="13">
        <f t="shared" si="211"/>
        <v>0</v>
      </c>
      <c r="O196" s="13">
        <f t="shared" si="211"/>
        <v>0</v>
      </c>
      <c r="P196" s="13">
        <f t="shared" ref="P196" si="212">P194+P195</f>
        <v>311408.43999999994</v>
      </c>
      <c r="Z196" s="3">
        <f>592243</f>
        <v>592243</v>
      </c>
      <c r="AA196" s="12" t="s">
        <v>38</v>
      </c>
      <c r="AB196" s="9">
        <f>P196-Z196</f>
        <v>-280834.56000000006</v>
      </c>
    </row>
    <row r="197" spans="1:30" x14ac:dyDescent="0.25">
      <c r="B197" t="s">
        <v>34</v>
      </c>
      <c r="C197">
        <v>0.10349999999999999</v>
      </c>
      <c r="D197" s="3">
        <f>((D188+D194)/(1+C197))*C197</f>
        <v>47705.793072043496</v>
      </c>
      <c r="E197" s="3">
        <f>((E188+E194)/(1+C197))*C197</f>
        <v>110.0223289533303</v>
      </c>
      <c r="F197" s="3">
        <f>((F188+F194)/(1+C197))*C197</f>
        <v>25736.240593565926</v>
      </c>
      <c r="G197" s="3">
        <f>(((G188+G194)/(1+C197))*C197)-32</f>
        <v>191086.11680561848</v>
      </c>
      <c r="H197" s="3">
        <f>((H188+H194)/(1+C197))*C197</f>
        <v>15041.330946986862</v>
      </c>
      <c r="I197" s="3">
        <f>(((I188+I194)/(1+C197))*C197)+(2211*C197)</f>
        <v>14493.846288853649</v>
      </c>
      <c r="J197" s="3">
        <f>(((J188+J194)/(1+C197))*C197)</f>
        <v>621.2898187584957</v>
      </c>
      <c r="K197" s="3">
        <f>114593-L197+1577.45</f>
        <v>91673.45</v>
      </c>
      <c r="L197" s="3">
        <v>24497</v>
      </c>
      <c r="M197" s="3">
        <f>((M188+M194)/(1+C197))*C197</f>
        <v>4942.5231490711376</v>
      </c>
      <c r="N197" s="3">
        <v>0</v>
      </c>
      <c r="O197" s="3">
        <v>0</v>
      </c>
      <c r="P197" s="3">
        <f t="shared" ref="P197" si="213">SUM(D197:O197)</f>
        <v>415907.61300385138</v>
      </c>
      <c r="Z197" s="3">
        <f>475065.12+111753-98886.19</f>
        <v>487931.93</v>
      </c>
      <c r="AA197" s="14" t="s">
        <v>37</v>
      </c>
      <c r="AB197" s="9">
        <f>P197-Z197</f>
        <v>-72024.316996148613</v>
      </c>
    </row>
    <row r="198" spans="1:30" x14ac:dyDescent="0.25">
      <c r="B198" t="s">
        <v>35</v>
      </c>
      <c r="D198" s="3">
        <f>(0.2277*(D197/(D197+H197+J197)))*P198</f>
        <v>9254.9071818453594</v>
      </c>
      <c r="E198" s="3">
        <f>(0.7706*(E197/(E197+F197+G197+I197)))*P198</f>
        <v>19.779167976875836</v>
      </c>
      <c r="F198" s="3">
        <f>(0.7706*(F197/(E197+F197+G197+I197)))*P198</f>
        <v>4626.7101472589111</v>
      </c>
      <c r="G198" s="3">
        <f>(0.7706*(G197/(E197+F197+G197+I197)))*P198</f>
        <v>34352.339550551216</v>
      </c>
      <c r="H198" s="3">
        <f>(0.2277*(H197/(H197+D197+J197)))*P198</f>
        <v>2918.0129464687384</v>
      </c>
      <c r="I198" s="3">
        <f>(0.7706*(I197/(I197+E197+F197+G197)))*P198</f>
        <v>2605.6185422129925</v>
      </c>
      <c r="J198" s="3">
        <f>(0.2277*(J197/(H197+D197+J197)))*P198</f>
        <v>120.530007685901</v>
      </c>
      <c r="K198" s="3">
        <v>0</v>
      </c>
      <c r="L198" s="3">
        <v>0</v>
      </c>
      <c r="M198" s="3">
        <f>0.0017*P198</f>
        <v>91.782455999999996</v>
      </c>
      <c r="N198" s="3">
        <v>0</v>
      </c>
      <c r="O198" s="3">
        <v>0</v>
      </c>
      <c r="P198" s="3">
        <v>53989.68</v>
      </c>
    </row>
    <row r="199" spans="1:30" x14ac:dyDescent="0.25">
      <c r="B199" s="11" t="s">
        <v>36</v>
      </c>
      <c r="C199" s="11"/>
      <c r="D199" s="13">
        <f>D197+D198</f>
        <v>56960.700253888856</v>
      </c>
      <c r="E199" s="13">
        <f t="shared" ref="E199:P199" si="214">E197+E198</f>
        <v>129.80149693020613</v>
      </c>
      <c r="F199" s="13">
        <f t="shared" si="214"/>
        <v>30362.950740824839</v>
      </c>
      <c r="G199" s="13">
        <f t="shared" si="214"/>
        <v>225438.45635616971</v>
      </c>
      <c r="H199" s="13">
        <f t="shared" si="214"/>
        <v>17959.3438934556</v>
      </c>
      <c r="I199" s="13">
        <f t="shared" si="214"/>
        <v>17099.464831066642</v>
      </c>
      <c r="J199" s="13">
        <f t="shared" si="214"/>
        <v>741.81982644439665</v>
      </c>
      <c r="K199" s="13">
        <f t="shared" si="214"/>
        <v>91673.45</v>
      </c>
      <c r="L199" s="13">
        <f t="shared" si="214"/>
        <v>24497</v>
      </c>
      <c r="M199" s="13">
        <f t="shared" si="214"/>
        <v>5034.3056050711375</v>
      </c>
      <c r="N199" s="13">
        <f t="shared" si="214"/>
        <v>0</v>
      </c>
      <c r="O199" s="13">
        <f t="shared" si="214"/>
        <v>0</v>
      </c>
      <c r="P199" s="13">
        <f t="shared" si="214"/>
        <v>469897.29300385137</v>
      </c>
      <c r="Y199" s="2">
        <f>P188+P196-P197+P199</f>
        <v>4098146.08</v>
      </c>
      <c r="Z199" s="3">
        <f>447056-415</f>
        <v>446641</v>
      </c>
      <c r="AA199" s="12" t="s">
        <v>38</v>
      </c>
      <c r="AB199" s="9">
        <f>P199-Z199</f>
        <v>23256.293003851373</v>
      </c>
    </row>
    <row r="201" spans="1:30" x14ac:dyDescent="0.25">
      <c r="B201" s="4">
        <v>45291</v>
      </c>
      <c r="C201" s="4"/>
      <c r="D201" s="29" t="s">
        <v>21</v>
      </c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</row>
    <row r="202" spans="1:30" x14ac:dyDescent="0.25">
      <c r="D202" s="7" t="s">
        <v>9</v>
      </c>
      <c r="E202" s="7" t="s">
        <v>10</v>
      </c>
      <c r="F202" s="7" t="s">
        <v>11</v>
      </c>
      <c r="G202" s="7" t="s">
        <v>12</v>
      </c>
      <c r="H202" s="7" t="s">
        <v>13</v>
      </c>
      <c r="I202" s="7" t="s">
        <v>14</v>
      </c>
      <c r="J202" s="7">
        <v>22</v>
      </c>
      <c r="K202" s="8" t="s">
        <v>15</v>
      </c>
      <c r="L202" s="8" t="s">
        <v>16</v>
      </c>
      <c r="M202" s="8" t="s">
        <v>17</v>
      </c>
      <c r="N202" s="8" t="s">
        <v>18</v>
      </c>
      <c r="O202" s="8" t="s">
        <v>19</v>
      </c>
      <c r="P202" s="8" t="s">
        <v>20</v>
      </c>
      <c r="R202" s="1" t="s">
        <v>23</v>
      </c>
      <c r="S202" s="1" t="s">
        <v>24</v>
      </c>
      <c r="T202" s="1" t="s">
        <v>25</v>
      </c>
      <c r="U202" s="1" t="s">
        <v>26</v>
      </c>
      <c r="V202" s="1" t="s">
        <v>22</v>
      </c>
    </row>
    <row r="203" spans="1:30" x14ac:dyDescent="0.25">
      <c r="A203" t="s">
        <v>0</v>
      </c>
      <c r="B203" t="s">
        <v>4</v>
      </c>
      <c r="D203" s="3">
        <v>68</v>
      </c>
      <c r="E203" s="3">
        <v>22</v>
      </c>
      <c r="F203" s="3">
        <v>3656</v>
      </c>
      <c r="G203" s="3">
        <v>13276</v>
      </c>
      <c r="H203" s="3">
        <v>253</v>
      </c>
      <c r="I203" s="3">
        <v>727</v>
      </c>
      <c r="J203" s="3">
        <v>1</v>
      </c>
      <c r="K203" s="3">
        <v>13</v>
      </c>
      <c r="L203" s="3">
        <v>1</v>
      </c>
      <c r="M203" s="3">
        <v>35</v>
      </c>
      <c r="N203" s="3">
        <v>1</v>
      </c>
      <c r="O203" s="3">
        <v>0</v>
      </c>
      <c r="P203" s="3">
        <f>SUM(D203:O203)</f>
        <v>18053</v>
      </c>
      <c r="V203" s="3">
        <v>18053</v>
      </c>
      <c r="W203" s="3">
        <f>P203-V203</f>
        <v>0</v>
      </c>
    </row>
    <row r="204" spans="1:30" x14ac:dyDescent="0.25">
      <c r="A204" t="s">
        <v>1</v>
      </c>
      <c r="B204" t="s">
        <v>2</v>
      </c>
      <c r="D204" s="3">
        <f>5247317+74</f>
        <v>5247391</v>
      </c>
      <c r="E204" s="3">
        <v>24256</v>
      </c>
      <c r="F204" s="3">
        <f>2042344+120</f>
        <v>2042464</v>
      </c>
      <c r="G204" s="3">
        <f>21281273+792</f>
        <v>21282065</v>
      </c>
      <c r="H204" s="3">
        <f>1262898+0</f>
        <v>1262898</v>
      </c>
      <c r="I204" s="3">
        <f>1351274+24</f>
        <v>1351298</v>
      </c>
      <c r="J204" s="3">
        <f>SUM(J208:J210)</f>
        <v>77218</v>
      </c>
      <c r="K204" s="3">
        <f>8881754</f>
        <v>8881754</v>
      </c>
      <c r="L204" s="3">
        <v>2587676</v>
      </c>
      <c r="M204" s="3">
        <v>145628</v>
      </c>
      <c r="N204" s="3">
        <v>24</v>
      </c>
      <c r="O204" s="3">
        <v>0</v>
      </c>
      <c r="P204" s="3">
        <f t="shared" ref="P204" si="215">SUM(D204:O204)</f>
        <v>42902672</v>
      </c>
      <c r="V204" s="3">
        <f>42756010+146662</f>
        <v>42902672</v>
      </c>
      <c r="W204" s="3">
        <f>P204-V204</f>
        <v>0</v>
      </c>
    </row>
    <row r="205" spans="1:30" x14ac:dyDescent="0.25">
      <c r="A205" t="s">
        <v>3</v>
      </c>
      <c r="B205" t="s">
        <v>5</v>
      </c>
      <c r="D205" s="3">
        <v>15392.83</v>
      </c>
      <c r="E205" s="3">
        <v>0</v>
      </c>
      <c r="F205" s="3">
        <v>13.92</v>
      </c>
      <c r="G205" s="3">
        <v>66.62</v>
      </c>
      <c r="H205" s="3">
        <v>4958.5709999999999</v>
      </c>
      <c r="I205" s="3">
        <v>0</v>
      </c>
      <c r="J205" s="3">
        <v>200</v>
      </c>
      <c r="K205" s="3">
        <v>19772</v>
      </c>
      <c r="L205" s="3">
        <v>5213</v>
      </c>
      <c r="M205" s="3">
        <v>0</v>
      </c>
      <c r="N205" s="3">
        <v>0</v>
      </c>
      <c r="O205" s="3">
        <v>0</v>
      </c>
      <c r="P205" s="3">
        <f t="shared" ref="P205:P206" si="216">SUM(D205:O205)</f>
        <v>45616.940999999999</v>
      </c>
      <c r="V205" s="3">
        <v>45616.940999999999</v>
      </c>
      <c r="W205" s="3">
        <f>P205-V205</f>
        <v>0</v>
      </c>
    </row>
    <row r="206" spans="1:30" x14ac:dyDescent="0.25">
      <c r="A206" t="s">
        <v>6</v>
      </c>
      <c r="B206" t="s">
        <v>27</v>
      </c>
      <c r="D206" s="3">
        <f>554486.55-74984.16</f>
        <v>479502.39</v>
      </c>
      <c r="E206" s="3">
        <f>2055.08-346.64</f>
        <v>1708.44</v>
      </c>
      <c r="F206" s="3">
        <f>323135.41-29184.28</f>
        <v>293951.13</v>
      </c>
      <c r="G206" s="3">
        <f>2736764.05-304025.35</f>
        <v>2432738.6999999997</v>
      </c>
      <c r="H206" s="3">
        <f>163477.36-18046.83</f>
        <v>145430.52999999997</v>
      </c>
      <c r="I206" s="3">
        <f>172168.03-19309.53</f>
        <v>152858.5</v>
      </c>
      <c r="J206" s="3">
        <f>8235.61-1103.45</f>
        <v>7132.1600000000008</v>
      </c>
      <c r="K206" s="3">
        <f>803430.36-122396.39</f>
        <v>681033.97</v>
      </c>
      <c r="L206" s="3">
        <f>201128.69-36977.89</f>
        <v>164150.79999999999</v>
      </c>
      <c r="M206" s="3">
        <f>54544.1-2075.28</f>
        <v>52468.82</v>
      </c>
      <c r="N206" s="3">
        <f>21.98</f>
        <v>21.98</v>
      </c>
      <c r="O206" s="3">
        <v>0</v>
      </c>
      <c r="P206" s="3">
        <f t="shared" si="216"/>
        <v>4410997.42</v>
      </c>
      <c r="R206" s="2">
        <f>606374.52+2075.28</f>
        <v>608449.80000000005</v>
      </c>
      <c r="S206" s="2">
        <f>582005.73+116127-115661.55</f>
        <v>582471.17999999993</v>
      </c>
      <c r="T206" s="2">
        <v>116127</v>
      </c>
      <c r="U206" s="5">
        <f>S206-T206</f>
        <v>466344.17999999993</v>
      </c>
      <c r="V206" s="3">
        <f>5019447.22-608449.8</f>
        <v>4410997.42</v>
      </c>
      <c r="W206" s="3">
        <f>P206-V206</f>
        <v>0</v>
      </c>
      <c r="AD206" s="5"/>
    </row>
    <row r="207" spans="1:30" x14ac:dyDescent="0.25">
      <c r="A207" t="s">
        <v>7</v>
      </c>
      <c r="B207" t="s">
        <v>8</v>
      </c>
      <c r="O207" s="3"/>
    </row>
    <row r="208" spans="1:30" x14ac:dyDescent="0.25">
      <c r="B208" s="10" t="s">
        <v>73</v>
      </c>
      <c r="D208" s="24"/>
      <c r="E208" s="24"/>
      <c r="F208" s="24"/>
      <c r="G208" s="24"/>
      <c r="H208" s="24"/>
      <c r="I208" s="24"/>
      <c r="J208" s="3">
        <v>20000</v>
      </c>
      <c r="K208" s="24"/>
      <c r="L208" s="24"/>
      <c r="M208" s="24"/>
      <c r="N208" s="24"/>
      <c r="O208" s="24"/>
      <c r="P208" s="25"/>
    </row>
    <row r="209" spans="1:30" x14ac:dyDescent="0.25">
      <c r="B209" s="10" t="s">
        <v>74</v>
      </c>
      <c r="D209" s="24"/>
      <c r="E209" s="24"/>
      <c r="F209" s="24"/>
      <c r="G209" s="24"/>
      <c r="H209" s="24"/>
      <c r="I209" s="24"/>
      <c r="J209" s="3">
        <v>20000</v>
      </c>
      <c r="K209" s="24"/>
      <c r="L209" s="24"/>
      <c r="M209" s="24"/>
      <c r="N209" s="24"/>
      <c r="O209" s="24"/>
      <c r="P209" s="25"/>
    </row>
    <row r="210" spans="1:30" x14ac:dyDescent="0.25">
      <c r="B210" s="10" t="s">
        <v>75</v>
      </c>
      <c r="D210" s="24"/>
      <c r="E210" s="24"/>
      <c r="F210" s="24"/>
      <c r="G210" s="24"/>
      <c r="H210" s="24"/>
      <c r="I210" s="24"/>
      <c r="J210" s="3">
        <v>37218</v>
      </c>
      <c r="K210" s="24"/>
      <c r="L210" s="24"/>
      <c r="M210" s="24"/>
      <c r="N210" s="24"/>
      <c r="O210" s="24"/>
      <c r="P210" s="25"/>
    </row>
    <row r="211" spans="1:30" x14ac:dyDescent="0.25">
      <c r="O211" s="3"/>
    </row>
    <row r="212" spans="1:30" x14ac:dyDescent="0.25">
      <c r="B212" t="s">
        <v>31</v>
      </c>
      <c r="D212" s="3">
        <v>74984.160000000003</v>
      </c>
      <c r="E212" s="3">
        <v>346.64</v>
      </c>
      <c r="F212" s="3">
        <v>29184.28</v>
      </c>
      <c r="G212" s="3">
        <v>304025.34999999998</v>
      </c>
      <c r="H212" s="3">
        <v>18046.830000000002</v>
      </c>
      <c r="I212" s="3">
        <v>19309.53</v>
      </c>
      <c r="J212" s="3">
        <v>1103.45</v>
      </c>
      <c r="K212" s="3">
        <v>122396.39</v>
      </c>
      <c r="L212" s="3">
        <v>36977.89</v>
      </c>
      <c r="M212" s="3">
        <v>2075.2800000000002</v>
      </c>
      <c r="N212" s="3">
        <v>0</v>
      </c>
      <c r="O212" s="3">
        <v>0</v>
      </c>
      <c r="P212" s="3">
        <f t="shared" ref="P212" si="217">SUM(D212:O212)</f>
        <v>608449.80000000005</v>
      </c>
      <c r="Z212" s="3">
        <v>1094900.82</v>
      </c>
      <c r="AA212" s="14" t="s">
        <v>37</v>
      </c>
      <c r="AB212" s="9">
        <f>P212-Z212</f>
        <v>-486451.02</v>
      </c>
    </row>
    <row r="213" spans="1:30" x14ac:dyDescent="0.25">
      <c r="B213" t="s">
        <v>32</v>
      </c>
      <c r="D213" s="3">
        <f>(0.17327*(D212/(D212+H212+J212)))*P213</f>
        <v>-45766.132731448808</v>
      </c>
      <c r="E213" s="3">
        <f>(0.58642*(E212/(E212+F212+G212+I212)))*P213</f>
        <v>-191.01951340095147</v>
      </c>
      <c r="F213" s="3">
        <f>(0.58642*(F212/(E212+F212+G212+I212)))*P213</f>
        <v>-16082.295651272558</v>
      </c>
      <c r="G213" s="3">
        <f>(0.58642*(G212/(E212+F212+G212+I212)))*P213</f>
        <v>-167536.27515160959</v>
      </c>
      <c r="H213" s="3">
        <f>(0.17327*(H212/(D212+H212+J212)))*P213</f>
        <v>-11014.774549210026</v>
      </c>
      <c r="I213" s="3">
        <f>(0.58642*(I212/(E212+F212+G212+I212)))*P213</f>
        <v>-10640.713779716923</v>
      </c>
      <c r="J213" s="3">
        <f>(0.17327*(J212/(D212+H212+J212)))*P213</f>
        <v>-673.48409534116524</v>
      </c>
      <c r="K213" s="3">
        <f>(0.23905*(K212/(K212+L212)))*P213</f>
        <v>-60874.99997981776</v>
      </c>
      <c r="L213" s="3">
        <f>(0.23905*(L212/(K212+L212)))*P213</f>
        <v>-18391.302660182242</v>
      </c>
      <c r="M213" s="3">
        <f>0.00126*P213</f>
        <v>-417.80188800000002</v>
      </c>
      <c r="N213" s="3">
        <v>0</v>
      </c>
      <c r="O213" s="3">
        <v>0</v>
      </c>
      <c r="P213" s="3">
        <v>-331588.8</v>
      </c>
    </row>
    <row r="214" spans="1:30" x14ac:dyDescent="0.25">
      <c r="B214" s="11" t="s">
        <v>33</v>
      </c>
      <c r="C214" s="11"/>
      <c r="D214" s="13">
        <f>D212+D213</f>
        <v>29218.027268551195</v>
      </c>
      <c r="E214" s="13">
        <f t="shared" ref="E214" si="218">E212+E213</f>
        <v>155.62048659904852</v>
      </c>
      <c r="F214" s="13">
        <f t="shared" ref="F214" si="219">F212+F213</f>
        <v>13101.984348727441</v>
      </c>
      <c r="G214" s="13">
        <f t="shared" ref="G214" si="220">G212+G213</f>
        <v>136489.07484839039</v>
      </c>
      <c r="H214" s="13">
        <f t="shared" ref="H214" si="221">H212+H213</f>
        <v>7032.055450789976</v>
      </c>
      <c r="I214" s="13">
        <f t="shared" ref="I214:J214" si="222">I212+I213</f>
        <v>8668.8162202830754</v>
      </c>
      <c r="J214" s="13">
        <f t="shared" si="222"/>
        <v>429.9659046588348</v>
      </c>
      <c r="K214" s="13">
        <f t="shared" ref="K214" si="223">K212+K213</f>
        <v>61521.39002018224</v>
      </c>
      <c r="L214" s="13">
        <f t="shared" ref="L214" si="224">L212+L213</f>
        <v>18586.587339817757</v>
      </c>
      <c r="M214" s="13">
        <f t="shared" ref="M214:O214" si="225">M212+M213</f>
        <v>1657.4781120000002</v>
      </c>
      <c r="N214" s="13">
        <f t="shared" si="225"/>
        <v>0</v>
      </c>
      <c r="O214" s="13">
        <f t="shared" si="225"/>
        <v>0</v>
      </c>
      <c r="P214" s="13">
        <f t="shared" ref="P214" si="226">P212+P213</f>
        <v>276861.00000000006</v>
      </c>
      <c r="Z214" s="3">
        <v>741614</v>
      </c>
      <c r="AA214" s="12" t="s">
        <v>38</v>
      </c>
      <c r="AB214" s="9">
        <f>P214-Z214</f>
        <v>-464752.99999999994</v>
      </c>
    </row>
    <row r="215" spans="1:30" x14ac:dyDescent="0.25">
      <c r="B215" t="s">
        <v>34</v>
      </c>
      <c r="C215">
        <v>0.13070000000000001</v>
      </c>
      <c r="D215" s="3">
        <f>((D206+D212)/(1+C215))*C215</f>
        <v>64094.270880870266</v>
      </c>
      <c r="E215" s="3">
        <f>((E206+E212)/(1+C215))*C215</f>
        <v>237.55103564163792</v>
      </c>
      <c r="F215" s="3">
        <f>((F206+F212)/(1+C215))*C215</f>
        <v>37351.904207128333</v>
      </c>
      <c r="G215" s="3">
        <f>(((G206+G212)/(1+C215))*C215)-57</f>
        <v>316291.33407181391</v>
      </c>
      <c r="H215" s="3">
        <f>((H206+H212)/(1+C215))*C215</f>
        <v>18896.693156451754</v>
      </c>
      <c r="I215" s="3">
        <f>(((I206+I212)/(1+C215))*C215)+(2184*C215)</f>
        <v>20186.714848465552</v>
      </c>
      <c r="J215" s="3">
        <f>(((J206+J212)/(1+C215))*C215)</f>
        <v>951.97154594499</v>
      </c>
      <c r="K215" s="3">
        <f>116127-L215+2029.26</f>
        <v>92486.26</v>
      </c>
      <c r="L215" s="3">
        <v>25670</v>
      </c>
      <c r="M215" s="3">
        <f>((M206+M212)/(1+C215))*C215</f>
        <v>6304.8676660475812</v>
      </c>
      <c r="N215" s="3">
        <v>0</v>
      </c>
      <c r="O215" s="3">
        <v>0</v>
      </c>
      <c r="P215" s="3">
        <f t="shared" ref="P215" si="227">SUM(D215:O215)</f>
        <v>582471.56741236395</v>
      </c>
      <c r="Z215" s="3">
        <f>537290.92+117886-112314.48</f>
        <v>542862.44000000006</v>
      </c>
      <c r="AA215" s="14" t="s">
        <v>37</v>
      </c>
      <c r="AB215" s="9">
        <f>P215-Z215</f>
        <v>39609.127412363887</v>
      </c>
      <c r="AD215" s="5"/>
    </row>
    <row r="216" spans="1:30" x14ac:dyDescent="0.25">
      <c r="B216" t="s">
        <v>35</v>
      </c>
      <c r="D216" s="3">
        <f>(0.2277*(D215/(D215+H215+J215)))*P216</f>
        <v>-10620.752185866248</v>
      </c>
      <c r="E216" s="3">
        <f>(0.7706*(E215/(E215+F215+G215+I215)))*P216</f>
        <v>-29.894626875198234</v>
      </c>
      <c r="F216" s="3">
        <f>(0.7706*(F215/(E215+F215+G215+I215)))*P216</f>
        <v>-4700.5530257285382</v>
      </c>
      <c r="G216" s="3">
        <f>(0.7706*(G215/(E215+F215+G215+I215)))*P216</f>
        <v>-39803.705298088833</v>
      </c>
      <c r="H216" s="3">
        <f>(0.2277*(H215/(H215+D215+J215)))*P216</f>
        <v>-3131.2797912945643</v>
      </c>
      <c r="I216" s="3">
        <f>(0.7706*(I215/(I215+E215+F215+G215)))*P216</f>
        <v>-2540.3985573074247</v>
      </c>
      <c r="J216" s="3">
        <f>(0.2277*(J215/(H215+D215+J215)))*P216</f>
        <v>-157.74660883918992</v>
      </c>
      <c r="K216" s="3">
        <v>0</v>
      </c>
      <c r="L216" s="3">
        <v>0</v>
      </c>
      <c r="M216" s="3">
        <f>0.0017*P216</f>
        <v>-103.84990599999999</v>
      </c>
      <c r="N216" s="3">
        <v>0</v>
      </c>
      <c r="O216" s="3">
        <v>0</v>
      </c>
      <c r="P216" s="3">
        <v>-61088.18</v>
      </c>
    </row>
    <row r="217" spans="1:30" x14ac:dyDescent="0.25">
      <c r="B217" s="11" t="s">
        <v>36</v>
      </c>
      <c r="C217" s="11"/>
      <c r="D217" s="13">
        <f>D215+D216</f>
        <v>53473.518695004022</v>
      </c>
      <c r="E217" s="13">
        <f t="shared" ref="E217:P217" si="228">E215+E216</f>
        <v>207.65640876643968</v>
      </c>
      <c r="F217" s="13">
        <f t="shared" si="228"/>
        <v>32651.351181399794</v>
      </c>
      <c r="G217" s="13">
        <f t="shared" si="228"/>
        <v>276487.62877372507</v>
      </c>
      <c r="H217" s="13">
        <f t="shared" si="228"/>
        <v>15765.41336515719</v>
      </c>
      <c r="I217" s="13">
        <f t="shared" si="228"/>
        <v>17646.316291158128</v>
      </c>
      <c r="J217" s="13">
        <f t="shared" si="228"/>
        <v>794.22493710580011</v>
      </c>
      <c r="K217" s="13">
        <f t="shared" si="228"/>
        <v>92486.26</v>
      </c>
      <c r="L217" s="13">
        <f t="shared" si="228"/>
        <v>25670</v>
      </c>
      <c r="M217" s="13">
        <f t="shared" si="228"/>
        <v>6201.0177600475809</v>
      </c>
      <c r="N217" s="13">
        <f t="shared" si="228"/>
        <v>0</v>
      </c>
      <c r="O217" s="13">
        <f t="shared" si="228"/>
        <v>0</v>
      </c>
      <c r="P217" s="13">
        <f t="shared" si="228"/>
        <v>521383.38741236395</v>
      </c>
      <c r="Y217" s="2">
        <f>P206+P214-P215+P217</f>
        <v>4626770.24</v>
      </c>
      <c r="Z217" s="3">
        <f>624206-443</f>
        <v>623763</v>
      </c>
      <c r="AA217" s="12" t="s">
        <v>38</v>
      </c>
      <c r="AB217" s="9">
        <f>P217-Z217</f>
        <v>-102379.61258763605</v>
      </c>
    </row>
    <row r="218" spans="1:30" x14ac:dyDescent="0.25">
      <c r="AD218" s="2"/>
    </row>
    <row r="219" spans="1:30" x14ac:dyDescent="0.25">
      <c r="B219" s="4" t="s">
        <v>41</v>
      </c>
      <c r="C219" s="4"/>
      <c r="D219" s="29" t="s">
        <v>21</v>
      </c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30" x14ac:dyDescent="0.25">
      <c r="D220" s="7" t="s">
        <v>9</v>
      </c>
      <c r="E220" s="7" t="s">
        <v>10</v>
      </c>
      <c r="F220" s="7" t="s">
        <v>11</v>
      </c>
      <c r="G220" s="7" t="s">
        <v>12</v>
      </c>
      <c r="H220" s="7" t="s">
        <v>13</v>
      </c>
      <c r="I220" s="7" t="s">
        <v>14</v>
      </c>
      <c r="J220" s="7">
        <v>22</v>
      </c>
      <c r="K220" s="8" t="s">
        <v>15</v>
      </c>
      <c r="L220" s="8" t="s">
        <v>16</v>
      </c>
      <c r="M220" s="8" t="s">
        <v>17</v>
      </c>
      <c r="N220" s="8" t="s">
        <v>18</v>
      </c>
      <c r="O220" s="8" t="s">
        <v>19</v>
      </c>
      <c r="P220" s="8" t="s">
        <v>20</v>
      </c>
    </row>
    <row r="221" spans="1:30" x14ac:dyDescent="0.25">
      <c r="A221" t="s">
        <v>0</v>
      </c>
      <c r="B221" t="s">
        <v>4</v>
      </c>
      <c r="D221" s="3">
        <f t="shared" ref="D221:O221" si="229">D5+D23+D41+D59+D77+D95+D113+D131+D149+D167+D185+D203</f>
        <v>777</v>
      </c>
      <c r="E221" s="3">
        <f t="shared" si="229"/>
        <v>192</v>
      </c>
      <c r="F221" s="3">
        <f t="shared" si="229"/>
        <v>44189</v>
      </c>
      <c r="G221" s="3">
        <f t="shared" si="229"/>
        <v>158524</v>
      </c>
      <c r="H221" s="3">
        <f t="shared" si="229"/>
        <v>2995</v>
      </c>
      <c r="I221" s="3">
        <f t="shared" si="229"/>
        <v>9052</v>
      </c>
      <c r="J221" s="3">
        <f t="shared" si="229"/>
        <v>12</v>
      </c>
      <c r="K221" s="3">
        <f t="shared" si="229"/>
        <v>156</v>
      </c>
      <c r="L221" s="3">
        <f t="shared" si="229"/>
        <v>12</v>
      </c>
      <c r="M221" s="3">
        <f t="shared" si="229"/>
        <v>420</v>
      </c>
      <c r="N221" s="3">
        <f t="shared" si="229"/>
        <v>6</v>
      </c>
      <c r="O221" s="3">
        <f t="shared" si="229"/>
        <v>0</v>
      </c>
      <c r="P221" s="3">
        <f>SUM(D221:O221)</f>
        <v>216335</v>
      </c>
      <c r="V221" s="3"/>
      <c r="W221" s="3"/>
    </row>
    <row r="222" spans="1:30" x14ac:dyDescent="0.25">
      <c r="A222" t="s">
        <v>1</v>
      </c>
      <c r="B222" t="s">
        <v>2</v>
      </c>
      <c r="D222" s="3">
        <f t="shared" ref="D222:O222" si="230">D6+D24+D42+D60+D78+D96+D114+D132+D150+D168+D186+D204</f>
        <v>62004651</v>
      </c>
      <c r="E222" s="3">
        <f t="shared" si="230"/>
        <v>136506</v>
      </c>
      <c r="F222" s="3">
        <f t="shared" si="230"/>
        <v>20850748</v>
      </c>
      <c r="G222" s="3">
        <f t="shared" si="230"/>
        <v>200449924</v>
      </c>
      <c r="H222" s="3">
        <f t="shared" si="230"/>
        <v>15811789</v>
      </c>
      <c r="I222" s="3">
        <f t="shared" si="230"/>
        <v>13244119</v>
      </c>
      <c r="J222" s="3">
        <f t="shared" si="230"/>
        <v>802784</v>
      </c>
      <c r="K222" s="3">
        <f t="shared" si="230"/>
        <v>112909283</v>
      </c>
      <c r="L222" s="3">
        <f t="shared" si="230"/>
        <v>34137467</v>
      </c>
      <c r="M222" s="3">
        <f t="shared" si="230"/>
        <v>1693759</v>
      </c>
      <c r="N222" s="3">
        <f t="shared" si="230"/>
        <v>48</v>
      </c>
      <c r="O222" s="3">
        <f t="shared" si="230"/>
        <v>0</v>
      </c>
      <c r="P222" s="3">
        <f>SUM(D222:O222)</f>
        <v>462041078</v>
      </c>
    </row>
    <row r="223" spans="1:30" x14ac:dyDescent="0.25">
      <c r="A223" t="s">
        <v>3</v>
      </c>
      <c r="B223" t="s">
        <v>5</v>
      </c>
      <c r="D223" s="3">
        <f t="shared" ref="D223:O223" si="231">D7+D25+D43+D61+D79+D97+D115+D133+D151+D169+D187+D205</f>
        <v>174968.58499999999</v>
      </c>
      <c r="E223" s="3">
        <f t="shared" si="231"/>
        <v>0</v>
      </c>
      <c r="F223" s="3">
        <f t="shared" si="231"/>
        <v>462.72</v>
      </c>
      <c r="G223" s="3">
        <f t="shared" si="231"/>
        <v>750.56</v>
      </c>
      <c r="H223" s="3">
        <f t="shared" si="231"/>
        <v>62452.843999999997</v>
      </c>
      <c r="I223" s="3">
        <f t="shared" si="231"/>
        <v>0</v>
      </c>
      <c r="J223" s="3">
        <f t="shared" si="231"/>
        <v>2400</v>
      </c>
      <c r="K223" s="3">
        <f t="shared" si="231"/>
        <v>241694</v>
      </c>
      <c r="L223" s="3">
        <f t="shared" si="231"/>
        <v>62147</v>
      </c>
      <c r="M223" s="3">
        <f t="shared" si="231"/>
        <v>0</v>
      </c>
      <c r="N223" s="3">
        <f t="shared" si="231"/>
        <v>0</v>
      </c>
      <c r="O223" s="3">
        <f t="shared" si="231"/>
        <v>0</v>
      </c>
      <c r="P223" s="3">
        <f t="shared" ref="P223:P224" si="232">SUM(D223:O223)</f>
        <v>544875.70900000003</v>
      </c>
      <c r="V223" s="3"/>
      <c r="W223" s="3"/>
    </row>
    <row r="224" spans="1:30" x14ac:dyDescent="0.25">
      <c r="A224" t="s">
        <v>6</v>
      </c>
      <c r="B224" t="s">
        <v>27</v>
      </c>
      <c r="D224" s="3">
        <f t="shared" ref="D224:O224" si="233">D8+D26+D44+D62+D80+D98+D116+D134+D152+D170+D188+D206</f>
        <v>5484132.9100000001</v>
      </c>
      <c r="E224" s="3">
        <f t="shared" si="233"/>
        <v>9310.6200000000008</v>
      </c>
      <c r="F224" s="3">
        <f t="shared" si="233"/>
        <v>3083824.45</v>
      </c>
      <c r="G224" s="3">
        <f t="shared" si="233"/>
        <v>23029865.16</v>
      </c>
      <c r="H224" s="3">
        <f t="shared" si="233"/>
        <v>1774038.4300000002</v>
      </c>
      <c r="I224" s="3">
        <f t="shared" si="233"/>
        <v>1501400.68</v>
      </c>
      <c r="J224" s="3">
        <f t="shared" si="233"/>
        <v>75366.460000000021</v>
      </c>
      <c r="K224" s="3">
        <f t="shared" si="233"/>
        <v>8529318.4000000004</v>
      </c>
      <c r="L224" s="3">
        <f t="shared" si="233"/>
        <v>2106616.94</v>
      </c>
      <c r="M224" s="3">
        <f t="shared" si="233"/>
        <v>598058.78999999992</v>
      </c>
      <c r="N224" s="3">
        <f t="shared" si="233"/>
        <v>70.849999999999994</v>
      </c>
      <c r="O224" s="3">
        <f t="shared" si="233"/>
        <v>0</v>
      </c>
      <c r="P224" s="3">
        <f t="shared" si="232"/>
        <v>46192003.689999998</v>
      </c>
      <c r="R224" s="2"/>
      <c r="S224" s="2"/>
      <c r="T224" s="2"/>
      <c r="U224" s="5"/>
      <c r="V224" s="3"/>
      <c r="W224" s="3"/>
      <c r="Y224" s="2">
        <f>SUM(Y19:Y217)</f>
        <v>51032963.639999993</v>
      </c>
    </row>
    <row r="225" spans="1:27" x14ac:dyDescent="0.25">
      <c r="A225" t="s">
        <v>7</v>
      </c>
      <c r="B225" t="s">
        <v>8</v>
      </c>
      <c r="AA225" s="14"/>
    </row>
    <row r="226" spans="1:27" x14ac:dyDescent="0.25">
      <c r="B226" s="10" t="s">
        <v>73</v>
      </c>
      <c r="D226" s="26"/>
      <c r="E226" s="26"/>
      <c r="F226" s="26"/>
      <c r="G226" s="26"/>
      <c r="H226" s="26"/>
      <c r="I226" s="26"/>
      <c r="J226" s="9">
        <f>J10+J28+J46+J64+J82+J100+J118+J136+J154+J172+J190+J208</f>
        <v>240000</v>
      </c>
      <c r="K226" s="25"/>
      <c r="L226" s="25"/>
      <c r="M226" s="26"/>
      <c r="N226" s="25"/>
      <c r="P226" s="25"/>
      <c r="AA226" s="12"/>
    </row>
    <row r="227" spans="1:27" x14ac:dyDescent="0.25">
      <c r="B227" s="10" t="s">
        <v>74</v>
      </c>
      <c r="D227" s="25"/>
      <c r="E227" s="25"/>
      <c r="F227" s="25"/>
      <c r="G227" s="25"/>
      <c r="H227" s="25"/>
      <c r="I227" s="25"/>
      <c r="J227" s="9">
        <f t="shared" ref="J227:J228" si="234">J11+J29+J47+J65+J83+J101+J119+J137+J155+J173+J191+J209</f>
        <v>240000</v>
      </c>
      <c r="K227" s="27"/>
      <c r="L227" s="25"/>
      <c r="M227" s="25"/>
      <c r="N227" s="25"/>
      <c r="P227" s="25"/>
    </row>
    <row r="228" spans="1:27" x14ac:dyDescent="0.25">
      <c r="B228" s="10" t="s">
        <v>75</v>
      </c>
      <c r="D228" s="25"/>
      <c r="E228" s="25"/>
      <c r="F228" s="25"/>
      <c r="G228" s="25"/>
      <c r="H228" s="25"/>
      <c r="I228" s="25"/>
      <c r="J228" s="9">
        <f t="shared" si="234"/>
        <v>322784</v>
      </c>
      <c r="K228" s="25"/>
      <c r="L228" s="25"/>
      <c r="M228" s="25"/>
      <c r="N228" s="25"/>
      <c r="P228" s="25"/>
    </row>
    <row r="229" spans="1:27" x14ac:dyDescent="0.25">
      <c r="L229" s="9"/>
    </row>
    <row r="230" spans="1:27" hidden="1" x14ac:dyDescent="0.25">
      <c r="B230" s="30" t="s">
        <v>82</v>
      </c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</row>
    <row r="231" spans="1:27" hidden="1" x14ac:dyDescent="0.25">
      <c r="B231" s="10" t="s">
        <v>76</v>
      </c>
      <c r="G231">
        <f>18.7-15.48</f>
        <v>3.2199999999999989</v>
      </c>
      <c r="I231">
        <f>18.7-15.48</f>
        <v>3.2199999999999989</v>
      </c>
      <c r="L231" s="9"/>
    </row>
    <row r="232" spans="1:27" hidden="1" x14ac:dyDescent="0.25">
      <c r="B232" s="10" t="s">
        <v>77</v>
      </c>
      <c r="G232">
        <f>(0.0917-0.0896)</f>
        <v>2.1000000000000046E-3</v>
      </c>
      <c r="I232">
        <f>(0.0917-0.0896)</f>
        <v>2.1000000000000046E-3</v>
      </c>
      <c r="L232" s="5"/>
    </row>
    <row r="233" spans="1:27" hidden="1" x14ac:dyDescent="0.25">
      <c r="B233" s="10" t="s">
        <v>78</v>
      </c>
      <c r="F233">
        <f>21.79-18.57</f>
        <v>3.2199999999999989</v>
      </c>
      <c r="H233">
        <f>44.25-41.27</f>
        <v>2.9799999999999969</v>
      </c>
    </row>
    <row r="234" spans="1:27" hidden="1" x14ac:dyDescent="0.25">
      <c r="B234" s="10" t="s">
        <v>79</v>
      </c>
      <c r="D234" s="28"/>
      <c r="E234" s="28"/>
      <c r="F234" s="28"/>
      <c r="G234" s="28"/>
      <c r="H234" s="28"/>
      <c r="I234" s="28"/>
      <c r="J234" s="28"/>
      <c r="K234" s="28">
        <f>(7.49-7.4)</f>
        <v>8.9999999999999858E-2</v>
      </c>
      <c r="L234" s="28">
        <f>(7.49-7.4)</f>
        <v>8.9999999999999858E-2</v>
      </c>
      <c r="M234" s="28"/>
      <c r="N234" s="28"/>
      <c r="O234" s="28"/>
      <c r="P234" s="28"/>
    </row>
    <row r="235" spans="1:27" hidden="1" x14ac:dyDescent="0.25">
      <c r="F235" s="5">
        <f>F233*F221</f>
        <v>142288.57999999996</v>
      </c>
      <c r="G235" s="5">
        <f>(G221*G231)+(G232*G222)</f>
        <v>931392.12040000071</v>
      </c>
      <c r="H235" s="5">
        <f>H233*H221</f>
        <v>8925.0999999999913</v>
      </c>
      <c r="I235" s="5">
        <f>(I221*I231)+(I232*I222)</f>
        <v>56960.08990000005</v>
      </c>
      <c r="K235" s="5">
        <f>K234*K223</f>
        <v>21752.459999999966</v>
      </c>
      <c r="L235" s="5">
        <f>L234*L223</f>
        <v>5593.2299999999914</v>
      </c>
      <c r="P235" s="2">
        <f>SUM(D235:N235)</f>
        <v>1166911.5803000007</v>
      </c>
    </row>
    <row r="236" spans="1:27" hidden="1" x14ac:dyDescent="0.25"/>
    <row r="238" spans="1:27" x14ac:dyDescent="0.25">
      <c r="B238" s="30" t="s">
        <v>83</v>
      </c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</row>
    <row r="239" spans="1:27" x14ac:dyDescent="0.25">
      <c r="B239" s="10" t="s">
        <v>76</v>
      </c>
      <c r="G239">
        <f>19-15.48</f>
        <v>3.5199999999999996</v>
      </c>
      <c r="I239">
        <f>19-15.48</f>
        <v>3.5199999999999996</v>
      </c>
    </row>
    <row r="240" spans="1:27" x14ac:dyDescent="0.25">
      <c r="B240" s="10" t="s">
        <v>81</v>
      </c>
      <c r="G240">
        <f>0.09322-0.0896</f>
        <v>3.6199999999999982E-3</v>
      </c>
      <c r="I240">
        <f>0.09321-0.0896</f>
        <v>3.6100000000000021E-3</v>
      </c>
    </row>
    <row r="241" spans="2:16" x14ac:dyDescent="0.25">
      <c r="B241" s="10" t="s">
        <v>78</v>
      </c>
      <c r="F241">
        <f>(23.55-18.57)</f>
        <v>4.9800000000000004</v>
      </c>
      <c r="H241">
        <f>52.41-41.27</f>
        <v>11.139999999999993</v>
      </c>
    </row>
    <row r="242" spans="2:16" x14ac:dyDescent="0.25">
      <c r="B242" s="10" t="s">
        <v>80</v>
      </c>
      <c r="F242" s="33">
        <f>(0.09189-0.09187)</f>
        <v>2.0000000000006124E-5</v>
      </c>
      <c r="H242" s="33">
        <f>(0.09189-0.09187)</f>
        <v>2.0000000000006124E-5</v>
      </c>
    </row>
    <row r="243" spans="2:16" x14ac:dyDescent="0.25">
      <c r="B243" s="10" t="s">
        <v>79</v>
      </c>
      <c r="D243" s="28"/>
      <c r="E243" s="28"/>
      <c r="F243" s="28"/>
      <c r="G243" s="28"/>
      <c r="H243" s="28"/>
      <c r="I243" s="28"/>
      <c r="J243" s="28"/>
      <c r="K243" s="28">
        <f>(7.49-7.4)</f>
        <v>8.9999999999999858E-2</v>
      </c>
      <c r="L243" s="28">
        <f>(7.49-7.4)</f>
        <v>8.9999999999999858E-2</v>
      </c>
      <c r="M243" s="28"/>
      <c r="N243" s="28"/>
      <c r="O243" s="28"/>
      <c r="P243" s="28"/>
    </row>
    <row r="244" spans="2:16" x14ac:dyDescent="0.25">
      <c r="F244" s="34">
        <f>(F241*F221)+(F242*F222)</f>
        <v>220478.23496000015</v>
      </c>
      <c r="G244" s="34">
        <f>(G239*G221)+(G222*G240)</f>
        <v>1283633.2048799996</v>
      </c>
      <c r="H244" s="34">
        <f>(H241*H221)+(H242*H222)</f>
        <v>33680.535780000078</v>
      </c>
      <c r="I244" s="34">
        <f>(I239*I221)+(I240*I222)</f>
        <v>79674.309590000019</v>
      </c>
      <c r="J244" s="34"/>
      <c r="K244" s="34">
        <f>K243*K223</f>
        <v>21752.459999999966</v>
      </c>
      <c r="L244" s="34">
        <f>L243*L223</f>
        <v>5593.2299999999914</v>
      </c>
      <c r="M244" s="34"/>
      <c r="N244" s="34"/>
      <c r="O244" s="34"/>
      <c r="P244" s="34">
        <f>SUM(D244:N244)</f>
        <v>1644811.9752099996</v>
      </c>
    </row>
  </sheetData>
  <mergeCells count="16">
    <mergeCell ref="B238:P238"/>
    <mergeCell ref="A14:A20"/>
    <mergeCell ref="D183:O183"/>
    <mergeCell ref="D201:O201"/>
    <mergeCell ref="D219:O219"/>
    <mergeCell ref="D93:O93"/>
    <mergeCell ref="D111:O111"/>
    <mergeCell ref="D129:O129"/>
    <mergeCell ref="D147:O147"/>
    <mergeCell ref="D165:O165"/>
    <mergeCell ref="B230:P230"/>
    <mergeCell ref="D3:O3"/>
    <mergeCell ref="D21:O21"/>
    <mergeCell ref="D39:O39"/>
    <mergeCell ref="D57:O57"/>
    <mergeCell ref="D75:O75"/>
  </mergeCells>
  <pageMargins left="0.7" right="0.7" top="0.75" bottom="0.75" header="0.3" footer="0.3"/>
  <pageSetup orientation="portrait" r:id="rId1"/>
  <ignoredErrors>
    <ignoredError sqref="K4:L4 K22:M22 K40:M40 K58:M58 K76:M76 K94:M94 D112:I112 K130:L130 K148:M148 K166:M166 K184 K202:M202 K220:L220 D220:I220 D202:I202 D184:I184 D166:I166 D148:I148 D130:I130 D94:I94 D76:I76 D58:I58 D40:I40 D22:I22 D4:I4" numberStoredAsText="1"/>
    <ignoredError sqref="G24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26DA-82DC-4B09-BA3D-F2E0AE919513}">
  <dimension ref="B1:U24"/>
  <sheetViews>
    <sheetView workbookViewId="0">
      <selection activeCell="G19" sqref="G19"/>
    </sheetView>
  </sheetViews>
  <sheetFormatPr defaultColWidth="9.140625" defaultRowHeight="15" x14ac:dyDescent="0.25"/>
  <cols>
    <col min="2" max="2" width="9.5703125" bestFit="1" customWidth="1"/>
    <col min="3" max="3" width="10.28515625" bestFit="1" customWidth="1"/>
    <col min="4" max="4" width="10.5703125" bestFit="1" customWidth="1"/>
    <col min="7" max="7" width="15.28515625" style="18" bestFit="1" customWidth="1"/>
    <col min="12" max="12" width="9.7109375" bestFit="1" customWidth="1"/>
    <col min="13" max="13" width="10.140625" bestFit="1" customWidth="1"/>
    <col min="14" max="14" width="11.5703125" bestFit="1" customWidth="1"/>
    <col min="15" max="15" width="10.5703125" customWidth="1"/>
    <col min="16" max="16" width="10.5703125" bestFit="1" customWidth="1"/>
    <col min="18" max="18" width="9.5703125" bestFit="1" customWidth="1"/>
    <col min="19" max="19" width="10.28515625" bestFit="1" customWidth="1"/>
    <col min="20" max="21" width="10.5703125" bestFit="1" customWidth="1"/>
  </cols>
  <sheetData>
    <row r="1" spans="2:21" x14ac:dyDescent="0.25">
      <c r="M1" s="32"/>
      <c r="N1" s="32"/>
      <c r="O1" s="32"/>
      <c r="P1" s="32"/>
      <c r="Q1" s="32"/>
      <c r="R1" s="32"/>
      <c r="S1" s="32"/>
      <c r="T1" s="32"/>
      <c r="U1" s="32"/>
    </row>
    <row r="2" spans="2:21" x14ac:dyDescent="0.25">
      <c r="T2" s="15"/>
    </row>
    <row r="3" spans="2:21" x14ac:dyDescent="0.25">
      <c r="B3" s="12" t="s">
        <v>30</v>
      </c>
      <c r="C3" s="18"/>
      <c r="D3" s="18"/>
      <c r="M3" s="15"/>
      <c r="N3" s="15"/>
      <c r="O3" s="15"/>
      <c r="P3" s="15"/>
      <c r="Q3" s="15"/>
      <c r="R3" s="15"/>
      <c r="S3" s="15"/>
      <c r="T3" s="15"/>
    </row>
    <row r="4" spans="2:21" x14ac:dyDescent="0.25">
      <c r="B4" t="s">
        <v>65</v>
      </c>
      <c r="C4" s="18"/>
      <c r="D4" s="18"/>
      <c r="G4" s="18">
        <v>456235216</v>
      </c>
      <c r="M4" s="15"/>
      <c r="N4" s="15"/>
      <c r="O4" s="15"/>
      <c r="P4" s="15"/>
      <c r="Q4" s="15"/>
      <c r="R4" s="15"/>
      <c r="S4" s="15"/>
      <c r="T4" s="15"/>
      <c r="U4" s="15"/>
    </row>
    <row r="5" spans="2:21" x14ac:dyDescent="0.25">
      <c r="B5" s="10" t="s">
        <v>42</v>
      </c>
      <c r="C5" s="18"/>
      <c r="D5" s="18"/>
      <c r="G5" s="3">
        <v>-228337</v>
      </c>
      <c r="M5" s="15"/>
      <c r="N5" s="15"/>
      <c r="O5" s="15"/>
      <c r="P5" s="15"/>
      <c r="Q5" s="15"/>
      <c r="R5" s="15"/>
      <c r="S5" s="15"/>
      <c r="T5" s="15"/>
      <c r="U5" s="15"/>
    </row>
    <row r="6" spans="2:21" x14ac:dyDescent="0.25">
      <c r="B6" s="10" t="s">
        <v>66</v>
      </c>
      <c r="C6" s="18"/>
      <c r="D6" s="18"/>
      <c r="G6" s="17">
        <v>2843847</v>
      </c>
      <c r="M6" s="15"/>
      <c r="N6" s="15"/>
      <c r="O6" s="15"/>
      <c r="P6" s="15"/>
      <c r="Q6" s="15"/>
      <c r="R6" s="15"/>
      <c r="S6" s="15"/>
      <c r="T6" s="15"/>
      <c r="U6" s="15"/>
    </row>
    <row r="7" spans="2:21" x14ac:dyDescent="0.25">
      <c r="B7" s="10" t="s">
        <v>63</v>
      </c>
      <c r="C7" s="18"/>
      <c r="D7" s="18"/>
      <c r="G7" s="20">
        <f>'Contract Min.'!P14</f>
        <v>3190353</v>
      </c>
      <c r="M7" s="15"/>
      <c r="N7" s="15"/>
      <c r="O7" s="15"/>
      <c r="P7" s="15"/>
      <c r="Q7" s="15"/>
      <c r="R7" s="15"/>
      <c r="S7" s="15"/>
      <c r="T7" s="15"/>
      <c r="U7" s="15"/>
    </row>
    <row r="8" spans="2:21" x14ac:dyDescent="0.25">
      <c r="B8" s="11" t="s">
        <v>29</v>
      </c>
      <c r="C8" s="18"/>
      <c r="D8" s="18"/>
      <c r="G8" s="18">
        <f>SUM(G4:G7)</f>
        <v>462041079</v>
      </c>
      <c r="M8" s="15"/>
      <c r="N8" s="15"/>
      <c r="O8" s="15"/>
      <c r="P8" s="15"/>
      <c r="Q8" s="15"/>
      <c r="R8" s="15"/>
      <c r="S8" s="15"/>
      <c r="T8" s="15"/>
      <c r="U8" s="15"/>
    </row>
    <row r="9" spans="2:21" x14ac:dyDescent="0.25">
      <c r="B9" s="11" t="s">
        <v>28</v>
      </c>
      <c r="C9" s="18"/>
      <c r="D9" s="18"/>
      <c r="G9" s="20">
        <f>'Billing Determinants'!P222</f>
        <v>462041078</v>
      </c>
      <c r="M9" s="15"/>
      <c r="N9" s="15"/>
      <c r="O9" s="15"/>
      <c r="P9" s="15"/>
      <c r="Q9" s="15"/>
      <c r="R9" s="15"/>
      <c r="S9" s="15"/>
      <c r="T9" s="15"/>
      <c r="U9" s="15"/>
    </row>
    <row r="10" spans="2:21" ht="15.75" thickBot="1" x14ac:dyDescent="0.3">
      <c r="B10" s="10" t="s">
        <v>64</v>
      </c>
      <c r="C10" s="18"/>
      <c r="D10" s="18"/>
      <c r="G10" s="21">
        <f>G8-G9</f>
        <v>1</v>
      </c>
      <c r="M10" s="15"/>
      <c r="N10" s="15"/>
      <c r="O10" s="15"/>
      <c r="P10" s="15"/>
      <c r="Q10" s="15"/>
      <c r="R10" s="15"/>
      <c r="S10" s="15"/>
      <c r="T10" s="15"/>
      <c r="U10" s="15"/>
    </row>
    <row r="11" spans="2:21" x14ac:dyDescent="0.25">
      <c r="C11" s="18"/>
      <c r="D11" s="18"/>
      <c r="F11" s="9"/>
      <c r="M11" s="15"/>
      <c r="N11" s="15"/>
      <c r="O11" s="15"/>
      <c r="P11" s="15"/>
      <c r="Q11" s="15"/>
      <c r="R11" s="15"/>
      <c r="S11" s="15"/>
      <c r="T11" s="15"/>
      <c r="U11" s="15"/>
    </row>
    <row r="12" spans="2:21" x14ac:dyDescent="0.25">
      <c r="C12" s="18"/>
      <c r="D12" s="18"/>
      <c r="M12" s="15"/>
      <c r="N12" s="15"/>
      <c r="O12" s="15"/>
      <c r="P12" s="15"/>
      <c r="Q12" s="15"/>
      <c r="R12" s="15"/>
      <c r="S12" s="15"/>
      <c r="T12" s="15"/>
      <c r="U12" s="15"/>
    </row>
    <row r="13" spans="2:21" x14ac:dyDescent="0.25">
      <c r="C13" s="18"/>
      <c r="D13" s="18"/>
      <c r="M13" s="15"/>
      <c r="N13" s="15"/>
      <c r="O13" s="15"/>
      <c r="P13" s="15"/>
      <c r="Q13" s="15"/>
      <c r="R13" s="15"/>
      <c r="S13" s="15"/>
      <c r="T13" s="15"/>
      <c r="U13" s="15"/>
    </row>
    <row r="14" spans="2:21" x14ac:dyDescent="0.25">
      <c r="B14" s="12" t="s">
        <v>67</v>
      </c>
      <c r="C14" s="18"/>
      <c r="D14" s="18"/>
      <c r="M14" s="15"/>
      <c r="N14" s="15"/>
      <c r="O14" s="15"/>
      <c r="P14" s="15"/>
      <c r="Q14" s="15"/>
      <c r="R14" s="15"/>
      <c r="S14" s="15"/>
      <c r="T14" s="15"/>
      <c r="U14" s="15"/>
    </row>
    <row r="15" spans="2:21" x14ac:dyDescent="0.25">
      <c r="B15" t="s">
        <v>69</v>
      </c>
      <c r="G15" s="22">
        <v>50801894</v>
      </c>
      <c r="M15" s="15"/>
      <c r="N15" s="15"/>
      <c r="O15" s="15"/>
      <c r="P15" s="15"/>
      <c r="Q15" s="15"/>
      <c r="R15" s="15"/>
      <c r="S15" s="15"/>
      <c r="T15" s="15"/>
    </row>
    <row r="16" spans="2:21" x14ac:dyDescent="0.25">
      <c r="B16" s="10" t="s">
        <v>70</v>
      </c>
      <c r="C16" s="18"/>
      <c r="D16" s="18"/>
      <c r="G16" s="18">
        <v>-23224.7</v>
      </c>
      <c r="M16" s="15"/>
      <c r="N16" s="15"/>
      <c r="O16" s="15"/>
      <c r="P16" s="15"/>
      <c r="Q16" s="15"/>
      <c r="R16" s="15"/>
      <c r="S16" s="15"/>
      <c r="T16" s="15"/>
    </row>
    <row r="17" spans="2:7" x14ac:dyDescent="0.25">
      <c r="B17" s="10" t="s">
        <v>71</v>
      </c>
      <c r="C17" s="18"/>
      <c r="D17" s="18"/>
      <c r="G17" s="20">
        <f>254313.66</f>
        <v>254313.66</v>
      </c>
    </row>
    <row r="18" spans="2:7" x14ac:dyDescent="0.25">
      <c r="B18" s="11" t="s">
        <v>72</v>
      </c>
      <c r="C18" s="18"/>
      <c r="D18" s="18"/>
      <c r="G18" s="18">
        <f>SUM(G15:G17)</f>
        <v>51032982.959999993</v>
      </c>
    </row>
    <row r="19" spans="2:7" x14ac:dyDescent="0.25">
      <c r="B19" s="11" t="s">
        <v>68</v>
      </c>
      <c r="C19" s="18"/>
      <c r="D19" s="18"/>
      <c r="G19" s="20">
        <f>'Billing Determinants'!Y224</f>
        <v>51032963.639999993</v>
      </c>
    </row>
    <row r="20" spans="2:7" ht="15.75" thickBot="1" x14ac:dyDescent="0.3">
      <c r="B20" s="10" t="s">
        <v>64</v>
      </c>
      <c r="C20" s="18"/>
      <c r="D20" s="18"/>
      <c r="G20" s="23">
        <f>G18-G19</f>
        <v>19.320000000298023</v>
      </c>
    </row>
    <row r="21" spans="2:7" x14ac:dyDescent="0.25">
      <c r="C21" s="18"/>
      <c r="D21" s="18"/>
    </row>
    <row r="22" spans="2:7" x14ac:dyDescent="0.25">
      <c r="C22" s="9"/>
    </row>
    <row r="23" spans="2:7" x14ac:dyDescent="0.25">
      <c r="C23" s="9"/>
    </row>
    <row r="24" spans="2:7" x14ac:dyDescent="0.25">
      <c r="C24" s="9"/>
    </row>
  </sheetData>
  <mergeCells count="1">
    <mergeCell ref="M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5D7E-6B35-4B75-8412-53306ED048D0}">
  <dimension ref="B3:P25"/>
  <sheetViews>
    <sheetView workbookViewId="0">
      <selection activeCell="G19" sqref="G19"/>
    </sheetView>
  </sheetViews>
  <sheetFormatPr defaultColWidth="9.140625" defaultRowHeight="15" x14ac:dyDescent="0.25"/>
  <cols>
    <col min="2" max="2" width="25" bestFit="1" customWidth="1"/>
    <col min="3" max="3" width="11" bestFit="1" customWidth="1"/>
    <col min="4" max="9" width="11.5703125" bestFit="1" customWidth="1"/>
    <col min="10" max="11" width="10.5703125" bestFit="1" customWidth="1"/>
    <col min="12" max="15" width="11.5703125" bestFit="1" customWidth="1"/>
    <col min="16" max="16" width="13.28515625" bestFit="1" customWidth="1"/>
  </cols>
  <sheetData>
    <row r="3" spans="2:16" x14ac:dyDescent="0.25">
      <c r="E3" s="1"/>
      <c r="F3" s="1"/>
      <c r="G3" s="1"/>
      <c r="H3" s="1"/>
      <c r="I3" s="1"/>
      <c r="J3" s="1"/>
      <c r="K3" s="1"/>
    </row>
    <row r="4" spans="2:16" x14ac:dyDescent="0.25">
      <c r="D4" s="30" t="s">
        <v>60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2:16" x14ac:dyDescent="0.25">
      <c r="B5" t="s">
        <v>43</v>
      </c>
      <c r="C5" t="s">
        <v>44</v>
      </c>
      <c r="D5" s="8" t="s">
        <v>48</v>
      </c>
      <c r="E5" s="19" t="s">
        <v>49</v>
      </c>
      <c r="F5" s="19" t="s">
        <v>50</v>
      </c>
      <c r="G5" s="8" t="s">
        <v>51</v>
      </c>
      <c r="H5" s="19" t="s">
        <v>52</v>
      </c>
      <c r="I5" s="19" t="s">
        <v>53</v>
      </c>
      <c r="J5" s="8" t="s">
        <v>54</v>
      </c>
      <c r="K5" s="19" t="s">
        <v>55</v>
      </c>
      <c r="L5" s="19" t="s">
        <v>56</v>
      </c>
      <c r="M5" s="8" t="s">
        <v>57</v>
      </c>
      <c r="N5" s="19" t="s">
        <v>58</v>
      </c>
      <c r="O5" s="19" t="s">
        <v>59</v>
      </c>
      <c r="P5" s="16" t="s">
        <v>20</v>
      </c>
    </row>
    <row r="6" spans="2:16" x14ac:dyDescent="0.25">
      <c r="B6" t="s">
        <v>45</v>
      </c>
      <c r="C6">
        <v>998460001</v>
      </c>
      <c r="D6" s="18"/>
      <c r="E6" s="18"/>
      <c r="F6" s="18">
        <v>119319</v>
      </c>
      <c r="G6" s="18">
        <v>188010</v>
      </c>
      <c r="H6" s="18">
        <v>91738</v>
      </c>
      <c r="I6" s="18">
        <v>0</v>
      </c>
      <c r="J6" s="18">
        <v>0</v>
      </c>
      <c r="K6" s="18">
        <v>0</v>
      </c>
      <c r="L6" s="18">
        <v>42554</v>
      </c>
      <c r="M6" s="18">
        <v>188140</v>
      </c>
      <c r="N6" s="18">
        <v>258796</v>
      </c>
      <c r="O6" s="18">
        <v>183934</v>
      </c>
      <c r="P6" s="9"/>
    </row>
    <row r="7" spans="2:16" x14ac:dyDescent="0.25">
      <c r="B7" t="s">
        <v>45</v>
      </c>
      <c r="C7">
        <v>998460002</v>
      </c>
      <c r="D7" s="18"/>
      <c r="E7" s="18"/>
      <c r="F7" s="18">
        <v>0</v>
      </c>
      <c r="G7" s="18">
        <v>0</v>
      </c>
      <c r="H7" s="18">
        <v>0</v>
      </c>
      <c r="I7" s="18">
        <v>49112</v>
      </c>
      <c r="J7" s="18">
        <v>0</v>
      </c>
      <c r="K7" s="18">
        <v>0</v>
      </c>
      <c r="L7" s="18">
        <v>3714</v>
      </c>
      <c r="M7" s="18">
        <v>0</v>
      </c>
      <c r="N7" s="18">
        <v>7711</v>
      </c>
      <c r="O7" s="18">
        <v>0</v>
      </c>
      <c r="P7" s="9"/>
    </row>
    <row r="8" spans="2:16" x14ac:dyDescent="0.25">
      <c r="B8" t="s">
        <v>45</v>
      </c>
      <c r="C8">
        <v>998460003</v>
      </c>
      <c r="D8" s="18"/>
      <c r="E8" s="18"/>
      <c r="F8" s="18">
        <v>13326</v>
      </c>
      <c r="G8" s="18">
        <v>55123</v>
      </c>
      <c r="H8" s="18">
        <v>21600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69536</v>
      </c>
      <c r="O8" s="18">
        <v>0</v>
      </c>
      <c r="P8" s="9"/>
    </row>
    <row r="9" spans="2:16" x14ac:dyDescent="0.25">
      <c r="B9" t="s">
        <v>62</v>
      </c>
      <c r="C9">
        <v>998459001</v>
      </c>
      <c r="D9" s="18"/>
      <c r="E9" s="18"/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17930</v>
      </c>
      <c r="O9" s="18">
        <v>19029</v>
      </c>
      <c r="P9" s="9"/>
    </row>
    <row r="10" spans="2:16" x14ac:dyDescent="0.25">
      <c r="B10" t="s">
        <v>46</v>
      </c>
      <c r="C10">
        <v>991010001</v>
      </c>
      <c r="D10" s="18"/>
      <c r="E10" s="18"/>
      <c r="F10" s="18">
        <v>114015</v>
      </c>
      <c r="G10" s="18">
        <v>126289</v>
      </c>
      <c r="H10" s="18">
        <v>120370</v>
      </c>
      <c r="I10" s="18">
        <v>113809</v>
      </c>
      <c r="J10" s="18">
        <v>95322</v>
      </c>
      <c r="K10" s="18">
        <v>99665</v>
      </c>
      <c r="L10" s="18">
        <v>113833</v>
      </c>
      <c r="M10" s="18">
        <v>120996</v>
      </c>
      <c r="N10" s="18">
        <v>120080</v>
      </c>
      <c r="O10" s="18">
        <v>113614</v>
      </c>
      <c r="P10" s="9"/>
    </row>
    <row r="11" spans="2:16" x14ac:dyDescent="0.25">
      <c r="B11" t="s">
        <v>47</v>
      </c>
      <c r="C11">
        <v>29346001</v>
      </c>
      <c r="D11" s="18"/>
      <c r="E11" s="18"/>
      <c r="F11" s="18">
        <v>38110</v>
      </c>
      <c r="G11" s="18">
        <v>25502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18342</v>
      </c>
      <c r="O11" s="18">
        <v>0</v>
      </c>
      <c r="P11" s="9"/>
    </row>
    <row r="12" spans="2:16" x14ac:dyDescent="0.25">
      <c r="B12" t="s">
        <v>61</v>
      </c>
      <c r="C12">
        <v>1002128001</v>
      </c>
      <c r="D12" s="18"/>
      <c r="E12" s="18"/>
      <c r="F12" s="18">
        <v>0</v>
      </c>
      <c r="G12" s="18">
        <v>0</v>
      </c>
      <c r="H12" s="18">
        <v>0</v>
      </c>
      <c r="I12" s="18">
        <v>1582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9"/>
    </row>
    <row r="13" spans="2:16" x14ac:dyDescent="0.25">
      <c r="B13" t="s">
        <v>61</v>
      </c>
      <c r="C13">
        <v>1002128002</v>
      </c>
      <c r="D13" s="20"/>
      <c r="E13" s="20"/>
      <c r="F13" s="20">
        <v>0</v>
      </c>
      <c r="G13" s="20">
        <v>0</v>
      </c>
      <c r="H13" s="20">
        <v>0</v>
      </c>
      <c r="I13" s="20">
        <v>63342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9"/>
    </row>
    <row r="14" spans="2:16" x14ac:dyDescent="0.25">
      <c r="D14" s="18">
        <f>173624+259388</f>
        <v>433012</v>
      </c>
      <c r="E14" s="18">
        <f>35049+107849</f>
        <v>142898</v>
      </c>
      <c r="F14" s="18">
        <f>SUM(F6:F13)</f>
        <v>284770</v>
      </c>
      <c r="G14" s="18">
        <f t="shared" ref="G14:O14" si="0">SUM(G6:G13)</f>
        <v>394924</v>
      </c>
      <c r="H14" s="18">
        <f t="shared" si="0"/>
        <v>233708</v>
      </c>
      <c r="I14" s="18">
        <f t="shared" si="0"/>
        <v>227845</v>
      </c>
      <c r="J14" s="18">
        <f t="shared" si="0"/>
        <v>95322</v>
      </c>
      <c r="K14" s="18">
        <f t="shared" si="0"/>
        <v>99665</v>
      </c>
      <c r="L14" s="18">
        <f t="shared" si="0"/>
        <v>160101</v>
      </c>
      <c r="M14" s="18">
        <f t="shared" si="0"/>
        <v>309136</v>
      </c>
      <c r="N14" s="18">
        <f t="shared" si="0"/>
        <v>492395</v>
      </c>
      <c r="O14" s="18">
        <f t="shared" si="0"/>
        <v>316577</v>
      </c>
      <c r="P14" s="9">
        <f>SUM(D14:O14)</f>
        <v>3190353</v>
      </c>
    </row>
    <row r="15" spans="2:16" x14ac:dyDescent="0.25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16" x14ac:dyDescent="0.25">
      <c r="D16" s="15"/>
      <c r="E16" s="16"/>
      <c r="F16" s="16"/>
      <c r="G16" s="16"/>
      <c r="H16" s="16"/>
      <c r="I16" s="16"/>
      <c r="J16" s="16"/>
      <c r="K16" s="16"/>
      <c r="L16" s="15"/>
      <c r="M16" s="15"/>
      <c r="N16" s="15"/>
      <c r="O16" s="15"/>
    </row>
    <row r="17" spans="4:15" x14ac:dyDescent="0.25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4:15" x14ac:dyDescent="0.25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4:15" x14ac:dyDescent="0.25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4:15" x14ac:dyDescent="0.25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4:15" x14ac:dyDescent="0.25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4:15" x14ac:dyDescent="0.25">
      <c r="D22" s="15"/>
      <c r="E22" s="16"/>
      <c r="F22" s="16"/>
      <c r="G22" s="16"/>
      <c r="H22" s="16"/>
      <c r="I22" s="16"/>
      <c r="J22" s="16"/>
      <c r="K22" s="16"/>
      <c r="L22" s="15"/>
      <c r="M22" s="15"/>
      <c r="N22" s="15"/>
      <c r="O22" s="15"/>
    </row>
    <row r="23" spans="4:15" x14ac:dyDescent="0.25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4:15" x14ac:dyDescent="0.25">
      <c r="E24" s="15"/>
      <c r="F24" s="15"/>
      <c r="G24" s="15"/>
      <c r="H24" s="15"/>
      <c r="I24" s="15"/>
      <c r="J24" s="15"/>
      <c r="K24" s="15"/>
    </row>
    <row r="25" spans="4:15" x14ac:dyDescent="0.25">
      <c r="E25" s="15"/>
      <c r="F25" s="15"/>
      <c r="G25" s="15"/>
      <c r="H25" s="15"/>
      <c r="I25" s="15"/>
      <c r="J25" s="15"/>
      <c r="K25" s="15"/>
    </row>
  </sheetData>
  <mergeCells count="1">
    <mergeCell ref="D4:O4"/>
  </mergeCells>
  <phoneticPr fontId="6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Billing Determinants</vt:lpstr>
      <vt:lpstr>Form 7 Reconciliation</vt:lpstr>
      <vt:lpstr>Contract Min.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2023-02-08T20:20:39Z</dcterms:created>
  <dcterms:modified xsi:type="dcterms:W3CDTF">2025-01-27T16:50:02Z</dcterms:modified>
</cp:coreProperties>
</file>