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52\"/>
    </mc:Choice>
  </mc:AlternateContent>
  <xr:revisionPtr revIDLastSave="0" documentId="13_ncr:1_{3BED5802-9A5E-4B46-B040-4A35AC8CB0C7}" xr6:coauthVersionLast="47" xr6:coauthVersionMax="47" xr10:uidLastSave="{00000000-0000-0000-0000-000000000000}"/>
  <bookViews>
    <workbookView xWindow="-120" yWindow="-120" windowWidth="29040" windowHeight="15720" xr2:uid="{9BCA765C-12BA-4800-B4F6-A7116F0DBA58}"/>
  </bookViews>
  <sheets>
    <sheet name="Request 50" sheetId="1" r:id="rId1"/>
    <sheet name="Workpapers" sheetId="3" r:id="rId2"/>
    <sheet name="2023" sheetId="5" r:id="rId3"/>
    <sheet name="2022" sheetId="6" r:id="rId4"/>
    <sheet name="2021" sheetId="11" r:id="rId5"/>
    <sheet name="2020" sheetId="10" r:id="rId6"/>
    <sheet name="2019" sheetId="8" r:id="rId7"/>
    <sheet name="2018" sheetId="9" r:id="rId8"/>
  </sheets>
  <definedNames>
    <definedName name="_xlnm._FilterDatabase" localSheetId="1" hidden="1">Workpapers!$A$5:$E$5</definedName>
    <definedName name="Billhistdetl__nonrecurring_charge__adjdetl" localSheetId="1">Workpapers!#REF!</definedName>
    <definedName name="_xlnm.Print_Area" localSheetId="0">'Request 50'!$A$1:$G$201</definedName>
    <definedName name="_xlnm.Print_Area" localSheetId="1">Workpapers!$A$1:$E$64</definedName>
    <definedName name="_xlnm.Print_Titles" localSheetId="0">'Request 50'!$1:$3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E172" i="1"/>
  <c r="F172" i="1"/>
  <c r="F174" i="1"/>
  <c r="E173" i="1"/>
  <c r="F173" i="1"/>
  <c r="E199" i="1"/>
  <c r="E193" i="1"/>
  <c r="E187" i="1"/>
  <c r="E181" i="1"/>
  <c r="E175" i="1"/>
  <c r="F187" i="1"/>
  <c r="F181" i="1"/>
  <c r="E139" i="1"/>
  <c r="F139" i="1"/>
  <c r="E140" i="1"/>
  <c r="F140" i="1"/>
  <c r="F141" i="1"/>
  <c r="E166" i="1"/>
  <c r="E154" i="1"/>
  <c r="E148" i="1"/>
  <c r="E142" i="1"/>
  <c r="F154" i="1"/>
  <c r="F148" i="1"/>
  <c r="E106" i="1"/>
  <c r="F106" i="1"/>
  <c r="F108" i="1"/>
  <c r="E107" i="1"/>
  <c r="F107" i="1"/>
  <c r="F121" i="1"/>
  <c r="F115" i="1"/>
  <c r="E133" i="1"/>
  <c r="E121" i="1"/>
  <c r="E115" i="1"/>
  <c r="E109" i="1"/>
  <c r="O7" i="11"/>
  <c r="F88" i="1"/>
  <c r="F82" i="1"/>
  <c r="F101" i="1" s="1"/>
  <c r="E100" i="1"/>
  <c r="E88" i="1"/>
  <c r="E82" i="1"/>
  <c r="E76" i="1"/>
  <c r="E74" i="1"/>
  <c r="F74" i="1"/>
  <c r="F73" i="1"/>
  <c r="C58" i="3"/>
  <c r="D58" i="3"/>
  <c r="C59" i="3"/>
  <c r="D59" i="3"/>
  <c r="D60" i="3"/>
  <c r="C61" i="3"/>
  <c r="C48" i="3"/>
  <c r="D48" i="3"/>
  <c r="C50" i="3"/>
  <c r="D50" i="3"/>
  <c r="C49" i="3"/>
  <c r="D49" i="3"/>
  <c r="C51" i="3"/>
  <c r="C38" i="3"/>
  <c r="D38" i="3"/>
  <c r="D40" i="3"/>
  <c r="C39" i="3"/>
  <c r="D39" i="3"/>
  <c r="F200" i="1" l="1"/>
  <c r="E200" i="1"/>
  <c r="F167" i="1"/>
  <c r="E167" i="1"/>
  <c r="F134" i="1"/>
  <c r="E134" i="1"/>
  <c r="E101" i="1"/>
  <c r="D63" i="3"/>
  <c r="C63" i="3"/>
  <c r="D53" i="3"/>
  <c r="C53" i="3"/>
  <c r="O41" i="10" l="1"/>
  <c r="N38" i="10"/>
  <c r="O38" i="10" s="1"/>
  <c r="M38" i="10"/>
  <c r="L38" i="10"/>
  <c r="K38" i="10"/>
  <c r="J38" i="10"/>
  <c r="I38" i="10"/>
  <c r="H38" i="10"/>
  <c r="G38" i="10"/>
  <c r="F38" i="10"/>
  <c r="E38" i="10"/>
  <c r="D38" i="10"/>
  <c r="C38" i="10"/>
  <c r="N37" i="10"/>
  <c r="M37" i="10"/>
  <c r="L37" i="10"/>
  <c r="K37" i="10"/>
  <c r="O37" i="10" s="1"/>
  <c r="J37" i="10"/>
  <c r="I37" i="10"/>
  <c r="H37" i="10"/>
  <c r="G37" i="10"/>
  <c r="F37" i="10"/>
  <c r="E37" i="10"/>
  <c r="D37" i="10"/>
  <c r="C37" i="10"/>
  <c r="N36" i="10"/>
  <c r="M36" i="10"/>
  <c r="L36" i="10"/>
  <c r="K36" i="10"/>
  <c r="J36" i="10"/>
  <c r="I36" i="10"/>
  <c r="H36" i="10"/>
  <c r="O36" i="10" s="1"/>
  <c r="G36" i="10"/>
  <c r="F36" i="10"/>
  <c r="E36" i="10"/>
  <c r="D36" i="10"/>
  <c r="C36" i="10"/>
  <c r="N35" i="10"/>
  <c r="M35" i="10"/>
  <c r="L35" i="10"/>
  <c r="K35" i="10"/>
  <c r="J35" i="10"/>
  <c r="I35" i="10"/>
  <c r="H35" i="10"/>
  <c r="G35" i="10"/>
  <c r="F35" i="10"/>
  <c r="E35" i="10"/>
  <c r="O35" i="10" s="1"/>
  <c r="D35" i="10"/>
  <c r="C35" i="10"/>
  <c r="N34" i="10"/>
  <c r="N39" i="10" s="1"/>
  <c r="M34" i="10"/>
  <c r="M39" i="10" s="1"/>
  <c r="L34" i="10"/>
  <c r="L39" i="10" s="1"/>
  <c r="K34" i="10"/>
  <c r="K39" i="10" s="1"/>
  <c r="J34" i="10"/>
  <c r="J39" i="10" s="1"/>
  <c r="I34" i="10"/>
  <c r="I39" i="10" s="1"/>
  <c r="H34" i="10"/>
  <c r="H39" i="10" s="1"/>
  <c r="G34" i="10"/>
  <c r="G39" i="10" s="1"/>
  <c r="F34" i="10"/>
  <c r="F39" i="10" s="1"/>
  <c r="E34" i="10"/>
  <c r="E39" i="10" s="1"/>
  <c r="D34" i="10"/>
  <c r="D39" i="10" s="1"/>
  <c r="C34" i="10"/>
  <c r="O30" i="10"/>
  <c r="O27" i="10"/>
  <c r="O26" i="10"/>
  <c r="O25" i="10"/>
  <c r="O24" i="10"/>
  <c r="N23" i="10"/>
  <c r="N28" i="10" s="1"/>
  <c r="M23" i="10"/>
  <c r="M28" i="10" s="1"/>
  <c r="L23" i="10"/>
  <c r="L28" i="10" s="1"/>
  <c r="K23" i="10"/>
  <c r="K28" i="10" s="1"/>
  <c r="J23" i="10"/>
  <c r="J28" i="10" s="1"/>
  <c r="I23" i="10"/>
  <c r="I28" i="10" s="1"/>
  <c r="H23" i="10"/>
  <c r="H28" i="10" s="1"/>
  <c r="G23" i="10"/>
  <c r="G28" i="10" s="1"/>
  <c r="F23" i="10"/>
  <c r="F28" i="10" s="1"/>
  <c r="E23" i="10"/>
  <c r="E28" i="10" s="1"/>
  <c r="D23" i="10"/>
  <c r="D28" i="10" s="1"/>
  <c r="C23" i="10"/>
  <c r="O19" i="10"/>
  <c r="O16" i="10"/>
  <c r="O15" i="10"/>
  <c r="O14" i="10"/>
  <c r="O13" i="10"/>
  <c r="N12" i="10"/>
  <c r="N17" i="10" s="1"/>
  <c r="M12" i="10"/>
  <c r="M17" i="10" s="1"/>
  <c r="L12" i="10"/>
  <c r="L17" i="10" s="1"/>
  <c r="K12" i="10"/>
  <c r="K17" i="10" s="1"/>
  <c r="J12" i="10"/>
  <c r="J17" i="10" s="1"/>
  <c r="I12" i="10"/>
  <c r="I17" i="10" s="1"/>
  <c r="H12" i="10"/>
  <c r="H17" i="10" s="1"/>
  <c r="G12" i="10"/>
  <c r="G17" i="10" s="1"/>
  <c r="F12" i="10"/>
  <c r="F17" i="10" s="1"/>
  <c r="E12" i="10"/>
  <c r="E17" i="10" s="1"/>
  <c r="D12" i="10"/>
  <c r="D17" i="10" s="1"/>
  <c r="C12" i="10"/>
  <c r="O12" i="10" s="1"/>
  <c r="O17" i="10" s="1"/>
  <c r="C41" i="3"/>
  <c r="C43" i="3" s="1"/>
  <c r="D43" i="3"/>
  <c r="O8" i="10"/>
  <c r="C28" i="3"/>
  <c r="D28" i="3"/>
  <c r="C29" i="3"/>
  <c r="C9" i="3"/>
  <c r="C19" i="3"/>
  <c r="O17" i="11"/>
  <c r="D29" i="3"/>
  <c r="D33" i="3"/>
  <c r="O34" i="10" l="1"/>
  <c r="O39" i="10" s="1"/>
  <c r="O23" i="10"/>
  <c r="O28" i="10" s="1"/>
  <c r="C39" i="10"/>
  <c r="C28" i="10"/>
  <c r="C17" i="10"/>
  <c r="F12" i="11"/>
  <c r="E12" i="11"/>
  <c r="D12" i="11"/>
  <c r="C12" i="11" l="1"/>
  <c r="O41" i="11" l="1"/>
  <c r="N38" i="11"/>
  <c r="M38" i="11"/>
  <c r="O38" i="11" s="1"/>
  <c r="L38" i="11"/>
  <c r="K38" i="11"/>
  <c r="J38" i="11"/>
  <c r="I38" i="11"/>
  <c r="H38" i="11"/>
  <c r="G38" i="11"/>
  <c r="F38" i="11"/>
  <c r="E38" i="11"/>
  <c r="D38" i="11"/>
  <c r="C38" i="11"/>
  <c r="N37" i="11"/>
  <c r="M37" i="11"/>
  <c r="L37" i="11"/>
  <c r="K37" i="11"/>
  <c r="J37" i="11"/>
  <c r="O37" i="11" s="1"/>
  <c r="I37" i="11"/>
  <c r="H37" i="11"/>
  <c r="G37" i="11"/>
  <c r="F37" i="11"/>
  <c r="E37" i="11"/>
  <c r="D37" i="11"/>
  <c r="C37" i="11"/>
  <c r="N36" i="11"/>
  <c r="M36" i="11"/>
  <c r="L36" i="11"/>
  <c r="K36" i="11"/>
  <c r="J36" i="11"/>
  <c r="I36" i="11"/>
  <c r="H36" i="11"/>
  <c r="G36" i="11"/>
  <c r="O36" i="11" s="1"/>
  <c r="F36" i="11"/>
  <c r="E36" i="11"/>
  <c r="D36" i="11"/>
  <c r="C36" i="11"/>
  <c r="N35" i="11"/>
  <c r="M35" i="11"/>
  <c r="L35" i="11"/>
  <c r="K35" i="11"/>
  <c r="J35" i="11"/>
  <c r="I35" i="11"/>
  <c r="H35" i="11"/>
  <c r="G35" i="11"/>
  <c r="F35" i="11"/>
  <c r="E35" i="11"/>
  <c r="D35" i="11"/>
  <c r="O35" i="11" s="1"/>
  <c r="C35" i="11"/>
  <c r="N34" i="11"/>
  <c r="N39" i="11" s="1"/>
  <c r="M34" i="11"/>
  <c r="M39" i="11" s="1"/>
  <c r="L34" i="11"/>
  <c r="L39" i="11" s="1"/>
  <c r="K34" i="11"/>
  <c r="K39" i="11" s="1"/>
  <c r="J34" i="11"/>
  <c r="J39" i="11" s="1"/>
  <c r="I34" i="11"/>
  <c r="I39" i="11" s="1"/>
  <c r="H34" i="11"/>
  <c r="H39" i="11" s="1"/>
  <c r="G34" i="11"/>
  <c r="G39" i="11" s="1"/>
  <c r="F34" i="11"/>
  <c r="F39" i="11" s="1"/>
  <c r="E34" i="11"/>
  <c r="E39" i="11" s="1"/>
  <c r="D34" i="11"/>
  <c r="D39" i="11" s="1"/>
  <c r="C34" i="11"/>
  <c r="O30" i="11"/>
  <c r="O27" i="11"/>
  <c r="O26" i="11"/>
  <c r="O25" i="11"/>
  <c r="O24" i="11"/>
  <c r="N23" i="11"/>
  <c r="N28" i="11" s="1"/>
  <c r="M23" i="11"/>
  <c r="M28" i="11" s="1"/>
  <c r="L23" i="11"/>
  <c r="L28" i="11" s="1"/>
  <c r="K23" i="11"/>
  <c r="K28" i="11" s="1"/>
  <c r="J23" i="11"/>
  <c r="J28" i="11" s="1"/>
  <c r="I23" i="11"/>
  <c r="I28" i="11" s="1"/>
  <c r="H23" i="11"/>
  <c r="H28" i="11" s="1"/>
  <c r="G23" i="11"/>
  <c r="G28" i="11" s="1"/>
  <c r="F23" i="11"/>
  <c r="F28" i="11" s="1"/>
  <c r="E23" i="11"/>
  <c r="E28" i="11" s="1"/>
  <c r="D23" i="11"/>
  <c r="D28" i="11" s="1"/>
  <c r="C23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O16" i="11"/>
  <c r="O15" i="11"/>
  <c r="O14" i="11"/>
  <c r="O13" i="11"/>
  <c r="O12" i="11"/>
  <c r="N8" i="11"/>
  <c r="M8" i="11"/>
  <c r="L8" i="11"/>
  <c r="K8" i="11"/>
  <c r="J8" i="11"/>
  <c r="I8" i="11"/>
  <c r="H8" i="11"/>
  <c r="G8" i="11"/>
  <c r="F8" i="11"/>
  <c r="E8" i="11"/>
  <c r="D8" i="11"/>
  <c r="C8" i="11"/>
  <c r="O6" i="11"/>
  <c r="O8" i="11" s="1"/>
  <c r="C31" i="3" s="1"/>
  <c r="C33" i="3" s="1"/>
  <c r="O5" i="11"/>
  <c r="O4" i="11"/>
  <c r="O3" i="11"/>
  <c r="N8" i="10"/>
  <c r="M8" i="10"/>
  <c r="L8" i="10"/>
  <c r="K8" i="10"/>
  <c r="J8" i="10"/>
  <c r="I8" i="10"/>
  <c r="H8" i="10"/>
  <c r="G8" i="10"/>
  <c r="F8" i="10"/>
  <c r="E8" i="10"/>
  <c r="D8" i="10"/>
  <c r="C8" i="10"/>
  <c r="O7" i="10"/>
  <c r="O6" i="10"/>
  <c r="O5" i="10"/>
  <c r="O4" i="10"/>
  <c r="O3" i="10"/>
  <c r="O34" i="11" l="1"/>
  <c r="O23" i="11"/>
  <c r="O28" i="11" s="1"/>
  <c r="O39" i="11"/>
  <c r="C39" i="11"/>
  <c r="C28" i="11"/>
  <c r="N3" i="9" l="1"/>
  <c r="N5" i="9"/>
  <c r="N4" i="9"/>
  <c r="M3" i="9"/>
  <c r="M5" i="9"/>
  <c r="M8" i="9" s="1"/>
  <c r="M4" i="9"/>
  <c r="L3" i="9"/>
  <c r="L5" i="9"/>
  <c r="L4" i="9"/>
  <c r="K3" i="9"/>
  <c r="K5" i="9"/>
  <c r="K4" i="9"/>
  <c r="K8" i="9" s="1"/>
  <c r="J3" i="9"/>
  <c r="J5" i="9"/>
  <c r="J4" i="9"/>
  <c r="I3" i="9"/>
  <c r="I5" i="9"/>
  <c r="I4" i="9"/>
  <c r="H3" i="9"/>
  <c r="H8" i="9" s="1"/>
  <c r="H5" i="9"/>
  <c r="H4" i="9"/>
  <c r="G3" i="9"/>
  <c r="G5" i="9"/>
  <c r="G4" i="9"/>
  <c r="F3" i="9"/>
  <c r="F5" i="9"/>
  <c r="F4" i="9"/>
  <c r="E3" i="9"/>
  <c r="E8" i="9" s="1"/>
  <c r="E5" i="9"/>
  <c r="E4" i="9"/>
  <c r="D3" i="9"/>
  <c r="D5" i="9"/>
  <c r="D4" i="9"/>
  <c r="C3" i="9"/>
  <c r="C5" i="9"/>
  <c r="C4" i="9"/>
  <c r="O41" i="9"/>
  <c r="N38" i="9"/>
  <c r="M38" i="9"/>
  <c r="L38" i="9"/>
  <c r="K38" i="9"/>
  <c r="O38" i="9" s="1"/>
  <c r="J38" i="9"/>
  <c r="I38" i="9"/>
  <c r="H38" i="9"/>
  <c r="G38" i="9"/>
  <c r="F38" i="9"/>
  <c r="E38" i="9"/>
  <c r="D38" i="9"/>
  <c r="C38" i="9"/>
  <c r="N37" i="9"/>
  <c r="M37" i="9"/>
  <c r="L37" i="9"/>
  <c r="K37" i="9"/>
  <c r="J37" i="9"/>
  <c r="I37" i="9"/>
  <c r="H37" i="9"/>
  <c r="G37" i="9"/>
  <c r="F37" i="9"/>
  <c r="E37" i="9"/>
  <c r="D37" i="9"/>
  <c r="O37" i="9" s="1"/>
  <c r="C37" i="9"/>
  <c r="N36" i="9"/>
  <c r="M36" i="9"/>
  <c r="L36" i="9"/>
  <c r="K36" i="9"/>
  <c r="J36" i="9"/>
  <c r="I36" i="9"/>
  <c r="H36" i="9"/>
  <c r="G36" i="9"/>
  <c r="F36" i="9"/>
  <c r="E36" i="9"/>
  <c r="D36" i="9"/>
  <c r="C36" i="9"/>
  <c r="O36" i="9" s="1"/>
  <c r="N35" i="9"/>
  <c r="M35" i="9"/>
  <c r="L35" i="9"/>
  <c r="K35" i="9"/>
  <c r="J35" i="9"/>
  <c r="I35" i="9"/>
  <c r="H35" i="9"/>
  <c r="G35" i="9"/>
  <c r="F35" i="9"/>
  <c r="E35" i="9"/>
  <c r="D35" i="9"/>
  <c r="C35" i="9"/>
  <c r="O35" i="9" s="1"/>
  <c r="N34" i="9"/>
  <c r="N39" i="9" s="1"/>
  <c r="M34" i="9"/>
  <c r="M39" i="9" s="1"/>
  <c r="L34" i="9"/>
  <c r="L39" i="9" s="1"/>
  <c r="K34" i="9"/>
  <c r="K39" i="9" s="1"/>
  <c r="J34" i="9"/>
  <c r="I34" i="9"/>
  <c r="I39" i="9" s="1"/>
  <c r="H34" i="9"/>
  <c r="H39" i="9" s="1"/>
  <c r="G34" i="9"/>
  <c r="G39" i="9" s="1"/>
  <c r="F34" i="9"/>
  <c r="F39" i="9" s="1"/>
  <c r="E34" i="9"/>
  <c r="E39" i="9" s="1"/>
  <c r="D34" i="9"/>
  <c r="D39" i="9" s="1"/>
  <c r="C34" i="9"/>
  <c r="C39" i="9" s="1"/>
  <c r="O30" i="9"/>
  <c r="O27" i="9"/>
  <c r="O26" i="9"/>
  <c r="O25" i="9"/>
  <c r="O24" i="9"/>
  <c r="N23" i="9"/>
  <c r="N28" i="9" s="1"/>
  <c r="M23" i="9"/>
  <c r="M28" i="9" s="1"/>
  <c r="L23" i="9"/>
  <c r="L28" i="9" s="1"/>
  <c r="K23" i="9"/>
  <c r="K28" i="9" s="1"/>
  <c r="J23" i="9"/>
  <c r="J28" i="9" s="1"/>
  <c r="I23" i="9"/>
  <c r="I28" i="9" s="1"/>
  <c r="H23" i="9"/>
  <c r="H28" i="9" s="1"/>
  <c r="G23" i="9"/>
  <c r="G28" i="9" s="1"/>
  <c r="F23" i="9"/>
  <c r="F28" i="9" s="1"/>
  <c r="E23" i="9"/>
  <c r="E28" i="9" s="1"/>
  <c r="D23" i="9"/>
  <c r="D28" i="9" s="1"/>
  <c r="C23" i="9"/>
  <c r="C28" i="9" s="1"/>
  <c r="O19" i="9"/>
  <c r="H17" i="9"/>
  <c r="O16" i="9"/>
  <c r="O15" i="9"/>
  <c r="O14" i="9"/>
  <c r="O13" i="9"/>
  <c r="N12" i="9"/>
  <c r="N17" i="9" s="1"/>
  <c r="M12" i="9"/>
  <c r="L12" i="9"/>
  <c r="L17" i="9" s="1"/>
  <c r="K12" i="9"/>
  <c r="K17" i="9" s="1"/>
  <c r="J12" i="9"/>
  <c r="J17" i="9" s="1"/>
  <c r="I12" i="9"/>
  <c r="I17" i="9" s="1"/>
  <c r="H12" i="9"/>
  <c r="G12" i="9"/>
  <c r="G17" i="9" s="1"/>
  <c r="F12" i="9"/>
  <c r="F17" i="9" s="1"/>
  <c r="E12" i="9"/>
  <c r="E17" i="9" s="1"/>
  <c r="D12" i="9"/>
  <c r="D17" i="9" s="1"/>
  <c r="C12" i="9"/>
  <c r="C17" i="9" s="1"/>
  <c r="N8" i="9"/>
  <c r="L8" i="9"/>
  <c r="O7" i="9"/>
  <c r="O6" i="9"/>
  <c r="D8" i="9"/>
  <c r="O41" i="8"/>
  <c r="O30" i="8"/>
  <c r="O19" i="8"/>
  <c r="N12" i="8"/>
  <c r="N23" i="8"/>
  <c r="J39" i="9" l="1"/>
  <c r="J8" i="9"/>
  <c r="I8" i="9"/>
  <c r="G8" i="9"/>
  <c r="F8" i="9"/>
  <c r="O5" i="9"/>
  <c r="O4" i="9"/>
  <c r="O3" i="9"/>
  <c r="O34" i="9"/>
  <c r="O39" i="9" s="1"/>
  <c r="O12" i="9"/>
  <c r="O17" i="9" s="1"/>
  <c r="O23" i="9"/>
  <c r="O28" i="9" s="1"/>
  <c r="C8" i="9"/>
  <c r="M17" i="9"/>
  <c r="O8" i="9" l="1"/>
  <c r="M12" i="8" l="1"/>
  <c r="M23" i="8"/>
  <c r="L12" i="8" l="1"/>
  <c r="L23" i="8"/>
  <c r="N34" i="8"/>
  <c r="M34" i="8"/>
  <c r="L34" i="8"/>
  <c r="K12" i="8" l="1"/>
  <c r="K23" i="8"/>
  <c r="K34" i="8"/>
  <c r="J12" i="8" l="1"/>
  <c r="J23" i="8"/>
  <c r="J34" i="8"/>
  <c r="I34" i="8"/>
  <c r="H34" i="8"/>
  <c r="G34" i="8"/>
  <c r="I12" i="8" l="1"/>
  <c r="I23" i="8"/>
  <c r="H12" i="8" l="1"/>
  <c r="H23" i="8"/>
  <c r="G12" i="8" l="1"/>
  <c r="G23" i="8"/>
  <c r="F12" i="8" l="1"/>
  <c r="F23" i="8"/>
  <c r="F34" i="8"/>
  <c r="E12" i="8" l="1"/>
  <c r="E23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E34" i="8"/>
  <c r="D34" i="8"/>
  <c r="D23" i="8" l="1"/>
  <c r="D12" i="8"/>
  <c r="C34" i="8" l="1"/>
  <c r="C23" i="8"/>
  <c r="O23" i="8" s="1"/>
  <c r="C38" i="8"/>
  <c r="C37" i="8"/>
  <c r="O37" i="8" s="1"/>
  <c r="C36" i="8"/>
  <c r="O36" i="8" s="1"/>
  <c r="C35" i="8"/>
  <c r="O35" i="8" s="1"/>
  <c r="N39" i="8"/>
  <c r="M39" i="8"/>
  <c r="L39" i="8"/>
  <c r="K39" i="8"/>
  <c r="J39" i="8"/>
  <c r="I39" i="8"/>
  <c r="H39" i="8"/>
  <c r="G39" i="8"/>
  <c r="F39" i="8"/>
  <c r="E39" i="8"/>
  <c r="D39" i="8"/>
  <c r="O38" i="8"/>
  <c r="O34" i="8"/>
  <c r="N28" i="8"/>
  <c r="M28" i="8"/>
  <c r="L28" i="8"/>
  <c r="K28" i="8"/>
  <c r="J28" i="8"/>
  <c r="I28" i="8"/>
  <c r="H28" i="8"/>
  <c r="G28" i="8"/>
  <c r="F28" i="8"/>
  <c r="E28" i="8"/>
  <c r="D28" i="8"/>
  <c r="O27" i="8"/>
  <c r="O26" i="8"/>
  <c r="O25" i="8"/>
  <c r="O24" i="8"/>
  <c r="C12" i="8"/>
  <c r="O28" i="8" l="1"/>
  <c r="O39" i="8"/>
  <c r="C39" i="8"/>
  <c r="C28" i="8"/>
  <c r="N3" i="8" l="1"/>
  <c r="N5" i="8"/>
  <c r="N4" i="8"/>
  <c r="M3" i="8"/>
  <c r="M8" i="8" s="1"/>
  <c r="M5" i="8"/>
  <c r="M4" i="8"/>
  <c r="L3" i="8"/>
  <c r="L5" i="8"/>
  <c r="L4" i="8"/>
  <c r="L8" i="8" s="1"/>
  <c r="K3" i="8"/>
  <c r="K4" i="8"/>
  <c r="K5" i="8"/>
  <c r="K8" i="8"/>
  <c r="J3" i="8"/>
  <c r="J5" i="8"/>
  <c r="J4" i="8"/>
  <c r="I3" i="8"/>
  <c r="I5" i="8"/>
  <c r="I4" i="8"/>
  <c r="H3" i="8"/>
  <c r="H5" i="8"/>
  <c r="H4" i="8"/>
  <c r="G3" i="8"/>
  <c r="G5" i="8"/>
  <c r="G4" i="8"/>
  <c r="F3" i="8"/>
  <c r="F5" i="8"/>
  <c r="F4" i="8"/>
  <c r="E3" i="8"/>
  <c r="E5" i="8"/>
  <c r="E4" i="8"/>
  <c r="E8" i="8" s="1"/>
  <c r="D3" i="8"/>
  <c r="D5" i="8"/>
  <c r="D4" i="8"/>
  <c r="C3" i="8"/>
  <c r="C5" i="8"/>
  <c r="C4" i="8"/>
  <c r="N17" i="8"/>
  <c r="M17" i="8"/>
  <c r="L17" i="8"/>
  <c r="K17" i="8"/>
  <c r="J17" i="8"/>
  <c r="I17" i="8"/>
  <c r="H17" i="8"/>
  <c r="G17" i="8"/>
  <c r="F17" i="8"/>
  <c r="E17" i="8"/>
  <c r="D17" i="8"/>
  <c r="C17" i="8"/>
  <c r="O16" i="8"/>
  <c r="O15" i="8"/>
  <c r="O14" i="8"/>
  <c r="O13" i="8"/>
  <c r="O12" i="8"/>
  <c r="O7" i="8"/>
  <c r="O6" i="8"/>
  <c r="D8" i="8"/>
  <c r="E65" i="1"/>
  <c r="E53" i="1"/>
  <c r="E47" i="1"/>
  <c r="E41" i="1"/>
  <c r="O8" i="6"/>
  <c r="C21" i="3" s="1"/>
  <c r="O17" i="5"/>
  <c r="E32" i="1"/>
  <c r="E20" i="1"/>
  <c r="E67" i="1"/>
  <c r="E61" i="1"/>
  <c r="E55" i="1"/>
  <c r="E49" i="1"/>
  <c r="E43" i="1"/>
  <c r="O8" i="5"/>
  <c r="C11" i="3"/>
  <c r="N3" i="6"/>
  <c r="N5" i="6"/>
  <c r="N8" i="6" s="1"/>
  <c r="N4" i="6"/>
  <c r="M3" i="6"/>
  <c r="M5" i="6"/>
  <c r="M4" i="6"/>
  <c r="M8" i="6" s="1"/>
  <c r="L3" i="6"/>
  <c r="L5" i="6"/>
  <c r="L4" i="6"/>
  <c r="K3" i="6"/>
  <c r="K5" i="6"/>
  <c r="K4" i="6"/>
  <c r="J3" i="6"/>
  <c r="J5" i="6"/>
  <c r="J4" i="6"/>
  <c r="I3" i="6"/>
  <c r="I8" i="6" s="1"/>
  <c r="I5" i="6"/>
  <c r="I4" i="6"/>
  <c r="H3" i="6"/>
  <c r="H5" i="6"/>
  <c r="H8" i="6" s="1"/>
  <c r="H4" i="6"/>
  <c r="G3" i="6"/>
  <c r="G5" i="6"/>
  <c r="G4" i="6"/>
  <c r="F3" i="6"/>
  <c r="F5" i="6"/>
  <c r="F4" i="6"/>
  <c r="E5" i="6"/>
  <c r="E4" i="6"/>
  <c r="D3" i="6"/>
  <c r="D5" i="6"/>
  <c r="D4" i="6"/>
  <c r="C3" i="6"/>
  <c r="C5" i="6"/>
  <c r="C4" i="6"/>
  <c r="N17" i="6"/>
  <c r="M17" i="6"/>
  <c r="L17" i="6"/>
  <c r="K17" i="6"/>
  <c r="J17" i="6"/>
  <c r="I17" i="6"/>
  <c r="H17" i="6"/>
  <c r="F17" i="6"/>
  <c r="E17" i="6"/>
  <c r="D17" i="6"/>
  <c r="C17" i="6"/>
  <c r="O16" i="6"/>
  <c r="O15" i="6"/>
  <c r="O14" i="6"/>
  <c r="O13" i="6"/>
  <c r="O12" i="6"/>
  <c r="L8" i="6"/>
  <c r="K8" i="6"/>
  <c r="O7" i="6"/>
  <c r="O6" i="6"/>
  <c r="G8" i="6"/>
  <c r="F8" i="6"/>
  <c r="E8" i="6"/>
  <c r="D8" i="6"/>
  <c r="E14" i="1"/>
  <c r="E8" i="1"/>
  <c r="H8" i="8" l="1"/>
  <c r="N8" i="8"/>
  <c r="J8" i="8"/>
  <c r="I8" i="8"/>
  <c r="G8" i="8"/>
  <c r="F8" i="8"/>
  <c r="O5" i="8"/>
  <c r="O4" i="8"/>
  <c r="O3" i="8"/>
  <c r="O17" i="8"/>
  <c r="C8" i="8"/>
  <c r="O17" i="6"/>
  <c r="J8" i="6"/>
  <c r="O5" i="6"/>
  <c r="O3" i="6"/>
  <c r="C8" i="6"/>
  <c r="O4" i="6"/>
  <c r="G17" i="6"/>
  <c r="O16" i="5"/>
  <c r="O15" i="5"/>
  <c r="O14" i="5"/>
  <c r="O13" i="5"/>
  <c r="O12" i="5"/>
  <c r="G12" i="5"/>
  <c r="G17" i="5"/>
  <c r="F17" i="5"/>
  <c r="E17" i="5"/>
  <c r="D17" i="5"/>
  <c r="N17" i="5"/>
  <c r="M17" i="5"/>
  <c r="L17" i="5"/>
  <c r="J17" i="5"/>
  <c r="I17" i="5"/>
  <c r="H17" i="5"/>
  <c r="E34" i="1"/>
  <c r="E22" i="1"/>
  <c r="E16" i="1"/>
  <c r="E10" i="1"/>
  <c r="O7" i="5"/>
  <c r="O6" i="5"/>
  <c r="O5" i="5"/>
  <c r="O4" i="5"/>
  <c r="O3" i="5"/>
  <c r="N3" i="5"/>
  <c r="N5" i="5"/>
  <c r="N4" i="5"/>
  <c r="N8" i="5" s="1"/>
  <c r="M3" i="5"/>
  <c r="M5" i="5"/>
  <c r="M8" i="5" s="1"/>
  <c r="M4" i="5"/>
  <c r="L3" i="5"/>
  <c r="L5" i="5"/>
  <c r="L4" i="5"/>
  <c r="K3" i="5"/>
  <c r="K5" i="5"/>
  <c r="K4" i="5"/>
  <c r="J3" i="5"/>
  <c r="J5" i="5"/>
  <c r="J4" i="5"/>
  <c r="J8" i="5" s="1"/>
  <c r="I3" i="5"/>
  <c r="I5" i="5"/>
  <c r="I8" i="5" s="1"/>
  <c r="I4" i="5"/>
  <c r="H3" i="5"/>
  <c r="H5" i="5"/>
  <c r="H4" i="5"/>
  <c r="G3" i="5"/>
  <c r="G5" i="5"/>
  <c r="G4" i="5"/>
  <c r="G8" i="5" s="1"/>
  <c r="F3" i="5"/>
  <c r="F5" i="5"/>
  <c r="F4" i="5"/>
  <c r="F8" i="5" s="1"/>
  <c r="E3" i="5"/>
  <c r="E5" i="5"/>
  <c r="E4" i="5"/>
  <c r="D3" i="5"/>
  <c r="D5" i="5"/>
  <c r="D4" i="5"/>
  <c r="C3" i="5"/>
  <c r="C5" i="5"/>
  <c r="C4" i="5"/>
  <c r="H8" i="5"/>
  <c r="E8" i="5"/>
  <c r="C8" i="5"/>
  <c r="O8" i="8" l="1"/>
  <c r="C17" i="5"/>
  <c r="K17" i="5"/>
  <c r="L8" i="5"/>
  <c r="K8" i="5"/>
  <c r="D8" i="5"/>
  <c r="C13" i="3"/>
  <c r="D13" i="3"/>
  <c r="C23" i="3"/>
  <c r="D23" i="3"/>
  <c r="F68" i="1"/>
  <c r="E68" i="1"/>
  <c r="F35" i="1" l="1"/>
  <c r="E35" i="1"/>
</calcChain>
</file>

<file path=xl/sharedStrings.xml><?xml version="1.0" encoding="utf-8"?>
<sst xmlns="http://schemas.openxmlformats.org/spreadsheetml/2006/main" count="689" uniqueCount="60">
  <si>
    <t>Charge Code</t>
  </si>
  <si>
    <t>Type of Charge</t>
  </si>
  <si>
    <t># Times Billed</t>
  </si>
  <si>
    <t>Amt Billed</t>
  </si>
  <si>
    <t>Returned Check Charge</t>
  </si>
  <si>
    <t>Meter Test</t>
  </si>
  <si>
    <t>Delinquent Penalty</t>
  </si>
  <si>
    <t>Late charges for past due bills</t>
  </si>
  <si>
    <t>SUPPORT</t>
  </si>
  <si>
    <t>Request 50 - Nonrecurring Charges</t>
  </si>
  <si>
    <t>Class
 Description</t>
  </si>
  <si>
    <t>Charge 
Code</t>
  </si>
  <si>
    <t>Charge 
Type</t>
  </si>
  <si>
    <t>No. Times
Billed</t>
  </si>
  <si>
    <t>Total
Billed</t>
  </si>
  <si>
    <t>Reconnection Charge</t>
  </si>
  <si>
    <t>Class 1</t>
  </si>
  <si>
    <t>Residential</t>
  </si>
  <si>
    <t>Seasonal</t>
  </si>
  <si>
    <t>Class 2</t>
  </si>
  <si>
    <t>Class 5</t>
  </si>
  <si>
    <t>Class 6</t>
  </si>
  <si>
    <t>Meter Test at Member Request</t>
  </si>
  <si>
    <t>Check Payment Returned by Bank</t>
  </si>
  <si>
    <t>Reconnection of Service</t>
  </si>
  <si>
    <t>Shelby Energy Cooperative, Inc.</t>
  </si>
  <si>
    <t>Shelby Energy Cooperative</t>
  </si>
  <si>
    <t>Code 67</t>
  </si>
  <si>
    <t>Code 10</t>
  </si>
  <si>
    <t>Code 201</t>
  </si>
  <si>
    <t>Code 203</t>
  </si>
  <si>
    <t>Class 4</t>
  </si>
  <si>
    <t xml:space="preserve">Small Commercial </t>
  </si>
  <si>
    <t xml:space="preserve">Large Commercial </t>
  </si>
  <si>
    <t>Public Street Lighting</t>
  </si>
  <si>
    <t>Small Com</t>
  </si>
  <si>
    <t>Large Com</t>
  </si>
  <si>
    <t>Lights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</si>
  <si>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</si>
  <si>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</si>
  <si>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</si>
  <si>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</si>
  <si>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</si>
  <si>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</si>
  <si>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</si>
  <si>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</si>
  <si>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</si>
  <si>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</si>
  <si>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</si>
  <si>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</si>
  <si>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Charge Code 10</t>
  </si>
  <si>
    <t>Total</t>
  </si>
  <si>
    <t>Charge Code 67</t>
  </si>
  <si>
    <t>Case No. 2024-00351</t>
  </si>
  <si>
    <t>Return Check $</t>
  </si>
  <si>
    <t>Charge Code 201 Reconncet</t>
  </si>
  <si>
    <t>Charge Code 67 Returned Check</t>
  </si>
  <si>
    <t>Charge Code 203 Meter Test</t>
  </si>
  <si>
    <t>Reconnect $</t>
  </si>
  <si>
    <t>Test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</si>
</sst>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 wrapText="1"/>
    </xf>
    <xf numFmtId="44" fontId="4" fillId="2" borderId="4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3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4" fontId="6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4" fontId="5" fillId="0" borderId="19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7" fontId="5" fillId="0" borderId="22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4" fontId="5" fillId="0" borderId="0" xfId="0" applyNumberFormat="1" applyFont="1"/>
    <xf numFmtId="43" fontId="5" fillId="0" borderId="0" xfId="1" applyFont="1"/>
    <xf numFmtId="43" fontId="5" fillId="0" borderId="0" xfId="0" applyNumberFormat="1" applyFont="1"/>
    <xf numFmtId="164" fontId="0" fillId="0" borderId="0" xfId="0" applyNumberFormat="1"/>
    <xf numFmtId="0" fontId="8" fillId="0" borderId="18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2C7B-E3D4-4CB8-B708-1184993418EC}">
  <dimension ref="A1:H200"/>
  <sheetViews>
    <sheetView tabSelected="1" topLeftCell="A169" zoomScaleNormal="100" workbookViewId="0">
      <selection activeCell="B193" sqref="B193"/>
    </sheetView>
  </sheetViews>
  <sheetFormatPr defaultColWidth="9.140625" defaultRowHeight="12.75" x14ac:dyDescent="0.2"/>
  <cols>
    <col min="1" max="1" width="18.42578125" style="10" customWidth="1"/>
    <col min="2" max="2" width="22.5703125" style="10" bestFit="1" customWidth="1"/>
    <col min="3" max="3" width="7.5703125" style="10" bestFit="1" customWidth="1"/>
    <col min="4" max="4" width="21" style="10" bestFit="1" customWidth="1"/>
    <col min="5" max="5" width="10" style="10" bestFit="1" customWidth="1"/>
    <col min="6" max="6" width="11.140625" style="10" bestFit="1" customWidth="1"/>
    <col min="7" max="7" width="9.140625" style="10"/>
    <col min="8" max="8" width="10.140625" style="10" bestFit="1" customWidth="1"/>
    <col min="9" max="16384" width="9.140625" style="10"/>
  </cols>
  <sheetData>
    <row r="1" spans="1:8" s="7" customFormat="1" x14ac:dyDescent="0.2">
      <c r="A1" s="6" t="s">
        <v>25</v>
      </c>
      <c r="B1" s="6"/>
      <c r="E1" s="8"/>
      <c r="F1" s="9"/>
    </row>
    <row r="2" spans="1:8" s="7" customFormat="1" x14ac:dyDescent="0.2">
      <c r="A2" s="6" t="s">
        <v>53</v>
      </c>
      <c r="B2" s="6"/>
      <c r="E2" s="8"/>
      <c r="F2" s="9"/>
    </row>
    <row r="3" spans="1:8" s="7" customFormat="1" x14ac:dyDescent="0.2">
      <c r="A3" s="6" t="s">
        <v>9</v>
      </c>
      <c r="B3" s="6"/>
      <c r="E3" s="8"/>
      <c r="F3" s="9"/>
    </row>
    <row r="4" spans="1:8" ht="13.5" thickBot="1" x14ac:dyDescent="0.25"/>
    <row r="5" spans="1:8" ht="27.75" customHeight="1" thickBot="1" x14ac:dyDescent="0.25">
      <c r="A5" s="53">
        <v>2023</v>
      </c>
      <c r="B5" s="21" t="s">
        <v>10</v>
      </c>
      <c r="C5" s="22" t="s">
        <v>11</v>
      </c>
      <c r="D5" s="22" t="s">
        <v>12</v>
      </c>
      <c r="E5" s="23" t="s">
        <v>13</v>
      </c>
      <c r="F5" s="24" t="s">
        <v>14</v>
      </c>
    </row>
    <row r="6" spans="1:8" x14ac:dyDescent="0.2">
      <c r="A6" s="11" t="s">
        <v>16</v>
      </c>
      <c r="B6" s="12" t="s">
        <v>17</v>
      </c>
      <c r="C6" s="13"/>
      <c r="D6" s="14"/>
      <c r="E6" s="15"/>
      <c r="F6" s="48"/>
    </row>
    <row r="7" spans="1:8" x14ac:dyDescent="0.2">
      <c r="A7" s="16"/>
      <c r="B7" s="17"/>
      <c r="C7" s="18">
        <v>201</v>
      </c>
      <c r="D7" s="19" t="s">
        <v>15</v>
      </c>
      <c r="E7" s="15">
        <v>1009</v>
      </c>
      <c r="F7" s="48">
        <v>34890</v>
      </c>
      <c r="G7" s="60"/>
      <c r="H7" s="61"/>
    </row>
    <row r="8" spans="1:8" x14ac:dyDescent="0.2">
      <c r="A8" s="16"/>
      <c r="B8" s="17"/>
      <c r="C8" s="18">
        <v>67</v>
      </c>
      <c r="D8" s="19" t="s">
        <v>4</v>
      </c>
      <c r="E8" s="15">
        <f>'2023'!O12</f>
        <v>446</v>
      </c>
      <c r="F8" s="48">
        <v>12175</v>
      </c>
      <c r="H8" s="62"/>
    </row>
    <row r="9" spans="1:8" x14ac:dyDescent="0.2">
      <c r="A9" s="16"/>
      <c r="B9" s="17"/>
      <c r="C9" s="18">
        <v>203</v>
      </c>
      <c r="D9" s="19" t="s">
        <v>5</v>
      </c>
      <c r="E9" s="15">
        <v>2</v>
      </c>
      <c r="F9" s="48">
        <v>65</v>
      </c>
    </row>
    <row r="10" spans="1:8" x14ac:dyDescent="0.2">
      <c r="A10" s="49"/>
      <c r="B10" s="19"/>
      <c r="C10" s="18">
        <v>10</v>
      </c>
      <c r="D10" s="19" t="s">
        <v>6</v>
      </c>
      <c r="E10" s="15">
        <f>'2023'!O3</f>
        <v>19336</v>
      </c>
      <c r="F10" s="48">
        <v>337723.56</v>
      </c>
    </row>
    <row r="11" spans="1:8" x14ac:dyDescent="0.2">
      <c r="A11" s="50"/>
      <c r="B11" s="12"/>
      <c r="C11" s="13"/>
      <c r="D11" s="14"/>
      <c r="E11" s="15"/>
      <c r="F11" s="48"/>
    </row>
    <row r="12" spans="1:8" x14ac:dyDescent="0.2">
      <c r="A12" s="11" t="s">
        <v>19</v>
      </c>
      <c r="B12" s="12" t="s">
        <v>18</v>
      </c>
      <c r="C12" s="13"/>
      <c r="D12" s="14"/>
      <c r="E12" s="15"/>
      <c r="F12" s="48"/>
    </row>
    <row r="13" spans="1:8" x14ac:dyDescent="0.2">
      <c r="A13" s="16"/>
      <c r="B13" s="17"/>
      <c r="C13" s="18">
        <v>201</v>
      </c>
      <c r="D13" s="19" t="s">
        <v>15</v>
      </c>
      <c r="E13" s="15">
        <v>18</v>
      </c>
      <c r="F13" s="48">
        <v>630</v>
      </c>
      <c r="H13" s="60"/>
    </row>
    <row r="14" spans="1:8" x14ac:dyDescent="0.2">
      <c r="A14" s="16"/>
      <c r="B14" s="17"/>
      <c r="C14" s="18">
        <v>67</v>
      </c>
      <c r="D14" s="19" t="s">
        <v>4</v>
      </c>
      <c r="E14" s="15">
        <f>'2023'!O13</f>
        <v>3</v>
      </c>
      <c r="F14" s="48">
        <v>150</v>
      </c>
    </row>
    <row r="15" spans="1:8" x14ac:dyDescent="0.2">
      <c r="A15" s="16"/>
      <c r="B15" s="17"/>
      <c r="C15" s="18">
        <v>203</v>
      </c>
      <c r="D15" s="19" t="s">
        <v>5</v>
      </c>
      <c r="E15" s="15"/>
      <c r="F15" s="48"/>
    </row>
    <row r="16" spans="1:8" x14ac:dyDescent="0.2">
      <c r="A16" s="49"/>
      <c r="B16" s="19"/>
      <c r="C16" s="18">
        <v>10</v>
      </c>
      <c r="D16" s="19" t="s">
        <v>6</v>
      </c>
      <c r="E16" s="15">
        <f>'2023'!O4</f>
        <v>533</v>
      </c>
      <c r="F16" s="48">
        <v>3432.12</v>
      </c>
    </row>
    <row r="17" spans="1:8" x14ac:dyDescent="0.2">
      <c r="A17" s="49"/>
      <c r="B17" s="19"/>
      <c r="C17" s="18"/>
      <c r="D17" s="19"/>
      <c r="E17" s="15"/>
      <c r="F17" s="48"/>
    </row>
    <row r="18" spans="1:8" x14ac:dyDescent="0.2">
      <c r="A18" s="11" t="s">
        <v>31</v>
      </c>
      <c r="B18" s="12" t="s">
        <v>32</v>
      </c>
      <c r="C18" s="13"/>
      <c r="D18" s="14"/>
      <c r="E18" s="15"/>
      <c r="F18" s="48"/>
    </row>
    <row r="19" spans="1:8" x14ac:dyDescent="0.2">
      <c r="A19" s="16"/>
      <c r="B19" s="17"/>
      <c r="C19" s="18">
        <v>201</v>
      </c>
      <c r="D19" s="19" t="s">
        <v>15</v>
      </c>
      <c r="E19" s="15">
        <v>5</v>
      </c>
      <c r="F19" s="48">
        <v>175</v>
      </c>
      <c r="H19" s="60"/>
    </row>
    <row r="20" spans="1:8" x14ac:dyDescent="0.2">
      <c r="A20" s="16"/>
      <c r="B20" s="17"/>
      <c r="C20" s="18">
        <v>67</v>
      </c>
      <c r="D20" s="19" t="s">
        <v>4</v>
      </c>
      <c r="E20" s="15">
        <f>'2023'!O14</f>
        <v>10</v>
      </c>
      <c r="F20" s="48">
        <v>250</v>
      </c>
    </row>
    <row r="21" spans="1:8" x14ac:dyDescent="0.2">
      <c r="A21" s="16"/>
      <c r="B21" s="17"/>
      <c r="C21" s="18">
        <v>203</v>
      </c>
      <c r="D21" s="19" t="s">
        <v>5</v>
      </c>
      <c r="E21" s="15"/>
      <c r="F21" s="48"/>
    </row>
    <row r="22" spans="1:8" x14ac:dyDescent="0.2">
      <c r="A22" s="49"/>
      <c r="B22" s="19"/>
      <c r="C22" s="18">
        <v>10</v>
      </c>
      <c r="D22" s="19" t="s">
        <v>6</v>
      </c>
      <c r="E22" s="15">
        <f>'2023'!O5</f>
        <v>727</v>
      </c>
      <c r="F22" s="48">
        <v>34439.75</v>
      </c>
    </row>
    <row r="23" spans="1:8" x14ac:dyDescent="0.2">
      <c r="A23" s="16"/>
      <c r="B23" s="17"/>
      <c r="C23" s="18"/>
      <c r="D23" s="19"/>
      <c r="E23" s="15"/>
      <c r="F23" s="48"/>
    </row>
    <row r="24" spans="1:8" x14ac:dyDescent="0.2">
      <c r="A24" s="11" t="s">
        <v>20</v>
      </c>
      <c r="B24" s="12" t="s">
        <v>33</v>
      </c>
      <c r="C24" s="13"/>
      <c r="D24" s="14"/>
      <c r="E24" s="15"/>
      <c r="F24" s="48"/>
    </row>
    <row r="25" spans="1:8" x14ac:dyDescent="0.2">
      <c r="A25" s="16"/>
      <c r="B25" s="17"/>
      <c r="C25" s="18">
        <v>201</v>
      </c>
      <c r="D25" s="19" t="s">
        <v>15</v>
      </c>
      <c r="E25" s="15"/>
      <c r="F25" s="48"/>
    </row>
    <row r="26" spans="1:8" x14ac:dyDescent="0.2">
      <c r="A26" s="16"/>
      <c r="B26" s="17"/>
      <c r="C26" s="18">
        <v>67</v>
      </c>
      <c r="D26" s="19" t="s">
        <v>4</v>
      </c>
      <c r="E26" s="15"/>
      <c r="F26" s="48"/>
    </row>
    <row r="27" spans="1:8" x14ac:dyDescent="0.2">
      <c r="A27" s="16"/>
      <c r="B27" s="17"/>
      <c r="C27" s="18">
        <v>203</v>
      </c>
      <c r="D27" s="19" t="s">
        <v>5</v>
      </c>
      <c r="E27" s="15"/>
      <c r="F27" s="48"/>
    </row>
    <row r="28" spans="1:8" x14ac:dyDescent="0.2">
      <c r="A28" s="49"/>
      <c r="B28" s="19"/>
      <c r="C28" s="18">
        <v>10</v>
      </c>
      <c r="D28" s="19" t="s">
        <v>6</v>
      </c>
      <c r="E28" s="15"/>
      <c r="F28" s="48"/>
    </row>
    <row r="29" spans="1:8" x14ac:dyDescent="0.2">
      <c r="A29" s="50"/>
      <c r="B29" s="19"/>
      <c r="C29" s="18"/>
      <c r="D29" s="19"/>
      <c r="E29" s="15"/>
      <c r="F29" s="48"/>
    </row>
    <row r="30" spans="1:8" x14ac:dyDescent="0.2">
      <c r="A30" s="11" t="s">
        <v>21</v>
      </c>
      <c r="B30" s="12" t="s">
        <v>34</v>
      </c>
      <c r="C30" s="13"/>
      <c r="D30" s="14"/>
      <c r="E30" s="15"/>
      <c r="F30" s="48"/>
    </row>
    <row r="31" spans="1:8" x14ac:dyDescent="0.2">
      <c r="A31" s="16"/>
      <c r="B31" s="17"/>
      <c r="C31" s="18">
        <v>201</v>
      </c>
      <c r="D31" s="19" t="s">
        <v>15</v>
      </c>
      <c r="E31" s="15"/>
      <c r="F31" s="48"/>
    </row>
    <row r="32" spans="1:8" x14ac:dyDescent="0.2">
      <c r="A32" s="16"/>
      <c r="B32" s="17"/>
      <c r="C32" s="18">
        <v>67</v>
      </c>
      <c r="D32" s="19" t="s">
        <v>4</v>
      </c>
      <c r="E32" s="15">
        <f>'2023'!O16</f>
        <v>2</v>
      </c>
      <c r="F32" s="48">
        <v>75</v>
      </c>
    </row>
    <row r="33" spans="1:6" x14ac:dyDescent="0.2">
      <c r="A33" s="16"/>
      <c r="B33" s="17"/>
      <c r="C33" s="18">
        <v>203</v>
      </c>
      <c r="D33" s="19" t="s">
        <v>5</v>
      </c>
      <c r="E33" s="15"/>
      <c r="F33" s="48"/>
    </row>
    <row r="34" spans="1:6" ht="13.5" thickBot="1" x14ac:dyDescent="0.25">
      <c r="A34" s="49"/>
      <c r="B34" s="19"/>
      <c r="C34" s="18">
        <v>10</v>
      </c>
      <c r="D34" s="19" t="s">
        <v>6</v>
      </c>
      <c r="E34" s="15">
        <f>'2023'!O7</f>
        <v>27</v>
      </c>
      <c r="F34" s="48">
        <v>239.19</v>
      </c>
    </row>
    <row r="35" spans="1:6" s="20" customFormat="1" x14ac:dyDescent="0.2">
      <c r="A35" s="10"/>
      <c r="B35" s="10"/>
      <c r="C35" s="10"/>
      <c r="D35" s="10"/>
      <c r="E35" s="54">
        <f>SUM(E6:E34)</f>
        <v>22118</v>
      </c>
      <c r="F35" s="55">
        <f>SUM(F6:F34)</f>
        <v>424244.62</v>
      </c>
    </row>
    <row r="37" spans="1:6" ht="13.5" thickBot="1" x14ac:dyDescent="0.25"/>
    <row r="38" spans="1:6" ht="26.25" thickBot="1" x14ac:dyDescent="0.25">
      <c r="A38" s="53">
        <v>2022</v>
      </c>
      <c r="B38" s="21" t="s">
        <v>10</v>
      </c>
      <c r="C38" s="22" t="s">
        <v>11</v>
      </c>
      <c r="D38" s="22" t="s">
        <v>12</v>
      </c>
      <c r="E38" s="23" t="s">
        <v>13</v>
      </c>
      <c r="F38" s="24" t="s">
        <v>14</v>
      </c>
    </row>
    <row r="39" spans="1:6" x14ac:dyDescent="0.2">
      <c r="A39" s="11" t="s">
        <v>16</v>
      </c>
      <c r="B39" s="12" t="s">
        <v>17</v>
      </c>
      <c r="C39" s="13"/>
      <c r="D39" s="14"/>
      <c r="E39" s="15"/>
      <c r="F39" s="48"/>
    </row>
    <row r="40" spans="1:6" x14ac:dyDescent="0.2">
      <c r="A40" s="16"/>
      <c r="B40" s="17"/>
      <c r="C40" s="18">
        <v>201</v>
      </c>
      <c r="D40" s="19" t="s">
        <v>15</v>
      </c>
      <c r="E40" s="15">
        <v>1113</v>
      </c>
      <c r="F40" s="48">
        <v>34965</v>
      </c>
    </row>
    <row r="41" spans="1:6" x14ac:dyDescent="0.2">
      <c r="A41" s="16"/>
      <c r="B41" s="17"/>
      <c r="C41" s="18">
        <v>67</v>
      </c>
      <c r="D41" s="19" t="s">
        <v>4</v>
      </c>
      <c r="E41" s="15">
        <f>'2022'!O12</f>
        <v>292</v>
      </c>
      <c r="F41" s="48">
        <v>8675</v>
      </c>
    </row>
    <row r="42" spans="1:6" x14ac:dyDescent="0.2">
      <c r="A42" s="16"/>
      <c r="B42" s="17"/>
      <c r="C42" s="18">
        <v>203</v>
      </c>
      <c r="D42" s="19" t="s">
        <v>5</v>
      </c>
      <c r="E42" s="15"/>
      <c r="F42" s="48"/>
    </row>
    <row r="43" spans="1:6" x14ac:dyDescent="0.2">
      <c r="A43" s="49"/>
      <c r="B43" s="19"/>
      <c r="C43" s="18">
        <v>10</v>
      </c>
      <c r="D43" s="19" t="s">
        <v>6</v>
      </c>
      <c r="E43" s="15">
        <f>'2022'!O3</f>
        <v>20174</v>
      </c>
      <c r="F43" s="48">
        <v>329035.74</v>
      </c>
    </row>
    <row r="44" spans="1:6" x14ac:dyDescent="0.2">
      <c r="A44" s="50"/>
      <c r="B44" s="12"/>
      <c r="C44" s="13"/>
      <c r="D44" s="14"/>
      <c r="E44" s="15"/>
      <c r="F44" s="48"/>
    </row>
    <row r="45" spans="1:6" x14ac:dyDescent="0.2">
      <c r="A45" s="11" t="s">
        <v>19</v>
      </c>
      <c r="B45" s="12" t="s">
        <v>18</v>
      </c>
      <c r="C45" s="13"/>
      <c r="D45" s="14"/>
      <c r="E45" s="15"/>
      <c r="F45" s="48"/>
    </row>
    <row r="46" spans="1:6" x14ac:dyDescent="0.2">
      <c r="A46" s="16"/>
      <c r="B46" s="17"/>
      <c r="C46" s="18">
        <v>201</v>
      </c>
      <c r="D46" s="19" t="s">
        <v>15</v>
      </c>
      <c r="E46" s="15">
        <v>19</v>
      </c>
      <c r="F46" s="48">
        <v>595</v>
      </c>
    </row>
    <row r="47" spans="1:6" x14ac:dyDescent="0.2">
      <c r="A47" s="16"/>
      <c r="B47" s="17"/>
      <c r="C47" s="18">
        <v>67</v>
      </c>
      <c r="D47" s="19" t="s">
        <v>4</v>
      </c>
      <c r="E47" s="15">
        <f>'2022'!O13</f>
        <v>37</v>
      </c>
      <c r="F47" s="48">
        <v>225</v>
      </c>
    </row>
    <row r="48" spans="1:6" x14ac:dyDescent="0.2">
      <c r="A48" s="16"/>
      <c r="B48" s="17"/>
      <c r="C48" s="18">
        <v>203</v>
      </c>
      <c r="D48" s="19" t="s">
        <v>5</v>
      </c>
      <c r="E48" s="15"/>
      <c r="F48" s="48"/>
    </row>
    <row r="49" spans="1:6" x14ac:dyDescent="0.2">
      <c r="A49" s="49"/>
      <c r="B49" s="19"/>
      <c r="C49" s="18">
        <v>10</v>
      </c>
      <c r="D49" s="19" t="s">
        <v>6</v>
      </c>
      <c r="E49" s="15">
        <f>'2022'!O4</f>
        <v>645</v>
      </c>
      <c r="F49" s="48">
        <v>3896.11</v>
      </c>
    </row>
    <row r="50" spans="1:6" x14ac:dyDescent="0.2">
      <c r="A50" s="49"/>
      <c r="B50" s="19"/>
      <c r="C50" s="18"/>
      <c r="D50" s="19"/>
      <c r="E50" s="15"/>
      <c r="F50" s="48"/>
    </row>
    <row r="51" spans="1:6" x14ac:dyDescent="0.2">
      <c r="A51" s="11" t="s">
        <v>31</v>
      </c>
      <c r="B51" s="12" t="s">
        <v>32</v>
      </c>
      <c r="C51" s="13"/>
      <c r="D51" s="14"/>
      <c r="E51" s="15"/>
      <c r="F51" s="48"/>
    </row>
    <row r="52" spans="1:6" x14ac:dyDescent="0.2">
      <c r="A52" s="16"/>
      <c r="B52" s="17"/>
      <c r="C52" s="18">
        <v>201</v>
      </c>
      <c r="D52" s="19" t="s">
        <v>15</v>
      </c>
      <c r="E52" s="15">
        <v>1</v>
      </c>
      <c r="F52" s="48">
        <v>35</v>
      </c>
    </row>
    <row r="53" spans="1:6" x14ac:dyDescent="0.2">
      <c r="A53" s="16"/>
      <c r="B53" s="17"/>
      <c r="C53" s="18">
        <v>67</v>
      </c>
      <c r="D53" s="19" t="s">
        <v>4</v>
      </c>
      <c r="E53" s="15">
        <f>'2022'!O14</f>
        <v>5</v>
      </c>
      <c r="F53" s="48">
        <v>125</v>
      </c>
    </row>
    <row r="54" spans="1:6" x14ac:dyDescent="0.2">
      <c r="A54" s="16"/>
      <c r="B54" s="17"/>
      <c r="C54" s="18">
        <v>203</v>
      </c>
      <c r="D54" s="19" t="s">
        <v>5</v>
      </c>
      <c r="E54" s="15"/>
      <c r="F54" s="48"/>
    </row>
    <row r="55" spans="1:6" x14ac:dyDescent="0.2">
      <c r="A55" s="49"/>
      <c r="B55" s="19"/>
      <c r="C55" s="18">
        <v>10</v>
      </c>
      <c r="D55" s="19" t="s">
        <v>6</v>
      </c>
      <c r="E55" s="15">
        <f>'2022'!O5</f>
        <v>745</v>
      </c>
      <c r="F55" s="48">
        <v>39885.31</v>
      </c>
    </row>
    <row r="56" spans="1:6" x14ac:dyDescent="0.2">
      <c r="A56" s="16"/>
      <c r="B56" s="17"/>
      <c r="C56" s="18"/>
      <c r="D56" s="19"/>
      <c r="E56" s="15"/>
      <c r="F56" s="48"/>
    </row>
    <row r="57" spans="1:6" x14ac:dyDescent="0.2">
      <c r="A57" s="11" t="s">
        <v>20</v>
      </c>
      <c r="B57" s="12" t="s">
        <v>33</v>
      </c>
      <c r="C57" s="13"/>
      <c r="D57" s="14"/>
      <c r="E57" s="15"/>
      <c r="F57" s="48"/>
    </row>
    <row r="58" spans="1:6" x14ac:dyDescent="0.2">
      <c r="A58" s="16"/>
      <c r="B58" s="17"/>
      <c r="C58" s="18">
        <v>201</v>
      </c>
      <c r="D58" s="19" t="s">
        <v>15</v>
      </c>
      <c r="E58" s="15"/>
      <c r="F58" s="48"/>
    </row>
    <row r="59" spans="1:6" x14ac:dyDescent="0.2">
      <c r="A59" s="16"/>
      <c r="B59" s="17"/>
      <c r="C59" s="18">
        <v>67</v>
      </c>
      <c r="D59" s="19" t="s">
        <v>4</v>
      </c>
      <c r="E59" s="15"/>
      <c r="F59" s="48"/>
    </row>
    <row r="60" spans="1:6" x14ac:dyDescent="0.2">
      <c r="A60" s="16"/>
      <c r="B60" s="17"/>
      <c r="C60" s="18">
        <v>203</v>
      </c>
      <c r="D60" s="19" t="s">
        <v>5</v>
      </c>
      <c r="E60" s="15"/>
      <c r="F60" s="48"/>
    </row>
    <row r="61" spans="1:6" x14ac:dyDescent="0.2">
      <c r="A61" s="49"/>
      <c r="B61" s="19"/>
      <c r="C61" s="18">
        <v>10</v>
      </c>
      <c r="D61" s="19" t="s">
        <v>6</v>
      </c>
      <c r="E61" s="15">
        <f>'2022'!O6</f>
        <v>1</v>
      </c>
      <c r="F61" s="48">
        <v>471.76</v>
      </c>
    </row>
    <row r="62" spans="1:6" x14ac:dyDescent="0.2">
      <c r="A62" s="50"/>
      <c r="B62" s="19"/>
      <c r="C62" s="18"/>
      <c r="D62" s="19"/>
      <c r="E62" s="15"/>
      <c r="F62" s="48"/>
    </row>
    <row r="63" spans="1:6" x14ac:dyDescent="0.2">
      <c r="A63" s="11" t="s">
        <v>21</v>
      </c>
      <c r="B63" s="12" t="s">
        <v>34</v>
      </c>
      <c r="C63" s="13"/>
      <c r="D63" s="14"/>
      <c r="E63" s="15"/>
      <c r="F63" s="48"/>
    </row>
    <row r="64" spans="1:6" x14ac:dyDescent="0.2">
      <c r="A64" s="16"/>
      <c r="B64" s="17"/>
      <c r="C64" s="18">
        <v>201</v>
      </c>
      <c r="D64" s="19" t="s">
        <v>15</v>
      </c>
      <c r="E64" s="15"/>
      <c r="F64" s="48"/>
    </row>
    <row r="65" spans="1:6" x14ac:dyDescent="0.2">
      <c r="A65" s="16"/>
      <c r="B65" s="17"/>
      <c r="C65" s="18">
        <v>67</v>
      </c>
      <c r="D65" s="19" t="s">
        <v>4</v>
      </c>
      <c r="E65" s="15">
        <f>'2022'!O16</f>
        <v>1</v>
      </c>
      <c r="F65" s="48"/>
    </row>
    <row r="66" spans="1:6" x14ac:dyDescent="0.2">
      <c r="A66" s="16"/>
      <c r="B66" s="17"/>
      <c r="C66" s="18">
        <v>203</v>
      </c>
      <c r="D66" s="19" t="s">
        <v>5</v>
      </c>
      <c r="E66" s="15"/>
      <c r="F66" s="48"/>
    </row>
    <row r="67" spans="1:6" ht="13.5" thickBot="1" x14ac:dyDescent="0.25">
      <c r="A67" s="51"/>
      <c r="B67" s="52"/>
      <c r="C67" s="52">
        <v>10</v>
      </c>
      <c r="D67" s="52" t="s">
        <v>6</v>
      </c>
      <c r="E67" s="15">
        <f>'2022'!O7</f>
        <v>6</v>
      </c>
      <c r="F67" s="48">
        <v>86.01</v>
      </c>
    </row>
    <row r="68" spans="1:6" x14ac:dyDescent="0.2">
      <c r="E68" s="54">
        <f>SUM(E39:E67)</f>
        <v>23039</v>
      </c>
      <c r="F68" s="55">
        <f>SUM(F39:F67)</f>
        <v>417994.93</v>
      </c>
    </row>
    <row r="70" spans="1:6" ht="13.5" thickBot="1" x14ac:dyDescent="0.25"/>
    <row r="71" spans="1:6" ht="26.25" thickBot="1" x14ac:dyDescent="0.25">
      <c r="A71" s="53">
        <v>2021</v>
      </c>
      <c r="B71" s="21" t="s">
        <v>10</v>
      </c>
      <c r="C71" s="22" t="s">
        <v>11</v>
      </c>
      <c r="D71" s="22" t="s">
        <v>12</v>
      </c>
      <c r="E71" s="23" t="s">
        <v>13</v>
      </c>
      <c r="F71" s="24" t="s">
        <v>14</v>
      </c>
    </row>
    <row r="72" spans="1:6" x14ac:dyDescent="0.2">
      <c r="A72" s="11" t="s">
        <v>16</v>
      </c>
      <c r="B72" s="12" t="s">
        <v>17</v>
      </c>
      <c r="C72" s="13"/>
      <c r="D72" s="14"/>
      <c r="E72" s="15"/>
      <c r="F72" s="48"/>
    </row>
    <row r="73" spans="1:6" x14ac:dyDescent="0.2">
      <c r="A73" s="16"/>
      <c r="B73" s="17"/>
      <c r="C73" s="18">
        <v>201</v>
      </c>
      <c r="D73" s="19" t="s">
        <v>15</v>
      </c>
      <c r="E73" s="15">
        <f>'2021'!O23+390</f>
        <v>529</v>
      </c>
      <c r="F73" s="48">
        <f>Workpapers!D28</f>
        <v>21455</v>
      </c>
    </row>
    <row r="74" spans="1:6" x14ac:dyDescent="0.2">
      <c r="A74" s="16"/>
      <c r="B74" s="17"/>
      <c r="C74" s="18">
        <v>67</v>
      </c>
      <c r="D74" s="19" t="s">
        <v>4</v>
      </c>
      <c r="E74" s="15">
        <f>Workpapers!C29</f>
        <v>273</v>
      </c>
      <c r="F74" s="48">
        <f>Workpapers!D29</f>
        <v>7900</v>
      </c>
    </row>
    <row r="75" spans="1:6" x14ac:dyDescent="0.2">
      <c r="A75" s="16"/>
      <c r="B75" s="17"/>
      <c r="C75" s="18">
        <v>203</v>
      </c>
      <c r="D75" s="19" t="s">
        <v>5</v>
      </c>
      <c r="E75" s="15">
        <v>1</v>
      </c>
      <c r="F75" s="48">
        <v>32.5</v>
      </c>
    </row>
    <row r="76" spans="1:6" x14ac:dyDescent="0.2">
      <c r="A76" s="49"/>
      <c r="B76" s="19"/>
      <c r="C76" s="18">
        <v>10</v>
      </c>
      <c r="D76" s="19" t="s">
        <v>6</v>
      </c>
      <c r="E76" s="15">
        <f>'2021'!O3</f>
        <v>16081</v>
      </c>
      <c r="F76" s="48">
        <v>254474.35</v>
      </c>
    </row>
    <row r="77" spans="1:6" x14ac:dyDescent="0.2">
      <c r="A77" s="50"/>
      <c r="B77" s="12"/>
      <c r="C77" s="13"/>
      <c r="D77" s="14"/>
      <c r="E77" s="15"/>
      <c r="F77" s="48"/>
    </row>
    <row r="78" spans="1:6" x14ac:dyDescent="0.2">
      <c r="A78" s="11" t="s">
        <v>19</v>
      </c>
      <c r="B78" s="12" t="s">
        <v>18</v>
      </c>
      <c r="C78" s="13"/>
      <c r="D78" s="14"/>
      <c r="E78" s="15"/>
      <c r="F78" s="48"/>
    </row>
    <row r="79" spans="1:6" x14ac:dyDescent="0.2">
      <c r="A79" s="16"/>
      <c r="B79" s="17"/>
      <c r="C79" s="18">
        <v>201</v>
      </c>
      <c r="D79" s="19" t="s">
        <v>15</v>
      </c>
      <c r="E79" s="15"/>
      <c r="F79" s="48"/>
    </row>
    <row r="80" spans="1:6" x14ac:dyDescent="0.2">
      <c r="A80" s="16"/>
      <c r="B80" s="17"/>
      <c r="C80" s="18">
        <v>67</v>
      </c>
      <c r="D80" s="19" t="s">
        <v>4</v>
      </c>
      <c r="E80" s="15"/>
      <c r="F80" s="48"/>
    </row>
    <row r="81" spans="1:6" x14ac:dyDescent="0.2">
      <c r="A81" s="16"/>
      <c r="B81" s="17"/>
      <c r="C81" s="18">
        <v>203</v>
      </c>
      <c r="D81" s="19" t="s">
        <v>5</v>
      </c>
      <c r="E81" s="15"/>
      <c r="F81" s="48"/>
    </row>
    <row r="82" spans="1:6" x14ac:dyDescent="0.2">
      <c r="A82" s="49"/>
      <c r="B82" s="19"/>
      <c r="C82" s="18">
        <v>10</v>
      </c>
      <c r="D82" s="19" t="s">
        <v>6</v>
      </c>
      <c r="E82" s="15">
        <f>'2021'!O4</f>
        <v>476</v>
      </c>
      <c r="F82" s="48">
        <f>690.38+2081.19</f>
        <v>2771.57</v>
      </c>
    </row>
    <row r="83" spans="1:6" x14ac:dyDescent="0.2">
      <c r="A83" s="49"/>
      <c r="B83" s="19"/>
      <c r="C83" s="18"/>
      <c r="D83" s="19"/>
      <c r="E83" s="15"/>
      <c r="F83" s="48"/>
    </row>
    <row r="84" spans="1:6" x14ac:dyDescent="0.2">
      <c r="A84" s="11" t="s">
        <v>31</v>
      </c>
      <c r="B84" s="12" t="s">
        <v>32</v>
      </c>
      <c r="C84" s="13"/>
      <c r="D84" s="14"/>
      <c r="E84" s="15"/>
      <c r="F84" s="48"/>
    </row>
    <row r="85" spans="1:6" x14ac:dyDescent="0.2">
      <c r="A85" s="16"/>
      <c r="B85" s="17"/>
      <c r="C85" s="18">
        <v>201</v>
      </c>
      <c r="D85" s="19" t="s">
        <v>15</v>
      </c>
      <c r="E85" s="15"/>
      <c r="F85" s="48"/>
    </row>
    <row r="86" spans="1:6" x14ac:dyDescent="0.2">
      <c r="A86" s="16"/>
      <c r="B86" s="17"/>
      <c r="C86" s="18">
        <v>67</v>
      </c>
      <c r="D86" s="19" t="s">
        <v>4</v>
      </c>
      <c r="E86" s="15"/>
      <c r="F86" s="48"/>
    </row>
    <row r="87" spans="1:6" x14ac:dyDescent="0.2">
      <c r="A87" s="16"/>
      <c r="B87" s="17"/>
      <c r="C87" s="18">
        <v>203</v>
      </c>
      <c r="D87" s="19" t="s">
        <v>5</v>
      </c>
      <c r="E87" s="15"/>
      <c r="F87" s="48"/>
    </row>
    <row r="88" spans="1:6" x14ac:dyDescent="0.2">
      <c r="A88" s="49"/>
      <c r="B88" s="19"/>
      <c r="C88" s="18">
        <v>10</v>
      </c>
      <c r="D88" s="19" t="s">
        <v>6</v>
      </c>
      <c r="E88" s="15">
        <f>'2021'!O5</f>
        <v>705</v>
      </c>
      <c r="F88" s="48">
        <f>31938.59+25.25+83.1+87.39+1917.05+157.88+7.78+103.65+1516.42+13.81</f>
        <v>35850.919999999991</v>
      </c>
    </row>
    <row r="89" spans="1:6" x14ac:dyDescent="0.2">
      <c r="A89" s="16"/>
      <c r="B89" s="17"/>
      <c r="C89" s="18"/>
      <c r="D89" s="19"/>
      <c r="E89" s="15"/>
      <c r="F89" s="48"/>
    </row>
    <row r="90" spans="1:6" x14ac:dyDescent="0.2">
      <c r="A90" s="11" t="s">
        <v>20</v>
      </c>
      <c r="B90" s="12" t="s">
        <v>33</v>
      </c>
      <c r="C90" s="13"/>
      <c r="D90" s="14"/>
      <c r="E90" s="15"/>
      <c r="F90" s="48"/>
    </row>
    <row r="91" spans="1:6" x14ac:dyDescent="0.2">
      <c r="A91" s="16"/>
      <c r="B91" s="17"/>
      <c r="C91" s="18">
        <v>201</v>
      </c>
      <c r="D91" s="19" t="s">
        <v>15</v>
      </c>
      <c r="E91" s="15"/>
      <c r="F91" s="48"/>
    </row>
    <row r="92" spans="1:6" x14ac:dyDescent="0.2">
      <c r="A92" s="16"/>
      <c r="B92" s="17"/>
      <c r="C92" s="18">
        <v>67</v>
      </c>
      <c r="D92" s="19" t="s">
        <v>4</v>
      </c>
      <c r="E92" s="15"/>
      <c r="F92" s="48"/>
    </row>
    <row r="93" spans="1:6" x14ac:dyDescent="0.2">
      <c r="A93" s="16"/>
      <c r="B93" s="17"/>
      <c r="C93" s="18">
        <v>203</v>
      </c>
      <c r="D93" s="19" t="s">
        <v>5</v>
      </c>
      <c r="E93" s="15"/>
      <c r="F93" s="48"/>
    </row>
    <row r="94" spans="1:6" x14ac:dyDescent="0.2">
      <c r="A94" s="49"/>
      <c r="B94" s="19"/>
      <c r="C94" s="18">
        <v>10</v>
      </c>
      <c r="D94" s="19" t="s">
        <v>6</v>
      </c>
      <c r="E94" s="15"/>
      <c r="F94" s="48"/>
    </row>
    <row r="95" spans="1:6" x14ac:dyDescent="0.2">
      <c r="A95" s="50"/>
      <c r="B95" s="19"/>
      <c r="C95" s="18"/>
      <c r="D95" s="19"/>
      <c r="E95" s="15"/>
      <c r="F95" s="48"/>
    </row>
    <row r="96" spans="1:6" x14ac:dyDescent="0.2">
      <c r="A96" s="11" t="s">
        <v>21</v>
      </c>
      <c r="B96" s="12" t="s">
        <v>34</v>
      </c>
      <c r="C96" s="13"/>
      <c r="D96" s="14"/>
      <c r="E96" s="15"/>
      <c r="F96" s="48"/>
    </row>
    <row r="97" spans="1:6" x14ac:dyDescent="0.2">
      <c r="A97" s="16"/>
      <c r="B97" s="17"/>
      <c r="C97" s="18">
        <v>201</v>
      </c>
      <c r="D97" s="19" t="s">
        <v>15</v>
      </c>
      <c r="E97" s="15"/>
      <c r="F97" s="48"/>
    </row>
    <row r="98" spans="1:6" x14ac:dyDescent="0.2">
      <c r="A98" s="16"/>
      <c r="B98" s="17"/>
      <c r="C98" s="18">
        <v>67</v>
      </c>
      <c r="D98" s="19" t="s">
        <v>4</v>
      </c>
      <c r="E98" s="15"/>
      <c r="F98" s="48"/>
    </row>
    <row r="99" spans="1:6" x14ac:dyDescent="0.2">
      <c r="A99" s="16"/>
      <c r="B99" s="17"/>
      <c r="C99" s="18">
        <v>203</v>
      </c>
      <c r="D99" s="19" t="s">
        <v>5</v>
      </c>
      <c r="E99" s="15"/>
      <c r="F99" s="48"/>
    </row>
    <row r="100" spans="1:6" ht="13.5" thickBot="1" x14ac:dyDescent="0.25">
      <c r="A100" s="51"/>
      <c r="B100" s="52"/>
      <c r="C100" s="52">
        <v>10</v>
      </c>
      <c r="D100" s="52" t="s">
        <v>6</v>
      </c>
      <c r="E100" s="15">
        <f>'2021'!O7</f>
        <v>23</v>
      </c>
      <c r="F100" s="48">
        <v>194.5</v>
      </c>
    </row>
    <row r="101" spans="1:6" x14ac:dyDescent="0.2">
      <c r="E101" s="54">
        <f>SUM(E72:E100)</f>
        <v>18088</v>
      </c>
      <c r="F101" s="55">
        <f>SUM(F72:F100)</f>
        <v>322678.83999999997</v>
      </c>
    </row>
    <row r="103" spans="1:6" ht="13.5" thickBot="1" x14ac:dyDescent="0.25"/>
    <row r="104" spans="1:6" ht="26.25" thickBot="1" x14ac:dyDescent="0.25">
      <c r="A104" s="53">
        <v>2020</v>
      </c>
      <c r="B104" s="21" t="s">
        <v>10</v>
      </c>
      <c r="C104" s="22" t="s">
        <v>11</v>
      </c>
      <c r="D104" s="22" t="s">
        <v>12</v>
      </c>
      <c r="E104" s="23" t="s">
        <v>13</v>
      </c>
      <c r="F104" s="24" t="s">
        <v>14</v>
      </c>
    </row>
    <row r="105" spans="1:6" x14ac:dyDescent="0.2">
      <c r="A105" s="11" t="s">
        <v>16</v>
      </c>
      <c r="B105" s="12" t="s">
        <v>17</v>
      </c>
      <c r="C105" s="13"/>
      <c r="D105" s="14"/>
      <c r="E105" s="15"/>
      <c r="F105" s="48"/>
    </row>
    <row r="106" spans="1:6" x14ac:dyDescent="0.2">
      <c r="A106" s="16"/>
      <c r="B106" s="17"/>
      <c r="C106" s="18">
        <v>201</v>
      </c>
      <c r="D106" s="19" t="s">
        <v>15</v>
      </c>
      <c r="E106" s="15">
        <f>'2020'!O28</f>
        <v>202</v>
      </c>
      <c r="F106" s="48">
        <f>'2020'!O30</f>
        <v>7090</v>
      </c>
    </row>
    <row r="107" spans="1:6" x14ac:dyDescent="0.2">
      <c r="A107" s="16"/>
      <c r="B107" s="17"/>
      <c r="C107" s="18">
        <v>67</v>
      </c>
      <c r="D107" s="19" t="s">
        <v>4</v>
      </c>
      <c r="E107" s="15">
        <f>'2020'!O12</f>
        <v>205</v>
      </c>
      <c r="F107" s="48">
        <f>'2020'!O19</f>
        <v>5125</v>
      </c>
    </row>
    <row r="108" spans="1:6" x14ac:dyDescent="0.2">
      <c r="A108" s="16"/>
      <c r="B108" s="17"/>
      <c r="C108" s="18">
        <v>203</v>
      </c>
      <c r="D108" s="19" t="s">
        <v>5</v>
      </c>
      <c r="E108" s="15">
        <v>1</v>
      </c>
      <c r="F108" s="48">
        <f>'2020'!O41</f>
        <v>32.5</v>
      </c>
    </row>
    <row r="109" spans="1:6" x14ac:dyDescent="0.2">
      <c r="A109" s="49"/>
      <c r="B109" s="19"/>
      <c r="C109" s="18">
        <v>10</v>
      </c>
      <c r="D109" s="19" t="s">
        <v>6</v>
      </c>
      <c r="E109" s="15">
        <f>'2020'!O3</f>
        <v>4352</v>
      </c>
      <c r="F109" s="48">
        <v>72758.14</v>
      </c>
    </row>
    <row r="110" spans="1:6" x14ac:dyDescent="0.2">
      <c r="A110" s="50"/>
      <c r="B110" s="12"/>
      <c r="C110" s="13"/>
      <c r="D110" s="14"/>
      <c r="E110" s="15"/>
      <c r="F110" s="48"/>
    </row>
    <row r="111" spans="1:6" x14ac:dyDescent="0.2">
      <c r="A111" s="11" t="s">
        <v>19</v>
      </c>
      <c r="B111" s="12" t="s">
        <v>18</v>
      </c>
      <c r="C111" s="13"/>
      <c r="D111" s="14"/>
      <c r="E111" s="15"/>
      <c r="F111" s="48"/>
    </row>
    <row r="112" spans="1:6" x14ac:dyDescent="0.2">
      <c r="A112" s="16"/>
      <c r="B112" s="17"/>
      <c r="C112" s="18">
        <v>201</v>
      </c>
      <c r="D112" s="19" t="s">
        <v>15</v>
      </c>
      <c r="E112" s="15"/>
      <c r="F112" s="48"/>
    </row>
    <row r="113" spans="1:6" x14ac:dyDescent="0.2">
      <c r="A113" s="16"/>
      <c r="B113" s="17"/>
      <c r="C113" s="18">
        <v>67</v>
      </c>
      <c r="D113" s="19" t="s">
        <v>4</v>
      </c>
      <c r="E113" s="15"/>
      <c r="F113" s="48"/>
    </row>
    <row r="114" spans="1:6" x14ac:dyDescent="0.2">
      <c r="A114" s="16"/>
      <c r="B114" s="17"/>
      <c r="C114" s="18">
        <v>203</v>
      </c>
      <c r="D114" s="19" t="s">
        <v>5</v>
      </c>
      <c r="E114" s="15"/>
      <c r="F114" s="48"/>
    </row>
    <row r="115" spans="1:6" x14ac:dyDescent="0.2">
      <c r="A115" s="49"/>
      <c r="B115" s="19"/>
      <c r="C115" s="18">
        <v>10</v>
      </c>
      <c r="D115" s="19" t="s">
        <v>6</v>
      </c>
      <c r="E115" s="15">
        <f>'2020'!O4</f>
        <v>140</v>
      </c>
      <c r="F115" s="48">
        <f>331.08+345.45</f>
        <v>676.53</v>
      </c>
    </row>
    <row r="116" spans="1:6" x14ac:dyDescent="0.2">
      <c r="A116" s="49"/>
      <c r="B116" s="19"/>
      <c r="C116" s="18"/>
      <c r="D116" s="19"/>
      <c r="E116" s="15"/>
      <c r="F116" s="48"/>
    </row>
    <row r="117" spans="1:6" x14ac:dyDescent="0.2">
      <c r="A117" s="11" t="s">
        <v>31</v>
      </c>
      <c r="B117" s="12" t="s">
        <v>32</v>
      </c>
      <c r="C117" s="13"/>
      <c r="D117" s="14"/>
      <c r="E117" s="15"/>
      <c r="F117" s="48"/>
    </row>
    <row r="118" spans="1:6" x14ac:dyDescent="0.2">
      <c r="A118" s="16"/>
      <c r="B118" s="17"/>
      <c r="C118" s="18">
        <v>201</v>
      </c>
      <c r="D118" s="19" t="s">
        <v>15</v>
      </c>
      <c r="E118" s="15"/>
      <c r="F118" s="48"/>
    </row>
    <row r="119" spans="1:6" x14ac:dyDescent="0.2">
      <c r="A119" s="16"/>
      <c r="B119" s="17"/>
      <c r="C119" s="18">
        <v>67</v>
      </c>
      <c r="D119" s="19" t="s">
        <v>4</v>
      </c>
      <c r="E119" s="15"/>
      <c r="F119" s="48"/>
    </row>
    <row r="120" spans="1:6" x14ac:dyDescent="0.2">
      <c r="A120" s="16"/>
      <c r="B120" s="17"/>
      <c r="C120" s="18">
        <v>203</v>
      </c>
      <c r="D120" s="19" t="s">
        <v>5</v>
      </c>
      <c r="E120" s="15"/>
      <c r="F120" s="48"/>
    </row>
    <row r="121" spans="1:6" x14ac:dyDescent="0.2">
      <c r="A121" s="49"/>
      <c r="B121" s="19"/>
      <c r="C121" s="18">
        <v>10</v>
      </c>
      <c r="D121" s="19" t="s">
        <v>6</v>
      </c>
      <c r="E121" s="15">
        <f>'2020'!O5</f>
        <v>129</v>
      </c>
      <c r="F121" s="48">
        <f>3005.1+657.47+121.34+268.89+10.55</f>
        <v>4063.35</v>
      </c>
    </row>
    <row r="122" spans="1:6" x14ac:dyDescent="0.2">
      <c r="A122" s="16"/>
      <c r="B122" s="17"/>
      <c r="C122" s="18"/>
      <c r="D122" s="19"/>
      <c r="E122" s="15"/>
      <c r="F122" s="48"/>
    </row>
    <row r="123" spans="1:6" x14ac:dyDescent="0.2">
      <c r="A123" s="11" t="s">
        <v>20</v>
      </c>
      <c r="B123" s="12" t="s">
        <v>33</v>
      </c>
      <c r="C123" s="13"/>
      <c r="D123" s="14"/>
      <c r="E123" s="15"/>
      <c r="F123" s="48"/>
    </row>
    <row r="124" spans="1:6" x14ac:dyDescent="0.2">
      <c r="A124" s="16"/>
      <c r="B124" s="17"/>
      <c r="C124" s="18">
        <v>201</v>
      </c>
      <c r="D124" s="19" t="s">
        <v>15</v>
      </c>
      <c r="E124" s="15"/>
      <c r="F124" s="48"/>
    </row>
    <row r="125" spans="1:6" x14ac:dyDescent="0.2">
      <c r="A125" s="16"/>
      <c r="B125" s="17"/>
      <c r="C125" s="18">
        <v>67</v>
      </c>
      <c r="D125" s="19" t="s">
        <v>4</v>
      </c>
      <c r="E125" s="15"/>
      <c r="F125" s="48"/>
    </row>
    <row r="126" spans="1:6" x14ac:dyDescent="0.2">
      <c r="A126" s="16"/>
      <c r="B126" s="17"/>
      <c r="C126" s="18">
        <v>203</v>
      </c>
      <c r="D126" s="19" t="s">
        <v>5</v>
      </c>
      <c r="E126" s="15"/>
      <c r="F126" s="48"/>
    </row>
    <row r="127" spans="1:6" x14ac:dyDescent="0.2">
      <c r="A127" s="49"/>
      <c r="B127" s="19"/>
      <c r="C127" s="18">
        <v>10</v>
      </c>
      <c r="D127" s="19" t="s">
        <v>6</v>
      </c>
      <c r="E127" s="15"/>
      <c r="F127" s="48"/>
    </row>
    <row r="128" spans="1:6" x14ac:dyDescent="0.2">
      <c r="A128" s="50"/>
      <c r="B128" s="19"/>
      <c r="C128" s="18"/>
      <c r="D128" s="19"/>
      <c r="E128" s="15"/>
      <c r="F128" s="48"/>
    </row>
    <row r="129" spans="1:6" x14ac:dyDescent="0.2">
      <c r="A129" s="11" t="s">
        <v>21</v>
      </c>
      <c r="B129" s="12" t="s">
        <v>34</v>
      </c>
      <c r="C129" s="13"/>
      <c r="D129" s="14"/>
      <c r="E129" s="15"/>
      <c r="F129" s="48"/>
    </row>
    <row r="130" spans="1:6" x14ac:dyDescent="0.2">
      <c r="A130" s="16"/>
      <c r="B130" s="17"/>
      <c r="C130" s="18">
        <v>201</v>
      </c>
      <c r="D130" s="19" t="s">
        <v>15</v>
      </c>
      <c r="E130" s="15"/>
      <c r="F130" s="48"/>
    </row>
    <row r="131" spans="1:6" x14ac:dyDescent="0.2">
      <c r="A131" s="16"/>
      <c r="B131" s="17"/>
      <c r="C131" s="18">
        <v>67</v>
      </c>
      <c r="D131" s="19" t="s">
        <v>4</v>
      </c>
      <c r="E131" s="15"/>
      <c r="F131" s="48"/>
    </row>
    <row r="132" spans="1:6" x14ac:dyDescent="0.2">
      <c r="A132" s="16"/>
      <c r="B132" s="17"/>
      <c r="C132" s="18">
        <v>203</v>
      </c>
      <c r="D132" s="19" t="s">
        <v>5</v>
      </c>
      <c r="E132" s="15"/>
      <c r="F132" s="48"/>
    </row>
    <row r="133" spans="1:6" ht="13.5" thickBot="1" x14ac:dyDescent="0.25">
      <c r="A133" s="51"/>
      <c r="B133" s="52"/>
      <c r="C133" s="52">
        <v>10</v>
      </c>
      <c r="D133" s="52" t="s">
        <v>6</v>
      </c>
      <c r="E133" s="15">
        <f>'2020'!O7</f>
        <v>1</v>
      </c>
      <c r="F133" s="48">
        <v>1.63</v>
      </c>
    </row>
    <row r="134" spans="1:6" x14ac:dyDescent="0.2">
      <c r="E134" s="54">
        <f>SUM(E105:E133)</f>
        <v>5030</v>
      </c>
      <c r="F134" s="55">
        <f>SUM(F105:F133)</f>
        <v>89747.150000000009</v>
      </c>
    </row>
    <row r="136" spans="1:6" ht="13.5" thickBot="1" x14ac:dyDescent="0.25"/>
    <row r="137" spans="1:6" ht="26.25" thickBot="1" x14ac:dyDescent="0.25">
      <c r="A137" s="53">
        <v>2019</v>
      </c>
      <c r="B137" s="21" t="s">
        <v>10</v>
      </c>
      <c r="C137" s="22" t="s">
        <v>11</v>
      </c>
      <c r="D137" s="22" t="s">
        <v>12</v>
      </c>
      <c r="E137" s="23" t="s">
        <v>13</v>
      </c>
      <c r="F137" s="24" t="s">
        <v>14</v>
      </c>
    </row>
    <row r="138" spans="1:6" x14ac:dyDescent="0.2">
      <c r="A138" s="11" t="s">
        <v>16</v>
      </c>
      <c r="B138" s="12" t="s">
        <v>17</v>
      </c>
      <c r="C138" s="13"/>
      <c r="D138" s="14"/>
      <c r="E138" s="15"/>
      <c r="F138" s="48"/>
    </row>
    <row r="139" spans="1:6" x14ac:dyDescent="0.2">
      <c r="A139" s="16"/>
      <c r="B139" s="17"/>
      <c r="C139" s="18">
        <v>201</v>
      </c>
      <c r="D139" s="19" t="s">
        <v>15</v>
      </c>
      <c r="E139" s="15">
        <f>'2019'!O28</f>
        <v>657</v>
      </c>
      <c r="F139" s="48">
        <f>'2019'!O30</f>
        <v>23020</v>
      </c>
    </row>
    <row r="140" spans="1:6" x14ac:dyDescent="0.2">
      <c r="A140" s="16"/>
      <c r="B140" s="17"/>
      <c r="C140" s="18">
        <v>67</v>
      </c>
      <c r="D140" s="19" t="s">
        <v>4</v>
      </c>
      <c r="E140" s="15">
        <f>'2019'!O17</f>
        <v>513</v>
      </c>
      <c r="F140" s="48">
        <f>'2019'!O19</f>
        <v>12825</v>
      </c>
    </row>
    <row r="141" spans="1:6" x14ac:dyDescent="0.2">
      <c r="A141" s="16"/>
      <c r="B141" s="17"/>
      <c r="C141" s="18">
        <v>203</v>
      </c>
      <c r="D141" s="19" t="s">
        <v>5</v>
      </c>
      <c r="E141" s="15">
        <v>5</v>
      </c>
      <c r="F141" s="48">
        <f>'2019'!O41</f>
        <v>162.5</v>
      </c>
    </row>
    <row r="142" spans="1:6" x14ac:dyDescent="0.2">
      <c r="A142" s="49"/>
      <c r="B142" s="19"/>
      <c r="C142" s="18">
        <v>10</v>
      </c>
      <c r="D142" s="19" t="s">
        <v>6</v>
      </c>
      <c r="E142" s="15">
        <f>'2019'!O3</f>
        <v>20658</v>
      </c>
      <c r="F142" s="48">
        <v>315858.49</v>
      </c>
    </row>
    <row r="143" spans="1:6" x14ac:dyDescent="0.2">
      <c r="A143" s="50"/>
      <c r="B143" s="12"/>
      <c r="C143" s="13"/>
      <c r="D143" s="14"/>
      <c r="E143" s="15"/>
      <c r="F143" s="48"/>
    </row>
    <row r="144" spans="1:6" x14ac:dyDescent="0.2">
      <c r="A144" s="11" t="s">
        <v>19</v>
      </c>
      <c r="B144" s="12" t="s">
        <v>18</v>
      </c>
      <c r="C144" s="13"/>
      <c r="D144" s="14"/>
      <c r="E144" s="15"/>
      <c r="F144" s="48"/>
    </row>
    <row r="145" spans="1:6" x14ac:dyDescent="0.2">
      <c r="A145" s="16"/>
      <c r="B145" s="17"/>
      <c r="C145" s="18">
        <v>201</v>
      </c>
      <c r="D145" s="19" t="s">
        <v>15</v>
      </c>
      <c r="E145" s="15"/>
      <c r="F145" s="48"/>
    </row>
    <row r="146" spans="1:6" x14ac:dyDescent="0.2">
      <c r="A146" s="16"/>
      <c r="B146" s="17"/>
      <c r="C146" s="18">
        <v>67</v>
      </c>
      <c r="D146" s="19" t="s">
        <v>4</v>
      </c>
      <c r="E146" s="15"/>
      <c r="F146" s="48"/>
    </row>
    <row r="147" spans="1:6" x14ac:dyDescent="0.2">
      <c r="A147" s="16"/>
      <c r="B147" s="17"/>
      <c r="C147" s="18">
        <v>203</v>
      </c>
      <c r="D147" s="19" t="s">
        <v>5</v>
      </c>
      <c r="E147" s="15"/>
      <c r="F147" s="48"/>
    </row>
    <row r="148" spans="1:6" x14ac:dyDescent="0.2">
      <c r="A148" s="49"/>
      <c r="B148" s="19"/>
      <c r="C148" s="18">
        <v>10</v>
      </c>
      <c r="D148" s="19" t="s">
        <v>6</v>
      </c>
      <c r="E148" s="15">
        <f>'2019'!O4</f>
        <v>610</v>
      </c>
      <c r="F148" s="48">
        <f>1440.74+2013.18</f>
        <v>3453.92</v>
      </c>
    </row>
    <row r="149" spans="1:6" x14ac:dyDescent="0.2">
      <c r="A149" s="49"/>
      <c r="B149" s="19"/>
      <c r="C149" s="18"/>
      <c r="D149" s="19"/>
      <c r="E149" s="15"/>
      <c r="F149" s="48"/>
    </row>
    <row r="150" spans="1:6" x14ac:dyDescent="0.2">
      <c r="A150" s="11" t="s">
        <v>31</v>
      </c>
      <c r="B150" s="12" t="s">
        <v>32</v>
      </c>
      <c r="C150" s="13"/>
      <c r="D150" s="14"/>
      <c r="E150" s="15"/>
      <c r="F150" s="48"/>
    </row>
    <row r="151" spans="1:6" x14ac:dyDescent="0.2">
      <c r="A151" s="16"/>
      <c r="B151" s="17"/>
      <c r="C151" s="18">
        <v>201</v>
      </c>
      <c r="D151" s="19" t="s">
        <v>15</v>
      </c>
      <c r="E151" s="15"/>
      <c r="F151" s="48"/>
    </row>
    <row r="152" spans="1:6" x14ac:dyDescent="0.2">
      <c r="A152" s="16"/>
      <c r="B152" s="17"/>
      <c r="C152" s="18">
        <v>67</v>
      </c>
      <c r="D152" s="19" t="s">
        <v>4</v>
      </c>
      <c r="E152" s="15"/>
      <c r="F152" s="48"/>
    </row>
    <row r="153" spans="1:6" x14ac:dyDescent="0.2">
      <c r="A153" s="16"/>
      <c r="B153" s="17"/>
      <c r="C153" s="18">
        <v>203</v>
      </c>
      <c r="D153" s="19" t="s">
        <v>5</v>
      </c>
      <c r="E153" s="15"/>
      <c r="F153" s="48"/>
    </row>
    <row r="154" spans="1:6" x14ac:dyDescent="0.2">
      <c r="A154" s="49"/>
      <c r="B154" s="19"/>
      <c r="C154" s="18">
        <v>10</v>
      </c>
      <c r="D154" s="19" t="s">
        <v>6</v>
      </c>
      <c r="E154" s="15">
        <f>'2019'!O5</f>
        <v>1096</v>
      </c>
      <c r="F154" s="48">
        <f>19985.12+35.14+1576.33+231.39+14.22+97.41+3635.12+1028.19</f>
        <v>26602.919999999995</v>
      </c>
    </row>
    <row r="155" spans="1:6" x14ac:dyDescent="0.2">
      <c r="A155" s="16"/>
      <c r="B155" s="17"/>
      <c r="C155" s="18"/>
      <c r="D155" s="19"/>
      <c r="E155" s="15"/>
      <c r="F155" s="48"/>
    </row>
    <row r="156" spans="1:6" x14ac:dyDescent="0.2">
      <c r="A156" s="11" t="s">
        <v>20</v>
      </c>
      <c r="B156" s="12" t="s">
        <v>33</v>
      </c>
      <c r="C156" s="13"/>
      <c r="D156" s="14"/>
      <c r="E156" s="15"/>
      <c r="F156" s="48"/>
    </row>
    <row r="157" spans="1:6" x14ac:dyDescent="0.2">
      <c r="A157" s="16"/>
      <c r="B157" s="17"/>
      <c r="C157" s="18">
        <v>201</v>
      </c>
      <c r="D157" s="19" t="s">
        <v>15</v>
      </c>
      <c r="E157" s="15"/>
      <c r="F157" s="48"/>
    </row>
    <row r="158" spans="1:6" x14ac:dyDescent="0.2">
      <c r="A158" s="16"/>
      <c r="B158" s="17"/>
      <c r="C158" s="18">
        <v>67</v>
      </c>
      <c r="D158" s="19" t="s">
        <v>4</v>
      </c>
      <c r="E158" s="15"/>
      <c r="F158" s="48"/>
    </row>
    <row r="159" spans="1:6" x14ac:dyDescent="0.2">
      <c r="A159" s="16"/>
      <c r="B159" s="17"/>
      <c r="C159" s="18">
        <v>203</v>
      </c>
      <c r="D159" s="19" t="s">
        <v>5</v>
      </c>
      <c r="E159" s="15"/>
      <c r="F159" s="48"/>
    </row>
    <row r="160" spans="1:6" x14ac:dyDescent="0.2">
      <c r="A160" s="49"/>
      <c r="B160" s="19"/>
      <c r="C160" s="18">
        <v>10</v>
      </c>
      <c r="D160" s="19" t="s">
        <v>6</v>
      </c>
      <c r="E160" s="15"/>
      <c r="F160" s="48"/>
    </row>
    <row r="161" spans="1:6" x14ac:dyDescent="0.2">
      <c r="A161" s="50"/>
      <c r="B161" s="19"/>
      <c r="C161" s="18"/>
      <c r="D161" s="19"/>
      <c r="E161" s="15"/>
      <c r="F161" s="48"/>
    </row>
    <row r="162" spans="1:6" x14ac:dyDescent="0.2">
      <c r="A162" s="11" t="s">
        <v>21</v>
      </c>
      <c r="B162" s="12" t="s">
        <v>34</v>
      </c>
      <c r="C162" s="13"/>
      <c r="D162" s="14"/>
      <c r="E162" s="15"/>
      <c r="F162" s="48"/>
    </row>
    <row r="163" spans="1:6" x14ac:dyDescent="0.2">
      <c r="A163" s="16"/>
      <c r="B163" s="17"/>
      <c r="C163" s="18">
        <v>201</v>
      </c>
      <c r="D163" s="19" t="s">
        <v>15</v>
      </c>
      <c r="E163" s="15"/>
      <c r="F163" s="48"/>
    </row>
    <row r="164" spans="1:6" x14ac:dyDescent="0.2">
      <c r="A164" s="16"/>
      <c r="B164" s="17"/>
      <c r="C164" s="18">
        <v>67</v>
      </c>
      <c r="D164" s="19" t="s">
        <v>4</v>
      </c>
      <c r="E164" s="15"/>
      <c r="F164" s="48"/>
    </row>
    <row r="165" spans="1:6" x14ac:dyDescent="0.2">
      <c r="A165" s="16"/>
      <c r="B165" s="17"/>
      <c r="C165" s="18">
        <v>203</v>
      </c>
      <c r="D165" s="19" t="s">
        <v>5</v>
      </c>
      <c r="E165" s="15"/>
      <c r="F165" s="48"/>
    </row>
    <row r="166" spans="1:6" ht="13.5" thickBot="1" x14ac:dyDescent="0.25">
      <c r="A166" s="51"/>
      <c r="B166" s="52"/>
      <c r="C166" s="52">
        <v>10</v>
      </c>
      <c r="D166" s="52" t="s">
        <v>6</v>
      </c>
      <c r="E166" s="15">
        <f>'2019'!O7</f>
        <v>9</v>
      </c>
      <c r="F166" s="48">
        <v>47.63</v>
      </c>
    </row>
    <row r="167" spans="1:6" x14ac:dyDescent="0.2">
      <c r="E167" s="54">
        <f>SUM(E138:E166)</f>
        <v>23548</v>
      </c>
      <c r="F167" s="55">
        <f>SUM(F138:F166)</f>
        <v>381970.45999999996</v>
      </c>
    </row>
    <row r="169" spans="1:6" ht="13.5" thickBot="1" x14ac:dyDescent="0.25"/>
    <row r="170" spans="1:6" ht="26.25" thickBot="1" x14ac:dyDescent="0.25">
      <c r="A170" s="53">
        <v>2018</v>
      </c>
      <c r="B170" s="21" t="s">
        <v>10</v>
      </c>
      <c r="C170" s="22" t="s">
        <v>11</v>
      </c>
      <c r="D170" s="22" t="s">
        <v>12</v>
      </c>
      <c r="E170" s="23" t="s">
        <v>13</v>
      </c>
      <c r="F170" s="24" t="s">
        <v>14</v>
      </c>
    </row>
    <row r="171" spans="1:6" x14ac:dyDescent="0.2">
      <c r="A171" s="11" t="s">
        <v>16</v>
      </c>
      <c r="B171" s="12" t="s">
        <v>17</v>
      </c>
      <c r="C171" s="13"/>
      <c r="D171" s="14"/>
      <c r="E171" s="15"/>
      <c r="F171" s="48"/>
    </row>
    <row r="172" spans="1:6" x14ac:dyDescent="0.2">
      <c r="A172" s="16"/>
      <c r="B172" s="17"/>
      <c r="C172" s="18">
        <v>201</v>
      </c>
      <c r="D172" s="19" t="s">
        <v>15</v>
      </c>
      <c r="E172" s="15">
        <f>'2018'!O28</f>
        <v>840</v>
      </c>
      <c r="F172" s="48">
        <f>'2018'!O30</f>
        <v>29370</v>
      </c>
    </row>
    <row r="173" spans="1:6" x14ac:dyDescent="0.2">
      <c r="A173" s="16"/>
      <c r="B173" s="17"/>
      <c r="C173" s="18">
        <v>67</v>
      </c>
      <c r="D173" s="19" t="s">
        <v>4</v>
      </c>
      <c r="E173" s="15">
        <f>'2018'!O17</f>
        <v>471</v>
      </c>
      <c r="F173" s="48">
        <f>'2018'!O19</f>
        <v>11775</v>
      </c>
    </row>
    <row r="174" spans="1:6" x14ac:dyDescent="0.2">
      <c r="A174" s="16"/>
      <c r="B174" s="17"/>
      <c r="C174" s="18">
        <v>203</v>
      </c>
      <c r="D174" s="19" t="s">
        <v>5</v>
      </c>
      <c r="E174" s="15">
        <v>1</v>
      </c>
      <c r="F174" s="48">
        <f>'2018'!O41</f>
        <v>32.5</v>
      </c>
    </row>
    <row r="175" spans="1:6" x14ac:dyDescent="0.2">
      <c r="A175" s="49"/>
      <c r="B175" s="19"/>
      <c r="C175" s="18">
        <v>10</v>
      </c>
      <c r="D175" s="19" t="s">
        <v>6</v>
      </c>
      <c r="E175" s="15">
        <f>'2018'!O3</f>
        <v>21815</v>
      </c>
      <c r="F175" s="48">
        <v>352899.17</v>
      </c>
    </row>
    <row r="176" spans="1:6" x14ac:dyDescent="0.2">
      <c r="A176" s="50"/>
      <c r="B176" s="12"/>
      <c r="C176" s="13"/>
      <c r="D176" s="14"/>
      <c r="E176" s="15"/>
      <c r="F176" s="48"/>
    </row>
    <row r="177" spans="1:6" x14ac:dyDescent="0.2">
      <c r="A177" s="11" t="s">
        <v>19</v>
      </c>
      <c r="B177" s="12" t="s">
        <v>18</v>
      </c>
      <c r="C177" s="13"/>
      <c r="D177" s="14"/>
      <c r="E177" s="15"/>
      <c r="F177" s="48"/>
    </row>
    <row r="178" spans="1:6" x14ac:dyDescent="0.2">
      <c r="A178" s="16"/>
      <c r="B178" s="17"/>
      <c r="C178" s="18">
        <v>201</v>
      </c>
      <c r="D178" s="19" t="s">
        <v>15</v>
      </c>
      <c r="E178" s="15"/>
      <c r="F178" s="48"/>
    </row>
    <row r="179" spans="1:6" x14ac:dyDescent="0.2">
      <c r="A179" s="16"/>
      <c r="B179" s="17"/>
      <c r="C179" s="18">
        <v>67</v>
      </c>
      <c r="D179" s="19" t="s">
        <v>4</v>
      </c>
      <c r="E179" s="15"/>
      <c r="F179" s="48"/>
    </row>
    <row r="180" spans="1:6" x14ac:dyDescent="0.2">
      <c r="A180" s="16"/>
      <c r="B180" s="17"/>
      <c r="C180" s="18">
        <v>203</v>
      </c>
      <c r="D180" s="19" t="s">
        <v>5</v>
      </c>
      <c r="E180" s="15"/>
      <c r="F180" s="48"/>
    </row>
    <row r="181" spans="1:6" x14ac:dyDescent="0.2">
      <c r="A181" s="49"/>
      <c r="B181" s="19"/>
      <c r="C181" s="18">
        <v>10</v>
      </c>
      <c r="D181" s="19" t="s">
        <v>6</v>
      </c>
      <c r="E181" s="15">
        <f>'2018'!O4</f>
        <v>553</v>
      </c>
      <c r="F181" s="48">
        <f>1313.83+1642.31</f>
        <v>2956.14</v>
      </c>
    </row>
    <row r="182" spans="1:6" x14ac:dyDescent="0.2">
      <c r="A182" s="49"/>
      <c r="B182" s="19"/>
      <c r="C182" s="18"/>
      <c r="D182" s="19"/>
      <c r="E182" s="15"/>
      <c r="F182" s="48"/>
    </row>
    <row r="183" spans="1:6" x14ac:dyDescent="0.2">
      <c r="A183" s="11" t="s">
        <v>31</v>
      </c>
      <c r="B183" s="12" t="s">
        <v>32</v>
      </c>
      <c r="C183" s="13"/>
      <c r="D183" s="14"/>
      <c r="E183" s="15"/>
      <c r="F183" s="48"/>
    </row>
    <row r="184" spans="1:6" x14ac:dyDescent="0.2">
      <c r="A184" s="16"/>
      <c r="B184" s="17"/>
      <c r="C184" s="18">
        <v>201</v>
      </c>
      <c r="D184" s="19" t="s">
        <v>15</v>
      </c>
      <c r="E184" s="15"/>
      <c r="F184" s="48"/>
    </row>
    <row r="185" spans="1:6" x14ac:dyDescent="0.2">
      <c r="A185" s="16"/>
      <c r="B185" s="17"/>
      <c r="C185" s="18">
        <v>67</v>
      </c>
      <c r="D185" s="19" t="s">
        <v>4</v>
      </c>
      <c r="E185" s="15"/>
      <c r="F185" s="48"/>
    </row>
    <row r="186" spans="1:6" x14ac:dyDescent="0.2">
      <c r="A186" s="16"/>
      <c r="B186" s="17"/>
      <c r="C186" s="18">
        <v>203</v>
      </c>
      <c r="D186" s="19" t="s">
        <v>5</v>
      </c>
      <c r="E186" s="15"/>
      <c r="F186" s="48"/>
    </row>
    <row r="187" spans="1:6" x14ac:dyDescent="0.2">
      <c r="A187" s="49"/>
      <c r="B187" s="19"/>
      <c r="C187" s="18">
        <v>10</v>
      </c>
      <c r="D187" s="19" t="s">
        <v>6</v>
      </c>
      <c r="E187" s="15">
        <f>'2018'!O5</f>
        <v>1320</v>
      </c>
      <c r="F187" s="48">
        <f>30358.19+29.07+7975.35+348.63+4221.48+229.61</f>
        <v>43162.33</v>
      </c>
    </row>
    <row r="188" spans="1:6" x14ac:dyDescent="0.2">
      <c r="A188" s="16"/>
      <c r="B188" s="17"/>
      <c r="C188" s="18"/>
      <c r="D188" s="19"/>
      <c r="E188" s="15"/>
      <c r="F188" s="48"/>
    </row>
    <row r="189" spans="1:6" x14ac:dyDescent="0.2">
      <c r="A189" s="11" t="s">
        <v>20</v>
      </c>
      <c r="B189" s="12" t="s">
        <v>33</v>
      </c>
      <c r="C189" s="13"/>
      <c r="D189" s="14"/>
      <c r="E189" s="15"/>
      <c r="F189" s="48"/>
    </row>
    <row r="190" spans="1:6" x14ac:dyDescent="0.2">
      <c r="A190" s="16"/>
      <c r="B190" s="17"/>
      <c r="C190" s="18">
        <v>201</v>
      </c>
      <c r="D190" s="19" t="s">
        <v>15</v>
      </c>
      <c r="E190" s="15"/>
      <c r="F190" s="48"/>
    </row>
    <row r="191" spans="1:6" x14ac:dyDescent="0.2">
      <c r="A191" s="16"/>
      <c r="B191" s="17"/>
      <c r="C191" s="18">
        <v>67</v>
      </c>
      <c r="D191" s="19" t="s">
        <v>4</v>
      </c>
      <c r="E191" s="15"/>
      <c r="F191" s="48"/>
    </row>
    <row r="192" spans="1:6" x14ac:dyDescent="0.2">
      <c r="A192" s="16"/>
      <c r="B192" s="17"/>
      <c r="C192" s="18">
        <v>203</v>
      </c>
      <c r="D192" s="19" t="s">
        <v>5</v>
      </c>
      <c r="E192" s="15"/>
      <c r="F192" s="48"/>
    </row>
    <row r="193" spans="1:6" x14ac:dyDescent="0.2">
      <c r="A193" s="49"/>
      <c r="B193" s="19"/>
      <c r="C193" s="18">
        <v>10</v>
      </c>
      <c r="D193" s="19" t="s">
        <v>6</v>
      </c>
      <c r="E193" s="15">
        <f>'2018'!O6</f>
        <v>1</v>
      </c>
      <c r="F193" s="48">
        <v>1889.02</v>
      </c>
    </row>
    <row r="194" spans="1:6" x14ac:dyDescent="0.2">
      <c r="A194" s="50"/>
      <c r="B194" s="19"/>
      <c r="C194" s="18"/>
      <c r="D194" s="19"/>
      <c r="E194" s="15"/>
      <c r="F194" s="48"/>
    </row>
    <row r="195" spans="1:6" x14ac:dyDescent="0.2">
      <c r="A195" s="11" t="s">
        <v>21</v>
      </c>
      <c r="B195" s="12" t="s">
        <v>34</v>
      </c>
      <c r="C195" s="13"/>
      <c r="D195" s="14"/>
      <c r="E195" s="15"/>
      <c r="F195" s="48"/>
    </row>
    <row r="196" spans="1:6" x14ac:dyDescent="0.2">
      <c r="A196" s="16"/>
      <c r="B196" s="17"/>
      <c r="C196" s="18">
        <v>201</v>
      </c>
      <c r="D196" s="19" t="s">
        <v>15</v>
      </c>
      <c r="E196" s="15"/>
      <c r="F196" s="48"/>
    </row>
    <row r="197" spans="1:6" x14ac:dyDescent="0.2">
      <c r="A197" s="16"/>
      <c r="B197" s="17"/>
      <c r="C197" s="18">
        <v>67</v>
      </c>
      <c r="D197" s="19" t="s">
        <v>4</v>
      </c>
      <c r="E197" s="15"/>
      <c r="F197" s="48"/>
    </row>
    <row r="198" spans="1:6" x14ac:dyDescent="0.2">
      <c r="A198" s="16"/>
      <c r="B198" s="17"/>
      <c r="C198" s="18">
        <v>203</v>
      </c>
      <c r="D198" s="19" t="s">
        <v>5</v>
      </c>
      <c r="E198" s="15"/>
      <c r="F198" s="48"/>
    </row>
    <row r="199" spans="1:6" ht="13.5" thickBot="1" x14ac:dyDescent="0.25">
      <c r="A199" s="51"/>
      <c r="B199" s="52"/>
      <c r="C199" s="52">
        <v>10</v>
      </c>
      <c r="D199" s="52" t="s">
        <v>6</v>
      </c>
      <c r="E199" s="15">
        <f>'2018'!O7</f>
        <v>17</v>
      </c>
      <c r="F199" s="48">
        <v>135.59</v>
      </c>
    </row>
    <row r="200" spans="1:6" x14ac:dyDescent="0.2">
      <c r="E200" s="54">
        <f>SUM(E171:E199)</f>
        <v>25018</v>
      </c>
      <c r="F200" s="55">
        <f>SUM(F171:F199)</f>
        <v>442219.75000000006</v>
      </c>
    </row>
  </sheetData>
  <pageMargins left="0.7" right="0.7" top="0.75" bottom="0.75" header="0.3" footer="0.3"/>
  <pageSetup scale="78" fitToHeight="0" orientation="portrait" r:id="rId1"/>
  <headerFooter>
    <oddHeader>&amp;R&amp;"Arial,Regular"&amp;10Exhibit 52
Page &amp;P of 6  
Witness: Moriarty</oddHeader>
  </headerFooter>
  <rowBreaks count="5" manualBreakCount="5">
    <brk id="36" max="16383" man="1"/>
    <brk id="69" max="16383" man="1"/>
    <brk id="102" max="16383" man="1"/>
    <brk id="135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F5C2-F6D3-430A-80CD-7D84E4915AFD}">
  <sheetPr>
    <pageSetUpPr fitToPage="1"/>
  </sheetPr>
  <dimension ref="A1:N302"/>
  <sheetViews>
    <sheetView view="pageLayout" topLeftCell="A30" zoomScaleNormal="100" workbookViewId="0">
      <selection activeCell="N41" sqref="N41"/>
    </sheetView>
  </sheetViews>
  <sheetFormatPr defaultColWidth="9.140625" defaultRowHeight="12.75" x14ac:dyDescent="0.2"/>
  <cols>
    <col min="1" max="1" width="19.85546875" style="5" bestFit="1" customWidth="1"/>
    <col min="2" max="2" width="22" style="5" bestFit="1" customWidth="1"/>
    <col min="3" max="3" width="14.7109375" style="29" customWidth="1"/>
    <col min="4" max="4" width="14.7109375" style="30" customWidth="1"/>
    <col min="5" max="5" width="9.140625" style="5"/>
    <col min="6" max="6" width="19.85546875" style="5" hidden="1" customWidth="1"/>
    <col min="7" max="7" width="22" style="5" hidden="1" customWidth="1"/>
    <col min="8" max="8" width="14.7109375" style="29" hidden="1" customWidth="1"/>
    <col min="9" max="9" width="14.7109375" style="30" hidden="1" customWidth="1"/>
    <col min="10" max="10" width="10.7109375" style="5" hidden="1" customWidth="1"/>
    <col min="11" max="11" width="0" style="5" hidden="1" customWidth="1"/>
    <col min="12" max="13" width="9.140625" style="5"/>
    <col min="14" max="14" width="14.28515625" style="5" bestFit="1" customWidth="1"/>
    <col min="15" max="16384" width="9.140625" style="5"/>
  </cols>
  <sheetData>
    <row r="1" spans="1:10" s="2" customFormat="1" x14ac:dyDescent="0.2">
      <c r="A1" s="6" t="s">
        <v>26</v>
      </c>
      <c r="C1" s="3"/>
      <c r="D1" s="4"/>
      <c r="H1" s="3"/>
      <c r="I1" s="4"/>
    </row>
    <row r="2" spans="1:10" x14ac:dyDescent="0.2">
      <c r="A2" s="6" t="s">
        <v>53</v>
      </c>
      <c r="B2" s="2"/>
      <c r="C2" s="3"/>
      <c r="D2" s="4"/>
      <c r="F2" s="2"/>
      <c r="G2" s="2"/>
      <c r="H2" s="3"/>
      <c r="I2" s="4"/>
    </row>
    <row r="3" spans="1:10" x14ac:dyDescent="0.2">
      <c r="A3" s="6" t="s">
        <v>9</v>
      </c>
      <c r="B3" s="2"/>
      <c r="C3" s="3"/>
      <c r="D3" s="4"/>
      <c r="F3" s="2"/>
      <c r="G3" s="2"/>
      <c r="H3" s="3"/>
      <c r="I3" s="4"/>
    </row>
    <row r="4" spans="1:10" x14ac:dyDescent="0.2">
      <c r="A4" s="1"/>
      <c r="B4" s="2"/>
      <c r="C4" s="3"/>
      <c r="D4" s="4"/>
      <c r="F4" s="28"/>
    </row>
    <row r="5" spans="1:10" x14ac:dyDescent="0.2">
      <c r="A5" s="25">
        <v>2023</v>
      </c>
      <c r="C5" s="3"/>
      <c r="D5" s="4"/>
      <c r="F5" s="28"/>
    </row>
    <row r="6" spans="1:10" ht="15" x14ac:dyDescent="0.35">
      <c r="A6" s="26" t="s">
        <v>0</v>
      </c>
      <c r="B6" s="26" t="s">
        <v>1</v>
      </c>
      <c r="C6" s="27" t="s">
        <v>2</v>
      </c>
      <c r="D6" s="26" t="s">
        <v>3</v>
      </c>
      <c r="F6" s="28"/>
      <c r="H6" s="31"/>
      <c r="I6" s="32"/>
    </row>
    <row r="7" spans="1:10" x14ac:dyDescent="0.2">
      <c r="A7" s="28"/>
      <c r="F7" s="28"/>
      <c r="H7" s="33"/>
      <c r="I7" s="34"/>
    </row>
    <row r="8" spans="1:10" ht="15" x14ac:dyDescent="0.35">
      <c r="A8" s="28">
        <v>201</v>
      </c>
      <c r="B8" s="5" t="s">
        <v>15</v>
      </c>
      <c r="C8" s="29">
        <v>1032</v>
      </c>
      <c r="D8" s="30">
        <v>35695</v>
      </c>
      <c r="E8" s="30"/>
      <c r="F8" s="28"/>
      <c r="H8" s="31"/>
      <c r="I8" s="32"/>
    </row>
    <row r="9" spans="1:10" x14ac:dyDescent="0.2">
      <c r="A9" s="28">
        <v>67</v>
      </c>
      <c r="B9" s="5" t="s">
        <v>4</v>
      </c>
      <c r="C9" s="29">
        <f>'2023'!O17</f>
        <v>461</v>
      </c>
      <c r="D9" s="30">
        <v>12650</v>
      </c>
      <c r="E9" s="30"/>
      <c r="F9" s="28"/>
      <c r="H9" s="33"/>
      <c r="I9" s="36"/>
    </row>
    <row r="10" spans="1:10" x14ac:dyDescent="0.2">
      <c r="A10" s="28">
        <v>203</v>
      </c>
      <c r="B10" s="5" t="s">
        <v>5</v>
      </c>
      <c r="C10" s="29">
        <v>2</v>
      </c>
      <c r="D10" s="30">
        <v>65</v>
      </c>
      <c r="E10" s="30"/>
      <c r="F10" s="2"/>
      <c r="G10" s="2"/>
      <c r="H10" s="3"/>
      <c r="I10" s="2"/>
    </row>
    <row r="11" spans="1:10" x14ac:dyDescent="0.2">
      <c r="A11" s="28">
        <v>10</v>
      </c>
      <c r="B11" s="5" t="s">
        <v>6</v>
      </c>
      <c r="C11" s="29">
        <f>'2023'!O8</f>
        <v>20623</v>
      </c>
      <c r="D11" s="30">
        <v>375834.62</v>
      </c>
    </row>
    <row r="12" spans="1:10" ht="15.75" thickBot="1" x14ac:dyDescent="0.4">
      <c r="A12" s="28"/>
      <c r="C12" s="31"/>
      <c r="D12" s="32"/>
      <c r="H12" s="33"/>
      <c r="I12" s="34"/>
    </row>
    <row r="13" spans="1:10" x14ac:dyDescent="0.2">
      <c r="A13" s="28"/>
      <c r="C13" s="33">
        <f>SUM(C7:C12)</f>
        <v>22118</v>
      </c>
      <c r="D13" s="34">
        <f>SUM(D7:D12)</f>
        <v>424244.62</v>
      </c>
      <c r="F13" s="64" t="s">
        <v>8</v>
      </c>
      <c r="G13" s="37"/>
      <c r="H13" s="37"/>
      <c r="I13" s="37"/>
      <c r="J13" s="38"/>
    </row>
    <row r="14" spans="1:10" x14ac:dyDescent="0.2">
      <c r="A14" s="28"/>
      <c r="F14" s="65"/>
      <c r="H14" s="5"/>
      <c r="I14" s="5"/>
      <c r="J14" s="39"/>
    </row>
    <row r="15" spans="1:10" x14ac:dyDescent="0.2">
      <c r="A15" s="25">
        <v>2022</v>
      </c>
      <c r="C15" s="3"/>
      <c r="D15" s="4"/>
      <c r="F15" s="40"/>
      <c r="H15" s="5"/>
      <c r="I15" s="5"/>
      <c r="J15" s="39"/>
    </row>
    <row r="16" spans="1:10" x14ac:dyDescent="0.2">
      <c r="A16" s="26" t="s">
        <v>0</v>
      </c>
      <c r="B16" s="26" t="s">
        <v>1</v>
      </c>
      <c r="C16" s="27" t="s">
        <v>2</v>
      </c>
      <c r="D16" s="26" t="s">
        <v>3</v>
      </c>
      <c r="F16" s="40" t="s">
        <v>28</v>
      </c>
      <c r="G16" s="5" t="s">
        <v>6</v>
      </c>
      <c r="H16" s="35" t="s">
        <v>7</v>
      </c>
      <c r="I16" s="5"/>
      <c r="J16" s="39"/>
    </row>
    <row r="17" spans="1:14" x14ac:dyDescent="0.2">
      <c r="A17" s="28"/>
      <c r="F17" s="40" t="s">
        <v>29</v>
      </c>
      <c r="G17" s="5" t="s">
        <v>15</v>
      </c>
      <c r="H17" s="35" t="s">
        <v>24</v>
      </c>
      <c r="I17" s="5"/>
      <c r="J17" s="39"/>
    </row>
    <row r="18" spans="1:14" x14ac:dyDescent="0.2">
      <c r="A18" s="28">
        <v>201</v>
      </c>
      <c r="B18" s="5" t="s">
        <v>15</v>
      </c>
      <c r="C18" s="29">
        <v>1133</v>
      </c>
      <c r="D18" s="30">
        <v>35595</v>
      </c>
      <c r="E18" s="30"/>
      <c r="F18" s="40" t="s">
        <v>27</v>
      </c>
      <c r="G18" s="5" t="s">
        <v>4</v>
      </c>
      <c r="H18" s="35" t="s">
        <v>23</v>
      </c>
      <c r="I18" s="5"/>
      <c r="J18" s="39"/>
    </row>
    <row r="19" spans="1:14" x14ac:dyDescent="0.2">
      <c r="A19" s="28">
        <v>67</v>
      </c>
      <c r="B19" s="5" t="s">
        <v>4</v>
      </c>
      <c r="C19" s="29">
        <f>'2022'!O17</f>
        <v>335</v>
      </c>
      <c r="D19" s="30">
        <v>9025</v>
      </c>
      <c r="E19" s="30"/>
      <c r="F19" s="40" t="s">
        <v>30</v>
      </c>
      <c r="G19" s="5" t="s">
        <v>5</v>
      </c>
      <c r="H19" s="35" t="s">
        <v>22</v>
      </c>
      <c r="I19" s="5"/>
      <c r="J19" s="39"/>
    </row>
    <row r="20" spans="1:14" x14ac:dyDescent="0.2">
      <c r="A20" s="28">
        <v>203</v>
      </c>
      <c r="B20" s="5" t="s">
        <v>5</v>
      </c>
      <c r="C20" s="29">
        <v>0</v>
      </c>
      <c r="D20" s="30">
        <v>0</v>
      </c>
      <c r="F20" s="40"/>
      <c r="H20" s="41"/>
      <c r="I20" s="5"/>
      <c r="J20" s="39"/>
    </row>
    <row r="21" spans="1:14" ht="13.5" thickBot="1" x14ac:dyDescent="0.25">
      <c r="A21" s="28">
        <v>10</v>
      </c>
      <c r="B21" s="5" t="s">
        <v>6</v>
      </c>
      <c r="C21" s="29">
        <f>'2022'!O8</f>
        <v>21571</v>
      </c>
      <c r="D21" s="30">
        <v>373374.93</v>
      </c>
      <c r="F21" s="42"/>
      <c r="G21" s="43"/>
      <c r="H21" s="44"/>
      <c r="I21" s="45"/>
      <c r="J21" s="46"/>
    </row>
    <row r="22" spans="1:14" ht="15" x14ac:dyDescent="0.35">
      <c r="A22" s="28"/>
      <c r="C22" s="31"/>
      <c r="D22" s="32"/>
      <c r="F22" s="57"/>
      <c r="H22" s="35"/>
      <c r="I22" s="5"/>
    </row>
    <row r="23" spans="1:14" x14ac:dyDescent="0.2">
      <c r="A23" s="28"/>
      <c r="C23" s="33">
        <f>SUM(C17:C22)</f>
        <v>23039</v>
      </c>
      <c r="D23" s="34">
        <f>SUM(D17:D22)</f>
        <v>417994.93</v>
      </c>
      <c r="F23" s="57"/>
      <c r="H23" s="35"/>
      <c r="I23" s="5"/>
    </row>
    <row r="24" spans="1:14" x14ac:dyDescent="0.2">
      <c r="H24" s="31"/>
      <c r="I24" s="56"/>
    </row>
    <row r="25" spans="1:14" x14ac:dyDescent="0.2">
      <c r="A25" s="25">
        <v>2021</v>
      </c>
      <c r="C25" s="3"/>
      <c r="D25" s="4"/>
      <c r="F25" s="28"/>
      <c r="H25" s="33"/>
      <c r="I25" s="34"/>
    </row>
    <row r="26" spans="1:14" x14ac:dyDescent="0.2">
      <c r="A26" s="26" t="s">
        <v>0</v>
      </c>
      <c r="B26" s="26" t="s">
        <v>1</v>
      </c>
      <c r="C26" s="27" t="s">
        <v>2</v>
      </c>
      <c r="D26" s="26" t="s">
        <v>3</v>
      </c>
    </row>
    <row r="27" spans="1:14" x14ac:dyDescent="0.2">
      <c r="A27" s="28"/>
    </row>
    <row r="28" spans="1:14" x14ac:dyDescent="0.2">
      <c r="A28" s="28">
        <v>201</v>
      </c>
      <c r="B28" s="5" t="s">
        <v>15</v>
      </c>
      <c r="C28" s="29">
        <f>390+SUM('2021'!C23:F23)</f>
        <v>529</v>
      </c>
      <c r="D28" s="30">
        <f>16590+SUM('2021'!C30:F30)</f>
        <v>21455</v>
      </c>
      <c r="E28" s="30"/>
    </row>
    <row r="29" spans="1:14" x14ac:dyDescent="0.2">
      <c r="A29" s="28">
        <v>67</v>
      </c>
      <c r="B29" s="5" t="s">
        <v>4</v>
      </c>
      <c r="C29" s="29">
        <f>'2021'!O17</f>
        <v>273</v>
      </c>
      <c r="D29" s="30">
        <f>4900+SUM('2021'!C19:F19)</f>
        <v>7900</v>
      </c>
      <c r="E29" s="30"/>
    </row>
    <row r="30" spans="1:14" x14ac:dyDescent="0.2">
      <c r="A30" s="28">
        <v>203</v>
      </c>
      <c r="B30" s="5" t="s">
        <v>5</v>
      </c>
      <c r="C30" s="29">
        <v>1</v>
      </c>
      <c r="D30" s="30">
        <v>32.5</v>
      </c>
    </row>
    <row r="31" spans="1:14" x14ac:dyDescent="0.2">
      <c r="A31" s="28">
        <v>10</v>
      </c>
      <c r="B31" s="5" t="s">
        <v>6</v>
      </c>
      <c r="C31" s="29">
        <f>'2021'!O8</f>
        <v>17285</v>
      </c>
      <c r="D31" s="30">
        <v>293291.34000000003</v>
      </c>
    </row>
    <row r="32" spans="1:14" ht="15" x14ac:dyDescent="0.35">
      <c r="A32" s="28"/>
      <c r="C32" s="31"/>
      <c r="D32" s="32"/>
      <c r="N32" s="30"/>
    </row>
    <row r="33" spans="1:5" x14ac:dyDescent="0.2">
      <c r="A33" s="28"/>
      <c r="C33" s="33">
        <f>SUM(C27:C32)</f>
        <v>18088</v>
      </c>
      <c r="D33" s="34">
        <f>SUM(D27:D32)</f>
        <v>322678.84000000003</v>
      </c>
    </row>
    <row r="34" spans="1:5" ht="12" customHeight="1" x14ac:dyDescent="0.2"/>
    <row r="35" spans="1:5" x14ac:dyDescent="0.2">
      <c r="A35" s="25">
        <v>2020</v>
      </c>
      <c r="C35" s="3"/>
      <c r="D35" s="4"/>
    </row>
    <row r="36" spans="1:5" x14ac:dyDescent="0.2">
      <c r="A36" s="26" t="s">
        <v>0</v>
      </c>
      <c r="B36" s="26" t="s">
        <v>1</v>
      </c>
      <c r="C36" s="27" t="s">
        <v>2</v>
      </c>
      <c r="D36" s="26" t="s">
        <v>3</v>
      </c>
      <c r="E36" s="47"/>
    </row>
    <row r="37" spans="1:5" ht="17.25" customHeight="1" x14ac:dyDescent="0.2">
      <c r="A37" s="28"/>
    </row>
    <row r="38" spans="1:5" x14ac:dyDescent="0.2">
      <c r="A38" s="28">
        <v>201</v>
      </c>
      <c r="B38" s="5" t="s">
        <v>15</v>
      </c>
      <c r="C38" s="29">
        <f>'2020'!O28</f>
        <v>202</v>
      </c>
      <c r="D38" s="30">
        <f>'2020'!O30</f>
        <v>7090</v>
      </c>
      <c r="E38" s="30"/>
    </row>
    <row r="39" spans="1:5" x14ac:dyDescent="0.2">
      <c r="A39" s="28">
        <v>67</v>
      </c>
      <c r="B39" s="5" t="s">
        <v>4</v>
      </c>
      <c r="C39" s="29">
        <f>'2020'!O17</f>
        <v>205</v>
      </c>
      <c r="D39" s="30">
        <f>'2020'!O19</f>
        <v>5125</v>
      </c>
      <c r="E39" s="30"/>
    </row>
    <row r="40" spans="1:5" x14ac:dyDescent="0.2">
      <c r="A40" s="28">
        <v>203</v>
      </c>
      <c r="B40" s="5" t="s">
        <v>5</v>
      </c>
      <c r="C40" s="29">
        <v>1</v>
      </c>
      <c r="D40" s="30">
        <f>'2020'!O41</f>
        <v>32.5</v>
      </c>
    </row>
    <row r="41" spans="1:5" x14ac:dyDescent="0.2">
      <c r="A41" s="28">
        <v>10</v>
      </c>
      <c r="B41" s="5" t="s">
        <v>6</v>
      </c>
      <c r="C41" s="29">
        <f>'2020'!O8</f>
        <v>4622</v>
      </c>
      <c r="D41" s="30">
        <v>77499.649999999994</v>
      </c>
    </row>
    <row r="42" spans="1:5" ht="15" x14ac:dyDescent="0.35">
      <c r="A42" s="28"/>
      <c r="C42" s="31"/>
      <c r="D42" s="32"/>
    </row>
    <row r="43" spans="1:5" x14ac:dyDescent="0.2">
      <c r="A43" s="28"/>
      <c r="C43" s="33">
        <f>SUM(C37:C42)</f>
        <v>5030</v>
      </c>
      <c r="D43" s="34">
        <f>SUM(D37:D42)</f>
        <v>89747.15</v>
      </c>
    </row>
    <row r="45" spans="1:5" x14ac:dyDescent="0.2">
      <c r="A45" s="25">
        <v>2019</v>
      </c>
      <c r="C45" s="3"/>
      <c r="D45" s="4"/>
    </row>
    <row r="46" spans="1:5" x14ac:dyDescent="0.2">
      <c r="A46" s="26" t="s">
        <v>0</v>
      </c>
      <c r="B46" s="26" t="s">
        <v>1</v>
      </c>
      <c r="C46" s="27" t="s">
        <v>2</v>
      </c>
      <c r="D46" s="26" t="s">
        <v>3</v>
      </c>
    </row>
    <row r="47" spans="1:5" x14ac:dyDescent="0.2">
      <c r="A47" s="28"/>
    </row>
    <row r="48" spans="1:5" x14ac:dyDescent="0.2">
      <c r="A48" s="28">
        <v>201</v>
      </c>
      <c r="B48" s="5" t="s">
        <v>15</v>
      </c>
      <c r="C48" s="29">
        <f>'2019'!O28</f>
        <v>657</v>
      </c>
      <c r="D48" s="30">
        <f>'2019'!O30</f>
        <v>23020</v>
      </c>
      <c r="E48" s="30"/>
    </row>
    <row r="49" spans="1:6" x14ac:dyDescent="0.2">
      <c r="A49" s="28">
        <v>67</v>
      </c>
      <c r="B49" s="5" t="s">
        <v>4</v>
      </c>
      <c r="C49" s="29">
        <f>'2019'!O17</f>
        <v>513</v>
      </c>
      <c r="D49" s="30">
        <f>'2019'!O19</f>
        <v>12825</v>
      </c>
      <c r="E49" s="30"/>
    </row>
    <row r="50" spans="1:6" x14ac:dyDescent="0.2">
      <c r="A50" s="28">
        <v>203</v>
      </c>
      <c r="B50" s="5" t="s">
        <v>5</v>
      </c>
      <c r="C50" s="29">
        <f>'2019'!O39</f>
        <v>5</v>
      </c>
      <c r="D50" s="30">
        <f>'2019'!O41</f>
        <v>162.5</v>
      </c>
      <c r="E50" s="30"/>
    </row>
    <row r="51" spans="1:6" x14ac:dyDescent="0.2">
      <c r="A51" s="28">
        <v>10</v>
      </c>
      <c r="B51" s="5" t="s">
        <v>6</v>
      </c>
      <c r="C51" s="29">
        <f>'2019'!O8</f>
        <v>22373</v>
      </c>
      <c r="D51" s="30">
        <v>345962.96</v>
      </c>
    </row>
    <row r="52" spans="1:6" ht="15" x14ac:dyDescent="0.35">
      <c r="A52" s="28"/>
      <c r="C52" s="31"/>
      <c r="D52" s="32"/>
    </row>
    <row r="53" spans="1:6" x14ac:dyDescent="0.2">
      <c r="A53" s="28"/>
      <c r="C53" s="33">
        <f>SUM(C47:C52)</f>
        <v>23548</v>
      </c>
      <c r="D53" s="34">
        <f>SUM(D47:D52)</f>
        <v>381970.46</v>
      </c>
      <c r="F53" s="2"/>
    </row>
    <row r="55" spans="1:6" x14ac:dyDescent="0.2">
      <c r="A55" s="25">
        <v>2018</v>
      </c>
      <c r="C55" s="3"/>
      <c r="D55" s="4"/>
    </row>
    <row r="56" spans="1:6" x14ac:dyDescent="0.2">
      <c r="A56" s="26" t="s">
        <v>0</v>
      </c>
      <c r="B56" s="26" t="s">
        <v>1</v>
      </c>
      <c r="C56" s="27" t="s">
        <v>2</v>
      </c>
      <c r="D56" s="26" t="s">
        <v>3</v>
      </c>
    </row>
    <row r="57" spans="1:6" x14ac:dyDescent="0.2">
      <c r="A57" s="28"/>
    </row>
    <row r="58" spans="1:6" x14ac:dyDescent="0.2">
      <c r="A58" s="28">
        <v>201</v>
      </c>
      <c r="B58" s="5" t="s">
        <v>15</v>
      </c>
      <c r="C58" s="29">
        <f>'2018'!O28</f>
        <v>840</v>
      </c>
      <c r="D58" s="30">
        <f>'2018'!O30</f>
        <v>29370</v>
      </c>
      <c r="E58" s="30"/>
    </row>
    <row r="59" spans="1:6" x14ac:dyDescent="0.2">
      <c r="A59" s="28">
        <v>67</v>
      </c>
      <c r="B59" s="5" t="s">
        <v>4</v>
      </c>
      <c r="C59" s="29">
        <f>'2018'!O17</f>
        <v>471</v>
      </c>
      <c r="D59" s="30">
        <f>'2018'!O19</f>
        <v>11775</v>
      </c>
      <c r="E59" s="30"/>
    </row>
    <row r="60" spans="1:6" x14ac:dyDescent="0.2">
      <c r="A60" s="28">
        <v>203</v>
      </c>
      <c r="B60" s="5" t="s">
        <v>5</v>
      </c>
      <c r="C60" s="29">
        <v>1</v>
      </c>
      <c r="D60" s="30">
        <f>'2018'!O41</f>
        <v>32.5</v>
      </c>
    </row>
    <row r="61" spans="1:6" x14ac:dyDescent="0.2">
      <c r="A61" s="28">
        <v>10</v>
      </c>
      <c r="B61" s="5" t="s">
        <v>6</v>
      </c>
      <c r="C61" s="29">
        <f>'2018'!O8</f>
        <v>23706</v>
      </c>
      <c r="D61" s="30">
        <v>401042.25</v>
      </c>
    </row>
    <row r="62" spans="1:6" ht="15" x14ac:dyDescent="0.35">
      <c r="A62" s="28"/>
      <c r="C62" s="31"/>
      <c r="D62" s="32"/>
    </row>
    <row r="63" spans="1:6" x14ac:dyDescent="0.2">
      <c r="A63" s="28"/>
      <c r="C63" s="33">
        <f>SUM(C57:C62)</f>
        <v>25018</v>
      </c>
      <c r="D63" s="34">
        <f>SUM(D57:D62)</f>
        <v>442219.75</v>
      </c>
    </row>
    <row r="302" ht="16.5" customHeight="1" x14ac:dyDescent="0.2"/>
  </sheetData>
  <mergeCells count="1">
    <mergeCell ref="F13:F14"/>
  </mergeCells>
  <pageMargins left="0.7" right="0.7" top="0.75" bottom="0.75" header="0.3" footer="0.3"/>
  <pageSetup fitToHeight="0" orientation="landscape" r:id="rId1"/>
  <headerFooter>
    <oddHeader>&amp;R&amp;"Arial,Regular"&amp;10Exhibit 52
Page &amp;P of 8
Witness: Moriarty
Workpapers</oddHead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B059-3596-4042-B51D-70C1F6450012}">
  <dimension ref="B1:O17"/>
  <sheetViews>
    <sheetView workbookViewId="0">
      <selection activeCell="F33" sqref="F33"/>
    </sheetView>
  </sheetViews>
  <sheetFormatPr defaultRowHeight="15" x14ac:dyDescent="0.25"/>
  <cols>
    <col min="2" max="2" width="9.85546875" bestFit="1" customWidth="1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f>1632-SUM(C4:C7)</f>
        <v>1468</v>
      </c>
      <c r="D3">
        <f>1550-SUM(D4:D7)</f>
        <v>1409</v>
      </c>
      <c r="E3">
        <f>1475-SUM(E4:E7)</f>
        <v>1355</v>
      </c>
      <c r="F3">
        <f>1572-SUM(F4:F7)</f>
        <v>1491</v>
      </c>
      <c r="G3">
        <f>1619-SUM(G4:G7)</f>
        <v>1524</v>
      </c>
      <c r="H3">
        <f>1733-SUM(H4:H7)</f>
        <v>1689</v>
      </c>
      <c r="I3">
        <f>1612-SUM(I4:I7)</f>
        <v>1512</v>
      </c>
      <c r="J3">
        <f>1742-SUM(J4:J7)</f>
        <v>1670</v>
      </c>
      <c r="K3">
        <f>1779-SUM(K4:K7)</f>
        <v>1673</v>
      </c>
      <c r="L3">
        <f>2011-138</f>
        <v>1873</v>
      </c>
      <c r="M3">
        <f>1874+103</f>
        <v>1977</v>
      </c>
      <c r="N3">
        <f>1818-123</f>
        <v>1695</v>
      </c>
      <c r="O3">
        <f>SUM(C3:N3)</f>
        <v>19336</v>
      </c>
    </row>
    <row r="4" spans="2:15" x14ac:dyDescent="0.25">
      <c r="B4" t="s">
        <v>18</v>
      </c>
      <c r="C4">
        <f>15+24</f>
        <v>39</v>
      </c>
      <c r="D4">
        <f>11+23</f>
        <v>34</v>
      </c>
      <c r="E4">
        <f>9+20</f>
        <v>29</v>
      </c>
      <c r="F4">
        <f>12+26</f>
        <v>38</v>
      </c>
      <c r="G4">
        <f>14+35</f>
        <v>49</v>
      </c>
      <c r="H4">
        <f>14+5</f>
        <v>19</v>
      </c>
      <c r="I4">
        <f>11+43</f>
        <v>54</v>
      </c>
      <c r="J4">
        <f>12+39</f>
        <v>51</v>
      </c>
      <c r="K4">
        <f>11+45</f>
        <v>56</v>
      </c>
      <c r="L4">
        <f>15+49</f>
        <v>64</v>
      </c>
      <c r="M4">
        <f>18+32</f>
        <v>50</v>
      </c>
      <c r="N4">
        <f>15+35</f>
        <v>50</v>
      </c>
      <c r="O4">
        <f>SUM(C4:N4)</f>
        <v>533</v>
      </c>
    </row>
    <row r="5" spans="2:15" x14ac:dyDescent="0.25">
      <c r="B5" t="s">
        <v>35</v>
      </c>
      <c r="C5">
        <f>49+1+1+2+7+1+56</f>
        <v>117</v>
      </c>
      <c r="D5">
        <f>38+1+7+2+1+56</f>
        <v>105</v>
      </c>
      <c r="E5">
        <f>66+1+3+2+14</f>
        <v>86</v>
      </c>
      <c r="F5">
        <f>29+2+7+4</f>
        <v>42</v>
      </c>
      <c r="G5">
        <f>41+1+3</f>
        <v>45</v>
      </c>
      <c r="H5">
        <f>20+1+2+1</f>
        <v>24</v>
      </c>
      <c r="I5">
        <f>37+1+5+2</f>
        <v>45</v>
      </c>
      <c r="J5">
        <f>12+1+3+1+2+1</f>
        <v>20</v>
      </c>
      <c r="K5">
        <f>43+6</f>
        <v>49</v>
      </c>
      <c r="L5">
        <f>64+1+1+3+1+2+1</f>
        <v>73</v>
      </c>
      <c r="M5">
        <f>38+1+2+8+2</f>
        <v>51</v>
      </c>
      <c r="N5">
        <f>49+2+12+2+5</f>
        <v>70</v>
      </c>
      <c r="O5">
        <f>SUM(C5:N5)</f>
        <v>727</v>
      </c>
    </row>
    <row r="6" spans="2:15" x14ac:dyDescent="0.25"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SUM(C6:N6)</f>
        <v>0</v>
      </c>
    </row>
    <row r="7" spans="2:15" x14ac:dyDescent="0.25">
      <c r="B7" t="s">
        <v>37</v>
      </c>
      <c r="C7">
        <v>8</v>
      </c>
      <c r="D7">
        <v>2</v>
      </c>
      <c r="E7">
        <v>5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2</v>
      </c>
      <c r="N7">
        <v>3</v>
      </c>
      <c r="O7">
        <f>SUM(C7:N7)</f>
        <v>27</v>
      </c>
    </row>
    <row r="8" spans="2:15" x14ac:dyDescent="0.25">
      <c r="B8" s="59" t="s">
        <v>51</v>
      </c>
      <c r="C8">
        <f>SUM(C3:C7)</f>
        <v>1632</v>
      </c>
      <c r="D8">
        <f t="shared" ref="D8:O8" si="0">SUM(D3:D7)</f>
        <v>1550</v>
      </c>
      <c r="E8">
        <f t="shared" si="0"/>
        <v>1475</v>
      </c>
      <c r="F8">
        <f t="shared" si="0"/>
        <v>1572</v>
      </c>
      <c r="G8">
        <f t="shared" si="0"/>
        <v>1619</v>
      </c>
      <c r="H8">
        <f t="shared" si="0"/>
        <v>1733</v>
      </c>
      <c r="I8">
        <f t="shared" si="0"/>
        <v>1612</v>
      </c>
      <c r="J8">
        <f t="shared" si="0"/>
        <v>1742</v>
      </c>
      <c r="K8">
        <f t="shared" si="0"/>
        <v>1779</v>
      </c>
      <c r="L8">
        <f t="shared" si="0"/>
        <v>2011</v>
      </c>
      <c r="M8">
        <f t="shared" si="0"/>
        <v>2080</v>
      </c>
      <c r="N8">
        <f t="shared" si="0"/>
        <v>1818</v>
      </c>
      <c r="O8">
        <f t="shared" si="0"/>
        <v>20623</v>
      </c>
    </row>
    <row r="10" spans="2:15" x14ac:dyDescent="0.25">
      <c r="C10" s="66" t="s">
        <v>52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v>26</v>
      </c>
      <c r="D12">
        <v>30</v>
      </c>
      <c r="E12">
        <v>26</v>
      </c>
      <c r="F12">
        <v>33</v>
      </c>
      <c r="G12">
        <f>108+2+1+14+1+7+1</f>
        <v>134</v>
      </c>
      <c r="H12">
        <v>29</v>
      </c>
      <c r="I12">
        <v>34</v>
      </c>
      <c r="J12">
        <v>38</v>
      </c>
      <c r="K12">
        <v>19</v>
      </c>
      <c r="L12">
        <v>25</v>
      </c>
      <c r="M12">
        <v>30</v>
      </c>
      <c r="N12">
        <v>22</v>
      </c>
      <c r="O12">
        <f>SUM(C12:N12)</f>
        <v>446</v>
      </c>
    </row>
    <row r="13" spans="2:15" x14ac:dyDescent="0.25">
      <c r="B13" t="s">
        <v>18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>
        <v>1</v>
      </c>
      <c r="M13">
        <v>0</v>
      </c>
      <c r="N13">
        <v>0</v>
      </c>
      <c r="O13">
        <f t="shared" ref="O13:O16" si="1">SUM(C13:N13)</f>
        <v>3</v>
      </c>
    </row>
    <row r="14" spans="2:15" x14ac:dyDescent="0.25">
      <c r="B14" t="s">
        <v>35</v>
      </c>
      <c r="C14">
        <v>0</v>
      </c>
      <c r="D14">
        <v>0</v>
      </c>
      <c r="E14">
        <v>0</v>
      </c>
      <c r="F14">
        <v>0</v>
      </c>
      <c r="G14">
        <v>10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1"/>
        <v>10</v>
      </c>
    </row>
    <row r="15" spans="2:15" x14ac:dyDescent="0.25">
      <c r="B15" t="s">
        <v>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1"/>
        <v>0</v>
      </c>
    </row>
    <row r="16" spans="2:15" x14ac:dyDescent="0.25">
      <c r="B16" t="s">
        <v>37</v>
      </c>
      <c r="C16">
        <v>0</v>
      </c>
      <c r="D16">
        <v>1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 t="shared" si="1"/>
        <v>2</v>
      </c>
    </row>
    <row r="17" spans="2:15" x14ac:dyDescent="0.25">
      <c r="B17" s="59" t="s">
        <v>51</v>
      </c>
      <c r="C17">
        <f>SUM(C12:C16)</f>
        <v>26</v>
      </c>
      <c r="D17">
        <f t="shared" ref="D17" si="2">SUM(D12:D16)</f>
        <v>31</v>
      </c>
      <c r="E17">
        <f t="shared" ref="E17" si="3">SUM(E12:E16)</f>
        <v>26</v>
      </c>
      <c r="F17">
        <f t="shared" ref="F17" si="4">SUM(F12:F16)</f>
        <v>33</v>
      </c>
      <c r="G17">
        <f t="shared" ref="G17" si="5">SUM(G12:G16)</f>
        <v>145</v>
      </c>
      <c r="H17">
        <f t="shared" ref="H17" si="6">SUM(H12:H16)</f>
        <v>30</v>
      </c>
      <c r="I17">
        <f t="shared" ref="I17" si="7">SUM(I12:I16)</f>
        <v>35</v>
      </c>
      <c r="J17">
        <f t="shared" ref="J17" si="8">SUM(J12:J16)</f>
        <v>38</v>
      </c>
      <c r="K17">
        <f t="shared" ref="K17" si="9">SUM(K12:K16)</f>
        <v>19</v>
      </c>
      <c r="L17">
        <f t="shared" ref="L17" si="10">SUM(L12:L16)</f>
        <v>26</v>
      </c>
      <c r="M17">
        <f t="shared" ref="M17" si="11">SUM(M12:M16)</f>
        <v>30</v>
      </c>
      <c r="N17">
        <f t="shared" ref="N17" si="12">SUM(N12:N16)</f>
        <v>22</v>
      </c>
      <c r="O17">
        <f>SUM(O12:O16)</f>
        <v>461</v>
      </c>
    </row>
  </sheetData>
  <mergeCells count="2">
    <mergeCell ref="C1:N1"/>
    <mergeCell ref="C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EF29-253C-41FE-B6EF-9B2C180FD9CE}">
  <dimension ref="B1:O17"/>
  <sheetViews>
    <sheetView workbookViewId="0">
      <selection activeCell="O18" sqref="O18"/>
    </sheetView>
  </sheetViews>
  <sheetFormatPr defaultRowHeight="15" x14ac:dyDescent="0.25"/>
  <cols>
    <col min="2" max="2" width="9.85546875" bestFit="1" customWidth="1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f>1914-134</f>
        <v>1780</v>
      </c>
      <c r="D3">
        <f>1851-95</f>
        <v>1756</v>
      </c>
      <c r="E3">
        <v>1526</v>
      </c>
      <c r="F3">
        <f>1751-92</f>
        <v>1659</v>
      </c>
      <c r="G3">
        <f>1951-116</f>
        <v>1835</v>
      </c>
      <c r="H3">
        <f>1672-82</f>
        <v>1590</v>
      </c>
      <c r="I3">
        <f>1994-144</f>
        <v>1850</v>
      </c>
      <c r="J3">
        <f>1893-93</f>
        <v>1800</v>
      </c>
      <c r="K3">
        <f>1735-125</f>
        <v>1610</v>
      </c>
      <c r="L3">
        <f>1808-105</f>
        <v>1703</v>
      </c>
      <c r="M3">
        <f>1953-192</f>
        <v>1761</v>
      </c>
      <c r="N3">
        <f>1423-119</f>
        <v>1304</v>
      </c>
      <c r="O3">
        <f>SUM(C3:N3)</f>
        <v>20174</v>
      </c>
    </row>
    <row r="4" spans="2:15" x14ac:dyDescent="0.25">
      <c r="B4" t="s">
        <v>18</v>
      </c>
      <c r="C4">
        <f>19+32</f>
        <v>51</v>
      </c>
      <c r="D4">
        <f>15+31</f>
        <v>46</v>
      </c>
      <c r="E4">
        <f>12+25</f>
        <v>37</v>
      </c>
      <c r="F4">
        <f>15+27</f>
        <v>42</v>
      </c>
      <c r="G4">
        <f>19+43</f>
        <v>62</v>
      </c>
      <c r="H4">
        <f>17+35</f>
        <v>52</v>
      </c>
      <c r="I4">
        <f>16+53</f>
        <v>69</v>
      </c>
      <c r="J4">
        <f>15+44</f>
        <v>59</v>
      </c>
      <c r="K4">
        <f>19+37</f>
        <v>56</v>
      </c>
      <c r="L4">
        <f>15+46</f>
        <v>61</v>
      </c>
      <c r="M4">
        <f>13+46</f>
        <v>59</v>
      </c>
      <c r="N4">
        <f>13+38</f>
        <v>51</v>
      </c>
      <c r="O4">
        <f>SUM(C4:N4)</f>
        <v>645</v>
      </c>
    </row>
    <row r="5" spans="2:15" x14ac:dyDescent="0.25">
      <c r="B5" t="s">
        <v>35</v>
      </c>
      <c r="C5">
        <f>46+2+7+2+25</f>
        <v>82</v>
      </c>
      <c r="D5">
        <f>39+2+3+1+1+1</f>
        <v>47</v>
      </c>
      <c r="E5">
        <f>52+1+3+1+6</f>
        <v>63</v>
      </c>
      <c r="F5">
        <f>1+46+3+0</f>
        <v>50</v>
      </c>
      <c r="G5">
        <f>51+2+1+0</f>
        <v>54</v>
      </c>
      <c r="H5">
        <f>25+1+2+2</f>
        <v>30</v>
      </c>
      <c r="I5">
        <f>46+1+2+13+2+9</f>
        <v>73</v>
      </c>
      <c r="J5">
        <f>24+2+1+1+6</f>
        <v>34</v>
      </c>
      <c r="K5">
        <f>30+1+1+2+34</f>
        <v>68</v>
      </c>
      <c r="L5">
        <f>19+4+2+19</f>
        <v>44</v>
      </c>
      <c r="M5">
        <f>42+1+1+2+9+1+1+76</f>
        <v>133</v>
      </c>
      <c r="N5">
        <f>4+2+6+1+54</f>
        <v>67</v>
      </c>
      <c r="O5">
        <f>SUM(C5:N5)</f>
        <v>745</v>
      </c>
    </row>
    <row r="6" spans="2:15" x14ac:dyDescent="0.25">
      <c r="B6" t="s">
        <v>36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SUM(C6:N6)</f>
        <v>1</v>
      </c>
    </row>
    <row r="7" spans="2:15" x14ac:dyDescent="0.25">
      <c r="B7" t="s">
        <v>37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1</v>
      </c>
      <c r="L7">
        <v>0</v>
      </c>
      <c r="M7">
        <v>0</v>
      </c>
      <c r="N7">
        <v>1</v>
      </c>
      <c r="O7">
        <f>SUM(C7:N7)</f>
        <v>6</v>
      </c>
    </row>
    <row r="8" spans="2:15" x14ac:dyDescent="0.25">
      <c r="B8" s="59" t="s">
        <v>51</v>
      </c>
      <c r="C8">
        <f>SUM(C3:C7)</f>
        <v>1914</v>
      </c>
      <c r="D8">
        <f t="shared" ref="D8:N8" si="0">SUM(D3:D7)</f>
        <v>1851</v>
      </c>
      <c r="E8">
        <f t="shared" si="0"/>
        <v>1626</v>
      </c>
      <c r="F8">
        <f t="shared" si="0"/>
        <v>1751</v>
      </c>
      <c r="G8">
        <f t="shared" si="0"/>
        <v>1951</v>
      </c>
      <c r="H8">
        <f t="shared" si="0"/>
        <v>1672</v>
      </c>
      <c r="I8">
        <f t="shared" si="0"/>
        <v>1994</v>
      </c>
      <c r="J8">
        <f t="shared" si="0"/>
        <v>1893</v>
      </c>
      <c r="K8">
        <f t="shared" si="0"/>
        <v>1735</v>
      </c>
      <c r="L8">
        <f t="shared" si="0"/>
        <v>1808</v>
      </c>
      <c r="M8">
        <f t="shared" si="0"/>
        <v>1953</v>
      </c>
      <c r="N8">
        <f t="shared" si="0"/>
        <v>1423</v>
      </c>
      <c r="O8">
        <f>SUM(O3:O7)</f>
        <v>21571</v>
      </c>
    </row>
    <row r="10" spans="2:15" x14ac:dyDescent="0.25">
      <c r="C10" s="66" t="s">
        <v>52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v>37</v>
      </c>
      <c r="D12">
        <v>32</v>
      </c>
      <c r="E12">
        <v>28</v>
      </c>
      <c r="F12">
        <v>25</v>
      </c>
      <c r="G12">
        <v>22</v>
      </c>
      <c r="H12">
        <v>22</v>
      </c>
      <c r="I12">
        <v>20</v>
      </c>
      <c r="J12">
        <v>1</v>
      </c>
      <c r="K12">
        <v>24</v>
      </c>
      <c r="L12">
        <v>23</v>
      </c>
      <c r="M12">
        <v>24</v>
      </c>
      <c r="N12">
        <v>34</v>
      </c>
      <c r="O12">
        <f>SUM(C12:N12)</f>
        <v>292</v>
      </c>
    </row>
    <row r="13" spans="2:15" x14ac:dyDescent="0.25">
      <c r="B13" t="s">
        <v>18</v>
      </c>
      <c r="C13">
        <v>0</v>
      </c>
      <c r="D13">
        <v>1</v>
      </c>
      <c r="E13">
        <v>0</v>
      </c>
      <c r="F13">
        <v>0</v>
      </c>
      <c r="G13">
        <v>1</v>
      </c>
      <c r="H13">
        <v>1</v>
      </c>
      <c r="I13">
        <v>0</v>
      </c>
      <c r="J13">
        <v>30</v>
      </c>
      <c r="K13">
        <v>2</v>
      </c>
      <c r="L13">
        <v>1</v>
      </c>
      <c r="M13">
        <v>0</v>
      </c>
      <c r="N13">
        <v>1</v>
      </c>
      <c r="O13">
        <f t="shared" ref="O13:O16" si="1">SUM(C13:N13)</f>
        <v>37</v>
      </c>
    </row>
    <row r="14" spans="2:15" x14ac:dyDescent="0.25">
      <c r="B14" t="s">
        <v>35</v>
      </c>
      <c r="C14">
        <v>0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1</v>
      </c>
      <c r="K14">
        <v>1</v>
      </c>
      <c r="L14">
        <v>0</v>
      </c>
      <c r="M14">
        <v>1</v>
      </c>
      <c r="N14">
        <v>0</v>
      </c>
      <c r="O14">
        <f t="shared" si="1"/>
        <v>5</v>
      </c>
    </row>
    <row r="15" spans="2:15" x14ac:dyDescent="0.25">
      <c r="B15" t="s">
        <v>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1"/>
        <v>0</v>
      </c>
    </row>
    <row r="16" spans="2:15" x14ac:dyDescent="0.25">
      <c r="B16" t="s">
        <v>37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f t="shared" si="1"/>
        <v>1</v>
      </c>
    </row>
    <row r="17" spans="2:15" x14ac:dyDescent="0.25">
      <c r="B17" s="59" t="s">
        <v>51</v>
      </c>
      <c r="C17">
        <f>SUM(C12:C16)</f>
        <v>37</v>
      </c>
      <c r="D17">
        <f t="shared" ref="D17:N17" si="2">SUM(D12:D16)</f>
        <v>34</v>
      </c>
      <c r="E17">
        <f t="shared" si="2"/>
        <v>29</v>
      </c>
      <c r="F17">
        <f t="shared" si="2"/>
        <v>25</v>
      </c>
      <c r="G17">
        <f t="shared" si="2"/>
        <v>23</v>
      </c>
      <c r="H17">
        <f t="shared" si="2"/>
        <v>23</v>
      </c>
      <c r="I17">
        <f t="shared" si="2"/>
        <v>20</v>
      </c>
      <c r="J17">
        <f t="shared" si="2"/>
        <v>32</v>
      </c>
      <c r="K17">
        <f t="shared" si="2"/>
        <v>27</v>
      </c>
      <c r="L17">
        <f t="shared" si="2"/>
        <v>24</v>
      </c>
      <c r="M17">
        <f t="shared" si="2"/>
        <v>25</v>
      </c>
      <c r="N17">
        <f t="shared" si="2"/>
        <v>36</v>
      </c>
      <c r="O17">
        <f>SUM(O12:O16)</f>
        <v>335</v>
      </c>
    </row>
  </sheetData>
  <mergeCells count="2">
    <mergeCell ref="C1:N1"/>
    <mergeCell ref="C10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1339-5E11-4422-BE44-83D570CA3E7E}">
  <dimension ref="B1:Q41"/>
  <sheetViews>
    <sheetView topLeftCell="A4" workbookViewId="0">
      <selection activeCell="O23" sqref="O23"/>
    </sheetView>
  </sheetViews>
  <sheetFormatPr defaultRowHeight="15" x14ac:dyDescent="0.25"/>
  <cols>
    <col min="2" max="2" width="13.5703125" bestFit="1" customWidth="1"/>
    <col min="17" max="17" width="8.7109375" style="63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v>1900</v>
      </c>
      <c r="D3">
        <v>1907</v>
      </c>
      <c r="E3">
        <v>1805</v>
      </c>
      <c r="F3">
        <v>299</v>
      </c>
      <c r="G3">
        <v>0</v>
      </c>
      <c r="H3">
        <v>0</v>
      </c>
      <c r="I3">
        <v>950</v>
      </c>
      <c r="J3">
        <v>1949</v>
      </c>
      <c r="K3">
        <v>1880</v>
      </c>
      <c r="L3">
        <v>1834</v>
      </c>
      <c r="M3">
        <v>1709</v>
      </c>
      <c r="N3">
        <v>1848</v>
      </c>
      <c r="O3">
        <f>SUM(C3:N3)</f>
        <v>16081</v>
      </c>
    </row>
    <row r="4" spans="2:15" x14ac:dyDescent="0.25">
      <c r="B4" t="s">
        <v>18</v>
      </c>
      <c r="C4">
        <v>50</v>
      </c>
      <c r="D4">
        <v>48</v>
      </c>
      <c r="E4">
        <v>46</v>
      </c>
      <c r="F4">
        <v>9</v>
      </c>
      <c r="G4">
        <v>0</v>
      </c>
      <c r="H4">
        <v>0</v>
      </c>
      <c r="I4">
        <v>41</v>
      </c>
      <c r="J4">
        <v>61</v>
      </c>
      <c r="K4">
        <v>67</v>
      </c>
      <c r="L4">
        <v>56</v>
      </c>
      <c r="M4">
        <v>42</v>
      </c>
      <c r="N4">
        <v>56</v>
      </c>
      <c r="O4">
        <f>SUM(C4:N4)</f>
        <v>476</v>
      </c>
    </row>
    <row r="5" spans="2:15" x14ac:dyDescent="0.25">
      <c r="B5" t="s">
        <v>35</v>
      </c>
      <c r="C5">
        <v>115</v>
      </c>
      <c r="D5">
        <v>85</v>
      </c>
      <c r="E5">
        <v>84</v>
      </c>
      <c r="F5">
        <v>1</v>
      </c>
      <c r="G5">
        <v>0</v>
      </c>
      <c r="H5">
        <v>0</v>
      </c>
      <c r="I5">
        <v>9</v>
      </c>
      <c r="J5">
        <v>46</v>
      </c>
      <c r="K5">
        <v>106</v>
      </c>
      <c r="L5">
        <v>75</v>
      </c>
      <c r="M5">
        <v>74</v>
      </c>
      <c r="N5">
        <v>110</v>
      </c>
      <c r="O5">
        <f>SUM(C5:N5)</f>
        <v>705</v>
      </c>
    </row>
    <row r="6" spans="2:15" x14ac:dyDescent="0.25">
      <c r="B6" t="s">
        <v>36</v>
      </c>
      <c r="O6">
        <f>SUM(C6:N6)</f>
        <v>0</v>
      </c>
    </row>
    <row r="7" spans="2:15" x14ac:dyDescent="0.25">
      <c r="B7" t="s">
        <v>37</v>
      </c>
      <c r="C7">
        <v>3</v>
      </c>
      <c r="D7">
        <v>2</v>
      </c>
      <c r="E7">
        <v>2</v>
      </c>
      <c r="J7">
        <v>1</v>
      </c>
      <c r="K7">
        <v>1</v>
      </c>
      <c r="L7">
        <v>7</v>
      </c>
      <c r="M7">
        <v>3</v>
      </c>
      <c r="N7">
        <v>4</v>
      </c>
      <c r="O7">
        <f>SUM(C7:N7)</f>
        <v>23</v>
      </c>
    </row>
    <row r="8" spans="2:15" x14ac:dyDescent="0.25">
      <c r="B8" s="59" t="s">
        <v>51</v>
      </c>
      <c r="C8">
        <f>SUM(C3:C7)</f>
        <v>2068</v>
      </c>
      <c r="D8">
        <f t="shared" ref="D8:N8" si="0">SUM(D3:D7)</f>
        <v>2042</v>
      </c>
      <c r="E8">
        <f t="shared" si="0"/>
        <v>1937</v>
      </c>
      <c r="F8">
        <f t="shared" si="0"/>
        <v>309</v>
      </c>
      <c r="G8">
        <f t="shared" si="0"/>
        <v>0</v>
      </c>
      <c r="H8">
        <f t="shared" si="0"/>
        <v>0</v>
      </c>
      <c r="I8">
        <f t="shared" si="0"/>
        <v>1000</v>
      </c>
      <c r="J8">
        <f t="shared" si="0"/>
        <v>2057</v>
      </c>
      <c r="K8">
        <f t="shared" si="0"/>
        <v>2054</v>
      </c>
      <c r="L8">
        <f t="shared" si="0"/>
        <v>1972</v>
      </c>
      <c r="M8">
        <f t="shared" si="0"/>
        <v>1828</v>
      </c>
      <c r="N8">
        <f t="shared" si="0"/>
        <v>2018</v>
      </c>
      <c r="O8">
        <f>SUM(O3:O7)</f>
        <v>17285</v>
      </c>
    </row>
    <row r="10" spans="2:15" x14ac:dyDescent="0.25">
      <c r="C10" s="66" t="s">
        <v>52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f>C19/25</f>
        <v>20</v>
      </c>
      <c r="D12">
        <f>D19/25</f>
        <v>28</v>
      </c>
      <c r="E12">
        <f t="shared" ref="E12:F12" si="1">E19/25</f>
        <v>36</v>
      </c>
      <c r="F12">
        <f t="shared" si="1"/>
        <v>36</v>
      </c>
      <c r="G12">
        <v>19</v>
      </c>
      <c r="H12">
        <v>23</v>
      </c>
      <c r="I12">
        <v>10</v>
      </c>
      <c r="J12">
        <v>24</v>
      </c>
      <c r="K12">
        <v>18</v>
      </c>
      <c r="L12">
        <v>23</v>
      </c>
      <c r="M12">
        <v>15</v>
      </c>
      <c r="N12">
        <v>19</v>
      </c>
      <c r="O12">
        <f>SUM(C12:N12)</f>
        <v>271</v>
      </c>
    </row>
    <row r="13" spans="2:15" x14ac:dyDescent="0.25">
      <c r="B13" t="s">
        <v>18</v>
      </c>
      <c r="J13">
        <v>1</v>
      </c>
      <c r="O13">
        <f t="shared" ref="O13:O16" si="2">SUM(C13:N13)</f>
        <v>1</v>
      </c>
    </row>
    <row r="14" spans="2:15" x14ac:dyDescent="0.25">
      <c r="B14" t="s">
        <v>35</v>
      </c>
      <c r="J14">
        <v>1</v>
      </c>
      <c r="O14">
        <f t="shared" si="2"/>
        <v>1</v>
      </c>
    </row>
    <row r="15" spans="2:15" x14ac:dyDescent="0.25">
      <c r="B15" t="s">
        <v>36</v>
      </c>
      <c r="O15">
        <f t="shared" si="2"/>
        <v>0</v>
      </c>
    </row>
    <row r="16" spans="2:15" x14ac:dyDescent="0.25">
      <c r="B16" t="s">
        <v>37</v>
      </c>
      <c r="O16">
        <f t="shared" si="2"/>
        <v>0</v>
      </c>
    </row>
    <row r="17" spans="2:15" x14ac:dyDescent="0.25">
      <c r="B17" s="59" t="s">
        <v>51</v>
      </c>
      <c r="C17">
        <f>SUM(C12:C16)</f>
        <v>20</v>
      </c>
      <c r="D17">
        <f t="shared" ref="D17:N17" si="3">SUM(D12:D16)</f>
        <v>28</v>
      </c>
      <c r="E17">
        <f t="shared" si="3"/>
        <v>36</v>
      </c>
      <c r="F17">
        <f t="shared" si="3"/>
        <v>36</v>
      </c>
      <c r="G17">
        <f t="shared" si="3"/>
        <v>19</v>
      </c>
      <c r="H17">
        <f t="shared" si="3"/>
        <v>23</v>
      </c>
      <c r="I17">
        <f t="shared" si="3"/>
        <v>10</v>
      </c>
      <c r="J17">
        <f t="shared" si="3"/>
        <v>26</v>
      </c>
      <c r="K17">
        <f t="shared" si="3"/>
        <v>18</v>
      </c>
      <c r="L17">
        <f t="shared" si="3"/>
        <v>23</v>
      </c>
      <c r="M17">
        <f t="shared" si="3"/>
        <v>15</v>
      </c>
      <c r="N17">
        <f t="shared" si="3"/>
        <v>19</v>
      </c>
      <c r="O17">
        <f>SUM(O12:O16)</f>
        <v>273</v>
      </c>
    </row>
    <row r="19" spans="2:15" x14ac:dyDescent="0.25">
      <c r="B19" t="s">
        <v>54</v>
      </c>
      <c r="C19">
        <v>500</v>
      </c>
      <c r="D19">
        <v>700</v>
      </c>
      <c r="E19">
        <v>900</v>
      </c>
      <c r="F19">
        <v>900</v>
      </c>
    </row>
    <row r="21" spans="2:15" x14ac:dyDescent="0.25">
      <c r="C21" s="66" t="s">
        <v>55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5" x14ac:dyDescent="0.25">
      <c r="C22" s="58" t="s">
        <v>38</v>
      </c>
      <c r="D22" s="58" t="s">
        <v>39</v>
      </c>
      <c r="E22" s="58" t="s">
        <v>40</v>
      </c>
      <c r="F22" s="58" t="s">
        <v>41</v>
      </c>
      <c r="G22" s="58" t="s">
        <v>42</v>
      </c>
      <c r="H22" s="58" t="s">
        <v>43</v>
      </c>
      <c r="I22" s="58" t="s">
        <v>44</v>
      </c>
      <c r="J22" s="58" t="s">
        <v>45</v>
      </c>
      <c r="K22" s="58" t="s">
        <v>46</v>
      </c>
      <c r="L22" s="58" t="s">
        <v>47</v>
      </c>
      <c r="M22" s="58" t="s">
        <v>48</v>
      </c>
      <c r="N22" s="58" t="s">
        <v>49</v>
      </c>
      <c r="O22" s="58" t="s">
        <v>51</v>
      </c>
    </row>
    <row r="23" spans="2:15" x14ac:dyDescent="0.25">
      <c r="B23" t="s">
        <v>17</v>
      </c>
      <c r="C23">
        <f t="shared" ref="C23:N23" si="4">ROUND(C30/35,0)</f>
        <v>0</v>
      </c>
      <c r="D23">
        <f t="shared" si="4"/>
        <v>0</v>
      </c>
      <c r="E23">
        <f t="shared" si="4"/>
        <v>139</v>
      </c>
      <c r="F23">
        <f t="shared" si="4"/>
        <v>0</v>
      </c>
      <c r="G23">
        <f t="shared" si="4"/>
        <v>0</v>
      </c>
      <c r="H23">
        <f t="shared" si="4"/>
        <v>0</v>
      </c>
      <c r="I23">
        <f t="shared" si="4"/>
        <v>0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>SUM(C23:N23)</f>
        <v>139</v>
      </c>
    </row>
    <row r="24" spans="2:15" x14ac:dyDescent="0.25">
      <c r="B24" t="s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ref="O24:O27" si="5">SUM(C24:N24)</f>
        <v>0</v>
      </c>
    </row>
    <row r="25" spans="2:15" x14ac:dyDescent="0.25"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5"/>
        <v>0</v>
      </c>
    </row>
    <row r="26" spans="2:15" x14ac:dyDescent="0.25">
      <c r="B26" t="s">
        <v>36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5"/>
        <v>0</v>
      </c>
    </row>
    <row r="27" spans="2:15" x14ac:dyDescent="0.25">
      <c r="B27" t="s">
        <v>37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5"/>
        <v>0</v>
      </c>
    </row>
    <row r="28" spans="2:15" x14ac:dyDescent="0.25">
      <c r="B28" s="59" t="s">
        <v>51</v>
      </c>
      <c r="C28">
        <f>SUM(C23:C27)</f>
        <v>0</v>
      </c>
      <c r="D28">
        <f t="shared" ref="D28:N28" si="6">SUM(D23:D27)</f>
        <v>0</v>
      </c>
      <c r="E28">
        <f t="shared" si="6"/>
        <v>139</v>
      </c>
      <c r="F28">
        <f t="shared" si="6"/>
        <v>0</v>
      </c>
      <c r="G28">
        <f t="shared" si="6"/>
        <v>0</v>
      </c>
      <c r="H28">
        <f t="shared" si="6"/>
        <v>0</v>
      </c>
      <c r="I28">
        <f t="shared" si="6"/>
        <v>0</v>
      </c>
      <c r="J28">
        <f t="shared" si="6"/>
        <v>0</v>
      </c>
      <c r="K28">
        <f t="shared" si="6"/>
        <v>0</v>
      </c>
      <c r="L28">
        <f t="shared" si="6"/>
        <v>0</v>
      </c>
      <c r="M28">
        <f t="shared" si="6"/>
        <v>0</v>
      </c>
      <c r="N28">
        <f t="shared" si="6"/>
        <v>0</v>
      </c>
      <c r="O28">
        <f>SUM(O23:O27)</f>
        <v>139</v>
      </c>
    </row>
    <row r="30" spans="2:15" x14ac:dyDescent="0.25">
      <c r="B30" t="s">
        <v>58</v>
      </c>
      <c r="C30">
        <v>0</v>
      </c>
      <c r="D30">
        <v>0</v>
      </c>
      <c r="E30">
        <v>4865</v>
      </c>
      <c r="F30">
        <v>0</v>
      </c>
      <c r="O30">
        <f>SUM(C30:N30)</f>
        <v>4865</v>
      </c>
    </row>
    <row r="32" spans="2:15" x14ac:dyDescent="0.25">
      <c r="C32" s="66" t="s">
        <v>57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x14ac:dyDescent="0.25">
      <c r="C33" s="58" t="s">
        <v>38</v>
      </c>
      <c r="D33" s="58" t="s">
        <v>39</v>
      </c>
      <c r="E33" s="58" t="s">
        <v>40</v>
      </c>
      <c r="F33" s="58" t="s">
        <v>41</v>
      </c>
      <c r="G33" s="58" t="s">
        <v>42</v>
      </c>
      <c r="H33" s="58" t="s">
        <v>43</v>
      </c>
      <c r="I33" s="58" t="s">
        <v>44</v>
      </c>
      <c r="J33" s="58" t="s">
        <v>45</v>
      </c>
      <c r="K33" s="58" t="s">
        <v>46</v>
      </c>
      <c r="L33" s="58" t="s">
        <v>47</v>
      </c>
      <c r="M33" s="58" t="s">
        <v>48</v>
      </c>
      <c r="N33" s="58" t="s">
        <v>49</v>
      </c>
      <c r="O33" s="58" t="s">
        <v>51</v>
      </c>
    </row>
    <row r="34" spans="2:15" x14ac:dyDescent="0.25">
      <c r="B34" t="s">
        <v>17</v>
      </c>
      <c r="C34">
        <f>C41/32.5</f>
        <v>0</v>
      </c>
      <c r="D34">
        <f>D41/32.5</f>
        <v>0</v>
      </c>
      <c r="E34">
        <f>E41/32.5</f>
        <v>1</v>
      </c>
      <c r="F34">
        <f>F41/32.5</f>
        <v>1</v>
      </c>
      <c r="G34">
        <f t="shared" ref="G34:N34" si="7">G41/32.5</f>
        <v>0</v>
      </c>
      <c r="H34">
        <f t="shared" si="7"/>
        <v>0</v>
      </c>
      <c r="I34">
        <f t="shared" si="7"/>
        <v>0</v>
      </c>
      <c r="J34">
        <f t="shared" si="7"/>
        <v>0</v>
      </c>
      <c r="K34">
        <f t="shared" si="7"/>
        <v>0</v>
      </c>
      <c r="L34">
        <f t="shared" si="7"/>
        <v>0</v>
      </c>
      <c r="M34">
        <f t="shared" si="7"/>
        <v>0</v>
      </c>
      <c r="N34">
        <f t="shared" si="7"/>
        <v>0</v>
      </c>
      <c r="O34">
        <f>SUM(C34:N34)</f>
        <v>2</v>
      </c>
    </row>
    <row r="35" spans="2:15" x14ac:dyDescent="0.25">
      <c r="B35" t="s">
        <v>18</v>
      </c>
      <c r="C35">
        <f t="shared" ref="C35:N38" si="8">C42/25</f>
        <v>0</v>
      </c>
      <c r="D35">
        <f t="shared" si="8"/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ref="O35:O38" si="9">SUM(C35:N35)</f>
        <v>0</v>
      </c>
    </row>
    <row r="36" spans="2:15" x14ac:dyDescent="0.25">
      <c r="B36" t="s">
        <v>35</v>
      </c>
      <c r="C36">
        <f t="shared" si="8"/>
        <v>0</v>
      </c>
      <c r="D36">
        <f t="shared" si="8"/>
        <v>0</v>
      </c>
      <c r="E36">
        <f t="shared" si="8"/>
        <v>0</v>
      </c>
      <c r="F36">
        <f t="shared" si="8"/>
        <v>0</v>
      </c>
      <c r="G36">
        <f t="shared" si="8"/>
        <v>0</v>
      </c>
      <c r="H36">
        <f t="shared" si="8"/>
        <v>0</v>
      </c>
      <c r="I36">
        <f t="shared" si="8"/>
        <v>0</v>
      </c>
      <c r="J36">
        <f t="shared" si="8"/>
        <v>0</v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9"/>
        <v>0</v>
      </c>
    </row>
    <row r="37" spans="2:15" x14ac:dyDescent="0.25">
      <c r="B37" t="s">
        <v>36</v>
      </c>
      <c r="C37">
        <f t="shared" si="8"/>
        <v>0</v>
      </c>
      <c r="D37">
        <f t="shared" si="8"/>
        <v>0</v>
      </c>
      <c r="E37">
        <f t="shared" si="8"/>
        <v>0</v>
      </c>
      <c r="F37">
        <f t="shared" si="8"/>
        <v>0</v>
      </c>
      <c r="G37">
        <f t="shared" si="8"/>
        <v>0</v>
      </c>
      <c r="H37">
        <f t="shared" si="8"/>
        <v>0</v>
      </c>
      <c r="I37">
        <f t="shared" si="8"/>
        <v>0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9"/>
        <v>0</v>
      </c>
    </row>
    <row r="38" spans="2:15" x14ac:dyDescent="0.25">
      <c r="B38" t="s">
        <v>37</v>
      </c>
      <c r="C38">
        <f t="shared" si="8"/>
        <v>0</v>
      </c>
      <c r="D38">
        <f t="shared" si="8"/>
        <v>0</v>
      </c>
      <c r="E38">
        <f t="shared" si="8"/>
        <v>0</v>
      </c>
      <c r="F38">
        <f t="shared" si="8"/>
        <v>0</v>
      </c>
      <c r="G38">
        <f t="shared" si="8"/>
        <v>0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9"/>
        <v>0</v>
      </c>
    </row>
    <row r="39" spans="2:15" x14ac:dyDescent="0.25">
      <c r="B39" s="59" t="s">
        <v>51</v>
      </c>
      <c r="C39">
        <f>SUM(C34:C38)</f>
        <v>0</v>
      </c>
      <c r="D39">
        <f t="shared" ref="D39:N39" si="10">SUM(D34:D38)</f>
        <v>0</v>
      </c>
      <c r="E39">
        <f t="shared" si="10"/>
        <v>1</v>
      </c>
      <c r="F39">
        <f t="shared" si="10"/>
        <v>1</v>
      </c>
      <c r="G39">
        <f t="shared" si="10"/>
        <v>0</v>
      </c>
      <c r="H39">
        <f t="shared" si="10"/>
        <v>0</v>
      </c>
      <c r="I39">
        <f t="shared" si="10"/>
        <v>0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>SUM(O34:O38)</f>
        <v>2</v>
      </c>
    </row>
    <row r="41" spans="2:15" x14ac:dyDescent="0.25">
      <c r="B41" t="s">
        <v>59</v>
      </c>
      <c r="C41">
        <v>0</v>
      </c>
      <c r="D41">
        <v>0</v>
      </c>
      <c r="E41">
        <v>32.5</v>
      </c>
      <c r="F41">
        <v>32.5</v>
      </c>
      <c r="O41">
        <f>SUM(C41:N41)</f>
        <v>65</v>
      </c>
    </row>
  </sheetData>
  <mergeCells count="4">
    <mergeCell ref="C1:N1"/>
    <mergeCell ref="C10:N10"/>
    <mergeCell ref="C21:N21"/>
    <mergeCell ref="C32:N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D85E-1DC3-4C0A-A795-B24B2466813C}">
  <dimension ref="B1:O41"/>
  <sheetViews>
    <sheetView topLeftCell="A10" workbookViewId="0">
      <selection activeCell="C39" sqref="C39"/>
    </sheetView>
  </sheetViews>
  <sheetFormatPr defaultRowHeight="15" x14ac:dyDescent="0.25"/>
  <cols>
    <col min="2" max="2" width="13.5703125" bestFit="1" customWidth="1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v>1503</v>
      </c>
      <c r="D3">
        <v>1338</v>
      </c>
      <c r="E3">
        <v>1511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SUM(C3:N3)</f>
        <v>4352</v>
      </c>
    </row>
    <row r="4" spans="2:15" x14ac:dyDescent="0.25">
      <c r="B4" t="s">
        <v>18</v>
      </c>
      <c r="C4">
        <v>51</v>
      </c>
      <c r="D4">
        <v>43</v>
      </c>
      <c r="E4">
        <v>46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SUM(C4:N4)</f>
        <v>140</v>
      </c>
    </row>
    <row r="5" spans="2:15" x14ac:dyDescent="0.25">
      <c r="B5" t="s">
        <v>35</v>
      </c>
      <c r="C5">
        <v>31</v>
      </c>
      <c r="D5">
        <v>38</v>
      </c>
      <c r="E5">
        <v>60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SUM(C5:N5)</f>
        <v>129</v>
      </c>
    </row>
    <row r="6" spans="2:15" x14ac:dyDescent="0.25">
      <c r="B6" t="s">
        <v>36</v>
      </c>
      <c r="O6">
        <f>SUM(C6:N6)</f>
        <v>0</v>
      </c>
    </row>
    <row r="7" spans="2:15" x14ac:dyDescent="0.25">
      <c r="B7" t="s">
        <v>37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SUM(C7:N7)</f>
        <v>1</v>
      </c>
    </row>
    <row r="8" spans="2:15" x14ac:dyDescent="0.25">
      <c r="B8" s="59" t="s">
        <v>51</v>
      </c>
      <c r="C8">
        <f>SUM(C3:C7)</f>
        <v>1585</v>
      </c>
      <c r="D8">
        <f t="shared" ref="D8:N8" si="0">SUM(D3:D7)</f>
        <v>1420</v>
      </c>
      <c r="E8">
        <f t="shared" si="0"/>
        <v>1617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>SUM(O3:O7)</f>
        <v>4622</v>
      </c>
    </row>
    <row r="10" spans="2:15" x14ac:dyDescent="0.25">
      <c r="C10" s="66" t="s">
        <v>56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f t="shared" ref="C12:N12" si="1">C19/25</f>
        <v>33</v>
      </c>
      <c r="D12">
        <f t="shared" si="1"/>
        <v>31</v>
      </c>
      <c r="E12">
        <f t="shared" si="1"/>
        <v>22</v>
      </c>
      <c r="F12">
        <f t="shared" si="1"/>
        <v>12</v>
      </c>
      <c r="G12">
        <f t="shared" si="1"/>
        <v>7</v>
      </c>
      <c r="H12">
        <f t="shared" si="1"/>
        <v>11</v>
      </c>
      <c r="I12">
        <f t="shared" si="1"/>
        <v>8</v>
      </c>
      <c r="J12">
        <f t="shared" si="1"/>
        <v>12</v>
      </c>
      <c r="K12">
        <f t="shared" si="1"/>
        <v>6</v>
      </c>
      <c r="L12">
        <f t="shared" si="1"/>
        <v>15</v>
      </c>
      <c r="M12">
        <f t="shared" si="1"/>
        <v>16</v>
      </c>
      <c r="N12">
        <f t="shared" si="1"/>
        <v>32</v>
      </c>
      <c r="O12">
        <f>SUM(C12:N12)</f>
        <v>205</v>
      </c>
    </row>
    <row r="13" spans="2:15" x14ac:dyDescent="0.25">
      <c r="B13" t="s">
        <v>18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ref="O13:O16" si="2">SUM(C13:N13)</f>
        <v>0</v>
      </c>
    </row>
    <row r="14" spans="2:15" x14ac:dyDescent="0.25">
      <c r="B14" t="s">
        <v>35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2"/>
        <v>0</v>
      </c>
    </row>
    <row r="15" spans="2:15" x14ac:dyDescent="0.25">
      <c r="B15" t="s">
        <v>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2"/>
        <v>0</v>
      </c>
    </row>
    <row r="16" spans="2:15" x14ac:dyDescent="0.25">
      <c r="B16" t="s">
        <v>37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 t="shared" si="2"/>
        <v>0</v>
      </c>
    </row>
    <row r="17" spans="2:15" x14ac:dyDescent="0.25">
      <c r="B17" s="59" t="s">
        <v>51</v>
      </c>
      <c r="C17">
        <f>SUM(C12:C16)</f>
        <v>33</v>
      </c>
      <c r="D17">
        <f t="shared" ref="D17:N17" si="3">SUM(D12:D16)</f>
        <v>31</v>
      </c>
      <c r="E17">
        <f t="shared" si="3"/>
        <v>22</v>
      </c>
      <c r="F17">
        <f t="shared" si="3"/>
        <v>12</v>
      </c>
      <c r="G17">
        <f t="shared" si="3"/>
        <v>7</v>
      </c>
      <c r="H17">
        <f t="shared" si="3"/>
        <v>11</v>
      </c>
      <c r="I17">
        <f t="shared" si="3"/>
        <v>8</v>
      </c>
      <c r="J17">
        <f t="shared" si="3"/>
        <v>12</v>
      </c>
      <c r="K17">
        <f t="shared" si="3"/>
        <v>6</v>
      </c>
      <c r="L17">
        <f t="shared" si="3"/>
        <v>15</v>
      </c>
      <c r="M17">
        <f t="shared" si="3"/>
        <v>16</v>
      </c>
      <c r="N17">
        <f t="shared" si="3"/>
        <v>32</v>
      </c>
      <c r="O17">
        <f>SUM(O12:O16)</f>
        <v>205</v>
      </c>
    </row>
    <row r="19" spans="2:15" x14ac:dyDescent="0.25">
      <c r="B19" t="s">
        <v>54</v>
      </c>
      <c r="C19">
        <v>825</v>
      </c>
      <c r="D19">
        <v>775</v>
      </c>
      <c r="E19">
        <v>550</v>
      </c>
      <c r="F19">
        <v>300</v>
      </c>
      <c r="G19">
        <v>175</v>
      </c>
      <c r="H19">
        <v>275</v>
      </c>
      <c r="I19">
        <v>200</v>
      </c>
      <c r="J19">
        <v>300</v>
      </c>
      <c r="K19">
        <v>150</v>
      </c>
      <c r="L19">
        <v>375</v>
      </c>
      <c r="M19">
        <v>400</v>
      </c>
      <c r="N19">
        <v>800</v>
      </c>
      <c r="O19">
        <f>SUM(C19:N19)</f>
        <v>5125</v>
      </c>
    </row>
    <row r="21" spans="2:15" x14ac:dyDescent="0.25">
      <c r="C21" s="66" t="s">
        <v>55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5" x14ac:dyDescent="0.25">
      <c r="C22" s="58" t="s">
        <v>38</v>
      </c>
      <c r="D22" s="58" t="s">
        <v>39</v>
      </c>
      <c r="E22" s="58" t="s">
        <v>40</v>
      </c>
      <c r="F22" s="58" t="s">
        <v>41</v>
      </c>
      <c r="G22" s="58" t="s">
        <v>42</v>
      </c>
      <c r="H22" s="58" t="s">
        <v>43</v>
      </c>
      <c r="I22" s="58" t="s">
        <v>44</v>
      </c>
      <c r="J22" s="58" t="s">
        <v>45</v>
      </c>
      <c r="K22" s="58" t="s">
        <v>46</v>
      </c>
      <c r="L22" s="58" t="s">
        <v>47</v>
      </c>
      <c r="M22" s="58" t="s">
        <v>48</v>
      </c>
      <c r="N22" s="58" t="s">
        <v>49</v>
      </c>
      <c r="O22" s="58" t="s">
        <v>51</v>
      </c>
    </row>
    <row r="23" spans="2:15" x14ac:dyDescent="0.25">
      <c r="B23" t="s">
        <v>17</v>
      </c>
      <c r="C23">
        <f t="shared" ref="C23:N23" si="4">ROUND(C30/35,0)</f>
        <v>62</v>
      </c>
      <c r="D23">
        <f t="shared" si="4"/>
        <v>48</v>
      </c>
      <c r="E23">
        <f t="shared" si="4"/>
        <v>75</v>
      </c>
      <c r="F23">
        <f t="shared" si="4"/>
        <v>17</v>
      </c>
      <c r="G23">
        <f t="shared" si="4"/>
        <v>0</v>
      </c>
      <c r="H23">
        <f t="shared" si="4"/>
        <v>0</v>
      </c>
      <c r="I23">
        <f t="shared" si="4"/>
        <v>0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>SUM(C23:N23)</f>
        <v>202</v>
      </c>
    </row>
    <row r="24" spans="2:15" x14ac:dyDescent="0.25">
      <c r="B24" t="s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ref="O24:O27" si="5">SUM(C24:N24)</f>
        <v>0</v>
      </c>
    </row>
    <row r="25" spans="2:15" x14ac:dyDescent="0.25"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5"/>
        <v>0</v>
      </c>
    </row>
    <row r="26" spans="2:15" x14ac:dyDescent="0.25">
      <c r="B26" t="s">
        <v>36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5"/>
        <v>0</v>
      </c>
    </row>
    <row r="27" spans="2:15" x14ac:dyDescent="0.25">
      <c r="B27" t="s">
        <v>37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5"/>
        <v>0</v>
      </c>
    </row>
    <row r="28" spans="2:15" x14ac:dyDescent="0.25">
      <c r="B28" s="59" t="s">
        <v>51</v>
      </c>
      <c r="C28">
        <f>SUM(C23:C27)</f>
        <v>62</v>
      </c>
      <c r="D28">
        <f t="shared" ref="D28:N28" si="6">SUM(D23:D27)</f>
        <v>48</v>
      </c>
      <c r="E28">
        <f t="shared" si="6"/>
        <v>75</v>
      </c>
      <c r="F28">
        <f t="shared" si="6"/>
        <v>17</v>
      </c>
      <c r="G28">
        <f t="shared" si="6"/>
        <v>0</v>
      </c>
      <c r="H28">
        <f t="shared" si="6"/>
        <v>0</v>
      </c>
      <c r="I28">
        <f t="shared" si="6"/>
        <v>0</v>
      </c>
      <c r="J28">
        <f t="shared" si="6"/>
        <v>0</v>
      </c>
      <c r="K28">
        <f t="shared" si="6"/>
        <v>0</v>
      </c>
      <c r="L28">
        <f t="shared" si="6"/>
        <v>0</v>
      </c>
      <c r="M28">
        <f t="shared" si="6"/>
        <v>0</v>
      </c>
      <c r="N28">
        <f t="shared" si="6"/>
        <v>0</v>
      </c>
      <c r="O28">
        <f>SUM(O23:O27)</f>
        <v>202</v>
      </c>
    </row>
    <row r="30" spans="2:15" x14ac:dyDescent="0.25">
      <c r="B30" t="s">
        <v>58</v>
      </c>
      <c r="C30">
        <v>2185</v>
      </c>
      <c r="D30">
        <v>1680</v>
      </c>
      <c r="E30">
        <v>2625</v>
      </c>
      <c r="F30">
        <v>600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SUM(C30:N30)</f>
        <v>7090</v>
      </c>
    </row>
    <row r="32" spans="2:15" x14ac:dyDescent="0.25">
      <c r="C32" s="66" t="s">
        <v>57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x14ac:dyDescent="0.25">
      <c r="C33" s="58" t="s">
        <v>38</v>
      </c>
      <c r="D33" s="58" t="s">
        <v>39</v>
      </c>
      <c r="E33" s="58" t="s">
        <v>40</v>
      </c>
      <c r="F33" s="58" t="s">
        <v>41</v>
      </c>
      <c r="G33" s="58" t="s">
        <v>42</v>
      </c>
      <c r="H33" s="58" t="s">
        <v>43</v>
      </c>
      <c r="I33" s="58" t="s">
        <v>44</v>
      </c>
      <c r="J33" s="58" t="s">
        <v>45</v>
      </c>
      <c r="K33" s="58" t="s">
        <v>46</v>
      </c>
      <c r="L33" s="58" t="s">
        <v>47</v>
      </c>
      <c r="M33" s="58" t="s">
        <v>48</v>
      </c>
      <c r="N33" s="58" t="s">
        <v>49</v>
      </c>
      <c r="O33" s="58" t="s">
        <v>51</v>
      </c>
    </row>
    <row r="34" spans="2:15" x14ac:dyDescent="0.25">
      <c r="B34" t="s">
        <v>17</v>
      </c>
      <c r="C34">
        <f>C41/32.5</f>
        <v>0</v>
      </c>
      <c r="D34">
        <f>D41/32.5</f>
        <v>0</v>
      </c>
      <c r="E34">
        <f>E41/32.5</f>
        <v>1</v>
      </c>
      <c r="F34">
        <f>F41/32.5</f>
        <v>0</v>
      </c>
      <c r="G34">
        <f t="shared" ref="G34:N34" si="7">G41/32.5</f>
        <v>0</v>
      </c>
      <c r="H34">
        <f t="shared" si="7"/>
        <v>1</v>
      </c>
      <c r="I34">
        <f t="shared" si="7"/>
        <v>-1</v>
      </c>
      <c r="J34">
        <f t="shared" si="7"/>
        <v>0</v>
      </c>
      <c r="K34">
        <f t="shared" si="7"/>
        <v>0</v>
      </c>
      <c r="L34">
        <f t="shared" si="7"/>
        <v>0</v>
      </c>
      <c r="M34">
        <f t="shared" si="7"/>
        <v>0</v>
      </c>
      <c r="N34">
        <f t="shared" si="7"/>
        <v>0</v>
      </c>
      <c r="O34">
        <f>SUM(C34:N34)</f>
        <v>1</v>
      </c>
    </row>
    <row r="35" spans="2:15" x14ac:dyDescent="0.25">
      <c r="B35" t="s">
        <v>18</v>
      </c>
      <c r="C35">
        <f t="shared" ref="C35:N38" si="8">C42/25</f>
        <v>0</v>
      </c>
      <c r="D35">
        <f t="shared" si="8"/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ref="O35:O38" si="9">SUM(C35:N35)</f>
        <v>0</v>
      </c>
    </row>
    <row r="36" spans="2:15" x14ac:dyDescent="0.25">
      <c r="B36" t="s">
        <v>35</v>
      </c>
      <c r="C36">
        <f t="shared" si="8"/>
        <v>0</v>
      </c>
      <c r="D36">
        <f t="shared" si="8"/>
        <v>0</v>
      </c>
      <c r="E36">
        <f t="shared" si="8"/>
        <v>0</v>
      </c>
      <c r="F36">
        <f t="shared" si="8"/>
        <v>0</v>
      </c>
      <c r="G36">
        <f t="shared" si="8"/>
        <v>0</v>
      </c>
      <c r="H36">
        <f t="shared" si="8"/>
        <v>0</v>
      </c>
      <c r="I36">
        <f t="shared" si="8"/>
        <v>0</v>
      </c>
      <c r="J36">
        <f t="shared" si="8"/>
        <v>0</v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9"/>
        <v>0</v>
      </c>
    </row>
    <row r="37" spans="2:15" x14ac:dyDescent="0.25">
      <c r="B37" t="s">
        <v>36</v>
      </c>
      <c r="C37">
        <f t="shared" si="8"/>
        <v>0</v>
      </c>
      <c r="D37">
        <f t="shared" si="8"/>
        <v>0</v>
      </c>
      <c r="E37">
        <f t="shared" si="8"/>
        <v>0</v>
      </c>
      <c r="F37">
        <f t="shared" si="8"/>
        <v>0</v>
      </c>
      <c r="G37">
        <f t="shared" si="8"/>
        <v>0</v>
      </c>
      <c r="H37">
        <f t="shared" si="8"/>
        <v>0</v>
      </c>
      <c r="I37">
        <f t="shared" si="8"/>
        <v>0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9"/>
        <v>0</v>
      </c>
    </row>
    <row r="38" spans="2:15" x14ac:dyDescent="0.25">
      <c r="B38" t="s">
        <v>37</v>
      </c>
      <c r="C38">
        <f t="shared" si="8"/>
        <v>0</v>
      </c>
      <c r="D38">
        <f t="shared" si="8"/>
        <v>0</v>
      </c>
      <c r="E38">
        <f t="shared" si="8"/>
        <v>0</v>
      </c>
      <c r="F38">
        <f t="shared" si="8"/>
        <v>0</v>
      </c>
      <c r="G38">
        <f t="shared" si="8"/>
        <v>0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9"/>
        <v>0</v>
      </c>
    </row>
    <row r="39" spans="2:15" x14ac:dyDescent="0.25">
      <c r="B39" s="59" t="s">
        <v>51</v>
      </c>
      <c r="C39">
        <f>SUM(C34:C38)</f>
        <v>0</v>
      </c>
      <c r="D39">
        <f t="shared" ref="D39:N39" si="10">SUM(D34:D38)</f>
        <v>0</v>
      </c>
      <c r="E39">
        <f t="shared" si="10"/>
        <v>1</v>
      </c>
      <c r="F39">
        <f t="shared" si="10"/>
        <v>0</v>
      </c>
      <c r="G39">
        <f t="shared" si="10"/>
        <v>0</v>
      </c>
      <c r="H39">
        <f t="shared" si="10"/>
        <v>1</v>
      </c>
      <c r="I39">
        <f t="shared" si="10"/>
        <v>-1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>SUM(O34:O38)</f>
        <v>1</v>
      </c>
    </row>
    <row r="41" spans="2:15" x14ac:dyDescent="0.25">
      <c r="B41" t="s">
        <v>59</v>
      </c>
      <c r="C41">
        <v>0</v>
      </c>
      <c r="D41">
        <v>0</v>
      </c>
      <c r="E41">
        <v>32.5</v>
      </c>
      <c r="F41">
        <v>0</v>
      </c>
      <c r="G41">
        <v>0</v>
      </c>
      <c r="H41">
        <v>32.5</v>
      </c>
      <c r="I41">
        <v>-32.5</v>
      </c>
      <c r="J41">
        <v>0</v>
      </c>
      <c r="K41">
        <v>0</v>
      </c>
      <c r="L41">
        <v>0</v>
      </c>
      <c r="M41">
        <v>0</v>
      </c>
      <c r="N41">
        <v>0</v>
      </c>
      <c r="O41">
        <f>SUM(C41:N41)</f>
        <v>32.5</v>
      </c>
    </row>
  </sheetData>
  <mergeCells count="4">
    <mergeCell ref="C1:N1"/>
    <mergeCell ref="C10:N10"/>
    <mergeCell ref="C21:N21"/>
    <mergeCell ref="C32:N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D513-9C8F-41A6-AE3A-A0E7E2D0057A}">
  <dimension ref="B1:O41"/>
  <sheetViews>
    <sheetView topLeftCell="A4" workbookViewId="0">
      <selection activeCell="B10" sqref="B10:O42"/>
    </sheetView>
  </sheetViews>
  <sheetFormatPr defaultRowHeight="15" x14ac:dyDescent="0.25"/>
  <cols>
    <col min="2" max="2" width="13.5703125" bestFit="1" customWidth="1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f>1876-143</f>
        <v>1733</v>
      </c>
      <c r="D3">
        <f>1911-142</f>
        <v>1769</v>
      </c>
      <c r="E3">
        <f>1823-146</f>
        <v>1677</v>
      </c>
      <c r="F3">
        <f>1942-127</f>
        <v>1815</v>
      </c>
      <c r="G3">
        <f>1767-134</f>
        <v>1633</v>
      </c>
      <c r="H3">
        <f>1786-155</f>
        <v>1631</v>
      </c>
      <c r="I3">
        <f>2017-159</f>
        <v>1858</v>
      </c>
      <c r="J3">
        <f>1828-157</f>
        <v>1671</v>
      </c>
      <c r="K3">
        <f>1964-254</f>
        <v>1710</v>
      </c>
      <c r="L3">
        <f>1935-161</f>
        <v>1774</v>
      </c>
      <c r="M3">
        <f>1804-118</f>
        <v>1686</v>
      </c>
      <c r="N3">
        <f>1793-92</f>
        <v>1701</v>
      </c>
      <c r="O3">
        <f>SUM(C3:N3)</f>
        <v>20658</v>
      </c>
    </row>
    <row r="4" spans="2:15" x14ac:dyDescent="0.25">
      <c r="B4" t="s">
        <v>18</v>
      </c>
      <c r="C4">
        <f>24+22</f>
        <v>46</v>
      </c>
      <c r="D4">
        <f>19+22</f>
        <v>41</v>
      </c>
      <c r="E4">
        <f>18+21</f>
        <v>39</v>
      </c>
      <c r="F4">
        <f>19+20</f>
        <v>39</v>
      </c>
      <c r="G4">
        <f>14+23</f>
        <v>37</v>
      </c>
      <c r="H4">
        <f>19+37</f>
        <v>56</v>
      </c>
      <c r="I4">
        <f>24+38</f>
        <v>62</v>
      </c>
      <c r="J4">
        <f>18+34</f>
        <v>52</v>
      </c>
      <c r="K4">
        <f>28+45</f>
        <v>73</v>
      </c>
      <c r="L4">
        <f>23+39</f>
        <v>62</v>
      </c>
      <c r="M4">
        <f>26+29</f>
        <v>55</v>
      </c>
      <c r="N4">
        <f>19+29</f>
        <v>48</v>
      </c>
      <c r="O4">
        <f>SUM(C4:N4)</f>
        <v>610</v>
      </c>
    </row>
    <row r="5" spans="2:15" x14ac:dyDescent="0.25">
      <c r="B5" t="s">
        <v>35</v>
      </c>
      <c r="C5">
        <f>21+3+72</f>
        <v>96</v>
      </c>
      <c r="D5">
        <f>25+5+1+68</f>
        <v>99</v>
      </c>
      <c r="E5">
        <f>27+5+1+70+2</f>
        <v>105</v>
      </c>
      <c r="F5">
        <f>32+12+1+1+1+39+1</f>
        <v>87</v>
      </c>
      <c r="G5">
        <f>24+3+68+1</f>
        <v>96</v>
      </c>
      <c r="H5">
        <f>13+2+12+2+1+68</f>
        <v>98</v>
      </c>
      <c r="I5">
        <f>30+7+2+55+2</f>
        <v>96</v>
      </c>
      <c r="J5">
        <f>31+4+1+68+1</f>
        <v>105</v>
      </c>
      <c r="K5">
        <f>34+2+1+70+1</f>
        <v>108</v>
      </c>
      <c r="L5">
        <f>25+3+2+67+2</f>
        <v>99</v>
      </c>
      <c r="M5">
        <f>22+3+1+1+35+1</f>
        <v>63</v>
      </c>
      <c r="N5">
        <f>18+5+2+1+18</f>
        <v>44</v>
      </c>
      <c r="O5">
        <f>SUM(C5:N5)</f>
        <v>1096</v>
      </c>
    </row>
    <row r="6" spans="2:15" x14ac:dyDescent="0.25"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SUM(C6:N6)</f>
        <v>0</v>
      </c>
    </row>
    <row r="7" spans="2:15" x14ac:dyDescent="0.25">
      <c r="B7" t="s">
        <v>37</v>
      </c>
      <c r="C7">
        <v>1</v>
      </c>
      <c r="D7">
        <v>2</v>
      </c>
      <c r="E7">
        <v>2</v>
      </c>
      <c r="F7">
        <v>1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f>SUM(C7:N7)</f>
        <v>9</v>
      </c>
    </row>
    <row r="8" spans="2:15" x14ac:dyDescent="0.25">
      <c r="B8" s="59" t="s">
        <v>51</v>
      </c>
      <c r="C8">
        <f>SUM(C3:C7)</f>
        <v>1876</v>
      </c>
      <c r="D8">
        <f t="shared" ref="D8:N8" si="0">SUM(D3:D7)</f>
        <v>1911</v>
      </c>
      <c r="E8">
        <f t="shared" si="0"/>
        <v>1823</v>
      </c>
      <c r="F8">
        <f t="shared" si="0"/>
        <v>1942</v>
      </c>
      <c r="G8">
        <f t="shared" si="0"/>
        <v>1767</v>
      </c>
      <c r="H8">
        <f t="shared" si="0"/>
        <v>1786</v>
      </c>
      <c r="I8">
        <f t="shared" si="0"/>
        <v>2017</v>
      </c>
      <c r="J8">
        <f t="shared" si="0"/>
        <v>1828</v>
      </c>
      <c r="K8">
        <f t="shared" si="0"/>
        <v>1891</v>
      </c>
      <c r="L8">
        <f t="shared" si="0"/>
        <v>1935</v>
      </c>
      <c r="M8">
        <f t="shared" si="0"/>
        <v>1804</v>
      </c>
      <c r="N8">
        <f t="shared" si="0"/>
        <v>1793</v>
      </c>
      <c r="O8">
        <f>SUM(O3:O7)</f>
        <v>22373</v>
      </c>
    </row>
    <row r="10" spans="2:15" x14ac:dyDescent="0.25">
      <c r="C10" s="66" t="s">
        <v>56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f t="shared" ref="C12:N12" si="1">C19/25</f>
        <v>69</v>
      </c>
      <c r="D12">
        <f t="shared" si="1"/>
        <v>45</v>
      </c>
      <c r="E12">
        <f t="shared" si="1"/>
        <v>47</v>
      </c>
      <c r="F12">
        <f t="shared" si="1"/>
        <v>34</v>
      </c>
      <c r="G12">
        <f t="shared" si="1"/>
        <v>41</v>
      </c>
      <c r="H12">
        <f t="shared" si="1"/>
        <v>32</v>
      </c>
      <c r="I12">
        <f t="shared" si="1"/>
        <v>30</v>
      </c>
      <c r="J12">
        <f t="shared" si="1"/>
        <v>52</v>
      </c>
      <c r="K12">
        <f t="shared" si="1"/>
        <v>47</v>
      </c>
      <c r="L12">
        <f t="shared" si="1"/>
        <v>30</v>
      </c>
      <c r="M12">
        <f t="shared" si="1"/>
        <v>36</v>
      </c>
      <c r="N12">
        <f t="shared" si="1"/>
        <v>50</v>
      </c>
      <c r="O12">
        <f>SUM(C12:N12)</f>
        <v>513</v>
      </c>
    </row>
    <row r="13" spans="2:15" x14ac:dyDescent="0.25">
      <c r="B13" t="s">
        <v>18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ref="O13:O16" si="2">SUM(C13:N13)</f>
        <v>0</v>
      </c>
    </row>
    <row r="14" spans="2:15" x14ac:dyDescent="0.25">
      <c r="B14" t="s">
        <v>35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2"/>
        <v>0</v>
      </c>
    </row>
    <row r="15" spans="2:15" x14ac:dyDescent="0.25">
      <c r="B15" t="s">
        <v>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2"/>
        <v>0</v>
      </c>
    </row>
    <row r="16" spans="2:15" x14ac:dyDescent="0.25">
      <c r="B16" t="s">
        <v>37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 t="shared" si="2"/>
        <v>0</v>
      </c>
    </row>
    <row r="17" spans="2:15" x14ac:dyDescent="0.25">
      <c r="B17" s="59" t="s">
        <v>51</v>
      </c>
      <c r="C17">
        <f>SUM(C12:C16)</f>
        <v>69</v>
      </c>
      <c r="D17">
        <f t="shared" ref="D17:N17" si="3">SUM(D12:D16)</f>
        <v>45</v>
      </c>
      <c r="E17">
        <f t="shared" si="3"/>
        <v>47</v>
      </c>
      <c r="F17">
        <f t="shared" si="3"/>
        <v>34</v>
      </c>
      <c r="G17">
        <f t="shared" si="3"/>
        <v>41</v>
      </c>
      <c r="H17">
        <f t="shared" si="3"/>
        <v>32</v>
      </c>
      <c r="I17">
        <f t="shared" si="3"/>
        <v>30</v>
      </c>
      <c r="J17">
        <f t="shared" si="3"/>
        <v>52</v>
      </c>
      <c r="K17">
        <f t="shared" si="3"/>
        <v>47</v>
      </c>
      <c r="L17">
        <f t="shared" si="3"/>
        <v>30</v>
      </c>
      <c r="M17">
        <f t="shared" si="3"/>
        <v>36</v>
      </c>
      <c r="N17">
        <f t="shared" si="3"/>
        <v>50</v>
      </c>
      <c r="O17">
        <f>SUM(O12:O16)</f>
        <v>513</v>
      </c>
    </row>
    <row r="19" spans="2:15" x14ac:dyDescent="0.25">
      <c r="B19" t="s">
        <v>54</v>
      </c>
      <c r="C19">
        <v>1725</v>
      </c>
      <c r="D19">
        <v>1125</v>
      </c>
      <c r="E19">
        <v>1175</v>
      </c>
      <c r="F19">
        <v>850</v>
      </c>
      <c r="G19">
        <v>1025</v>
      </c>
      <c r="H19">
        <v>800</v>
      </c>
      <c r="I19">
        <v>750</v>
      </c>
      <c r="J19">
        <v>1300</v>
      </c>
      <c r="K19">
        <v>1175</v>
      </c>
      <c r="L19">
        <v>750</v>
      </c>
      <c r="M19">
        <v>900</v>
      </c>
      <c r="N19">
        <v>1250</v>
      </c>
      <c r="O19">
        <f>SUM(C19:N19)</f>
        <v>12825</v>
      </c>
    </row>
    <row r="21" spans="2:15" x14ac:dyDescent="0.25">
      <c r="C21" s="66" t="s">
        <v>55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5" x14ac:dyDescent="0.25">
      <c r="C22" s="58" t="s">
        <v>38</v>
      </c>
      <c r="D22" s="58" t="s">
        <v>39</v>
      </c>
      <c r="E22" s="58" t="s">
        <v>40</v>
      </c>
      <c r="F22" s="58" t="s">
        <v>41</v>
      </c>
      <c r="G22" s="58" t="s">
        <v>42</v>
      </c>
      <c r="H22" s="58" t="s">
        <v>43</v>
      </c>
      <c r="I22" s="58" t="s">
        <v>44</v>
      </c>
      <c r="J22" s="58" t="s">
        <v>45</v>
      </c>
      <c r="K22" s="58" t="s">
        <v>46</v>
      </c>
      <c r="L22" s="58" t="s">
        <v>47</v>
      </c>
      <c r="M22" s="58" t="s">
        <v>48</v>
      </c>
      <c r="N22" s="58" t="s">
        <v>49</v>
      </c>
      <c r="O22" s="58" t="s">
        <v>51</v>
      </c>
    </row>
    <row r="23" spans="2:15" x14ac:dyDescent="0.25">
      <c r="B23" t="s">
        <v>17</v>
      </c>
      <c r="C23">
        <f t="shared" ref="C23:N23" si="4">ROUND(C30/35,0)</f>
        <v>41</v>
      </c>
      <c r="D23">
        <f t="shared" si="4"/>
        <v>45</v>
      </c>
      <c r="E23">
        <f t="shared" si="4"/>
        <v>54</v>
      </c>
      <c r="F23">
        <f t="shared" si="4"/>
        <v>67</v>
      </c>
      <c r="G23">
        <f t="shared" si="4"/>
        <v>94</v>
      </c>
      <c r="H23">
        <f t="shared" si="4"/>
        <v>40</v>
      </c>
      <c r="I23">
        <f t="shared" si="4"/>
        <v>67</v>
      </c>
      <c r="J23">
        <f t="shared" si="4"/>
        <v>72</v>
      </c>
      <c r="K23">
        <f t="shared" si="4"/>
        <v>63</v>
      </c>
      <c r="L23">
        <f t="shared" si="4"/>
        <v>55</v>
      </c>
      <c r="M23">
        <f t="shared" si="4"/>
        <v>31</v>
      </c>
      <c r="N23">
        <f t="shared" si="4"/>
        <v>28</v>
      </c>
      <c r="O23">
        <f>SUM(C23:N23)</f>
        <v>657</v>
      </c>
    </row>
    <row r="24" spans="2:15" x14ac:dyDescent="0.25">
      <c r="B24" t="s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ref="O24:O27" si="5">SUM(C24:N24)</f>
        <v>0</v>
      </c>
    </row>
    <row r="25" spans="2:15" x14ac:dyDescent="0.25"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5"/>
        <v>0</v>
      </c>
    </row>
    <row r="26" spans="2:15" x14ac:dyDescent="0.25">
      <c r="B26" t="s">
        <v>36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5"/>
        <v>0</v>
      </c>
    </row>
    <row r="27" spans="2:15" x14ac:dyDescent="0.25">
      <c r="B27" t="s">
        <v>37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5"/>
        <v>0</v>
      </c>
    </row>
    <row r="28" spans="2:15" x14ac:dyDescent="0.25">
      <c r="B28" s="59" t="s">
        <v>51</v>
      </c>
      <c r="C28">
        <f>SUM(C23:C27)</f>
        <v>41</v>
      </c>
      <c r="D28">
        <f t="shared" ref="D28:N28" si="6">SUM(D23:D27)</f>
        <v>45</v>
      </c>
      <c r="E28">
        <f t="shared" si="6"/>
        <v>54</v>
      </c>
      <c r="F28">
        <f t="shared" si="6"/>
        <v>67</v>
      </c>
      <c r="G28">
        <f t="shared" si="6"/>
        <v>94</v>
      </c>
      <c r="H28">
        <f t="shared" si="6"/>
        <v>40</v>
      </c>
      <c r="I28">
        <f t="shared" si="6"/>
        <v>67</v>
      </c>
      <c r="J28">
        <f t="shared" si="6"/>
        <v>72</v>
      </c>
      <c r="K28">
        <f t="shared" si="6"/>
        <v>63</v>
      </c>
      <c r="L28">
        <f t="shared" si="6"/>
        <v>55</v>
      </c>
      <c r="M28">
        <f t="shared" si="6"/>
        <v>31</v>
      </c>
      <c r="N28">
        <f t="shared" si="6"/>
        <v>28</v>
      </c>
      <c r="O28">
        <f>SUM(O23:O27)</f>
        <v>657</v>
      </c>
    </row>
    <row r="30" spans="2:15" x14ac:dyDescent="0.25">
      <c r="B30" t="s">
        <v>58</v>
      </c>
      <c r="C30">
        <v>1450</v>
      </c>
      <c r="D30">
        <v>1585</v>
      </c>
      <c r="E30">
        <v>1880</v>
      </c>
      <c r="F30">
        <v>2335</v>
      </c>
      <c r="G30">
        <v>3290</v>
      </c>
      <c r="H30">
        <v>1390</v>
      </c>
      <c r="I30">
        <v>2335</v>
      </c>
      <c r="J30">
        <v>2530</v>
      </c>
      <c r="K30">
        <v>2195</v>
      </c>
      <c r="L30">
        <v>1935</v>
      </c>
      <c r="M30">
        <v>1100</v>
      </c>
      <c r="N30">
        <v>995</v>
      </c>
      <c r="O30">
        <f>SUM(C30:N30)</f>
        <v>23020</v>
      </c>
    </row>
    <row r="32" spans="2:15" x14ac:dyDescent="0.25">
      <c r="C32" s="66" t="s">
        <v>57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x14ac:dyDescent="0.25">
      <c r="C33" s="58" t="s">
        <v>38</v>
      </c>
      <c r="D33" s="58" t="s">
        <v>39</v>
      </c>
      <c r="E33" s="58" t="s">
        <v>40</v>
      </c>
      <c r="F33" s="58" t="s">
        <v>41</v>
      </c>
      <c r="G33" s="58" t="s">
        <v>42</v>
      </c>
      <c r="H33" s="58" t="s">
        <v>43</v>
      </c>
      <c r="I33" s="58" t="s">
        <v>44</v>
      </c>
      <c r="J33" s="58" t="s">
        <v>45</v>
      </c>
      <c r="K33" s="58" t="s">
        <v>46</v>
      </c>
      <c r="L33" s="58" t="s">
        <v>47</v>
      </c>
      <c r="M33" s="58" t="s">
        <v>48</v>
      </c>
      <c r="N33" s="58" t="s">
        <v>49</v>
      </c>
      <c r="O33" s="58" t="s">
        <v>51</v>
      </c>
    </row>
    <row r="34" spans="2:15" x14ac:dyDescent="0.25">
      <c r="B34" t="s">
        <v>17</v>
      </c>
      <c r="C34">
        <f>C41/32.5</f>
        <v>0</v>
      </c>
      <c r="D34">
        <f>D41/32.5</f>
        <v>0</v>
      </c>
      <c r="E34">
        <f>E41/32.5</f>
        <v>3</v>
      </c>
      <c r="F34">
        <f>F41/32.5</f>
        <v>2</v>
      </c>
      <c r="G34">
        <f t="shared" ref="G34:N34" si="7">G41/32.5</f>
        <v>0</v>
      </c>
      <c r="H34">
        <f t="shared" si="7"/>
        <v>0</v>
      </c>
      <c r="I34">
        <f t="shared" si="7"/>
        <v>0</v>
      </c>
      <c r="J34">
        <f t="shared" si="7"/>
        <v>1</v>
      </c>
      <c r="K34">
        <f t="shared" si="7"/>
        <v>-1</v>
      </c>
      <c r="L34">
        <f t="shared" si="7"/>
        <v>0</v>
      </c>
      <c r="M34">
        <f t="shared" si="7"/>
        <v>0</v>
      </c>
      <c r="N34">
        <f t="shared" si="7"/>
        <v>0</v>
      </c>
      <c r="O34">
        <f>SUM(C34:N34)</f>
        <v>5</v>
      </c>
    </row>
    <row r="35" spans="2:15" x14ac:dyDescent="0.25">
      <c r="B35" t="s">
        <v>18</v>
      </c>
      <c r="C35">
        <f t="shared" ref="C35:N38" si="8">C42/25</f>
        <v>0</v>
      </c>
      <c r="D35">
        <f t="shared" si="8"/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ref="O35:O38" si="9">SUM(C35:N35)</f>
        <v>0</v>
      </c>
    </row>
    <row r="36" spans="2:15" x14ac:dyDescent="0.25">
      <c r="B36" t="s">
        <v>35</v>
      </c>
      <c r="C36">
        <f t="shared" si="8"/>
        <v>0</v>
      </c>
      <c r="D36">
        <f t="shared" si="8"/>
        <v>0</v>
      </c>
      <c r="E36">
        <f t="shared" si="8"/>
        <v>0</v>
      </c>
      <c r="F36">
        <f t="shared" si="8"/>
        <v>0</v>
      </c>
      <c r="G36">
        <f t="shared" si="8"/>
        <v>0</v>
      </c>
      <c r="H36">
        <f t="shared" si="8"/>
        <v>0</v>
      </c>
      <c r="I36">
        <f t="shared" si="8"/>
        <v>0</v>
      </c>
      <c r="J36">
        <f t="shared" si="8"/>
        <v>0</v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9"/>
        <v>0</v>
      </c>
    </row>
    <row r="37" spans="2:15" x14ac:dyDescent="0.25">
      <c r="B37" t="s">
        <v>36</v>
      </c>
      <c r="C37">
        <f t="shared" si="8"/>
        <v>0</v>
      </c>
      <c r="D37">
        <f t="shared" si="8"/>
        <v>0</v>
      </c>
      <c r="E37">
        <f t="shared" si="8"/>
        <v>0</v>
      </c>
      <c r="F37">
        <f t="shared" si="8"/>
        <v>0</v>
      </c>
      <c r="G37">
        <f t="shared" si="8"/>
        <v>0</v>
      </c>
      <c r="H37">
        <f t="shared" si="8"/>
        <v>0</v>
      </c>
      <c r="I37">
        <f t="shared" si="8"/>
        <v>0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9"/>
        <v>0</v>
      </c>
    </row>
    <row r="38" spans="2:15" x14ac:dyDescent="0.25">
      <c r="B38" t="s">
        <v>37</v>
      </c>
      <c r="C38">
        <f t="shared" si="8"/>
        <v>0</v>
      </c>
      <c r="D38">
        <f t="shared" si="8"/>
        <v>0</v>
      </c>
      <c r="E38">
        <f t="shared" si="8"/>
        <v>0</v>
      </c>
      <c r="F38">
        <f t="shared" si="8"/>
        <v>0</v>
      </c>
      <c r="G38">
        <f t="shared" si="8"/>
        <v>0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9"/>
        <v>0</v>
      </c>
    </row>
    <row r="39" spans="2:15" x14ac:dyDescent="0.25">
      <c r="B39" s="59" t="s">
        <v>51</v>
      </c>
      <c r="C39">
        <f>SUM(C34:C38)</f>
        <v>0</v>
      </c>
      <c r="D39">
        <f t="shared" ref="D39:N39" si="10">SUM(D34:D38)</f>
        <v>0</v>
      </c>
      <c r="E39">
        <f t="shared" si="10"/>
        <v>3</v>
      </c>
      <c r="F39">
        <f t="shared" si="10"/>
        <v>2</v>
      </c>
      <c r="G39">
        <f t="shared" si="10"/>
        <v>0</v>
      </c>
      <c r="H39">
        <f t="shared" si="10"/>
        <v>0</v>
      </c>
      <c r="I39">
        <f t="shared" si="10"/>
        <v>0</v>
      </c>
      <c r="J39">
        <f t="shared" si="10"/>
        <v>1</v>
      </c>
      <c r="K39">
        <f t="shared" si="10"/>
        <v>-1</v>
      </c>
      <c r="L39">
        <f t="shared" si="10"/>
        <v>0</v>
      </c>
      <c r="M39">
        <f t="shared" si="10"/>
        <v>0</v>
      </c>
      <c r="N39">
        <f t="shared" si="10"/>
        <v>0</v>
      </c>
      <c r="O39">
        <f>SUM(O34:O38)</f>
        <v>5</v>
      </c>
    </row>
    <row r="41" spans="2:15" x14ac:dyDescent="0.25">
      <c r="B41" t="s">
        <v>59</v>
      </c>
      <c r="C41">
        <v>0</v>
      </c>
      <c r="D41">
        <v>0</v>
      </c>
      <c r="E41">
        <v>97.5</v>
      </c>
      <c r="F41">
        <v>65</v>
      </c>
      <c r="G41">
        <v>0</v>
      </c>
      <c r="H41">
        <v>0</v>
      </c>
      <c r="I41">
        <v>0</v>
      </c>
      <c r="J41">
        <v>32.5</v>
      </c>
      <c r="K41">
        <v>-32.5</v>
      </c>
      <c r="L41">
        <v>0</v>
      </c>
      <c r="M41">
        <v>0</v>
      </c>
      <c r="N41">
        <v>0</v>
      </c>
      <c r="O41">
        <f>SUM(C41:N41)</f>
        <v>162.5</v>
      </c>
    </row>
  </sheetData>
  <mergeCells count="4">
    <mergeCell ref="C1:N1"/>
    <mergeCell ref="C10:N10"/>
    <mergeCell ref="C21:N21"/>
    <mergeCell ref="C32:N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9E34-2430-4CFF-A77A-F84788F0FBF2}">
  <dimension ref="B1:O41"/>
  <sheetViews>
    <sheetView workbookViewId="0">
      <selection activeCell="J35" sqref="J35"/>
    </sheetView>
  </sheetViews>
  <sheetFormatPr defaultRowHeight="15" x14ac:dyDescent="0.25"/>
  <cols>
    <col min="2" max="2" width="13.5703125" bestFit="1" customWidth="1"/>
  </cols>
  <sheetData>
    <row r="1" spans="2:15" x14ac:dyDescent="0.25">
      <c r="C1" s="66" t="s">
        <v>50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x14ac:dyDescent="0.25">
      <c r="C2" s="58" t="s">
        <v>38</v>
      </c>
      <c r="D2" s="58" t="s">
        <v>39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44</v>
      </c>
      <c r="J2" s="58" t="s">
        <v>45</v>
      </c>
      <c r="K2" s="58" t="s">
        <v>46</v>
      </c>
      <c r="L2" s="58" t="s">
        <v>47</v>
      </c>
      <c r="M2" s="58" t="s">
        <v>48</v>
      </c>
      <c r="N2" s="58" t="s">
        <v>49</v>
      </c>
      <c r="O2" s="58" t="s">
        <v>51</v>
      </c>
    </row>
    <row r="3" spans="2:15" x14ac:dyDescent="0.25">
      <c r="B3" t="s">
        <v>17</v>
      </c>
      <c r="C3">
        <f>2123-152</f>
        <v>1971</v>
      </c>
      <c r="D3">
        <f>1772-176</f>
        <v>1596</v>
      </c>
      <c r="E3">
        <f>1946-166</f>
        <v>1780</v>
      </c>
      <c r="F3">
        <f>1967-139</f>
        <v>1828</v>
      </c>
      <c r="G3">
        <f>2049-143</f>
        <v>1906</v>
      </c>
      <c r="H3">
        <f>1966-152</f>
        <v>1814</v>
      </c>
      <c r="I3">
        <f>2059-178</f>
        <v>1881</v>
      </c>
      <c r="J3">
        <f>1895-140</f>
        <v>1755</v>
      </c>
      <c r="K3">
        <f>1974-125</f>
        <v>1849</v>
      </c>
      <c r="L3">
        <f>2058-167</f>
        <v>1891</v>
      </c>
      <c r="M3">
        <f>1901-190</f>
        <v>1711</v>
      </c>
      <c r="N3">
        <f>1996-163</f>
        <v>1833</v>
      </c>
      <c r="O3">
        <f>SUM(C3:N3)</f>
        <v>21815</v>
      </c>
    </row>
    <row r="4" spans="2:15" x14ac:dyDescent="0.25">
      <c r="B4" t="s">
        <v>18</v>
      </c>
      <c r="C4">
        <f>21+20</f>
        <v>41</v>
      </c>
      <c r="D4">
        <f>17+24</f>
        <v>41</v>
      </c>
      <c r="E4">
        <f>18+19</f>
        <v>37</v>
      </c>
      <c r="F4">
        <f>14+20</f>
        <v>34</v>
      </c>
      <c r="G4">
        <f>14+23</f>
        <v>37</v>
      </c>
      <c r="H4">
        <f>14+30</f>
        <v>44</v>
      </c>
      <c r="I4">
        <f>19+37</f>
        <v>56</v>
      </c>
      <c r="J4">
        <f>13+33</f>
        <v>46</v>
      </c>
      <c r="K4">
        <f>17+41</f>
        <v>58</v>
      </c>
      <c r="L4">
        <f>16+38</f>
        <v>54</v>
      </c>
      <c r="M4">
        <f>19+30</f>
        <v>49</v>
      </c>
      <c r="N4">
        <f>24+32</f>
        <v>56</v>
      </c>
      <c r="O4">
        <f>SUM(C4:N4)</f>
        <v>553</v>
      </c>
    </row>
    <row r="5" spans="2:15" x14ac:dyDescent="0.25">
      <c r="B5" t="s">
        <v>35</v>
      </c>
      <c r="C5">
        <f>43+4+1+60</f>
        <v>108</v>
      </c>
      <c r="D5">
        <f>51+8+3+71</f>
        <v>133</v>
      </c>
      <c r="E5">
        <f>40+7+2+78+1</f>
        <v>128</v>
      </c>
      <c r="F5">
        <f>23+6+1+73+1</f>
        <v>104</v>
      </c>
      <c r="G5">
        <f>34+7+2+61+1</f>
        <v>105</v>
      </c>
      <c r="H5">
        <f>28+4+1+72+1</f>
        <v>106</v>
      </c>
      <c r="I5">
        <f>37+7+1+74+1</f>
        <v>120</v>
      </c>
      <c r="J5">
        <f>17+4+1+71+1</f>
        <v>94</v>
      </c>
      <c r="K5">
        <f>14+3+2+48</f>
        <v>67</v>
      </c>
      <c r="L5">
        <f>48+7+2+55</f>
        <v>112</v>
      </c>
      <c r="M5">
        <f>50+2+12+5+69</f>
        <v>138</v>
      </c>
      <c r="N5">
        <f>29+6+1+69</f>
        <v>105</v>
      </c>
      <c r="O5">
        <f>SUM(C5:N5)</f>
        <v>1320</v>
      </c>
    </row>
    <row r="6" spans="2:15" x14ac:dyDescent="0.25"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f>SUM(C6:N6)</f>
        <v>1</v>
      </c>
    </row>
    <row r="7" spans="2:15" x14ac:dyDescent="0.25">
      <c r="B7" t="s">
        <v>37</v>
      </c>
      <c r="C7">
        <v>3</v>
      </c>
      <c r="D7">
        <v>2</v>
      </c>
      <c r="E7">
        <v>1</v>
      </c>
      <c r="F7">
        <v>1</v>
      </c>
      <c r="G7">
        <v>1</v>
      </c>
      <c r="H7">
        <v>2</v>
      </c>
      <c r="I7">
        <v>2</v>
      </c>
      <c r="J7">
        <v>0</v>
      </c>
      <c r="K7">
        <v>0</v>
      </c>
      <c r="L7">
        <v>1</v>
      </c>
      <c r="M7">
        <v>2</v>
      </c>
      <c r="N7">
        <v>2</v>
      </c>
      <c r="O7">
        <f>SUM(C7:N7)</f>
        <v>17</v>
      </c>
    </row>
    <row r="8" spans="2:15" x14ac:dyDescent="0.25">
      <c r="B8" s="59" t="s">
        <v>51</v>
      </c>
      <c r="C8">
        <f>SUM(C3:C7)</f>
        <v>2123</v>
      </c>
      <c r="D8">
        <f t="shared" ref="D8:N8" si="0">SUM(D3:D7)</f>
        <v>1772</v>
      </c>
      <c r="E8">
        <f t="shared" si="0"/>
        <v>1946</v>
      </c>
      <c r="F8">
        <f t="shared" si="0"/>
        <v>1967</v>
      </c>
      <c r="G8">
        <f t="shared" si="0"/>
        <v>2049</v>
      </c>
      <c r="H8">
        <f t="shared" si="0"/>
        <v>1966</v>
      </c>
      <c r="I8">
        <f t="shared" si="0"/>
        <v>2059</v>
      </c>
      <c r="J8">
        <f t="shared" si="0"/>
        <v>1895</v>
      </c>
      <c r="K8">
        <f t="shared" si="0"/>
        <v>1974</v>
      </c>
      <c r="L8">
        <f t="shared" si="0"/>
        <v>2058</v>
      </c>
      <c r="M8">
        <f t="shared" si="0"/>
        <v>1901</v>
      </c>
      <c r="N8">
        <f t="shared" si="0"/>
        <v>1996</v>
      </c>
      <c r="O8">
        <f>SUM(O3:O7)</f>
        <v>23706</v>
      </c>
    </row>
    <row r="10" spans="2:15" x14ac:dyDescent="0.25">
      <c r="C10" s="66" t="s">
        <v>56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2:15" x14ac:dyDescent="0.25">
      <c r="C11" s="58" t="s">
        <v>38</v>
      </c>
      <c r="D11" s="58" t="s">
        <v>39</v>
      </c>
      <c r="E11" s="58" t="s">
        <v>40</v>
      </c>
      <c r="F11" s="58" t="s">
        <v>41</v>
      </c>
      <c r="G11" s="58" t="s">
        <v>42</v>
      </c>
      <c r="H11" s="58" t="s">
        <v>43</v>
      </c>
      <c r="I11" s="58" t="s">
        <v>44</v>
      </c>
      <c r="J11" s="58" t="s">
        <v>45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51</v>
      </c>
    </row>
    <row r="12" spans="2:15" x14ac:dyDescent="0.25">
      <c r="B12" t="s">
        <v>17</v>
      </c>
      <c r="C12">
        <f t="shared" ref="C12:N12" si="1">C19/25</f>
        <v>48</v>
      </c>
      <c r="D12">
        <f t="shared" si="1"/>
        <v>0</v>
      </c>
      <c r="E12">
        <f t="shared" si="1"/>
        <v>36</v>
      </c>
      <c r="F12">
        <f t="shared" si="1"/>
        <v>56</v>
      </c>
      <c r="G12">
        <f t="shared" si="1"/>
        <v>36</v>
      </c>
      <c r="H12">
        <f t="shared" si="1"/>
        <v>43</v>
      </c>
      <c r="I12">
        <f t="shared" si="1"/>
        <v>48</v>
      </c>
      <c r="J12">
        <f t="shared" si="1"/>
        <v>38</v>
      </c>
      <c r="K12">
        <f t="shared" si="1"/>
        <v>48</v>
      </c>
      <c r="L12">
        <f t="shared" si="1"/>
        <v>60</v>
      </c>
      <c r="M12">
        <f t="shared" si="1"/>
        <v>19</v>
      </c>
      <c r="N12">
        <f t="shared" si="1"/>
        <v>39</v>
      </c>
      <c r="O12">
        <f>SUM(C12:N12)</f>
        <v>471</v>
      </c>
    </row>
    <row r="13" spans="2:15" x14ac:dyDescent="0.25">
      <c r="B13" t="s">
        <v>18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ref="O13:O16" si="2">SUM(C13:N13)</f>
        <v>0</v>
      </c>
    </row>
    <row r="14" spans="2:15" x14ac:dyDescent="0.25">
      <c r="B14" t="s">
        <v>35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2"/>
        <v>0</v>
      </c>
    </row>
    <row r="15" spans="2:15" x14ac:dyDescent="0.25">
      <c r="B15" t="s">
        <v>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2"/>
        <v>0</v>
      </c>
    </row>
    <row r="16" spans="2:15" x14ac:dyDescent="0.25">
      <c r="B16" t="s">
        <v>37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 t="shared" si="2"/>
        <v>0</v>
      </c>
    </row>
    <row r="17" spans="2:15" x14ac:dyDescent="0.25">
      <c r="B17" s="59" t="s">
        <v>51</v>
      </c>
      <c r="C17">
        <f>SUM(C12:C16)</f>
        <v>48</v>
      </c>
      <c r="D17">
        <f t="shared" ref="D17:N17" si="3">SUM(D12:D16)</f>
        <v>0</v>
      </c>
      <c r="E17">
        <f t="shared" si="3"/>
        <v>36</v>
      </c>
      <c r="F17">
        <f t="shared" si="3"/>
        <v>56</v>
      </c>
      <c r="G17">
        <f t="shared" si="3"/>
        <v>36</v>
      </c>
      <c r="H17">
        <f t="shared" si="3"/>
        <v>43</v>
      </c>
      <c r="I17">
        <f t="shared" si="3"/>
        <v>48</v>
      </c>
      <c r="J17">
        <f t="shared" si="3"/>
        <v>38</v>
      </c>
      <c r="K17">
        <f t="shared" si="3"/>
        <v>48</v>
      </c>
      <c r="L17">
        <f t="shared" si="3"/>
        <v>60</v>
      </c>
      <c r="M17">
        <f t="shared" si="3"/>
        <v>19</v>
      </c>
      <c r="N17">
        <f t="shared" si="3"/>
        <v>39</v>
      </c>
      <c r="O17">
        <f>SUM(O12:O16)</f>
        <v>471</v>
      </c>
    </row>
    <row r="19" spans="2:15" x14ac:dyDescent="0.25">
      <c r="B19" t="s">
        <v>54</v>
      </c>
      <c r="C19">
        <v>1200</v>
      </c>
      <c r="D19">
        <v>0</v>
      </c>
      <c r="E19">
        <v>900</v>
      </c>
      <c r="F19">
        <v>1400</v>
      </c>
      <c r="G19">
        <v>900</v>
      </c>
      <c r="H19">
        <v>1075</v>
      </c>
      <c r="I19">
        <v>1200</v>
      </c>
      <c r="J19">
        <v>950</v>
      </c>
      <c r="K19">
        <v>1200</v>
      </c>
      <c r="L19">
        <v>1500</v>
      </c>
      <c r="M19">
        <v>475</v>
      </c>
      <c r="N19">
        <v>975</v>
      </c>
      <c r="O19">
        <f>SUM(C19:N19)</f>
        <v>11775</v>
      </c>
    </row>
    <row r="21" spans="2:15" x14ac:dyDescent="0.25">
      <c r="C21" s="66" t="s">
        <v>55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5" x14ac:dyDescent="0.25">
      <c r="C22" s="58" t="s">
        <v>38</v>
      </c>
      <c r="D22" s="58" t="s">
        <v>39</v>
      </c>
      <c r="E22" s="58" t="s">
        <v>40</v>
      </c>
      <c r="F22" s="58" t="s">
        <v>41</v>
      </c>
      <c r="G22" s="58" t="s">
        <v>42</v>
      </c>
      <c r="H22" s="58" t="s">
        <v>43</v>
      </c>
      <c r="I22" s="58" t="s">
        <v>44</v>
      </c>
      <c r="J22" s="58" t="s">
        <v>45</v>
      </c>
      <c r="K22" s="58" t="s">
        <v>46</v>
      </c>
      <c r="L22" s="58" t="s">
        <v>47</v>
      </c>
      <c r="M22" s="58" t="s">
        <v>48</v>
      </c>
      <c r="N22" s="58" t="s">
        <v>49</v>
      </c>
      <c r="O22" s="58" t="s">
        <v>51</v>
      </c>
    </row>
    <row r="23" spans="2:15" x14ac:dyDescent="0.25">
      <c r="B23" t="s">
        <v>17</v>
      </c>
      <c r="C23">
        <f t="shared" ref="C23:N23" si="4">ROUND(C30/35,0)</f>
        <v>58</v>
      </c>
      <c r="D23">
        <f t="shared" si="4"/>
        <v>0</v>
      </c>
      <c r="E23">
        <f t="shared" si="4"/>
        <v>120</v>
      </c>
      <c r="F23">
        <f t="shared" si="4"/>
        <v>110</v>
      </c>
      <c r="G23">
        <f t="shared" si="4"/>
        <v>127</v>
      </c>
      <c r="H23">
        <f t="shared" si="4"/>
        <v>52</v>
      </c>
      <c r="I23">
        <f t="shared" si="4"/>
        <v>69</v>
      </c>
      <c r="J23">
        <f t="shared" si="4"/>
        <v>68</v>
      </c>
      <c r="K23">
        <f t="shared" si="4"/>
        <v>68</v>
      </c>
      <c r="L23">
        <f t="shared" si="4"/>
        <v>92</v>
      </c>
      <c r="M23">
        <f t="shared" si="4"/>
        <v>40</v>
      </c>
      <c r="N23">
        <f t="shared" si="4"/>
        <v>36</v>
      </c>
      <c r="O23">
        <f>SUM(C23:N23)</f>
        <v>840</v>
      </c>
    </row>
    <row r="24" spans="2:15" x14ac:dyDescent="0.25">
      <c r="B24" t="s">
        <v>18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ref="O24:O27" si="5">SUM(C24:N24)</f>
        <v>0</v>
      </c>
    </row>
    <row r="25" spans="2:15" x14ac:dyDescent="0.25"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5"/>
        <v>0</v>
      </c>
    </row>
    <row r="26" spans="2:15" x14ac:dyDescent="0.25">
      <c r="B26" t="s">
        <v>36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5"/>
        <v>0</v>
      </c>
    </row>
    <row r="27" spans="2:15" x14ac:dyDescent="0.25">
      <c r="B27" t="s">
        <v>37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5"/>
        <v>0</v>
      </c>
    </row>
    <row r="28" spans="2:15" x14ac:dyDescent="0.25">
      <c r="B28" s="59" t="s">
        <v>51</v>
      </c>
      <c r="C28">
        <f>SUM(C23:C27)</f>
        <v>58</v>
      </c>
      <c r="D28">
        <f t="shared" ref="D28:N28" si="6">SUM(D23:D27)</f>
        <v>0</v>
      </c>
      <c r="E28">
        <f t="shared" si="6"/>
        <v>120</v>
      </c>
      <c r="F28">
        <f t="shared" si="6"/>
        <v>110</v>
      </c>
      <c r="G28">
        <f t="shared" si="6"/>
        <v>127</v>
      </c>
      <c r="H28">
        <f t="shared" si="6"/>
        <v>52</v>
      </c>
      <c r="I28">
        <f t="shared" si="6"/>
        <v>69</v>
      </c>
      <c r="J28">
        <f t="shared" si="6"/>
        <v>68</v>
      </c>
      <c r="K28">
        <f t="shared" si="6"/>
        <v>68</v>
      </c>
      <c r="L28">
        <f t="shared" si="6"/>
        <v>92</v>
      </c>
      <c r="M28">
        <f t="shared" si="6"/>
        <v>40</v>
      </c>
      <c r="N28">
        <f t="shared" si="6"/>
        <v>36</v>
      </c>
      <c r="O28">
        <f>SUM(O23:O27)</f>
        <v>840</v>
      </c>
    </row>
    <row r="30" spans="2:15" x14ac:dyDescent="0.25">
      <c r="B30" t="s">
        <v>58</v>
      </c>
      <c r="C30">
        <v>2020</v>
      </c>
      <c r="D30">
        <v>0</v>
      </c>
      <c r="E30">
        <v>4190</v>
      </c>
      <c r="F30">
        <v>3860</v>
      </c>
      <c r="G30">
        <v>4450</v>
      </c>
      <c r="H30">
        <v>1825</v>
      </c>
      <c r="I30">
        <v>2405</v>
      </c>
      <c r="J30">
        <v>2365</v>
      </c>
      <c r="K30">
        <v>2375</v>
      </c>
      <c r="L30">
        <v>3225</v>
      </c>
      <c r="M30">
        <v>1410</v>
      </c>
      <c r="N30">
        <v>1245</v>
      </c>
      <c r="O30">
        <f>SUM(C30:N30)</f>
        <v>29370</v>
      </c>
    </row>
    <row r="32" spans="2:15" x14ac:dyDescent="0.25">
      <c r="C32" s="66" t="s">
        <v>57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x14ac:dyDescent="0.25">
      <c r="C33" s="58" t="s">
        <v>38</v>
      </c>
      <c r="D33" s="58" t="s">
        <v>39</v>
      </c>
      <c r="E33" s="58" t="s">
        <v>40</v>
      </c>
      <c r="F33" s="58" t="s">
        <v>41</v>
      </c>
      <c r="G33" s="58" t="s">
        <v>42</v>
      </c>
      <c r="H33" s="58" t="s">
        <v>43</v>
      </c>
      <c r="I33" s="58" t="s">
        <v>44</v>
      </c>
      <c r="J33" s="58" t="s">
        <v>45</v>
      </c>
      <c r="K33" s="58" t="s">
        <v>46</v>
      </c>
      <c r="L33" s="58" t="s">
        <v>47</v>
      </c>
      <c r="M33" s="58" t="s">
        <v>48</v>
      </c>
      <c r="N33" s="58" t="s">
        <v>49</v>
      </c>
      <c r="O33" s="58" t="s">
        <v>51</v>
      </c>
    </row>
    <row r="34" spans="2:15" x14ac:dyDescent="0.25">
      <c r="B34" t="s">
        <v>17</v>
      </c>
      <c r="C34">
        <f>C41/32.5</f>
        <v>-1</v>
      </c>
      <c r="D34">
        <f>D41/32.5</f>
        <v>0</v>
      </c>
      <c r="E34">
        <f>E41/32.5</f>
        <v>0</v>
      </c>
      <c r="F34">
        <f>F41/32.5</f>
        <v>0</v>
      </c>
      <c r="G34">
        <f t="shared" ref="G34:N34" si="7">G41/32.5</f>
        <v>1</v>
      </c>
      <c r="H34">
        <f t="shared" si="7"/>
        <v>0</v>
      </c>
      <c r="I34">
        <f t="shared" si="7"/>
        <v>0</v>
      </c>
      <c r="J34">
        <f t="shared" si="7"/>
        <v>1</v>
      </c>
      <c r="K34">
        <f t="shared" si="7"/>
        <v>0</v>
      </c>
      <c r="L34">
        <f t="shared" si="7"/>
        <v>0</v>
      </c>
      <c r="M34">
        <f t="shared" si="7"/>
        <v>0</v>
      </c>
      <c r="N34">
        <f t="shared" si="7"/>
        <v>0</v>
      </c>
      <c r="O34">
        <f>SUM(C34:N34)</f>
        <v>1</v>
      </c>
    </row>
    <row r="35" spans="2:15" x14ac:dyDescent="0.25">
      <c r="B35" t="s">
        <v>18</v>
      </c>
      <c r="C35">
        <f t="shared" ref="C35:N38" si="8">C42/25</f>
        <v>0</v>
      </c>
      <c r="D35">
        <f t="shared" si="8"/>
        <v>0</v>
      </c>
      <c r="E35">
        <f t="shared" si="8"/>
        <v>0</v>
      </c>
      <c r="F35">
        <f t="shared" si="8"/>
        <v>0</v>
      </c>
      <c r="G35">
        <f t="shared" si="8"/>
        <v>0</v>
      </c>
      <c r="H35">
        <f t="shared" si="8"/>
        <v>0</v>
      </c>
      <c r="I35">
        <f t="shared" si="8"/>
        <v>0</v>
      </c>
      <c r="J35">
        <f t="shared" si="8"/>
        <v>0</v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ref="O35:O38" si="9">SUM(C35:N35)</f>
        <v>0</v>
      </c>
    </row>
    <row r="36" spans="2:15" x14ac:dyDescent="0.25">
      <c r="B36" t="s">
        <v>35</v>
      </c>
      <c r="C36">
        <f t="shared" si="8"/>
        <v>0</v>
      </c>
      <c r="D36">
        <f t="shared" si="8"/>
        <v>0</v>
      </c>
      <c r="E36">
        <f t="shared" si="8"/>
        <v>0</v>
      </c>
      <c r="F36">
        <f t="shared" si="8"/>
        <v>0</v>
      </c>
      <c r="G36">
        <f t="shared" si="8"/>
        <v>0</v>
      </c>
      <c r="H36">
        <f t="shared" si="8"/>
        <v>0</v>
      </c>
      <c r="I36">
        <f t="shared" si="8"/>
        <v>0</v>
      </c>
      <c r="J36">
        <f t="shared" si="8"/>
        <v>0</v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9"/>
        <v>0</v>
      </c>
    </row>
    <row r="37" spans="2:15" x14ac:dyDescent="0.25">
      <c r="B37" t="s">
        <v>36</v>
      </c>
      <c r="C37">
        <f t="shared" si="8"/>
        <v>0</v>
      </c>
      <c r="D37">
        <f t="shared" si="8"/>
        <v>0</v>
      </c>
      <c r="E37">
        <f t="shared" si="8"/>
        <v>0</v>
      </c>
      <c r="F37">
        <f t="shared" si="8"/>
        <v>0</v>
      </c>
      <c r="G37">
        <f t="shared" si="8"/>
        <v>0</v>
      </c>
      <c r="H37">
        <f t="shared" si="8"/>
        <v>0</v>
      </c>
      <c r="I37">
        <f t="shared" si="8"/>
        <v>0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9"/>
        <v>0</v>
      </c>
    </row>
    <row r="38" spans="2:15" x14ac:dyDescent="0.25">
      <c r="B38" t="s">
        <v>37</v>
      </c>
      <c r="C38">
        <f t="shared" si="8"/>
        <v>0</v>
      </c>
      <c r="D38">
        <f t="shared" si="8"/>
        <v>0</v>
      </c>
      <c r="E38">
        <f t="shared" si="8"/>
        <v>0</v>
      </c>
      <c r="F38">
        <f t="shared" si="8"/>
        <v>0</v>
      </c>
      <c r="G38">
        <f t="shared" si="8"/>
        <v>0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9"/>
        <v>0</v>
      </c>
    </row>
    <row r="39" spans="2:15" x14ac:dyDescent="0.25">
      <c r="B39" s="59" t="s">
        <v>51</v>
      </c>
      <c r="C39">
        <f>SUM(C34:C38)</f>
        <v>-1</v>
      </c>
      <c r="D39">
        <f t="shared" ref="D39:N39" si="10">SUM(D34:D38)</f>
        <v>0</v>
      </c>
      <c r="E39">
        <f t="shared" si="10"/>
        <v>0</v>
      </c>
      <c r="F39">
        <f t="shared" si="10"/>
        <v>0</v>
      </c>
      <c r="G39">
        <f t="shared" si="10"/>
        <v>1</v>
      </c>
      <c r="H39">
        <f t="shared" si="10"/>
        <v>0</v>
      </c>
      <c r="I39">
        <f t="shared" si="10"/>
        <v>0</v>
      </c>
      <c r="J39">
        <f t="shared" si="10"/>
        <v>1</v>
      </c>
      <c r="K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>SUM(O34:O38)</f>
        <v>1</v>
      </c>
    </row>
    <row r="41" spans="2:15" x14ac:dyDescent="0.25">
      <c r="B41" t="s">
        <v>59</v>
      </c>
      <c r="C41">
        <v>-32.5</v>
      </c>
      <c r="D41">
        <v>0</v>
      </c>
      <c r="E41">
        <v>0</v>
      </c>
      <c r="F41">
        <v>0</v>
      </c>
      <c r="G41">
        <v>32.5</v>
      </c>
      <c r="H41">
        <v>0</v>
      </c>
      <c r="I41">
        <v>0</v>
      </c>
      <c r="J41">
        <v>32.5</v>
      </c>
      <c r="K41">
        <v>0</v>
      </c>
      <c r="L41">
        <v>0</v>
      </c>
      <c r="M41">
        <v>0</v>
      </c>
      <c r="N41">
        <v>0</v>
      </c>
      <c r="O41">
        <f>SUM(C41:N41)</f>
        <v>32.5</v>
      </c>
    </row>
  </sheetData>
  <mergeCells count="4">
    <mergeCell ref="C1:N1"/>
    <mergeCell ref="C10:N10"/>
    <mergeCell ref="C21:N21"/>
    <mergeCell ref="C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Request 50</vt:lpstr>
      <vt:lpstr>Workpapers</vt:lpstr>
      <vt:lpstr>2023</vt:lpstr>
      <vt:lpstr>2022</vt:lpstr>
      <vt:lpstr>2021</vt:lpstr>
      <vt:lpstr>2020</vt:lpstr>
      <vt:lpstr>2019</vt:lpstr>
      <vt:lpstr>2018</vt:lpstr>
      <vt:lpstr>'Request 50'!Print_Area</vt:lpstr>
      <vt:lpstr>Workpapers!Print_Area</vt:lpstr>
      <vt:lpstr>'Request 50'!Print_Titles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Michael Moriarty</cp:lastModifiedBy>
  <cp:lastPrinted>2024-12-19T22:17:44Z</cp:lastPrinted>
  <dcterms:created xsi:type="dcterms:W3CDTF">2023-06-03T12:39:44Z</dcterms:created>
  <dcterms:modified xsi:type="dcterms:W3CDTF">2024-12-19T22:27:43Z</dcterms:modified>
</cp:coreProperties>
</file>