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W:\Rate Case 2024\PSC First Data Request\DR 18\"/>
    </mc:Choice>
  </mc:AlternateContent>
  <xr:revisionPtr revIDLastSave="0" documentId="13_ncr:1_{8CB93A40-9802-4192-A76E-B4715E14E86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2020" sheetId="1" r:id="rId1"/>
    <sheet name="2021" sheetId="2" r:id="rId2"/>
    <sheet name="2022" sheetId="3" r:id="rId3"/>
    <sheet name="Test Year-202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4" l="1"/>
  <c r="H31" i="4"/>
  <c r="H29" i="4"/>
  <c r="H27" i="4"/>
  <c r="H25" i="4"/>
  <c r="H21" i="4"/>
  <c r="P21" i="1" l="1"/>
  <c r="O21" i="1"/>
  <c r="N21" i="1"/>
  <c r="M21" i="1"/>
  <c r="L21" i="1"/>
  <c r="K21" i="1"/>
  <c r="J21" i="1"/>
  <c r="I21" i="1"/>
  <c r="H21" i="1"/>
  <c r="I21" i="2" l="1"/>
  <c r="H21" i="2"/>
  <c r="O21" i="2"/>
  <c r="K18" i="2"/>
  <c r="L21" i="2"/>
  <c r="K8" i="2" l="1"/>
  <c r="L9" i="2"/>
  <c r="K9" i="2"/>
  <c r="L10" i="2"/>
  <c r="K10" i="2"/>
  <c r="L11" i="2"/>
  <c r="K11" i="2"/>
  <c r="K12" i="2"/>
  <c r="L13" i="2"/>
  <c r="K13" i="2"/>
  <c r="J34" i="3"/>
  <c r="I34" i="3"/>
  <c r="H34" i="3"/>
  <c r="J8" i="3"/>
  <c r="P8" i="3" s="1"/>
  <c r="K8" i="3"/>
  <c r="L8" i="3"/>
  <c r="M8" i="3"/>
  <c r="N8" i="3"/>
  <c r="O8" i="3"/>
  <c r="K21" i="2" l="1"/>
  <c r="N21" i="2" s="1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19" i="3" l="1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O34" i="4"/>
  <c r="M34" i="4"/>
  <c r="L34" i="4"/>
  <c r="K34" i="4"/>
  <c r="I34" i="4"/>
  <c r="H34" i="4"/>
  <c r="N34" i="4" s="1"/>
  <c r="K34" i="3" l="1"/>
  <c r="N34" i="3" s="1"/>
  <c r="L34" i="3"/>
  <c r="O34" i="3" s="1"/>
  <c r="L12" i="2" l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K12" i="1"/>
  <c r="K11" i="1"/>
  <c r="L10" i="1"/>
  <c r="K10" i="1"/>
  <c r="K9" i="1"/>
  <c r="L8" i="1"/>
  <c r="K32" i="4" l="1"/>
  <c r="L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O21" i="4" s="1"/>
  <c r="K21" i="4"/>
  <c r="M21" i="4" s="1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M8" i="4" s="1"/>
  <c r="J8" i="4"/>
  <c r="O8" i="4"/>
  <c r="J21" i="4"/>
  <c r="P21" i="4" l="1"/>
  <c r="N21" i="4"/>
  <c r="N8" i="4"/>
  <c r="P8" i="4"/>
  <c r="O19" i="4" l="1"/>
  <c r="N19" i="4"/>
  <c r="M19" i="4"/>
  <c r="J19" i="4"/>
  <c r="O18" i="4"/>
  <c r="N18" i="4"/>
  <c r="M18" i="4"/>
  <c r="J18" i="4"/>
  <c r="O17" i="4"/>
  <c r="N17" i="4"/>
  <c r="M17" i="4"/>
  <c r="J17" i="4"/>
  <c r="O16" i="4"/>
  <c r="N16" i="4"/>
  <c r="M16" i="4"/>
  <c r="J16" i="4"/>
  <c r="M32" i="4"/>
  <c r="M31" i="4"/>
  <c r="M30" i="4"/>
  <c r="O31" i="4"/>
  <c r="N30" i="4"/>
  <c r="J29" i="4"/>
  <c r="O28" i="4"/>
  <c r="N28" i="4"/>
  <c r="M28" i="4"/>
  <c r="M27" i="4"/>
  <c r="J26" i="4"/>
  <c r="O25" i="4"/>
  <c r="N25" i="4"/>
  <c r="J25" i="4"/>
  <c r="J24" i="4"/>
  <c r="J23" i="4"/>
  <c r="N22" i="4"/>
  <c r="J22" i="4"/>
  <c r="M15" i="4"/>
  <c r="O15" i="4"/>
  <c r="N15" i="4"/>
  <c r="N14" i="4"/>
  <c r="N13" i="4"/>
  <c r="O13" i="4"/>
  <c r="M12" i="4"/>
  <c r="J12" i="4"/>
  <c r="J11" i="4"/>
  <c r="N10" i="4"/>
  <c r="O10" i="4"/>
  <c r="J10" i="4"/>
  <c r="N9" i="4"/>
  <c r="J9" i="4"/>
  <c r="P16" i="4" l="1"/>
  <c r="P19" i="4"/>
  <c r="P17" i="4"/>
  <c r="P18" i="4"/>
  <c r="M9" i="4"/>
  <c r="P9" i="4" s="1"/>
  <c r="J13" i="4"/>
  <c r="O26" i="4"/>
  <c r="O27" i="4"/>
  <c r="O32" i="4"/>
  <c r="N24" i="4"/>
  <c r="N26" i="4"/>
  <c r="J28" i="4"/>
  <c r="P28" i="4" s="1"/>
  <c r="M29" i="4"/>
  <c r="P29" i="4" s="1"/>
  <c r="O9" i="4"/>
  <c r="O24" i="4"/>
  <c r="N11" i="4"/>
  <c r="J14" i="4"/>
  <c r="N27" i="4"/>
  <c r="O11" i="4"/>
  <c r="O14" i="4"/>
  <c r="M23" i="4"/>
  <c r="P23" i="4" s="1"/>
  <c r="O29" i="4"/>
  <c r="M22" i="4"/>
  <c r="P22" i="4" s="1"/>
  <c r="O23" i="4"/>
  <c r="J31" i="4"/>
  <c r="P31" i="4" s="1"/>
  <c r="N32" i="4"/>
  <c r="N29" i="4"/>
  <c r="J32" i="4"/>
  <c r="O30" i="4"/>
  <c r="J30" i="4"/>
  <c r="P30" i="4" s="1"/>
  <c r="P12" i="4"/>
  <c r="M11" i="4"/>
  <c r="O22" i="4"/>
  <c r="N23" i="4"/>
  <c r="M24" i="4"/>
  <c r="P24" i="4" s="1"/>
  <c r="J27" i="4"/>
  <c r="P27" i="4" s="1"/>
  <c r="N31" i="4"/>
  <c r="N12" i="4"/>
  <c r="M13" i="4"/>
  <c r="M25" i="4"/>
  <c r="P25" i="4" s="1"/>
  <c r="M10" i="4"/>
  <c r="O12" i="4"/>
  <c r="M14" i="4"/>
  <c r="M26" i="4"/>
  <c r="J15" i="4"/>
  <c r="P15" i="4" s="1"/>
  <c r="N27" i="3"/>
  <c r="N26" i="3"/>
  <c r="M14" i="1"/>
  <c r="O13" i="1"/>
  <c r="O19" i="3"/>
  <c r="N16" i="3"/>
  <c r="O15" i="3"/>
  <c r="N12" i="3"/>
  <c r="O11" i="3"/>
  <c r="N22" i="3"/>
  <c r="O25" i="3"/>
  <c r="O17" i="3"/>
  <c r="O18" i="3"/>
  <c r="N9" i="1"/>
  <c r="O9" i="1"/>
  <c r="N10" i="1"/>
  <c r="O10" i="1"/>
  <c r="N11" i="1"/>
  <c r="O11" i="1"/>
  <c r="N12" i="1"/>
  <c r="O12" i="1"/>
  <c r="N13" i="1"/>
  <c r="N14" i="1"/>
  <c r="O14" i="1"/>
  <c r="N15" i="1"/>
  <c r="O15" i="1"/>
  <c r="N16" i="1"/>
  <c r="O16" i="1"/>
  <c r="N17" i="1"/>
  <c r="O17" i="1"/>
  <c r="N18" i="1"/>
  <c r="O18" i="1"/>
  <c r="N19" i="1"/>
  <c r="O19" i="1"/>
  <c r="O8" i="1"/>
  <c r="N8" i="1"/>
  <c r="O22" i="3"/>
  <c r="O23" i="3"/>
  <c r="O24" i="3"/>
  <c r="O26" i="3"/>
  <c r="O28" i="3"/>
  <c r="O30" i="3"/>
  <c r="O31" i="3"/>
  <c r="O21" i="3"/>
  <c r="N29" i="3"/>
  <c r="N30" i="3"/>
  <c r="N31" i="3"/>
  <c r="N32" i="3"/>
  <c r="N23" i="3"/>
  <c r="N24" i="3"/>
  <c r="N21" i="3"/>
  <c r="O14" i="3"/>
  <c r="N19" i="3"/>
  <c r="N13" i="3"/>
  <c r="N17" i="3"/>
  <c r="J34" i="4" l="1"/>
  <c r="P34" i="4" s="1"/>
  <c r="P13" i="4"/>
  <c r="N25" i="3"/>
  <c r="N9" i="3"/>
  <c r="N15" i="3"/>
  <c r="O32" i="3"/>
  <c r="O12" i="3"/>
  <c r="O27" i="3"/>
  <c r="O16" i="3"/>
  <c r="N28" i="3"/>
  <c r="O9" i="3"/>
  <c r="O13" i="3"/>
  <c r="N10" i="3"/>
  <c r="N14" i="3"/>
  <c r="O29" i="3"/>
  <c r="O10" i="3"/>
  <c r="N18" i="3"/>
  <c r="N11" i="3"/>
  <c r="P26" i="4"/>
  <c r="P11" i="4"/>
  <c r="P32" i="4"/>
  <c r="P10" i="4"/>
  <c r="P14" i="4"/>
  <c r="O11" i="2" l="1"/>
  <c r="O12" i="2"/>
  <c r="O13" i="2"/>
  <c r="O14" i="2"/>
  <c r="O15" i="2"/>
  <c r="O16" i="2"/>
  <c r="O8" i="2"/>
  <c r="J12" i="2"/>
  <c r="N9" i="2"/>
  <c r="N10" i="2"/>
  <c r="N11" i="2"/>
  <c r="N12" i="2"/>
  <c r="N13" i="2"/>
  <c r="N14" i="2"/>
  <c r="N15" i="2"/>
  <c r="N16" i="2"/>
  <c r="N17" i="2"/>
  <c r="N8" i="2"/>
  <c r="N18" i="2" l="1"/>
  <c r="J13" i="2"/>
  <c r="J10" i="2"/>
  <c r="O10" i="2"/>
  <c r="J17" i="2"/>
  <c r="O17" i="2"/>
  <c r="J9" i="2"/>
  <c r="O9" i="2"/>
  <c r="J14" i="2"/>
  <c r="J11" i="2"/>
  <c r="N19" i="2"/>
  <c r="J8" i="2"/>
  <c r="J16" i="2"/>
  <c r="J15" i="2"/>
  <c r="M19" i="3"/>
  <c r="J19" i="3"/>
  <c r="M18" i="3"/>
  <c r="J18" i="3"/>
  <c r="M17" i="3"/>
  <c r="J17" i="3"/>
  <c r="M16" i="3"/>
  <c r="J16" i="3"/>
  <c r="M15" i="3"/>
  <c r="J15" i="3"/>
  <c r="M14" i="3"/>
  <c r="J14" i="3"/>
  <c r="M13" i="3"/>
  <c r="J13" i="3"/>
  <c r="M12" i="3"/>
  <c r="J12" i="3"/>
  <c r="M11" i="3"/>
  <c r="J11" i="3"/>
  <c r="M10" i="3"/>
  <c r="J10" i="3"/>
  <c r="M9" i="3"/>
  <c r="J9" i="3"/>
  <c r="M32" i="3"/>
  <c r="J32" i="3"/>
  <c r="M31" i="3"/>
  <c r="J31" i="3"/>
  <c r="M30" i="3"/>
  <c r="J30" i="3"/>
  <c r="M29" i="3"/>
  <c r="J29" i="3"/>
  <c r="M28" i="3"/>
  <c r="J28" i="3"/>
  <c r="M27" i="3"/>
  <c r="J27" i="3"/>
  <c r="M26" i="3"/>
  <c r="J26" i="3"/>
  <c r="M25" i="3"/>
  <c r="J25" i="3"/>
  <c r="M24" i="3"/>
  <c r="J24" i="3"/>
  <c r="M23" i="3"/>
  <c r="J23" i="3"/>
  <c r="M22" i="3"/>
  <c r="J22" i="3"/>
  <c r="M21" i="3"/>
  <c r="J21" i="3"/>
  <c r="M19" i="2"/>
  <c r="M18" i="2"/>
  <c r="M21" i="2" s="1"/>
  <c r="M17" i="2"/>
  <c r="M16" i="2"/>
  <c r="P16" i="2" s="1"/>
  <c r="M15" i="2"/>
  <c r="M14" i="2"/>
  <c r="M13" i="2"/>
  <c r="M12" i="2"/>
  <c r="P12" i="2" s="1"/>
  <c r="M11" i="2"/>
  <c r="M10" i="2"/>
  <c r="M9" i="2"/>
  <c r="M8" i="2"/>
  <c r="M19" i="1"/>
  <c r="M18" i="1"/>
  <c r="M17" i="1"/>
  <c r="M16" i="1"/>
  <c r="M15" i="1"/>
  <c r="M13" i="1"/>
  <c r="M12" i="1"/>
  <c r="M11" i="1"/>
  <c r="M10" i="1"/>
  <c r="M9" i="1"/>
  <c r="M8" i="1"/>
  <c r="J9" i="1"/>
  <c r="J10" i="1"/>
  <c r="J11" i="1"/>
  <c r="J12" i="1"/>
  <c r="J13" i="1"/>
  <c r="J14" i="1"/>
  <c r="P14" i="1" s="1"/>
  <c r="J15" i="1"/>
  <c r="J16" i="1"/>
  <c r="J17" i="1"/>
  <c r="J18" i="1"/>
  <c r="J19" i="1"/>
  <c r="J8" i="1"/>
  <c r="P8" i="2" l="1"/>
  <c r="M34" i="3"/>
  <c r="P34" i="3" s="1"/>
  <c r="P17" i="1"/>
  <c r="P8" i="1"/>
  <c r="P9" i="1"/>
  <c r="P18" i="1"/>
  <c r="P10" i="1"/>
  <c r="P11" i="1"/>
  <c r="P9" i="2"/>
  <c r="J19" i="2"/>
  <c r="P19" i="2" s="1"/>
  <c r="O19" i="2"/>
  <c r="P15" i="2"/>
  <c r="P14" i="2"/>
  <c r="P17" i="2"/>
  <c r="J18" i="2"/>
  <c r="P18" i="2" s="1"/>
  <c r="O18" i="2"/>
  <c r="P10" i="2"/>
  <c r="P11" i="2"/>
  <c r="P16" i="1"/>
  <c r="P13" i="1"/>
  <c r="P12" i="1"/>
  <c r="P15" i="1"/>
  <c r="P21" i="3"/>
  <c r="P16" i="3"/>
  <c r="P26" i="3"/>
  <c r="P25" i="3"/>
  <c r="P17" i="3"/>
  <c r="P31" i="3"/>
  <c r="P18" i="3"/>
  <c r="P12" i="3"/>
  <c r="P13" i="3"/>
  <c r="P27" i="3"/>
  <c r="P14" i="3"/>
  <c r="P29" i="3"/>
  <c r="P22" i="3"/>
  <c r="P9" i="3"/>
  <c r="P23" i="3"/>
  <c r="P10" i="3"/>
  <c r="P24" i="3"/>
  <c r="P28" i="3"/>
  <c r="P11" i="3"/>
  <c r="P15" i="3"/>
  <c r="P32" i="3"/>
  <c r="P30" i="3"/>
  <c r="P19" i="1"/>
  <c r="P19" i="3"/>
  <c r="P13" i="2"/>
  <c r="J21" i="2" l="1"/>
  <c r="P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 Daily</author>
  </authors>
  <commentList>
    <comment ref="E7" authorId="0" shapeId="0" xr:uid="{212C19A8-38EA-4BD4-BB55-771539EB7D62}">
      <text>
        <r>
          <rPr>
            <b/>
            <sz val="9"/>
            <color indexed="81"/>
            <rFont val="Tahoma"/>
            <family val="2"/>
          </rPr>
          <t>Shelley Daily:</t>
        </r>
        <r>
          <rPr>
            <sz val="9"/>
            <color indexed="81"/>
            <rFont val="Tahoma"/>
            <family val="2"/>
          </rPr>
          <t xml:space="preserve">
Pulled from Payroll&gt;2020&gt;Month End&gt; Form 7 </t>
        </r>
      </text>
    </comment>
  </commentList>
</comments>
</file>

<file path=xl/sharedStrings.xml><?xml version="1.0" encoding="utf-8"?>
<sst xmlns="http://schemas.openxmlformats.org/spreadsheetml/2006/main" count="253" uniqueCount="48">
  <si>
    <t>Month</t>
  </si>
  <si>
    <t>Employee</t>
  </si>
  <si>
    <t>Group</t>
  </si>
  <si>
    <t>Number of Full-Time</t>
  </si>
  <si>
    <t>Employees</t>
  </si>
  <si>
    <t>Budget</t>
  </si>
  <si>
    <t>Actual</t>
  </si>
  <si>
    <t>Number of Part-Time</t>
  </si>
  <si>
    <t>Monthly Budget</t>
  </si>
  <si>
    <t>Reg.</t>
  </si>
  <si>
    <t>OT</t>
  </si>
  <si>
    <t>Total</t>
  </si>
  <si>
    <t>Monthly Actual</t>
  </si>
  <si>
    <t>Variance Percent</t>
  </si>
  <si>
    <t>Non-Bargaining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</si>
  <si>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</si>
  <si>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</si>
  <si>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</si>
  <si>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</si>
  <si>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</si>
  <si>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</si>
  <si>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</si>
  <si>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</si>
  <si>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</si>
  <si>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</si>
  <si>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</si>
  <si>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</si>
  <si>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Bargaining</t>
  </si>
  <si>
    <t>Shelby Energy Cooperative, Inc.</t>
  </si>
  <si>
    <t>Case No. 2024-00351</t>
  </si>
  <si>
    <t>Item 18 - Schedule H1 2023</t>
  </si>
  <si>
    <t>March 2023 windstorm (FEMA event)</t>
  </si>
  <si>
    <t>Cooperative Assistance (Blue Grass Energy)</t>
  </si>
  <si>
    <t>Cooperative Assistance - Big Sandy and Fleming Mason</t>
  </si>
  <si>
    <t>Cooperative Assistance Jackson Energy</t>
  </si>
  <si>
    <t>Item 18 - Schedule H1 2022</t>
  </si>
  <si>
    <t>All Employees</t>
  </si>
  <si>
    <t>Cooperative Assistance (Big Sandy, Bluegrass, and Clark)</t>
  </si>
  <si>
    <t>Cooperative Assistance (West KY)</t>
  </si>
  <si>
    <t>Item 18 - Schedule H1 2021</t>
  </si>
  <si>
    <t>Item 18 - Schedule H1 2020</t>
  </si>
  <si>
    <t>Cooperative Assistance (Alabama)</t>
  </si>
  <si>
    <t>Cooperative Assistance (Louisiana)</t>
  </si>
  <si>
    <t>Variance Explanation: Individual monthly variances are due to a combination of differences between the number of budgeted v. actual active employees, amount of overtime worked due to the occurrence</t>
  </si>
  <si>
    <t>or the absence of extreme weather events, and/or extra overtime hours that resulted from sending crews to other cooperatives to assist with storm restoration. See notes above for "Cooperative Assistance"</t>
  </si>
  <si>
    <t xml:space="preserve">where Shelby Energy sent crews to other cooperatives. </t>
  </si>
  <si>
    <t>*Note for 2020 and 2021: Shelby Energy transitioned to a new software platform in June 2021. The reports available from the legacy software do not provide a breakdown of payroll reports by department. As</t>
  </si>
  <si>
    <t>such, 2020 and 2021 comparisons of actual to budget show all employees together. 2022 and 2023 comparisons show Bargaining unit employees and Non-Bargaining employees separately.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</si>
</sst>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2" applyNumberFormat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0" fillId="0" borderId="0" xfId="1" applyFont="1"/>
    <xf numFmtId="164" fontId="0" fillId="0" borderId="0" xfId="0" applyNumberFormat="1"/>
    <xf numFmtId="43" fontId="2" fillId="0" borderId="0" xfId="1" applyFont="1" applyAlignment="1">
      <alignment horizontal="center"/>
    </xf>
    <xf numFmtId="10" fontId="0" fillId="0" borderId="0" xfId="3" applyNumberFormat="1" applyFont="1"/>
    <xf numFmtId="43" fontId="0" fillId="0" borderId="0" xfId="1" applyFont="1" applyFill="1"/>
    <xf numFmtId="165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2" applyNumberFormat="1" applyFont="1" applyFill="1"/>
    <xf numFmtId="164" fontId="0" fillId="0" borderId="0" xfId="0" applyNumberFormat="1" applyFill="1"/>
    <xf numFmtId="10" fontId="0" fillId="0" borderId="0" xfId="3" applyNumberFormat="1" applyFont="1" applyFill="1"/>
    <xf numFmtId="0" fontId="7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17" fontId="0" fillId="0" borderId="0" xfId="0" applyNumberForma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workbookViewId="0">
      <pane ySplit="7" topLeftCell="A8" activePane="bottomLeft" state="frozen"/>
      <selection pane="bottomLeft" activeCell="B23" sqref="B23:B28"/>
    </sheetView>
  </sheetViews>
  <sheetFormatPr defaultRowHeight="15" x14ac:dyDescent="0.25"/>
  <cols>
    <col min="2" max="2" width="10.85546875" bestFit="1" customWidth="1"/>
    <col min="3" max="3" width="16.7109375" customWidth="1"/>
    <col min="4" max="5" width="14.7109375" customWidth="1"/>
    <col min="6" max="6" width="12.42578125" customWidth="1"/>
    <col min="7" max="7" width="12.7109375" customWidth="1"/>
    <col min="8" max="8" width="12.5703125" bestFit="1" customWidth="1"/>
    <col min="9" max="9" width="11.5703125" bestFit="1" customWidth="1"/>
    <col min="10" max="10" width="12.5703125" bestFit="1" customWidth="1"/>
    <col min="11" max="11" width="11.5703125" bestFit="1" customWidth="1"/>
    <col min="12" max="12" width="10.5703125" bestFit="1" customWidth="1"/>
    <col min="13" max="13" width="11.5703125" bestFit="1" customWidth="1"/>
    <col min="14" max="14" width="10.7109375" bestFit="1" customWidth="1"/>
    <col min="15" max="15" width="9.7109375" bestFit="1" customWidth="1"/>
    <col min="16" max="16" width="10.7109375" bestFit="1" customWidth="1"/>
    <col min="19" max="19" width="11.5703125" bestFit="1" customWidth="1"/>
    <col min="20" max="20" width="13.28515625" style="17" bestFit="1" customWidth="1"/>
  </cols>
  <sheetData>
    <row r="1" spans="1:20" x14ac:dyDescent="0.25">
      <c r="A1" s="4" t="s">
        <v>28</v>
      </c>
      <c r="K1" s="25"/>
      <c r="L1" s="25"/>
      <c r="M1" s="25"/>
    </row>
    <row r="2" spans="1:20" x14ac:dyDescent="0.25">
      <c r="A2" s="4" t="s">
        <v>29</v>
      </c>
      <c r="K2" s="25"/>
      <c r="L2" s="25"/>
      <c r="M2" s="25"/>
    </row>
    <row r="3" spans="1:20" x14ac:dyDescent="0.25">
      <c r="A3" s="4" t="s">
        <v>40</v>
      </c>
      <c r="D3" s="23"/>
      <c r="K3" s="25"/>
      <c r="L3" s="25"/>
      <c r="M3" s="25"/>
    </row>
    <row r="4" spans="1:20" ht="15.75" thickBot="1" x14ac:dyDescent="0.3">
      <c r="A4" s="4"/>
      <c r="K4" s="26"/>
      <c r="L4" s="26"/>
      <c r="M4" s="26"/>
    </row>
    <row r="5" spans="1:20" s="5" customFormat="1" x14ac:dyDescent="0.25">
      <c r="B5" s="1"/>
      <c r="C5" s="7"/>
      <c r="D5" s="30" t="s">
        <v>3</v>
      </c>
      <c r="E5" s="31"/>
      <c r="F5" s="30" t="s">
        <v>7</v>
      </c>
      <c r="G5" s="31"/>
      <c r="H5" s="10"/>
      <c r="I5" s="12"/>
      <c r="J5" s="7"/>
      <c r="K5" s="10"/>
      <c r="L5" s="12"/>
      <c r="M5" s="7"/>
      <c r="N5" s="10"/>
      <c r="O5" s="12"/>
      <c r="P5" s="7"/>
      <c r="T5" s="19"/>
    </row>
    <row r="6" spans="1:20" s="5" customFormat="1" ht="15.75" thickBot="1" x14ac:dyDescent="0.3">
      <c r="B6" s="3"/>
      <c r="C6" s="8" t="s">
        <v>1</v>
      </c>
      <c r="D6" s="27" t="s">
        <v>4</v>
      </c>
      <c r="E6" s="29"/>
      <c r="F6" s="27" t="s">
        <v>4</v>
      </c>
      <c r="G6" s="29"/>
      <c r="H6" s="27" t="s">
        <v>8</v>
      </c>
      <c r="I6" s="28"/>
      <c r="J6" s="29"/>
      <c r="K6" s="27" t="s">
        <v>12</v>
      </c>
      <c r="L6" s="28"/>
      <c r="M6" s="29"/>
      <c r="N6" s="27" t="s">
        <v>13</v>
      </c>
      <c r="O6" s="28"/>
      <c r="P6" s="29"/>
      <c r="T6" s="19"/>
    </row>
    <row r="7" spans="1:20" s="5" customFormat="1" ht="15.75" thickBot="1" x14ac:dyDescent="0.3">
      <c r="B7" s="2" t="s">
        <v>0</v>
      </c>
      <c r="C7" s="9" t="s">
        <v>2</v>
      </c>
      <c r="D7" s="11" t="s">
        <v>5</v>
      </c>
      <c r="E7" s="9" t="s">
        <v>6</v>
      </c>
      <c r="F7" s="11" t="s">
        <v>5</v>
      </c>
      <c r="G7" s="9" t="s">
        <v>6</v>
      </c>
      <c r="H7" s="11" t="s">
        <v>9</v>
      </c>
      <c r="I7" s="13" t="s">
        <v>10</v>
      </c>
      <c r="J7" s="9" t="s">
        <v>11</v>
      </c>
      <c r="K7" s="14" t="s">
        <v>9</v>
      </c>
      <c r="L7" s="15" t="s">
        <v>10</v>
      </c>
      <c r="M7" s="16" t="s">
        <v>11</v>
      </c>
      <c r="N7" s="14" t="s">
        <v>9</v>
      </c>
      <c r="O7" s="15" t="s">
        <v>10</v>
      </c>
      <c r="P7" s="16" t="s">
        <v>11</v>
      </c>
      <c r="T7" s="19"/>
    </row>
    <row r="8" spans="1:20" x14ac:dyDescent="0.25">
      <c r="A8" s="4"/>
      <c r="B8" t="s">
        <v>15</v>
      </c>
      <c r="C8" t="s">
        <v>36</v>
      </c>
      <c r="D8">
        <v>42</v>
      </c>
      <c r="E8">
        <v>41</v>
      </c>
      <c r="H8" s="22">
        <v>272145</v>
      </c>
      <c r="I8" s="22">
        <v>23574</v>
      </c>
      <c r="J8" s="6">
        <f>+H8+I8</f>
        <v>295719</v>
      </c>
      <c r="K8" s="21">
        <v>262238.05</v>
      </c>
      <c r="L8" s="21">
        <f>22781.84+1069.6</f>
        <v>23851.439999999999</v>
      </c>
      <c r="M8" s="21">
        <f>+K8+L8</f>
        <v>286089.49</v>
      </c>
      <c r="N8" s="20">
        <f>+(K8-H8)/H8</f>
        <v>-3.640320417424539E-2</v>
      </c>
      <c r="O8" s="20">
        <f t="shared" ref="O8:P8" si="0">+(L8-I8)/I8</f>
        <v>1.1768897938406664E-2</v>
      </c>
      <c r="P8" s="20">
        <f t="shared" si="0"/>
        <v>-3.2563041265525748E-2</v>
      </c>
    </row>
    <row r="9" spans="1:20" x14ac:dyDescent="0.25">
      <c r="B9" t="s">
        <v>16</v>
      </c>
      <c r="C9" t="s">
        <v>36</v>
      </c>
      <c r="D9">
        <v>42</v>
      </c>
      <c r="E9">
        <v>42</v>
      </c>
      <c r="H9" s="22">
        <v>236675</v>
      </c>
      <c r="I9" s="22">
        <v>19246</v>
      </c>
      <c r="J9" s="6">
        <f t="shared" ref="J9:J19" si="1">+H9+I9</f>
        <v>255921</v>
      </c>
      <c r="K9" s="21">
        <f>214584.8+8554.21+5279.57</f>
        <v>228418.58</v>
      </c>
      <c r="L9" s="21">
        <v>13429.52</v>
      </c>
      <c r="M9" s="21">
        <f t="shared" ref="M9:M19" si="2">+K9+L9</f>
        <v>241848.09999999998</v>
      </c>
      <c r="N9" s="20">
        <f t="shared" ref="N9:N21" si="3">+(K9-H9)/H9</f>
        <v>-3.4885053343192196E-2</v>
      </c>
      <c r="O9" s="20">
        <f t="shared" ref="O9:O21" si="4">+(L9-I9)/I9</f>
        <v>-0.3022176036579029</v>
      </c>
      <c r="P9" s="20">
        <f t="shared" ref="P9:P21" si="5">+(M9-J9)/J9</f>
        <v>-5.4989234959225787E-2</v>
      </c>
    </row>
    <row r="10" spans="1:20" x14ac:dyDescent="0.25">
      <c r="B10" t="s">
        <v>17</v>
      </c>
      <c r="C10" t="s">
        <v>36</v>
      </c>
      <c r="D10">
        <v>42</v>
      </c>
      <c r="E10">
        <v>42</v>
      </c>
      <c r="H10" s="22">
        <v>260316</v>
      </c>
      <c r="I10" s="22">
        <v>21783</v>
      </c>
      <c r="J10" s="6">
        <f t="shared" si="1"/>
        <v>282099</v>
      </c>
      <c r="K10" s="21">
        <f>244038.56+7684.54+5780.46</f>
        <v>257503.56</v>
      </c>
      <c r="L10" s="21">
        <f>14922.87</f>
        <v>14922.87</v>
      </c>
      <c r="M10" s="21">
        <f t="shared" si="2"/>
        <v>272426.43</v>
      </c>
      <c r="N10" s="20">
        <f t="shared" si="3"/>
        <v>-1.080394597335547E-2</v>
      </c>
      <c r="O10" s="20">
        <f t="shared" si="4"/>
        <v>-0.31493045035119127</v>
      </c>
      <c r="P10" s="20">
        <f t="shared" si="5"/>
        <v>-3.4287856390841538E-2</v>
      </c>
      <c r="T10" s="21"/>
    </row>
    <row r="11" spans="1:20" x14ac:dyDescent="0.25">
      <c r="B11" t="s">
        <v>18</v>
      </c>
      <c r="C11" t="s">
        <v>36</v>
      </c>
      <c r="D11">
        <v>42</v>
      </c>
      <c r="E11">
        <v>42</v>
      </c>
      <c r="H11" s="22">
        <v>260317</v>
      </c>
      <c r="I11" s="22">
        <v>17524</v>
      </c>
      <c r="J11" s="6">
        <f t="shared" si="1"/>
        <v>277841</v>
      </c>
      <c r="K11" s="21">
        <f>247322.5+9204.35+3367.71</f>
        <v>259894.56</v>
      </c>
      <c r="L11" s="21">
        <v>16646.54</v>
      </c>
      <c r="M11" s="21">
        <f t="shared" si="2"/>
        <v>276541.09999999998</v>
      </c>
      <c r="N11" s="20">
        <f t="shared" si="3"/>
        <v>-1.6227906744469332E-3</v>
      </c>
      <c r="O11" s="20">
        <f t="shared" si="4"/>
        <v>-5.007190139237612E-2</v>
      </c>
      <c r="P11" s="20">
        <f t="shared" si="5"/>
        <v>-4.6785751562945111E-3</v>
      </c>
      <c r="T11" s="21"/>
    </row>
    <row r="12" spans="1:20" x14ac:dyDescent="0.25">
      <c r="B12" t="s">
        <v>19</v>
      </c>
      <c r="C12" t="s">
        <v>36</v>
      </c>
      <c r="D12">
        <v>42</v>
      </c>
      <c r="E12">
        <v>43</v>
      </c>
      <c r="H12" s="22">
        <v>248498</v>
      </c>
      <c r="I12" s="22">
        <v>21510</v>
      </c>
      <c r="J12" s="6">
        <f t="shared" si="1"/>
        <v>270008</v>
      </c>
      <c r="K12" s="21">
        <f>229799.76+6540.72+13342.39</f>
        <v>249682.87</v>
      </c>
      <c r="L12" s="21">
        <v>15634.34</v>
      </c>
      <c r="M12" s="21">
        <f t="shared" si="2"/>
        <v>265317.21000000002</v>
      </c>
      <c r="N12" s="20">
        <f t="shared" si="3"/>
        <v>4.7681269064539572E-3</v>
      </c>
      <c r="O12" s="20">
        <f t="shared" si="4"/>
        <v>-0.27315946071594605</v>
      </c>
      <c r="P12" s="20">
        <f t="shared" si="5"/>
        <v>-1.7372781547213337E-2</v>
      </c>
      <c r="T12" s="21"/>
    </row>
    <row r="13" spans="1:20" x14ac:dyDescent="0.25">
      <c r="B13" t="s">
        <v>20</v>
      </c>
      <c r="C13" t="s">
        <v>36</v>
      </c>
      <c r="D13">
        <v>42</v>
      </c>
      <c r="E13">
        <v>43</v>
      </c>
      <c r="H13" s="22">
        <v>260318</v>
      </c>
      <c r="I13" s="22">
        <v>58533</v>
      </c>
      <c r="J13" s="6">
        <f t="shared" si="1"/>
        <v>318851</v>
      </c>
      <c r="K13" s="21">
        <f>238170.8+8983.26+13172.99</f>
        <v>260327.05</v>
      </c>
      <c r="L13" s="21">
        <f>27326.25+2753.98</f>
        <v>30080.23</v>
      </c>
      <c r="M13" s="21">
        <f t="shared" si="2"/>
        <v>290407.27999999997</v>
      </c>
      <c r="N13" s="20">
        <f t="shared" si="3"/>
        <v>3.4765171828257586E-5</v>
      </c>
      <c r="O13" s="20">
        <f t="shared" si="4"/>
        <v>-0.48609792766473614</v>
      </c>
      <c r="P13" s="20">
        <f t="shared" si="5"/>
        <v>-8.9206933646123213E-2</v>
      </c>
      <c r="T13" s="21"/>
    </row>
    <row r="14" spans="1:20" x14ac:dyDescent="0.25">
      <c r="B14" t="s">
        <v>21</v>
      </c>
      <c r="C14" t="s">
        <v>36</v>
      </c>
      <c r="D14">
        <v>42</v>
      </c>
      <c r="E14">
        <v>42</v>
      </c>
      <c r="H14" s="22">
        <v>272144</v>
      </c>
      <c r="I14" s="22">
        <v>19704</v>
      </c>
      <c r="J14" s="6">
        <f t="shared" si="1"/>
        <v>291848</v>
      </c>
      <c r="K14" s="21">
        <f>245105.01+8391.21+17839.81</f>
        <v>271336.03000000003</v>
      </c>
      <c r="L14" s="21">
        <f>28567.86+580.48</f>
        <v>29148.34</v>
      </c>
      <c r="M14" s="21">
        <f>+K14+L14</f>
        <v>300484.37000000005</v>
      </c>
      <c r="N14" s="20">
        <f t="shared" si="3"/>
        <v>-2.9689061673230793E-3</v>
      </c>
      <c r="O14" s="20">
        <f t="shared" si="4"/>
        <v>0.47931079983759645</v>
      </c>
      <c r="P14" s="20">
        <f t="shared" si="5"/>
        <v>2.959201365094177E-2</v>
      </c>
      <c r="T14" s="21"/>
    </row>
    <row r="15" spans="1:20" x14ac:dyDescent="0.25">
      <c r="B15" t="s">
        <v>22</v>
      </c>
      <c r="C15" t="s">
        <v>36</v>
      </c>
      <c r="D15">
        <v>42</v>
      </c>
      <c r="E15">
        <v>42</v>
      </c>
      <c r="H15" s="22">
        <v>248499</v>
      </c>
      <c r="I15" s="22">
        <v>20164</v>
      </c>
      <c r="J15" s="6">
        <f t="shared" si="1"/>
        <v>268663</v>
      </c>
      <c r="K15" s="21">
        <f>217814.4+11455.56+19388.98</f>
        <v>248658.94</v>
      </c>
      <c r="L15" s="21">
        <f>18111.18</f>
        <v>18111.18</v>
      </c>
      <c r="M15" s="21">
        <f t="shared" si="2"/>
        <v>266770.12</v>
      </c>
      <c r="N15" s="20">
        <f t="shared" si="3"/>
        <v>6.436243204198098E-4</v>
      </c>
      <c r="O15" s="20">
        <f t="shared" si="4"/>
        <v>-0.10180618924816504</v>
      </c>
      <c r="P15" s="20">
        <f t="shared" si="5"/>
        <v>-7.0455552122919967E-3</v>
      </c>
      <c r="T15" s="21"/>
    </row>
    <row r="16" spans="1:20" x14ac:dyDescent="0.25">
      <c r="B16" t="s">
        <v>23</v>
      </c>
      <c r="C16" t="s">
        <v>36</v>
      </c>
      <c r="D16">
        <v>42</v>
      </c>
      <c r="E16">
        <v>42</v>
      </c>
      <c r="H16" s="22">
        <v>260310</v>
      </c>
      <c r="I16" s="22">
        <v>21854</v>
      </c>
      <c r="J16" s="6">
        <f t="shared" si="1"/>
        <v>282164</v>
      </c>
      <c r="K16" s="21">
        <f>235503.95+7678.29+20689.91+3242.4+648.48</f>
        <v>267763.03000000003</v>
      </c>
      <c r="L16" s="21">
        <f>41132.81+1791+5015.92</f>
        <v>47939.729999999996</v>
      </c>
      <c r="M16" s="21">
        <f t="shared" si="2"/>
        <v>315702.76</v>
      </c>
      <c r="N16" s="20">
        <f t="shared" si="3"/>
        <v>2.8631362606123575E-2</v>
      </c>
      <c r="O16" s="20">
        <f t="shared" si="4"/>
        <v>1.1936364052347395</v>
      </c>
      <c r="P16" s="20">
        <f t="shared" si="5"/>
        <v>0.11886264725478803</v>
      </c>
      <c r="Q16" t="s">
        <v>41</v>
      </c>
      <c r="T16" s="21"/>
    </row>
    <row r="17" spans="2:21" x14ac:dyDescent="0.25">
      <c r="B17" t="s">
        <v>24</v>
      </c>
      <c r="C17" t="s">
        <v>36</v>
      </c>
      <c r="D17">
        <v>42</v>
      </c>
      <c r="E17">
        <v>41</v>
      </c>
      <c r="H17" s="22">
        <v>260314</v>
      </c>
      <c r="I17" s="22">
        <v>24519</v>
      </c>
      <c r="J17" s="6">
        <f t="shared" si="1"/>
        <v>284833</v>
      </c>
      <c r="K17" s="21">
        <f>230080.57+9512.63+11124.92+2884.8</f>
        <v>253602.92</v>
      </c>
      <c r="L17" s="21">
        <f>46081+2830+4434.24</f>
        <v>53345.24</v>
      </c>
      <c r="M17" s="21">
        <f t="shared" si="2"/>
        <v>306948.16000000003</v>
      </c>
      <c r="N17" s="20">
        <f t="shared" si="3"/>
        <v>-2.5780710987499664E-2</v>
      </c>
      <c r="O17" s="20">
        <f t="shared" si="4"/>
        <v>1.1756694808107997</v>
      </c>
      <c r="P17" s="20">
        <f t="shared" si="5"/>
        <v>7.7642548440665343E-2</v>
      </c>
      <c r="Q17" t="s">
        <v>42</v>
      </c>
      <c r="T17" s="21"/>
    </row>
    <row r="18" spans="2:21" x14ac:dyDescent="0.25">
      <c r="B18" t="s">
        <v>25</v>
      </c>
      <c r="C18" t="s">
        <v>36</v>
      </c>
      <c r="D18">
        <v>42</v>
      </c>
      <c r="E18">
        <v>41</v>
      </c>
      <c r="H18" s="22">
        <v>252486</v>
      </c>
      <c r="I18" s="22">
        <v>25510</v>
      </c>
      <c r="J18" s="6">
        <f t="shared" si="1"/>
        <v>277996</v>
      </c>
      <c r="K18" s="21">
        <f>224279.7+8055.35+11964.28</f>
        <v>244299.33000000002</v>
      </c>
      <c r="L18" s="21">
        <f>16293.98</f>
        <v>16293.98</v>
      </c>
      <c r="M18" s="21">
        <f t="shared" si="2"/>
        <v>260593.31000000003</v>
      </c>
      <c r="N18" s="20">
        <f t="shared" si="3"/>
        <v>-3.2424253225921372E-2</v>
      </c>
      <c r="O18" s="20">
        <f t="shared" si="4"/>
        <v>-0.36127087416699333</v>
      </c>
      <c r="P18" s="20">
        <f t="shared" si="5"/>
        <v>-6.2600505043237942E-2</v>
      </c>
      <c r="T18" s="21"/>
    </row>
    <row r="19" spans="2:21" x14ac:dyDescent="0.25">
      <c r="B19" t="s">
        <v>26</v>
      </c>
      <c r="C19" t="s">
        <v>36</v>
      </c>
      <c r="D19">
        <v>42</v>
      </c>
      <c r="E19">
        <v>39</v>
      </c>
      <c r="H19" s="22">
        <v>276516</v>
      </c>
      <c r="I19" s="22">
        <v>25510</v>
      </c>
      <c r="J19" s="6">
        <f t="shared" si="1"/>
        <v>302026</v>
      </c>
      <c r="K19" s="21">
        <f>230475.37+7940.01+25153.86+339.52</f>
        <v>263908.76</v>
      </c>
      <c r="L19" s="21">
        <f>10763.1</f>
        <v>10763.1</v>
      </c>
      <c r="M19" s="21">
        <f t="shared" si="2"/>
        <v>274671.86</v>
      </c>
      <c r="N19" s="20">
        <f t="shared" si="3"/>
        <v>-4.5593166399051019E-2</v>
      </c>
      <c r="O19" s="20">
        <f t="shared" si="4"/>
        <v>-0.57808310466483726</v>
      </c>
      <c r="P19" s="20">
        <f t="shared" si="5"/>
        <v>-9.0568825200479472E-2</v>
      </c>
      <c r="T19" s="21"/>
    </row>
    <row r="20" spans="2:21" x14ac:dyDescent="0.25">
      <c r="N20" s="20"/>
      <c r="O20" s="20"/>
      <c r="P20" s="20"/>
    </row>
    <row r="21" spans="2:21" x14ac:dyDescent="0.25">
      <c r="B21" t="s">
        <v>11</v>
      </c>
      <c r="H21" s="22">
        <f>SUM(H8:H19)</f>
        <v>3108538</v>
      </c>
      <c r="I21" s="22">
        <f>SUM(I8:I19)</f>
        <v>299431</v>
      </c>
      <c r="J21" s="22">
        <f>SUM(J8:J19)</f>
        <v>3407969</v>
      </c>
      <c r="K21" s="22">
        <f>SUM(K8:K19)</f>
        <v>3067633.6799999997</v>
      </c>
      <c r="L21" s="22">
        <f>SUM(L8:L19)</f>
        <v>290166.50999999995</v>
      </c>
      <c r="M21" s="22">
        <f>SUM(M8:M19)</f>
        <v>3357800.1900000004</v>
      </c>
      <c r="N21" s="20">
        <f t="shared" si="3"/>
        <v>-1.3158700327935608E-2</v>
      </c>
      <c r="O21" s="20">
        <f t="shared" si="4"/>
        <v>-3.0940316800865807E-2</v>
      </c>
      <c r="P21" s="20">
        <f t="shared" si="5"/>
        <v>-1.4721028859123892E-2</v>
      </c>
      <c r="U21" s="20"/>
    </row>
    <row r="22" spans="2:21" x14ac:dyDescent="0.25">
      <c r="N22" s="20"/>
    </row>
    <row r="23" spans="2:21" x14ac:dyDescent="0.25">
      <c r="B23" t="s">
        <v>43</v>
      </c>
    </row>
    <row r="24" spans="2:21" x14ac:dyDescent="0.25">
      <c r="B24" t="s">
        <v>44</v>
      </c>
    </row>
    <row r="25" spans="2:21" x14ac:dyDescent="0.25">
      <c r="B25" t="s">
        <v>45</v>
      </c>
    </row>
    <row r="27" spans="2:21" x14ac:dyDescent="0.25">
      <c r="B27" t="s">
        <v>46</v>
      </c>
    </row>
    <row r="28" spans="2:21" x14ac:dyDescent="0.25">
      <c r="B28" t="s">
        <v>47</v>
      </c>
    </row>
  </sheetData>
  <mergeCells count="8">
    <mergeCell ref="K1:M4"/>
    <mergeCell ref="K6:M6"/>
    <mergeCell ref="N6:P6"/>
    <mergeCell ref="D5:E5"/>
    <mergeCell ref="D6:E6"/>
    <mergeCell ref="F5:G5"/>
    <mergeCell ref="F6:G6"/>
    <mergeCell ref="H6:J6"/>
  </mergeCells>
  <phoneticPr fontId="3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4F0B-9629-4825-9FA1-726752C92B88}">
  <dimension ref="A1:Q28"/>
  <sheetViews>
    <sheetView workbookViewId="0">
      <pane ySplit="7" topLeftCell="A8" activePane="bottomLeft" state="frozen"/>
      <selection pane="bottomLeft" activeCell="B23" sqref="B23:B25"/>
    </sheetView>
  </sheetViews>
  <sheetFormatPr defaultRowHeight="15" x14ac:dyDescent="0.25"/>
  <cols>
    <col min="2" max="2" width="10.85546875" bestFit="1" customWidth="1"/>
    <col min="3" max="3" width="16.7109375" customWidth="1"/>
    <col min="4" max="5" width="14.7109375" customWidth="1"/>
    <col min="6" max="6" width="12.42578125" customWidth="1"/>
    <col min="7" max="7" width="12.7109375" customWidth="1"/>
    <col min="8" max="8" width="12.5703125" bestFit="1" customWidth="1"/>
    <col min="9" max="9" width="11.5703125" bestFit="1" customWidth="1"/>
    <col min="10" max="10" width="12.5703125" bestFit="1" customWidth="1"/>
    <col min="11" max="11" width="11.5703125" bestFit="1" customWidth="1"/>
    <col min="12" max="12" width="10" bestFit="1" customWidth="1"/>
    <col min="13" max="13" width="11.5703125" bestFit="1" customWidth="1"/>
  </cols>
  <sheetData>
    <row r="1" spans="1:17" x14ac:dyDescent="0.25">
      <c r="A1" s="4" t="s">
        <v>28</v>
      </c>
      <c r="K1" s="37"/>
      <c r="L1" s="37"/>
      <c r="M1" s="37"/>
    </row>
    <row r="2" spans="1:17" x14ac:dyDescent="0.25">
      <c r="A2" s="4" t="s">
        <v>29</v>
      </c>
      <c r="E2" s="23"/>
      <c r="K2" s="37"/>
      <c r="L2" s="37"/>
      <c r="M2" s="37"/>
    </row>
    <row r="3" spans="1:17" x14ac:dyDescent="0.25">
      <c r="A3" s="4" t="s">
        <v>39</v>
      </c>
      <c r="K3" s="37"/>
      <c r="L3" s="37"/>
      <c r="M3" s="37"/>
    </row>
    <row r="4" spans="1:17" ht="15.75" thickBot="1" x14ac:dyDescent="0.3">
      <c r="A4" s="4"/>
      <c r="K4" s="38"/>
      <c r="L4" s="38"/>
      <c r="M4" s="38"/>
    </row>
    <row r="5" spans="1:17" s="5" customFormat="1" x14ac:dyDescent="0.25">
      <c r="B5" s="1"/>
      <c r="C5" s="7"/>
      <c r="D5" s="30" t="s">
        <v>3</v>
      </c>
      <c r="E5" s="31"/>
      <c r="F5" s="30" t="s">
        <v>7</v>
      </c>
      <c r="G5" s="31"/>
      <c r="H5" s="10"/>
      <c r="I5" s="12"/>
      <c r="J5" s="7"/>
      <c r="K5" s="10"/>
      <c r="L5" s="12"/>
      <c r="M5" s="7"/>
      <c r="N5" s="10"/>
      <c r="O5" s="12"/>
      <c r="P5" s="7"/>
    </row>
    <row r="6" spans="1:17" s="5" customFormat="1" ht="15.75" thickBot="1" x14ac:dyDescent="0.3">
      <c r="B6" s="3"/>
      <c r="C6" s="8" t="s">
        <v>1</v>
      </c>
      <c r="D6" s="27" t="s">
        <v>4</v>
      </c>
      <c r="E6" s="29"/>
      <c r="F6" s="27" t="s">
        <v>4</v>
      </c>
      <c r="G6" s="29"/>
      <c r="H6" s="27" t="s">
        <v>8</v>
      </c>
      <c r="I6" s="28"/>
      <c r="J6" s="29"/>
      <c r="K6" s="27" t="s">
        <v>12</v>
      </c>
      <c r="L6" s="28"/>
      <c r="M6" s="29"/>
      <c r="N6" s="27" t="s">
        <v>13</v>
      </c>
      <c r="O6" s="28"/>
      <c r="P6" s="29"/>
    </row>
    <row r="7" spans="1:17" s="5" customFormat="1" ht="15.75" thickBot="1" x14ac:dyDescent="0.3">
      <c r="B7" s="2" t="s">
        <v>0</v>
      </c>
      <c r="C7" s="9" t="s">
        <v>2</v>
      </c>
      <c r="D7" s="11" t="s">
        <v>5</v>
      </c>
      <c r="E7" s="9" t="s">
        <v>6</v>
      </c>
      <c r="F7" s="11" t="s">
        <v>5</v>
      </c>
      <c r="G7" s="9" t="s">
        <v>6</v>
      </c>
      <c r="H7" s="11" t="s">
        <v>9</v>
      </c>
      <c r="I7" s="13" t="s">
        <v>10</v>
      </c>
      <c r="J7" s="9" t="s">
        <v>11</v>
      </c>
      <c r="K7" s="14" t="s">
        <v>9</v>
      </c>
      <c r="L7" s="15" t="s">
        <v>10</v>
      </c>
      <c r="M7" s="16" t="s">
        <v>11</v>
      </c>
      <c r="N7" s="14" t="s">
        <v>9</v>
      </c>
      <c r="O7" s="15" t="s">
        <v>10</v>
      </c>
      <c r="P7" s="16" t="s">
        <v>11</v>
      </c>
    </row>
    <row r="8" spans="1:17" x14ac:dyDescent="0.25">
      <c r="B8" s="32" t="s">
        <v>15</v>
      </c>
      <c r="C8" s="32" t="s">
        <v>36</v>
      </c>
      <c r="D8" s="33">
        <v>41</v>
      </c>
      <c r="E8" s="33">
        <v>40</v>
      </c>
      <c r="F8" s="33"/>
      <c r="G8" s="33"/>
      <c r="H8" s="35">
        <v>244328</v>
      </c>
      <c r="I8" s="35">
        <v>22943</v>
      </c>
      <c r="J8" s="35">
        <f>+H8+I8</f>
        <v>267271</v>
      </c>
      <c r="K8" s="34">
        <f>207993.6+10150.17+2625.39+19172.32</f>
        <v>239941.48000000004</v>
      </c>
      <c r="L8" s="34">
        <v>13237.18</v>
      </c>
      <c r="M8" s="34">
        <f>+K8+L8</f>
        <v>253178.66000000003</v>
      </c>
      <c r="N8" s="36">
        <f>+(K8-H8)/H8</f>
        <v>-1.7953406895648311E-2</v>
      </c>
      <c r="O8" s="36">
        <f t="shared" ref="O8:P8" si="0">+(L8-I8)/I8</f>
        <v>-0.42304057882578561</v>
      </c>
      <c r="P8" s="36">
        <f t="shared" si="0"/>
        <v>-5.2726782928188873E-2</v>
      </c>
    </row>
    <row r="9" spans="1:17" x14ac:dyDescent="0.25">
      <c r="B9" s="32" t="s">
        <v>16</v>
      </c>
      <c r="C9" s="32" t="s">
        <v>36</v>
      </c>
      <c r="D9" s="33">
        <v>41</v>
      </c>
      <c r="E9" s="33">
        <v>40</v>
      </c>
      <c r="F9" s="33"/>
      <c r="G9" s="33"/>
      <c r="H9" s="35">
        <v>232696</v>
      </c>
      <c r="I9" s="35">
        <v>16422</v>
      </c>
      <c r="J9" s="35">
        <f t="shared" ref="J9:J19" si="1">+H9+I9</f>
        <v>249118</v>
      </c>
      <c r="K9" s="34">
        <f>219755.5+5435.83+5338.8+11011.1+2530.24</f>
        <v>244071.46999999997</v>
      </c>
      <c r="L9" s="34">
        <f>75743.02+2998.07</f>
        <v>78741.090000000011</v>
      </c>
      <c r="M9" s="34">
        <f t="shared" ref="M9:M19" si="2">+K9+L9</f>
        <v>322812.56</v>
      </c>
      <c r="N9" s="36">
        <f t="shared" ref="N9:P21" si="3">+(K9-H9)/H9</f>
        <v>4.888554165090922E-2</v>
      </c>
      <c r="O9" s="36">
        <f t="shared" ref="O9:O19" si="4">+(L9-I9)/I9</f>
        <v>3.794853854585313</v>
      </c>
      <c r="P9" s="36">
        <f t="shared" ref="P9:P19" si="5">+(M9-J9)/J9</f>
        <v>0.29582189966200756</v>
      </c>
      <c r="Q9" t="s">
        <v>37</v>
      </c>
    </row>
    <row r="10" spans="1:17" x14ac:dyDescent="0.25">
      <c r="B10" s="32" t="s">
        <v>17</v>
      </c>
      <c r="C10" s="32" t="s">
        <v>36</v>
      </c>
      <c r="D10" s="33">
        <v>41</v>
      </c>
      <c r="E10" s="33">
        <v>41</v>
      </c>
      <c r="F10" s="33"/>
      <c r="G10" s="33"/>
      <c r="H10" s="35">
        <v>279212</v>
      </c>
      <c r="I10" s="35">
        <v>18614</v>
      </c>
      <c r="J10" s="35">
        <f t="shared" si="1"/>
        <v>297826</v>
      </c>
      <c r="K10" s="34">
        <f>253133.63+6815.23+14678.88+2120.88</f>
        <v>276748.62</v>
      </c>
      <c r="L10" s="34">
        <f>17163.95</f>
        <v>17163.95</v>
      </c>
      <c r="M10" s="34">
        <f t="shared" si="2"/>
        <v>293912.57</v>
      </c>
      <c r="N10" s="36">
        <f t="shared" si="3"/>
        <v>-8.8226150738507109E-3</v>
      </c>
      <c r="O10" s="36">
        <f t="shared" si="4"/>
        <v>-7.7901042226281261E-2</v>
      </c>
      <c r="P10" s="36">
        <f t="shared" si="5"/>
        <v>-1.3139987778098598E-2</v>
      </c>
    </row>
    <row r="11" spans="1:17" x14ac:dyDescent="0.25">
      <c r="B11" s="32" t="s">
        <v>18</v>
      </c>
      <c r="C11" s="32" t="s">
        <v>36</v>
      </c>
      <c r="D11" s="33">
        <v>41</v>
      </c>
      <c r="E11" s="33">
        <v>40</v>
      </c>
      <c r="F11" s="33"/>
      <c r="G11" s="33"/>
      <c r="H11" s="35">
        <v>255964</v>
      </c>
      <c r="I11" s="35">
        <v>17239</v>
      </c>
      <c r="J11" s="35">
        <f t="shared" si="1"/>
        <v>273203</v>
      </c>
      <c r="K11" s="34">
        <f>234937.47+6359.4+11097.43+424.4</f>
        <v>252818.69999999998</v>
      </c>
      <c r="L11" s="34">
        <f>17886.62+0</f>
        <v>17886.62</v>
      </c>
      <c r="M11" s="34">
        <f t="shared" si="2"/>
        <v>270705.32</v>
      </c>
      <c r="N11" s="36">
        <f t="shared" si="3"/>
        <v>-1.2288056132893757E-2</v>
      </c>
      <c r="O11" s="36">
        <f t="shared" si="4"/>
        <v>3.7567144265908639E-2</v>
      </c>
      <c r="P11" s="36">
        <f t="shared" si="5"/>
        <v>-9.1422129332400931E-3</v>
      </c>
    </row>
    <row r="12" spans="1:17" x14ac:dyDescent="0.25">
      <c r="B12" s="32" t="s">
        <v>19</v>
      </c>
      <c r="C12" s="32" t="s">
        <v>36</v>
      </c>
      <c r="D12" s="33">
        <v>41</v>
      </c>
      <c r="E12" s="33">
        <v>40</v>
      </c>
      <c r="F12" s="33"/>
      <c r="G12" s="33"/>
      <c r="H12" s="35">
        <v>231029</v>
      </c>
      <c r="I12" s="35">
        <v>18999</v>
      </c>
      <c r="J12" s="35">
        <f t="shared" si="1"/>
        <v>250028</v>
      </c>
      <c r="K12" s="34">
        <f>219119.61+6511.83+10676.4+2523.57</f>
        <v>238831.40999999997</v>
      </c>
      <c r="L12" s="34">
        <f>23466.38+556.72</f>
        <v>24023.100000000002</v>
      </c>
      <c r="M12" s="34">
        <f t="shared" si="2"/>
        <v>262854.50999999995</v>
      </c>
      <c r="N12" s="36">
        <f t="shared" si="3"/>
        <v>3.3772426838189033E-2</v>
      </c>
      <c r="O12" s="36">
        <f t="shared" si="4"/>
        <v>0.26444023369651048</v>
      </c>
      <c r="P12" s="36">
        <f t="shared" si="5"/>
        <v>5.1300294367030694E-2</v>
      </c>
    </row>
    <row r="13" spans="1:17" x14ac:dyDescent="0.25">
      <c r="B13" s="32" t="s">
        <v>20</v>
      </c>
      <c r="C13" s="32" t="s">
        <v>36</v>
      </c>
      <c r="D13" s="33">
        <v>41</v>
      </c>
      <c r="E13" s="33">
        <v>40</v>
      </c>
      <c r="F13" s="33"/>
      <c r="G13" s="33"/>
      <c r="H13" s="35">
        <v>255967</v>
      </c>
      <c r="I13" s="35">
        <v>47437.18</v>
      </c>
      <c r="J13" s="35">
        <f t="shared" si="1"/>
        <v>303404.18</v>
      </c>
      <c r="K13" s="34">
        <f>147904.01+4302.87+7643.34+47702.27+1173.62+357.92</f>
        <v>209084.03</v>
      </c>
      <c r="L13" s="34">
        <f>16581.9+336.2+326.15</f>
        <v>17244.250000000004</v>
      </c>
      <c r="M13" s="34">
        <f t="shared" si="2"/>
        <v>226328.28</v>
      </c>
      <c r="N13" s="36">
        <f t="shared" si="3"/>
        <v>-0.18316021205858568</v>
      </c>
      <c r="O13" s="36">
        <f t="shared" si="4"/>
        <v>-0.63648239629758763</v>
      </c>
      <c r="P13" s="36">
        <f t="shared" si="5"/>
        <v>-0.25403704062350096</v>
      </c>
    </row>
    <row r="14" spans="1:17" x14ac:dyDescent="0.25">
      <c r="B14" s="32" t="s">
        <v>21</v>
      </c>
      <c r="C14" s="32" t="s">
        <v>36</v>
      </c>
      <c r="D14" s="33">
        <v>41</v>
      </c>
      <c r="E14" s="33">
        <v>40</v>
      </c>
      <c r="F14" s="33"/>
      <c r="G14" s="33"/>
      <c r="H14" s="35">
        <v>255964</v>
      </c>
      <c r="I14" s="35">
        <v>24677</v>
      </c>
      <c r="J14" s="35">
        <f t="shared" si="1"/>
        <v>280641</v>
      </c>
      <c r="K14" s="34">
        <v>257161.05</v>
      </c>
      <c r="L14" s="34">
        <v>29164.66</v>
      </c>
      <c r="M14" s="34">
        <f t="shared" si="2"/>
        <v>286325.70999999996</v>
      </c>
      <c r="N14" s="36">
        <f t="shared" si="3"/>
        <v>4.6766342141863248E-3</v>
      </c>
      <c r="O14" s="36">
        <f t="shared" si="4"/>
        <v>0.181855979251935</v>
      </c>
      <c r="P14" s="36">
        <f t="shared" si="5"/>
        <v>2.0256163568402204E-2</v>
      </c>
    </row>
    <row r="15" spans="1:17" x14ac:dyDescent="0.25">
      <c r="B15" s="32" t="s">
        <v>22</v>
      </c>
      <c r="C15" s="32" t="s">
        <v>36</v>
      </c>
      <c r="D15" s="33">
        <v>41</v>
      </c>
      <c r="E15" s="33">
        <v>40</v>
      </c>
      <c r="F15" s="33"/>
      <c r="G15" s="33"/>
      <c r="H15" s="35">
        <v>255964</v>
      </c>
      <c r="I15" s="35">
        <v>19421</v>
      </c>
      <c r="J15" s="35">
        <f t="shared" si="1"/>
        <v>275385</v>
      </c>
      <c r="K15" s="34">
        <v>245272.15</v>
      </c>
      <c r="L15" s="34">
        <v>22260.12</v>
      </c>
      <c r="M15" s="34">
        <f t="shared" si="2"/>
        <v>267532.27</v>
      </c>
      <c r="N15" s="36">
        <f t="shared" si="3"/>
        <v>-4.1770913097154312E-2</v>
      </c>
      <c r="O15" s="36">
        <f t="shared" si="4"/>
        <v>0.14618814685134643</v>
      </c>
      <c r="P15" s="36">
        <f t="shared" si="5"/>
        <v>-2.8515460173938238E-2</v>
      </c>
    </row>
    <row r="16" spans="1:17" x14ac:dyDescent="0.25">
      <c r="B16" s="32" t="s">
        <v>23</v>
      </c>
      <c r="C16" s="32" t="s">
        <v>36</v>
      </c>
      <c r="D16" s="33">
        <v>41</v>
      </c>
      <c r="E16" s="33">
        <v>40</v>
      </c>
      <c r="F16" s="33"/>
      <c r="G16" s="33"/>
      <c r="H16" s="35">
        <v>255964</v>
      </c>
      <c r="I16" s="35">
        <v>19944</v>
      </c>
      <c r="J16" s="35">
        <f t="shared" si="1"/>
        <v>275908</v>
      </c>
      <c r="K16" s="34">
        <v>234397.27000000002</v>
      </c>
      <c r="L16" s="34">
        <v>108106.32</v>
      </c>
      <c r="M16" s="34">
        <f t="shared" si="2"/>
        <v>342503.59</v>
      </c>
      <c r="N16" s="36">
        <f t="shared" si="3"/>
        <v>-8.4256887687330959E-2</v>
      </c>
      <c r="O16" s="36">
        <f t="shared" si="4"/>
        <v>4.4204933814681109</v>
      </c>
      <c r="P16" s="36">
        <f t="shared" si="5"/>
        <v>0.24136882584049765</v>
      </c>
      <c r="Q16" t="s">
        <v>42</v>
      </c>
    </row>
    <row r="17" spans="2:17" x14ac:dyDescent="0.25">
      <c r="B17" s="32" t="s">
        <v>24</v>
      </c>
      <c r="C17" s="32" t="s">
        <v>36</v>
      </c>
      <c r="D17" s="33">
        <v>41</v>
      </c>
      <c r="E17" s="33">
        <v>40</v>
      </c>
      <c r="F17" s="33"/>
      <c r="G17" s="33"/>
      <c r="H17" s="35">
        <v>255966</v>
      </c>
      <c r="I17" s="35">
        <v>20571</v>
      </c>
      <c r="J17" s="35">
        <f t="shared" si="1"/>
        <v>276537</v>
      </c>
      <c r="K17" s="34">
        <v>235965.33000000002</v>
      </c>
      <c r="L17" s="34">
        <v>24482.749999999996</v>
      </c>
      <c r="M17" s="34">
        <f t="shared" si="2"/>
        <v>260448.08000000002</v>
      </c>
      <c r="N17" s="36">
        <f t="shared" si="3"/>
        <v>-7.8137994889946258E-2</v>
      </c>
      <c r="O17" s="36">
        <f t="shared" si="4"/>
        <v>0.19015847552379544</v>
      </c>
      <c r="P17" s="36">
        <f t="shared" si="5"/>
        <v>-5.8179990381033941E-2</v>
      </c>
    </row>
    <row r="18" spans="2:17" x14ac:dyDescent="0.25">
      <c r="B18" s="32" t="s">
        <v>25</v>
      </c>
      <c r="C18" s="32" t="s">
        <v>36</v>
      </c>
      <c r="D18" s="33">
        <v>41</v>
      </c>
      <c r="E18" s="33">
        <v>39</v>
      </c>
      <c r="F18" s="33"/>
      <c r="G18" s="33"/>
      <c r="H18" s="35">
        <v>259090</v>
      </c>
      <c r="I18" s="35">
        <v>19101</v>
      </c>
      <c r="J18" s="35">
        <f t="shared" si="1"/>
        <v>278191</v>
      </c>
      <c r="K18" s="34">
        <f>177089.68+11821.99+10067.2+23510.19</f>
        <v>222489.06</v>
      </c>
      <c r="L18" s="34">
        <v>23615.649999999998</v>
      </c>
      <c r="M18" s="34">
        <f t="shared" si="2"/>
        <v>246104.71</v>
      </c>
      <c r="N18" s="36">
        <f t="shared" si="3"/>
        <v>-0.14126728163958471</v>
      </c>
      <c r="O18" s="36">
        <f t="shared" si="4"/>
        <v>0.23635673524946327</v>
      </c>
      <c r="P18" s="36">
        <f t="shared" si="5"/>
        <v>-0.11533906560600454</v>
      </c>
    </row>
    <row r="19" spans="2:17" x14ac:dyDescent="0.25">
      <c r="B19" s="32" t="s">
        <v>26</v>
      </c>
      <c r="C19" s="32" t="s">
        <v>36</v>
      </c>
      <c r="D19" s="33">
        <v>41</v>
      </c>
      <c r="E19" s="33">
        <v>41</v>
      </c>
      <c r="F19" s="33"/>
      <c r="G19" s="33"/>
      <c r="H19" s="35">
        <v>274906</v>
      </c>
      <c r="I19" s="35">
        <v>15323</v>
      </c>
      <c r="J19" s="35">
        <f t="shared" si="1"/>
        <v>290229</v>
      </c>
      <c r="K19" s="34">
        <v>297336.3</v>
      </c>
      <c r="L19" s="34">
        <v>78028.919999999984</v>
      </c>
      <c r="M19" s="34">
        <f t="shared" si="2"/>
        <v>375365.22</v>
      </c>
      <c r="N19" s="36">
        <f t="shared" si="3"/>
        <v>8.1592617112758503E-2</v>
      </c>
      <c r="O19" s="36">
        <f t="shared" si="4"/>
        <v>4.0922743588070212</v>
      </c>
      <c r="P19" s="36">
        <f t="shared" si="5"/>
        <v>0.29334153375438005</v>
      </c>
      <c r="Q19" t="s">
        <v>38</v>
      </c>
    </row>
    <row r="20" spans="2:17" x14ac:dyDescent="0.25">
      <c r="D20" s="24"/>
      <c r="E20" s="24"/>
      <c r="F20" s="24"/>
      <c r="G20" s="24"/>
    </row>
    <row r="21" spans="2:17" x14ac:dyDescent="0.25">
      <c r="B21" t="s">
        <v>11</v>
      </c>
      <c r="D21" s="24"/>
      <c r="E21" s="24"/>
      <c r="F21" s="24"/>
      <c r="G21" s="24"/>
      <c r="H21" s="6">
        <f t="shared" ref="H21:J21" si="6">SUM(H8:H19)</f>
        <v>3057050</v>
      </c>
      <c r="I21" s="6">
        <f t="shared" si="6"/>
        <v>260691.18</v>
      </c>
      <c r="J21" s="6">
        <f t="shared" si="6"/>
        <v>3317741.1799999997</v>
      </c>
      <c r="K21" s="6">
        <f>SUM(K8:K19)</f>
        <v>2954116.8699999996</v>
      </c>
      <c r="L21" s="6">
        <f>SUM(L8:L19)</f>
        <v>453954.61000000004</v>
      </c>
      <c r="M21" s="6">
        <f>SUM(M8:M19)</f>
        <v>3408071.4799999995</v>
      </c>
      <c r="N21" s="36">
        <f t="shared" si="3"/>
        <v>-3.3670738129896585E-2</v>
      </c>
      <c r="O21" s="36">
        <f t="shared" si="3"/>
        <v>0.7413500909390186</v>
      </c>
      <c r="P21" s="36">
        <f t="shared" si="3"/>
        <v>2.7226445674704444E-2</v>
      </c>
    </row>
    <row r="22" spans="2:17" x14ac:dyDescent="0.25">
      <c r="D22" s="24"/>
      <c r="E22" s="24"/>
      <c r="F22" s="24"/>
      <c r="G22" s="24"/>
      <c r="H22" s="6"/>
      <c r="I22" s="6"/>
      <c r="J22" s="6"/>
      <c r="K22" s="6"/>
      <c r="L22" s="6"/>
      <c r="M22" s="6"/>
      <c r="N22" s="20"/>
      <c r="O22" s="20"/>
      <c r="P22" s="20"/>
    </row>
    <row r="23" spans="2:17" x14ac:dyDescent="0.25">
      <c r="B23" t="s">
        <v>43</v>
      </c>
      <c r="D23" s="24"/>
      <c r="E23" s="24"/>
      <c r="F23" s="24"/>
      <c r="G23" s="24"/>
      <c r="H23" s="6"/>
      <c r="I23" s="6"/>
      <c r="J23" s="6"/>
      <c r="K23" s="6"/>
      <c r="L23" s="6"/>
      <c r="M23" s="6"/>
      <c r="N23" s="20"/>
      <c r="O23" s="20"/>
      <c r="P23" s="20"/>
    </row>
    <row r="24" spans="2:17" x14ac:dyDescent="0.25">
      <c r="B24" t="s">
        <v>44</v>
      </c>
      <c r="D24" s="24"/>
      <c r="E24" s="24"/>
      <c r="F24" s="24"/>
      <c r="G24" s="24"/>
      <c r="H24" s="6"/>
      <c r="I24" s="6"/>
      <c r="J24" s="6"/>
      <c r="K24" s="6"/>
      <c r="L24" s="6"/>
      <c r="M24" s="6"/>
      <c r="N24" s="20"/>
      <c r="O24" s="20"/>
      <c r="P24" s="20"/>
    </row>
    <row r="25" spans="2:17" x14ac:dyDescent="0.25">
      <c r="B25" t="s">
        <v>45</v>
      </c>
      <c r="D25" s="24"/>
      <c r="E25" s="24"/>
      <c r="F25" s="24"/>
      <c r="G25" s="24"/>
      <c r="H25" s="6"/>
      <c r="I25" s="6"/>
      <c r="J25" s="6"/>
      <c r="K25" s="6"/>
      <c r="L25" s="6"/>
      <c r="M25" s="6"/>
      <c r="N25" s="20"/>
      <c r="O25" s="20"/>
      <c r="P25" s="20"/>
    </row>
    <row r="26" spans="2:17" x14ac:dyDescent="0.25">
      <c r="D26" s="24"/>
      <c r="E26" s="24"/>
      <c r="F26" s="24"/>
      <c r="G26" s="24"/>
      <c r="N26" s="20"/>
      <c r="O26" s="20"/>
      <c r="P26" s="20"/>
    </row>
    <row r="27" spans="2:17" x14ac:dyDescent="0.25">
      <c r="B27" t="s">
        <v>46</v>
      </c>
      <c r="D27" s="24"/>
      <c r="E27" s="24"/>
      <c r="F27" s="24"/>
      <c r="G27" s="24"/>
      <c r="L27" s="18"/>
    </row>
    <row r="28" spans="2:17" x14ac:dyDescent="0.25">
      <c r="B28" t="s">
        <v>47</v>
      </c>
    </row>
  </sheetData>
  <mergeCells count="7">
    <mergeCell ref="N6:P6"/>
    <mergeCell ref="D5:E5"/>
    <mergeCell ref="F5:G5"/>
    <mergeCell ref="D6:E6"/>
    <mergeCell ref="F6:G6"/>
    <mergeCell ref="H6:J6"/>
    <mergeCell ref="K6:M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90A9F-9192-44DD-B0C8-A082F5D60703}">
  <dimension ref="A1:Q38"/>
  <sheetViews>
    <sheetView workbookViewId="0">
      <pane ySplit="7" topLeftCell="A15" activePane="bottomLeft" state="frozen"/>
      <selection pane="bottomLeft" activeCell="B36" sqref="B36:B38"/>
    </sheetView>
  </sheetViews>
  <sheetFormatPr defaultRowHeight="15" x14ac:dyDescent="0.25"/>
  <cols>
    <col min="2" max="2" width="10.85546875" bestFit="1" customWidth="1"/>
    <col min="3" max="3" width="16.7109375" customWidth="1"/>
    <col min="4" max="4" width="14.7109375" customWidth="1"/>
    <col min="5" max="5" width="14.7109375" style="24" customWidth="1"/>
    <col min="6" max="6" width="12.42578125" customWidth="1"/>
    <col min="7" max="7" width="12.7109375" style="24" customWidth="1"/>
    <col min="8" max="10" width="12.5703125" bestFit="1" customWidth="1"/>
    <col min="11" max="11" width="11.5703125" bestFit="1" customWidth="1"/>
    <col min="12" max="12" width="10" bestFit="1" customWidth="1"/>
    <col min="13" max="13" width="11.5703125" bestFit="1" customWidth="1"/>
  </cols>
  <sheetData>
    <row r="1" spans="1:17" x14ac:dyDescent="0.25">
      <c r="A1" s="4" t="s">
        <v>28</v>
      </c>
    </row>
    <row r="2" spans="1:17" x14ac:dyDescent="0.25">
      <c r="A2" s="4" t="s">
        <v>29</v>
      </c>
    </row>
    <row r="3" spans="1:17" x14ac:dyDescent="0.25">
      <c r="A3" s="4" t="s">
        <v>35</v>
      </c>
      <c r="D3" s="23"/>
    </row>
    <row r="4" spans="1:17" ht="15.75" thickBot="1" x14ac:dyDescent="0.3">
      <c r="A4" s="4"/>
    </row>
    <row r="5" spans="1:17" s="5" customFormat="1" x14ac:dyDescent="0.25">
      <c r="B5" s="1"/>
      <c r="C5" s="7"/>
      <c r="D5" s="30" t="s">
        <v>3</v>
      </c>
      <c r="E5" s="31"/>
      <c r="F5" s="30" t="s">
        <v>7</v>
      </c>
      <c r="G5" s="31"/>
      <c r="H5" s="10"/>
      <c r="I5" s="12"/>
      <c r="J5" s="7"/>
      <c r="K5" s="10"/>
      <c r="L5" s="12"/>
      <c r="M5" s="7"/>
      <c r="N5" s="10"/>
      <c r="O5" s="12"/>
      <c r="P5" s="7"/>
    </row>
    <row r="6" spans="1:17" s="5" customFormat="1" ht="15.75" thickBot="1" x14ac:dyDescent="0.3">
      <c r="B6" s="3"/>
      <c r="C6" s="8" t="s">
        <v>1</v>
      </c>
      <c r="D6" s="27" t="s">
        <v>4</v>
      </c>
      <c r="E6" s="29"/>
      <c r="F6" s="27" t="s">
        <v>4</v>
      </c>
      <c r="G6" s="29"/>
      <c r="H6" s="27" t="s">
        <v>8</v>
      </c>
      <c r="I6" s="28"/>
      <c r="J6" s="29"/>
      <c r="K6" s="27" t="s">
        <v>12</v>
      </c>
      <c r="L6" s="28"/>
      <c r="M6" s="29"/>
      <c r="N6" s="27" t="s">
        <v>13</v>
      </c>
      <c r="O6" s="28"/>
      <c r="P6" s="29"/>
    </row>
    <row r="7" spans="1:17" s="5" customFormat="1" ht="15.75" thickBot="1" x14ac:dyDescent="0.3">
      <c r="B7" s="2" t="s">
        <v>0</v>
      </c>
      <c r="C7" s="9" t="s">
        <v>2</v>
      </c>
      <c r="D7" s="11" t="s">
        <v>5</v>
      </c>
      <c r="E7" s="9" t="s">
        <v>6</v>
      </c>
      <c r="F7" s="11" t="s">
        <v>5</v>
      </c>
      <c r="G7" s="9" t="s">
        <v>6</v>
      </c>
      <c r="H7" s="11" t="s">
        <v>9</v>
      </c>
      <c r="I7" s="13" t="s">
        <v>10</v>
      </c>
      <c r="J7" s="9" t="s">
        <v>11</v>
      </c>
      <c r="K7" s="14" t="s">
        <v>9</v>
      </c>
      <c r="L7" s="15" t="s">
        <v>10</v>
      </c>
      <c r="M7" s="16" t="s">
        <v>11</v>
      </c>
      <c r="N7" s="14" t="s">
        <v>9</v>
      </c>
      <c r="O7" s="15" t="s">
        <v>10</v>
      </c>
      <c r="P7" s="16" t="s">
        <v>11</v>
      </c>
    </row>
    <row r="8" spans="1:17" x14ac:dyDescent="0.25">
      <c r="B8" t="s">
        <v>15</v>
      </c>
      <c r="C8" t="s">
        <v>27</v>
      </c>
      <c r="D8">
        <v>14</v>
      </c>
      <c r="E8" s="24">
        <v>16</v>
      </c>
      <c r="H8" s="22">
        <v>99026</v>
      </c>
      <c r="I8">
        <v>23623</v>
      </c>
      <c r="J8" s="6">
        <f>+H8+I8</f>
        <v>122649</v>
      </c>
      <c r="K8" s="6">
        <f>92955.35+2232.24+10352.17+272.64+5361.04</f>
        <v>111173.44</v>
      </c>
      <c r="L8" s="6">
        <f>30915.79+6175.68+3708.92+108.52</f>
        <v>40908.909999999996</v>
      </c>
      <c r="M8" s="6">
        <f>+K8+L8</f>
        <v>152082.35</v>
      </c>
      <c r="N8" s="20">
        <f>+(K8-H8)/H8</f>
        <v>0.12266919798840711</v>
      </c>
      <c r="O8" s="20">
        <f>+(L8-I8)/I8</f>
        <v>0.73174067645938268</v>
      </c>
      <c r="P8" s="20">
        <f>+(M8-J8)/J8</f>
        <v>0.23998035043090449</v>
      </c>
      <c r="Q8" s="20"/>
    </row>
    <row r="9" spans="1:17" x14ac:dyDescent="0.25">
      <c r="B9" t="s">
        <v>16</v>
      </c>
      <c r="C9" t="s">
        <v>27</v>
      </c>
      <c r="D9">
        <v>14</v>
      </c>
      <c r="E9" s="24">
        <v>16</v>
      </c>
      <c r="H9" s="22">
        <v>94310</v>
      </c>
      <c r="I9">
        <v>16782</v>
      </c>
      <c r="J9" s="6">
        <f t="shared" ref="J9:J19" si="0">+H9+I9</f>
        <v>111092</v>
      </c>
      <c r="K9" s="6">
        <f>100851.47+4736+1731.05</f>
        <v>107318.52</v>
      </c>
      <c r="L9" s="6">
        <f>14495.35+7349.53+3351.76</f>
        <v>25196.639999999999</v>
      </c>
      <c r="M9" s="6">
        <f t="shared" ref="M9:M19" si="1">+K9+L9</f>
        <v>132515.16</v>
      </c>
      <c r="N9" s="20">
        <f>+(K9-H9)/H9</f>
        <v>0.13793362315767155</v>
      </c>
      <c r="O9" s="20">
        <f>+(L9-I9)/I9</f>
        <v>0.50140865212727914</v>
      </c>
      <c r="P9" s="20">
        <f>+(M9-J9)/J9</f>
        <v>0.1928416087567062</v>
      </c>
      <c r="Q9" s="20" t="s">
        <v>34</v>
      </c>
    </row>
    <row r="10" spans="1:17" x14ac:dyDescent="0.25">
      <c r="B10" t="s">
        <v>17</v>
      </c>
      <c r="C10" t="s">
        <v>27</v>
      </c>
      <c r="D10">
        <v>14</v>
      </c>
      <c r="E10" s="24">
        <v>16</v>
      </c>
      <c r="H10" s="22">
        <v>113172</v>
      </c>
      <c r="I10">
        <v>19021</v>
      </c>
      <c r="J10" s="6">
        <f t="shared" si="0"/>
        <v>132193</v>
      </c>
      <c r="K10" s="6">
        <f>115147.61+2991.44+5677.08</f>
        <v>123816.13</v>
      </c>
      <c r="L10" s="6">
        <f>20031.14+4392.39+3717.2</f>
        <v>28140.73</v>
      </c>
      <c r="M10" s="6">
        <f t="shared" si="1"/>
        <v>151956.86000000002</v>
      </c>
      <c r="N10" s="20">
        <f>+(K10-H10)/H10</f>
        <v>9.4052680875128164E-2</v>
      </c>
      <c r="O10" s="20">
        <f>+(L10-I10)/I10</f>
        <v>0.47945586457073758</v>
      </c>
      <c r="P10" s="20">
        <f>+(M10-J10)/J10</f>
        <v>0.14950761386760278</v>
      </c>
      <c r="Q10" s="20"/>
    </row>
    <row r="11" spans="1:17" x14ac:dyDescent="0.25">
      <c r="B11" t="s">
        <v>18</v>
      </c>
      <c r="C11" t="s">
        <v>27</v>
      </c>
      <c r="D11">
        <v>14</v>
      </c>
      <c r="E11" s="24">
        <v>16</v>
      </c>
      <c r="H11" s="22">
        <v>103741</v>
      </c>
      <c r="I11">
        <v>17615</v>
      </c>
      <c r="J11" s="6">
        <f t="shared" si="0"/>
        <v>121356</v>
      </c>
      <c r="K11" s="6">
        <f>97369.53+17294.76+3349.78+134.22</f>
        <v>118148.29</v>
      </c>
      <c r="L11" s="6">
        <f>35422.49+5547.28+3601.62</f>
        <v>44571.39</v>
      </c>
      <c r="M11" s="6">
        <f t="shared" si="1"/>
        <v>162719.67999999999</v>
      </c>
      <c r="N11" s="20">
        <f>+(K11-H11)/H11</f>
        <v>0.13887749298734342</v>
      </c>
      <c r="O11" s="20">
        <f>+(L11-I11)/I11</f>
        <v>1.5303088277036616</v>
      </c>
      <c r="P11" s="20">
        <f>+(M11-J11)/J11</f>
        <v>0.34084577606381222</v>
      </c>
      <c r="Q11" s="20"/>
    </row>
    <row r="12" spans="1:17" x14ac:dyDescent="0.25">
      <c r="B12" t="s">
        <v>19</v>
      </c>
      <c r="C12" t="s">
        <v>27</v>
      </c>
      <c r="D12">
        <v>14</v>
      </c>
      <c r="E12" s="24">
        <v>16</v>
      </c>
      <c r="H12" s="22">
        <v>92608</v>
      </c>
      <c r="I12">
        <v>19414</v>
      </c>
      <c r="J12" s="6">
        <f t="shared" si="0"/>
        <v>112022</v>
      </c>
      <c r="K12" s="6">
        <f>96143.75+6826.42+3154.32+5076.96</f>
        <v>111201.45000000001</v>
      </c>
      <c r="L12" s="6">
        <f>20173.85+7772.56+3726.04</f>
        <v>31672.45</v>
      </c>
      <c r="M12" s="6">
        <f t="shared" si="1"/>
        <v>142873.90000000002</v>
      </c>
      <c r="N12" s="20">
        <f>+(K12-H12)/H12</f>
        <v>0.20077585089841063</v>
      </c>
      <c r="O12" s="20">
        <f>+(L12-I12)/I12</f>
        <v>0.63142319975275574</v>
      </c>
      <c r="P12" s="20">
        <f>+(M12-J12)/J12</f>
        <v>0.27540929460284608</v>
      </c>
      <c r="Q12" s="20"/>
    </row>
    <row r="13" spans="1:17" x14ac:dyDescent="0.25">
      <c r="B13" t="s">
        <v>20</v>
      </c>
      <c r="C13" t="s">
        <v>27</v>
      </c>
      <c r="D13">
        <v>14</v>
      </c>
      <c r="E13" s="24">
        <v>16</v>
      </c>
      <c r="H13" s="22">
        <v>103741</v>
      </c>
      <c r="I13">
        <v>44424</v>
      </c>
      <c r="J13" s="6">
        <f t="shared" si="0"/>
        <v>148165</v>
      </c>
      <c r="K13" s="6">
        <f>93658.5+9874.21+5844.69+0</f>
        <v>109377.4</v>
      </c>
      <c r="L13" s="6">
        <f>45883.88+13874.44+3575.41</f>
        <v>63333.729999999996</v>
      </c>
      <c r="M13" s="6">
        <f t="shared" si="1"/>
        <v>172711.13</v>
      </c>
      <c r="N13" s="20">
        <f>+(K13-H13)/H13</f>
        <v>5.433146007846458E-2</v>
      </c>
      <c r="O13" s="20">
        <f>+(L13-I13)/I13</f>
        <v>0.42566473077615696</v>
      </c>
      <c r="P13" s="20">
        <f>+(M13-J13)/J13</f>
        <v>0.16566753281814198</v>
      </c>
      <c r="Q13" s="20" t="s">
        <v>33</v>
      </c>
    </row>
    <row r="14" spans="1:17" x14ac:dyDescent="0.25">
      <c r="B14" t="s">
        <v>21</v>
      </c>
      <c r="C14" t="s">
        <v>27</v>
      </c>
      <c r="D14">
        <v>14</v>
      </c>
      <c r="E14" s="24">
        <v>16</v>
      </c>
      <c r="H14" s="22">
        <v>103740</v>
      </c>
      <c r="I14">
        <v>25216</v>
      </c>
      <c r="J14" s="6">
        <f t="shared" si="0"/>
        <v>128956</v>
      </c>
      <c r="K14" s="6">
        <f>83208.93+10454.09+7146.38+1025.76+5076.96</f>
        <v>106912.12</v>
      </c>
      <c r="L14" s="6">
        <f>15691.47+6646.25+3705.37</f>
        <v>26043.09</v>
      </c>
      <c r="M14" s="6">
        <f t="shared" si="1"/>
        <v>132955.21</v>
      </c>
      <c r="N14" s="20">
        <f>+(K14-H14)/H14</f>
        <v>3.0577597840755692E-2</v>
      </c>
      <c r="O14" s="20">
        <f>+(L14-I14)/I14</f>
        <v>3.2800206218274119E-2</v>
      </c>
      <c r="P14" s="20">
        <f>+(M14-J14)/J14</f>
        <v>3.1012205713576661E-2</v>
      </c>
      <c r="Q14" s="20"/>
    </row>
    <row r="15" spans="1:17" x14ac:dyDescent="0.25">
      <c r="B15" t="s">
        <v>22</v>
      </c>
      <c r="C15" t="s">
        <v>27</v>
      </c>
      <c r="D15">
        <v>14</v>
      </c>
      <c r="E15" s="24">
        <v>16</v>
      </c>
      <c r="H15" s="22">
        <v>103741</v>
      </c>
      <c r="I15">
        <v>19845</v>
      </c>
      <c r="J15" s="6">
        <f t="shared" si="0"/>
        <v>123586</v>
      </c>
      <c r="K15" s="6">
        <f>108058.85+3739.06+4750.25+357.92</f>
        <v>116906.08</v>
      </c>
      <c r="L15" s="6">
        <f>16809.56+4471.32+3735.1</f>
        <v>25015.98</v>
      </c>
      <c r="M15" s="6">
        <f t="shared" si="1"/>
        <v>141922.06</v>
      </c>
      <c r="N15" s="20">
        <f>+(K15-H15)/H15</f>
        <v>0.12690334583240959</v>
      </c>
      <c r="O15" s="20">
        <f>+(L15-I15)/I15</f>
        <v>0.2605684051398337</v>
      </c>
      <c r="P15" s="20">
        <f>+(M15-J15)/J15</f>
        <v>0.14836680530157137</v>
      </c>
      <c r="Q15" s="20"/>
    </row>
    <row r="16" spans="1:17" x14ac:dyDescent="0.25">
      <c r="B16" t="s">
        <v>23</v>
      </c>
      <c r="C16" t="s">
        <v>27</v>
      </c>
      <c r="D16">
        <v>14</v>
      </c>
      <c r="E16" s="24">
        <v>16</v>
      </c>
      <c r="H16" s="22">
        <v>103739</v>
      </c>
      <c r="I16">
        <v>20380</v>
      </c>
      <c r="J16" s="6">
        <f t="shared" si="0"/>
        <v>124119</v>
      </c>
      <c r="K16" s="6">
        <f>96317.33+7589.05+3197.31+5076.96</f>
        <v>112180.65000000001</v>
      </c>
      <c r="L16" s="6">
        <f>12531.1+5399.47+3597.99</f>
        <v>21528.559999999998</v>
      </c>
      <c r="M16" s="6">
        <f t="shared" si="1"/>
        <v>133709.21000000002</v>
      </c>
      <c r="N16" s="20">
        <f>+(K16-H16)/H16</f>
        <v>8.1373928802089948E-2</v>
      </c>
      <c r="O16" s="20">
        <f>+(L16-I16)/I16</f>
        <v>5.6357212953876232E-2</v>
      </c>
      <c r="P16" s="20">
        <f>+(M16-J16)/J16</f>
        <v>7.7266252547958172E-2</v>
      </c>
      <c r="Q16" s="20"/>
    </row>
    <row r="17" spans="1:17" x14ac:dyDescent="0.25">
      <c r="B17" t="s">
        <v>24</v>
      </c>
      <c r="C17" t="s">
        <v>27</v>
      </c>
      <c r="D17">
        <v>14</v>
      </c>
      <c r="E17" s="24">
        <v>16</v>
      </c>
      <c r="H17" s="22">
        <v>103741</v>
      </c>
      <c r="I17">
        <v>21021</v>
      </c>
      <c r="J17" s="6">
        <f t="shared" si="0"/>
        <v>124762</v>
      </c>
      <c r="K17" s="6">
        <f>91466.41+9687.12+6737.19</f>
        <v>107890.72</v>
      </c>
      <c r="L17" s="6">
        <f>19519.32+5568.38+3714.04</f>
        <v>28801.74</v>
      </c>
      <c r="M17" s="6">
        <f t="shared" si="1"/>
        <v>136692.46</v>
      </c>
      <c r="N17" s="20">
        <f>+(K17-H17)/H17</f>
        <v>4.0000771151232406E-2</v>
      </c>
      <c r="O17" s="20">
        <f>+(L17-I17)/I17</f>
        <v>0.37014128728414453</v>
      </c>
      <c r="P17" s="20">
        <f>+(M17-J17)/J17</f>
        <v>9.5625751430724035E-2</v>
      </c>
      <c r="Q17" s="20"/>
    </row>
    <row r="18" spans="1:17" x14ac:dyDescent="0.25">
      <c r="B18" t="s">
        <v>25</v>
      </c>
      <c r="C18" t="s">
        <v>27</v>
      </c>
      <c r="D18">
        <v>14</v>
      </c>
      <c r="E18" s="24">
        <v>16</v>
      </c>
      <c r="H18" s="22">
        <v>102738</v>
      </c>
      <c r="I18">
        <v>19519</v>
      </c>
      <c r="J18" s="6">
        <f t="shared" si="0"/>
        <v>122257</v>
      </c>
      <c r="K18" s="6">
        <f>87873.66+3415.04+8535.56+10527.2</f>
        <v>110351.45999999999</v>
      </c>
      <c r="L18" s="6">
        <f>15263.3+3044.22+3725.89</f>
        <v>22033.41</v>
      </c>
      <c r="M18" s="6">
        <f t="shared" si="1"/>
        <v>132384.87</v>
      </c>
      <c r="N18" s="20">
        <f>+(K18-H18)/H18</f>
        <v>7.4105588973894687E-2</v>
      </c>
      <c r="O18" s="20">
        <f>+(L18-I18)/I18</f>
        <v>0.12881858701777754</v>
      </c>
      <c r="P18" s="20">
        <f>+(M18-J18)/J18</f>
        <v>8.2840818930613347E-2</v>
      </c>
      <c r="Q18" s="20"/>
    </row>
    <row r="19" spans="1:17" x14ac:dyDescent="0.25">
      <c r="B19" t="s">
        <v>26</v>
      </c>
      <c r="C19" t="s">
        <v>27</v>
      </c>
      <c r="D19">
        <v>14</v>
      </c>
      <c r="E19" s="24">
        <v>16</v>
      </c>
      <c r="H19" s="22">
        <v>111523</v>
      </c>
      <c r="I19">
        <v>15662</v>
      </c>
      <c r="J19" s="6">
        <f t="shared" si="0"/>
        <v>127185</v>
      </c>
      <c r="K19" s="6">
        <f>86496.46+5795.34+6702.67+10527.2</f>
        <v>109521.67</v>
      </c>
      <c r="L19" s="6">
        <f>23451.2+8090.36+3966.93</f>
        <v>35508.49</v>
      </c>
      <c r="M19" s="6">
        <f t="shared" si="1"/>
        <v>145030.16</v>
      </c>
      <c r="N19" s="20">
        <f>+(K19-H19)/H19</f>
        <v>-1.7945446230822358E-2</v>
      </c>
      <c r="O19" s="20">
        <f>+(L19-I19)/I19</f>
        <v>1.2671746903332906</v>
      </c>
      <c r="P19" s="20">
        <f>+(M19-J19)/J19</f>
        <v>0.14030868420018086</v>
      </c>
      <c r="Q19" s="20"/>
    </row>
    <row r="21" spans="1:17" x14ac:dyDescent="0.25">
      <c r="A21" s="4"/>
      <c r="B21" t="s">
        <v>15</v>
      </c>
      <c r="C21" t="s">
        <v>14</v>
      </c>
      <c r="D21">
        <v>25</v>
      </c>
      <c r="E21" s="24">
        <v>23</v>
      </c>
      <c r="G21" s="24">
        <v>1</v>
      </c>
      <c r="H21" s="22">
        <v>153100</v>
      </c>
      <c r="I21" s="6">
        <v>0</v>
      </c>
      <c r="J21" s="6">
        <f>+H21+I21</f>
        <v>153100</v>
      </c>
      <c r="K21" s="6">
        <f>121460.35+6658.78</f>
        <v>128119.13</v>
      </c>
      <c r="L21" s="6">
        <f>6843.76</f>
        <v>6843.76</v>
      </c>
      <c r="M21" s="6">
        <f>+K21+L21</f>
        <v>134962.89000000001</v>
      </c>
      <c r="N21" s="20">
        <f>+(K21-H21)/H21</f>
        <v>-0.16316701502286085</v>
      </c>
      <c r="O21" s="20" t="e">
        <f t="shared" ref="O21:P21" si="2">+(L21-I21)/I21</f>
        <v>#DIV/0!</v>
      </c>
      <c r="P21" s="20">
        <f t="shared" si="2"/>
        <v>-0.11846577400391892</v>
      </c>
      <c r="Q21" s="20"/>
    </row>
    <row r="22" spans="1:17" x14ac:dyDescent="0.25">
      <c r="B22" t="s">
        <v>16</v>
      </c>
      <c r="C22" t="s">
        <v>14</v>
      </c>
      <c r="D22">
        <v>25</v>
      </c>
      <c r="E22" s="24">
        <v>23</v>
      </c>
      <c r="G22" s="24">
        <v>1</v>
      </c>
      <c r="H22" s="22">
        <v>146003.99999999997</v>
      </c>
      <c r="I22" s="6">
        <v>0</v>
      </c>
      <c r="J22" s="6">
        <f t="shared" ref="J22:J32" si="3">+H22+I22</f>
        <v>146003.99999999997</v>
      </c>
      <c r="K22" s="6">
        <f>129524.88+8119.53+3882.04+0</f>
        <v>141526.45000000001</v>
      </c>
      <c r="L22" s="6">
        <f>811.31+1779.1</f>
        <v>2590.41</v>
      </c>
      <c r="M22" s="6">
        <f t="shared" ref="M22:M32" si="4">+K22+L22</f>
        <v>144116.86000000002</v>
      </c>
      <c r="N22" s="20">
        <f t="shared" ref="N22:N32" si="5">+(K22-H22)/H22</f>
        <v>-3.0667310484643984E-2</v>
      </c>
      <c r="O22" s="20" t="e">
        <f t="shared" ref="O22:O32" si="6">+(L22-I22)/I22</f>
        <v>#DIV/0!</v>
      </c>
      <c r="P22" s="20">
        <f t="shared" ref="P22:P32" si="7">+(M22-J22)/J22</f>
        <v>-1.2925262321579931E-2</v>
      </c>
      <c r="Q22" s="20"/>
    </row>
    <row r="23" spans="1:17" x14ac:dyDescent="0.25">
      <c r="B23" t="s">
        <v>17</v>
      </c>
      <c r="C23" t="s">
        <v>14</v>
      </c>
      <c r="D23">
        <v>25</v>
      </c>
      <c r="E23" s="24">
        <v>22</v>
      </c>
      <c r="G23" s="24">
        <v>1</v>
      </c>
      <c r="H23" s="22">
        <v>174451</v>
      </c>
      <c r="I23" s="6">
        <v>0</v>
      </c>
      <c r="J23" s="6">
        <f t="shared" si="3"/>
        <v>174451</v>
      </c>
      <c r="K23" s="6">
        <f>135828.48+5217.05+347.68</f>
        <v>141393.21</v>
      </c>
      <c r="L23" s="6">
        <f>331.16+654.49</f>
        <v>985.65000000000009</v>
      </c>
      <c r="M23" s="6">
        <f t="shared" si="4"/>
        <v>142378.85999999999</v>
      </c>
      <c r="N23" s="20">
        <f t="shared" si="5"/>
        <v>-0.1894961335847889</v>
      </c>
      <c r="O23" s="20" t="e">
        <f t="shared" si="6"/>
        <v>#DIV/0!</v>
      </c>
      <c r="P23" s="20">
        <f t="shared" si="7"/>
        <v>-0.1838461229800919</v>
      </c>
      <c r="Q23" s="20"/>
    </row>
    <row r="24" spans="1:17" x14ac:dyDescent="0.25">
      <c r="B24" t="s">
        <v>18</v>
      </c>
      <c r="C24" t="s">
        <v>14</v>
      </c>
      <c r="D24">
        <v>25</v>
      </c>
      <c r="E24" s="24">
        <v>22</v>
      </c>
      <c r="G24" s="24">
        <v>2</v>
      </c>
      <c r="H24" s="22">
        <v>160214</v>
      </c>
      <c r="I24" s="6">
        <v>0</v>
      </c>
      <c r="J24" s="6">
        <f t="shared" si="3"/>
        <v>160214</v>
      </c>
      <c r="K24" s="6">
        <f>124774.97+7542.2+4033.58</f>
        <v>136350.75</v>
      </c>
      <c r="L24" s="6">
        <f>1143.68+2685.81</f>
        <v>3829.49</v>
      </c>
      <c r="M24" s="6">
        <f t="shared" si="4"/>
        <v>140180.24</v>
      </c>
      <c r="N24" s="20">
        <f t="shared" si="5"/>
        <v>-0.14894609709513526</v>
      </c>
      <c r="O24" s="20" t="e">
        <f t="shared" si="6"/>
        <v>#DIV/0!</v>
      </c>
      <c r="P24" s="20">
        <f t="shared" si="7"/>
        <v>-0.12504375397905307</v>
      </c>
      <c r="Q24" s="20"/>
    </row>
    <row r="25" spans="1:17" x14ac:dyDescent="0.25">
      <c r="B25" t="s">
        <v>19</v>
      </c>
      <c r="C25" t="s">
        <v>14</v>
      </c>
      <c r="D25">
        <v>25</v>
      </c>
      <c r="E25" s="24">
        <v>22</v>
      </c>
      <c r="G25" s="24">
        <v>2</v>
      </c>
      <c r="H25" s="22">
        <v>146003.99999999997</v>
      </c>
      <c r="I25" s="6">
        <v>0</v>
      </c>
      <c r="J25" s="6">
        <f t="shared" si="3"/>
        <v>146003.99999999997</v>
      </c>
      <c r="K25" s="6">
        <f>136024.25+5043.03+3514.04+6731.1</f>
        <v>151312.42000000001</v>
      </c>
      <c r="L25" s="6">
        <f>320.75</f>
        <v>320.75</v>
      </c>
      <c r="M25" s="6">
        <f t="shared" si="4"/>
        <v>151633.17000000001</v>
      </c>
      <c r="N25" s="20">
        <f t="shared" si="5"/>
        <v>3.6358044985069199E-2</v>
      </c>
      <c r="O25" s="20" t="e">
        <f t="shared" si="6"/>
        <v>#DIV/0!</v>
      </c>
      <c r="P25" s="20">
        <f t="shared" si="7"/>
        <v>3.8554902605408364E-2</v>
      </c>
      <c r="Q25" s="20"/>
    </row>
    <row r="26" spans="1:17" x14ac:dyDescent="0.25">
      <c r="B26" t="s">
        <v>20</v>
      </c>
      <c r="C26" t="s">
        <v>14</v>
      </c>
      <c r="D26">
        <v>25</v>
      </c>
      <c r="E26" s="24">
        <v>22</v>
      </c>
      <c r="G26" s="24">
        <v>2</v>
      </c>
      <c r="H26" s="22">
        <v>160214</v>
      </c>
      <c r="I26" s="6">
        <v>0</v>
      </c>
      <c r="J26" s="6">
        <f t="shared" si="3"/>
        <v>160214</v>
      </c>
      <c r="K26" s="6">
        <f>137780.28+12244.14+3402.77+192.88</f>
        <v>153620.06999999998</v>
      </c>
      <c r="L26" s="6">
        <f>235.07+917.71</f>
        <v>1152.78</v>
      </c>
      <c r="M26" s="6">
        <f t="shared" si="4"/>
        <v>154772.84999999998</v>
      </c>
      <c r="N26" s="20">
        <f t="shared" si="5"/>
        <v>-4.1157014992447741E-2</v>
      </c>
      <c r="O26" s="20" t="e">
        <f t="shared" si="6"/>
        <v>#DIV/0!</v>
      </c>
      <c r="P26" s="20">
        <f t="shared" si="7"/>
        <v>-3.3961763641130134E-2</v>
      </c>
      <c r="Q26" s="20"/>
    </row>
    <row r="27" spans="1:17" x14ac:dyDescent="0.25">
      <c r="B27" t="s">
        <v>21</v>
      </c>
      <c r="C27" t="s">
        <v>14</v>
      </c>
      <c r="D27">
        <v>25</v>
      </c>
      <c r="E27" s="24">
        <v>22</v>
      </c>
      <c r="G27" s="24">
        <v>3</v>
      </c>
      <c r="H27" s="22">
        <v>160214</v>
      </c>
      <c r="I27" s="6">
        <v>0</v>
      </c>
      <c r="J27" s="6">
        <f t="shared" si="3"/>
        <v>160214</v>
      </c>
      <c r="K27" s="6">
        <f>120285.84+20186.08+2129.1+6751.26</f>
        <v>149352.28</v>
      </c>
      <c r="L27" s="6">
        <f>33.89</f>
        <v>33.89</v>
      </c>
      <c r="M27" s="6">
        <f t="shared" si="4"/>
        <v>149386.17000000001</v>
      </c>
      <c r="N27" s="20">
        <f t="shared" si="5"/>
        <v>-6.7795074088406765E-2</v>
      </c>
      <c r="O27" s="20" t="e">
        <f t="shared" si="6"/>
        <v>#DIV/0!</v>
      </c>
      <c r="P27" s="20">
        <f t="shared" si="7"/>
        <v>-6.7583544509218843E-2</v>
      </c>
      <c r="Q27" s="20"/>
    </row>
    <row r="28" spans="1:17" x14ac:dyDescent="0.25">
      <c r="B28" t="s">
        <v>22</v>
      </c>
      <c r="C28" t="s">
        <v>14</v>
      </c>
      <c r="D28">
        <v>25</v>
      </c>
      <c r="E28" s="24">
        <v>22</v>
      </c>
      <c r="G28" s="24">
        <v>3</v>
      </c>
      <c r="H28" s="22">
        <v>160214</v>
      </c>
      <c r="I28" s="6">
        <v>0</v>
      </c>
      <c r="J28" s="6">
        <f t="shared" si="3"/>
        <v>160214</v>
      </c>
      <c r="K28" s="6">
        <f>147651.76+11431.4+5329.97</f>
        <v>164413.13</v>
      </c>
      <c r="L28" s="6">
        <f>0</f>
        <v>0</v>
      </c>
      <c r="M28" s="6">
        <f t="shared" si="4"/>
        <v>164413.13</v>
      </c>
      <c r="N28" s="20">
        <f t="shared" si="5"/>
        <v>2.6209507284007668E-2</v>
      </c>
      <c r="O28" s="20" t="e">
        <f t="shared" si="6"/>
        <v>#DIV/0!</v>
      </c>
      <c r="P28" s="20">
        <f t="shared" si="7"/>
        <v>2.6209507284007668E-2</v>
      </c>
      <c r="Q28" s="20"/>
    </row>
    <row r="29" spans="1:17" x14ac:dyDescent="0.25">
      <c r="B29" t="s">
        <v>23</v>
      </c>
      <c r="C29" t="s">
        <v>14</v>
      </c>
      <c r="D29">
        <v>25</v>
      </c>
      <c r="E29" s="24">
        <v>21</v>
      </c>
      <c r="G29" s="24">
        <v>3</v>
      </c>
      <c r="H29" s="22">
        <v>160214</v>
      </c>
      <c r="I29" s="6">
        <v>0</v>
      </c>
      <c r="J29" s="6">
        <f t="shared" si="3"/>
        <v>160214</v>
      </c>
      <c r="K29" s="6">
        <f>127919.54+11294.77+3546.16+6606.9</f>
        <v>149367.37</v>
      </c>
      <c r="L29" s="6">
        <f>535.1</f>
        <v>535.1</v>
      </c>
      <c r="M29" s="6">
        <f t="shared" si="4"/>
        <v>149902.47</v>
      </c>
      <c r="N29" s="20">
        <f t="shared" si="5"/>
        <v>-6.7700887562884671E-2</v>
      </c>
      <c r="O29" s="20" t="e">
        <f t="shared" si="6"/>
        <v>#DIV/0!</v>
      </c>
      <c r="P29" s="20">
        <f t="shared" si="7"/>
        <v>-6.436097968966506E-2</v>
      </c>
      <c r="Q29" s="20"/>
    </row>
    <row r="30" spans="1:17" x14ac:dyDescent="0.25">
      <c r="B30" t="s">
        <v>24</v>
      </c>
      <c r="C30" t="s">
        <v>14</v>
      </c>
      <c r="D30">
        <v>25</v>
      </c>
      <c r="E30" s="24">
        <v>22</v>
      </c>
      <c r="G30" s="24">
        <v>3</v>
      </c>
      <c r="H30" s="22">
        <v>160214</v>
      </c>
      <c r="I30" s="6">
        <v>0</v>
      </c>
      <c r="J30" s="6">
        <f t="shared" si="3"/>
        <v>160214</v>
      </c>
      <c r="K30" s="6">
        <f>128989.69+10555.59+4287.03+1278.24</f>
        <v>145110.54999999999</v>
      </c>
      <c r="L30" s="6">
        <f>466.66</f>
        <v>466.66</v>
      </c>
      <c r="M30" s="6">
        <f t="shared" si="4"/>
        <v>145577.21</v>
      </c>
      <c r="N30" s="20">
        <f t="shared" si="5"/>
        <v>-9.4270475738699566E-2</v>
      </c>
      <c r="O30" s="20" t="e">
        <f t="shared" si="6"/>
        <v>#DIV/0!</v>
      </c>
      <c r="P30" s="20">
        <f t="shared" si="7"/>
        <v>-9.1357746514037524E-2</v>
      </c>
      <c r="Q30" s="20"/>
    </row>
    <row r="31" spans="1:17" x14ac:dyDescent="0.25">
      <c r="B31" t="s">
        <v>25</v>
      </c>
      <c r="C31" t="s">
        <v>14</v>
      </c>
      <c r="D31">
        <v>25</v>
      </c>
      <c r="E31" s="24">
        <v>22</v>
      </c>
      <c r="G31" s="24">
        <v>2</v>
      </c>
      <c r="H31" s="22">
        <v>164496.32000000001</v>
      </c>
      <c r="I31" s="6">
        <v>0</v>
      </c>
      <c r="J31" s="6">
        <f t="shared" si="3"/>
        <v>164496.32000000001</v>
      </c>
      <c r="K31" s="6">
        <f>134790+6304.68+6314.35+14455.39</f>
        <v>161864.41999999998</v>
      </c>
      <c r="L31" s="6">
        <f>548.37+98.13</f>
        <v>646.5</v>
      </c>
      <c r="M31" s="6">
        <f t="shared" si="4"/>
        <v>162510.91999999998</v>
      </c>
      <c r="N31" s="20">
        <f t="shared" si="5"/>
        <v>-1.5999750024803128E-2</v>
      </c>
      <c r="O31" s="20" t="e">
        <f t="shared" si="6"/>
        <v>#DIV/0!</v>
      </c>
      <c r="P31" s="20">
        <f t="shared" si="7"/>
        <v>-1.2069570918060801E-2</v>
      </c>
      <c r="Q31" s="20"/>
    </row>
    <row r="32" spans="1:17" x14ac:dyDescent="0.25">
      <c r="B32" t="s">
        <v>26</v>
      </c>
      <c r="C32" t="s">
        <v>14</v>
      </c>
      <c r="D32">
        <v>25</v>
      </c>
      <c r="E32" s="24">
        <v>22</v>
      </c>
      <c r="G32" s="24">
        <v>2</v>
      </c>
      <c r="H32" s="22">
        <v>171794.32</v>
      </c>
      <c r="I32" s="6">
        <v>0</v>
      </c>
      <c r="J32" s="6">
        <f t="shared" si="3"/>
        <v>171794.32</v>
      </c>
      <c r="K32" s="6">
        <f>130959.1+17564.71+5699.85+718.7+14455.39</f>
        <v>169397.75</v>
      </c>
      <c r="L32" s="6">
        <f>604.86+1980.78</f>
        <v>2585.64</v>
      </c>
      <c r="M32" s="6">
        <f t="shared" si="4"/>
        <v>171983.39</v>
      </c>
      <c r="N32" s="20">
        <f t="shared" si="5"/>
        <v>-1.3950228389390329E-2</v>
      </c>
      <c r="O32" s="20" t="e">
        <f t="shared" si="6"/>
        <v>#DIV/0!</v>
      </c>
      <c r="P32" s="20">
        <f t="shared" si="7"/>
        <v>1.1005602513517734E-3</v>
      </c>
      <c r="Q32" s="20"/>
    </row>
    <row r="33" spans="2:17" x14ac:dyDescent="0.25">
      <c r="K33" s="6"/>
      <c r="L33" s="6"/>
      <c r="M33" s="6"/>
      <c r="N33" s="20"/>
      <c r="O33" s="20"/>
      <c r="P33" s="20"/>
      <c r="Q33" s="20"/>
    </row>
    <row r="34" spans="2:17" x14ac:dyDescent="0.25">
      <c r="B34" t="s">
        <v>11</v>
      </c>
      <c r="H34" s="18">
        <f>SUM(H8:H32)</f>
        <v>3152953.6399999997</v>
      </c>
      <c r="I34" s="18">
        <f>SUM(I8:I32)</f>
        <v>262522</v>
      </c>
      <c r="J34" s="18">
        <f>SUM(J8:J32)</f>
        <v>3415475.6399999997</v>
      </c>
      <c r="K34" s="18">
        <f>SUM(K8:K32)</f>
        <v>3136625.4599999995</v>
      </c>
      <c r="L34" s="18">
        <f>SUM(L8:L32)</f>
        <v>412745.74999999994</v>
      </c>
      <c r="M34" s="18">
        <f>SUM(M8:M32)</f>
        <v>3549371.2100000004</v>
      </c>
      <c r="N34" s="20">
        <f t="shared" ref="N34" si="8">+(K34-H34)/H34</f>
        <v>-5.1786933346727451E-3</v>
      </c>
      <c r="O34" s="20">
        <f t="shared" ref="O34" si="9">+(L34-I34)/I34</f>
        <v>0.57223299380623316</v>
      </c>
      <c r="P34" s="20">
        <f t="shared" ref="P34" si="10">+(M34-J34)/J34</f>
        <v>3.9202613080268019E-2</v>
      </c>
    </row>
    <row r="35" spans="2:17" x14ac:dyDescent="0.25">
      <c r="H35" s="20"/>
    </row>
    <row r="36" spans="2:17" x14ac:dyDescent="0.25">
      <c r="B36" t="s">
        <v>43</v>
      </c>
    </row>
    <row r="37" spans="2:17" x14ac:dyDescent="0.25">
      <c r="B37" t="s">
        <v>44</v>
      </c>
    </row>
    <row r="38" spans="2:17" x14ac:dyDescent="0.25">
      <c r="B38" t="s">
        <v>45</v>
      </c>
    </row>
  </sheetData>
  <mergeCells count="7">
    <mergeCell ref="N6:P6"/>
    <mergeCell ref="D5:E5"/>
    <mergeCell ref="F5:G5"/>
    <mergeCell ref="D6:E6"/>
    <mergeCell ref="F6:G6"/>
    <mergeCell ref="H6:J6"/>
    <mergeCell ref="K6:M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EEE1-9F99-4A0C-9CD3-3B9F5D708215}">
  <sheetPr>
    <pageSetUpPr fitToPage="1"/>
  </sheetPr>
  <dimension ref="A1:Q38"/>
  <sheetViews>
    <sheetView tabSelected="1" workbookViewId="0">
      <pane ySplit="7" topLeftCell="A8" activePane="bottomLeft" state="frozen"/>
      <selection pane="bottomLeft" activeCell="C17" sqref="C17"/>
    </sheetView>
  </sheetViews>
  <sheetFormatPr defaultRowHeight="15" x14ac:dyDescent="0.25"/>
  <cols>
    <col min="2" max="2" width="10.85546875" bestFit="1" customWidth="1"/>
    <col min="3" max="3" width="16.7109375" customWidth="1"/>
    <col min="4" max="5" width="14.7109375" customWidth="1"/>
    <col min="6" max="6" width="12.42578125" customWidth="1"/>
    <col min="7" max="7" width="12.7109375" customWidth="1"/>
    <col min="8" max="10" width="12.5703125" bestFit="1" customWidth="1"/>
    <col min="11" max="11" width="11.5703125" bestFit="1" customWidth="1"/>
    <col min="12" max="12" width="10" bestFit="1" customWidth="1"/>
    <col min="13" max="13" width="11.5703125" bestFit="1" customWidth="1"/>
  </cols>
  <sheetData>
    <row r="1" spans="1:17" x14ac:dyDescent="0.25">
      <c r="A1" s="4" t="s">
        <v>28</v>
      </c>
    </row>
    <row r="2" spans="1:17" x14ac:dyDescent="0.25">
      <c r="A2" s="4" t="s">
        <v>29</v>
      </c>
    </row>
    <row r="3" spans="1:17" x14ac:dyDescent="0.25">
      <c r="A3" s="4" t="s">
        <v>30</v>
      </c>
    </row>
    <row r="4" spans="1:17" ht="15.75" thickBot="1" x14ac:dyDescent="0.3">
      <c r="A4" s="4"/>
    </row>
    <row r="5" spans="1:17" s="5" customFormat="1" x14ac:dyDescent="0.25">
      <c r="B5" s="1"/>
      <c r="C5" s="7"/>
      <c r="D5" s="30" t="s">
        <v>3</v>
      </c>
      <c r="E5" s="31"/>
      <c r="F5" s="30" t="s">
        <v>7</v>
      </c>
      <c r="G5" s="31"/>
      <c r="H5" s="10"/>
      <c r="I5" s="12"/>
      <c r="J5" s="7"/>
      <c r="K5" s="10"/>
      <c r="L5" s="12"/>
      <c r="M5" s="7"/>
      <c r="N5" s="10"/>
      <c r="O5" s="12"/>
      <c r="P5" s="7"/>
    </row>
    <row r="6" spans="1:17" s="5" customFormat="1" ht="15.75" thickBot="1" x14ac:dyDescent="0.3">
      <c r="B6" s="3"/>
      <c r="C6" s="8" t="s">
        <v>1</v>
      </c>
      <c r="D6" s="27" t="s">
        <v>4</v>
      </c>
      <c r="E6" s="29"/>
      <c r="F6" s="27" t="s">
        <v>4</v>
      </c>
      <c r="G6" s="29"/>
      <c r="H6" s="27" t="s">
        <v>8</v>
      </c>
      <c r="I6" s="28"/>
      <c r="J6" s="29"/>
      <c r="K6" s="27" t="s">
        <v>12</v>
      </c>
      <c r="L6" s="28"/>
      <c r="M6" s="29"/>
      <c r="N6" s="27" t="s">
        <v>13</v>
      </c>
      <c r="O6" s="28"/>
      <c r="P6" s="29"/>
    </row>
    <row r="7" spans="1:17" s="5" customFormat="1" ht="15.75" thickBot="1" x14ac:dyDescent="0.3">
      <c r="B7" s="2" t="s">
        <v>0</v>
      </c>
      <c r="C7" s="9" t="s">
        <v>2</v>
      </c>
      <c r="D7" s="11" t="s">
        <v>5</v>
      </c>
      <c r="E7" s="9" t="s">
        <v>6</v>
      </c>
      <c r="F7" s="11" t="s">
        <v>5</v>
      </c>
      <c r="G7" s="9" t="s">
        <v>6</v>
      </c>
      <c r="H7" s="11" t="s">
        <v>9</v>
      </c>
      <c r="I7" s="13" t="s">
        <v>10</v>
      </c>
      <c r="J7" s="9" t="s">
        <v>11</v>
      </c>
      <c r="K7" s="14" t="s">
        <v>9</v>
      </c>
      <c r="L7" s="15" t="s">
        <v>10</v>
      </c>
      <c r="M7" s="16" t="s">
        <v>11</v>
      </c>
      <c r="N7" s="14" t="s">
        <v>9</v>
      </c>
      <c r="O7" s="15" t="s">
        <v>10</v>
      </c>
      <c r="P7" s="16" t="s">
        <v>11</v>
      </c>
    </row>
    <row r="8" spans="1:17" x14ac:dyDescent="0.25">
      <c r="A8" s="4"/>
      <c r="B8" s="39">
        <v>44927</v>
      </c>
      <c r="C8" t="s">
        <v>27</v>
      </c>
      <c r="D8">
        <v>16</v>
      </c>
      <c r="E8">
        <v>16</v>
      </c>
      <c r="H8" s="22">
        <v>99676</v>
      </c>
      <c r="I8" s="22">
        <v>20227</v>
      </c>
      <c r="J8" s="6">
        <f>+H8+I8</f>
        <v>119903</v>
      </c>
      <c r="K8" s="6">
        <f>96015.96+10560.32</f>
        <v>106576.28</v>
      </c>
      <c r="L8" s="6">
        <f>16908.89+7419.26+3849.97</f>
        <v>28178.120000000003</v>
      </c>
      <c r="M8" s="6">
        <f>+K8+L8</f>
        <v>134754.4</v>
      </c>
      <c r="N8" s="20">
        <f>+(K8-H8)/H8</f>
        <v>6.9227095790360751E-2</v>
      </c>
      <c r="O8" s="20">
        <f t="shared" ref="O8:P23" si="0">+(L8-I8)/I8</f>
        <v>0.39309437880061315</v>
      </c>
      <c r="P8" s="20">
        <f t="shared" si="0"/>
        <v>0.1238617882788587</v>
      </c>
    </row>
    <row r="9" spans="1:17" x14ac:dyDescent="0.25">
      <c r="B9" s="39">
        <v>44958</v>
      </c>
      <c r="C9" t="s">
        <v>27</v>
      </c>
      <c r="D9">
        <v>16</v>
      </c>
      <c r="E9">
        <v>16</v>
      </c>
      <c r="H9" s="22">
        <v>99679</v>
      </c>
      <c r="I9" s="22">
        <v>26169</v>
      </c>
      <c r="J9" s="6">
        <f t="shared" ref="J9:J19" si="1">+H9+I9</f>
        <v>125848</v>
      </c>
      <c r="K9" s="6">
        <f>90646.09+3803.72+7474.6+1101.36</f>
        <v>103025.77</v>
      </c>
      <c r="L9" s="6">
        <f>17868.16+1788.39+3538.55</f>
        <v>23195.1</v>
      </c>
      <c r="M9" s="6">
        <f t="shared" ref="M9:M19" si="2">+K9+L9</f>
        <v>126220.87</v>
      </c>
      <c r="N9" s="20">
        <f t="shared" ref="N9:P34" si="3">+(K9-H9)/H9</f>
        <v>3.3575477282075501E-2</v>
      </c>
      <c r="O9" s="20">
        <f t="shared" si="0"/>
        <v>-0.11364209560930878</v>
      </c>
      <c r="P9" s="20">
        <f t="shared" si="0"/>
        <v>2.9628599580445881E-3</v>
      </c>
    </row>
    <row r="10" spans="1:17" x14ac:dyDescent="0.25">
      <c r="B10" s="39">
        <v>44986</v>
      </c>
      <c r="C10" t="s">
        <v>27</v>
      </c>
      <c r="D10">
        <v>16</v>
      </c>
      <c r="E10">
        <v>16</v>
      </c>
      <c r="H10" s="22">
        <v>114626</v>
      </c>
      <c r="I10" s="22">
        <v>29833</v>
      </c>
      <c r="J10" s="6">
        <f t="shared" si="1"/>
        <v>144459</v>
      </c>
      <c r="K10" s="6">
        <f>98871.11+6285.69+10172.99+1029.36</f>
        <v>116359.15000000001</v>
      </c>
      <c r="L10" s="6">
        <f>37016.61+24496.2+3920.2</f>
        <v>65433.009999999995</v>
      </c>
      <c r="M10" s="6">
        <f t="shared" si="2"/>
        <v>181792.16</v>
      </c>
      <c r="N10" s="20">
        <f t="shared" si="3"/>
        <v>1.5120042573238259E-2</v>
      </c>
      <c r="O10" s="20">
        <f t="shared" si="0"/>
        <v>1.1933097576509233</v>
      </c>
      <c r="P10" s="20">
        <f t="shared" si="0"/>
        <v>0.25843429623630237</v>
      </c>
      <c r="Q10" t="s">
        <v>31</v>
      </c>
    </row>
    <row r="11" spans="1:17" x14ac:dyDescent="0.25">
      <c r="B11" s="39">
        <v>45017</v>
      </c>
      <c r="C11" t="s">
        <v>27</v>
      </c>
      <c r="D11">
        <v>16</v>
      </c>
      <c r="E11">
        <v>16</v>
      </c>
      <c r="H11" s="22">
        <v>99676</v>
      </c>
      <c r="I11" s="22">
        <v>49395</v>
      </c>
      <c r="J11" s="6">
        <f t="shared" si="1"/>
        <v>149071</v>
      </c>
      <c r="K11" s="6">
        <f>88242.24+12500.69+7113.6+588.96</f>
        <v>108445.49000000002</v>
      </c>
      <c r="L11" s="6">
        <f>16444.9+4409.32+3879.36</f>
        <v>24733.58</v>
      </c>
      <c r="M11" s="6">
        <f t="shared" si="2"/>
        <v>133179.07</v>
      </c>
      <c r="N11" s="20">
        <f t="shared" si="3"/>
        <v>8.7979955054376377E-2</v>
      </c>
      <c r="O11" s="20">
        <f t="shared" si="0"/>
        <v>-0.49926956169652797</v>
      </c>
      <c r="P11" s="20">
        <f t="shared" si="0"/>
        <v>-0.10660644927584838</v>
      </c>
    </row>
    <row r="12" spans="1:17" x14ac:dyDescent="0.25">
      <c r="B12" s="39">
        <v>45047</v>
      </c>
      <c r="C12" t="s">
        <v>27</v>
      </c>
      <c r="D12">
        <v>16</v>
      </c>
      <c r="E12">
        <v>15</v>
      </c>
      <c r="H12" s="22">
        <v>109642</v>
      </c>
      <c r="I12" s="22">
        <v>32739</v>
      </c>
      <c r="J12" s="6">
        <f t="shared" si="1"/>
        <v>142381</v>
      </c>
      <c r="K12" s="6">
        <f>95473.63+10159.91+4543.72+5002.24</f>
        <v>115179.50000000001</v>
      </c>
      <c r="L12" s="6">
        <f>18620.94+6126.54+3942.95</f>
        <v>28690.43</v>
      </c>
      <c r="M12" s="6">
        <f t="shared" si="2"/>
        <v>143869.93000000002</v>
      </c>
      <c r="N12" s="20">
        <f t="shared" si="3"/>
        <v>5.0505280823042398E-2</v>
      </c>
      <c r="O12" s="20">
        <f t="shared" si="0"/>
        <v>-0.12366199334127492</v>
      </c>
      <c r="P12" s="20">
        <f t="shared" si="0"/>
        <v>1.0457364395530458E-2</v>
      </c>
    </row>
    <row r="13" spans="1:17" x14ac:dyDescent="0.25">
      <c r="B13" s="39">
        <v>45078</v>
      </c>
      <c r="C13" t="s">
        <v>27</v>
      </c>
      <c r="D13">
        <v>16</v>
      </c>
      <c r="E13">
        <v>15</v>
      </c>
      <c r="H13" s="22">
        <v>109644</v>
      </c>
      <c r="I13" s="22">
        <v>49859</v>
      </c>
      <c r="J13" s="6">
        <f t="shared" si="1"/>
        <v>159503</v>
      </c>
      <c r="K13" s="6">
        <f>92602.75+7938.66+9247.76+367.12</f>
        <v>110156.29</v>
      </c>
      <c r="L13" s="6">
        <f>19922.47+8017.61+3798.98</f>
        <v>31739.06</v>
      </c>
      <c r="M13" s="6">
        <f t="shared" si="2"/>
        <v>141895.35</v>
      </c>
      <c r="N13" s="20">
        <f t="shared" si="3"/>
        <v>4.6723030900003067E-3</v>
      </c>
      <c r="O13" s="20">
        <f t="shared" si="0"/>
        <v>-0.36342365470627164</v>
      </c>
      <c r="P13" s="20">
        <f t="shared" si="0"/>
        <v>-0.1103907136542886</v>
      </c>
    </row>
    <row r="14" spans="1:17" x14ac:dyDescent="0.25">
      <c r="B14" s="39">
        <v>45108</v>
      </c>
      <c r="C14" t="s">
        <v>27</v>
      </c>
      <c r="D14">
        <v>16</v>
      </c>
      <c r="E14">
        <v>15</v>
      </c>
      <c r="H14" s="22">
        <v>99677</v>
      </c>
      <c r="I14" s="22">
        <v>29538</v>
      </c>
      <c r="J14" s="6">
        <f t="shared" si="1"/>
        <v>129215</v>
      </c>
      <c r="K14" s="6">
        <f>84525.5+7868.91+6012.2+351.12+5002.24</f>
        <v>103759.97</v>
      </c>
      <c r="L14" s="6">
        <f>39988.52+9543.08+3857.27</f>
        <v>53388.869999999995</v>
      </c>
      <c r="M14" s="6">
        <f t="shared" si="2"/>
        <v>157148.84</v>
      </c>
      <c r="N14" s="20">
        <f t="shared" si="3"/>
        <v>4.0962007283525802E-2</v>
      </c>
      <c r="O14" s="20">
        <f t="shared" si="0"/>
        <v>0.80746394474913652</v>
      </c>
      <c r="P14" s="20">
        <f t="shared" si="0"/>
        <v>0.21618109352629336</v>
      </c>
      <c r="Q14" t="s">
        <v>32</v>
      </c>
    </row>
    <row r="15" spans="1:17" x14ac:dyDescent="0.25">
      <c r="B15" s="39">
        <v>45139</v>
      </c>
      <c r="C15" t="s">
        <v>27</v>
      </c>
      <c r="D15">
        <v>16</v>
      </c>
      <c r="E15">
        <v>15</v>
      </c>
      <c r="H15" s="22">
        <v>114630</v>
      </c>
      <c r="I15" s="22">
        <v>25608</v>
      </c>
      <c r="J15" s="6">
        <f t="shared" si="1"/>
        <v>140238</v>
      </c>
      <c r="K15" s="6">
        <f>96304.73+7576.1+6852.33+702.24</f>
        <v>111435.40000000001</v>
      </c>
      <c r="L15" s="6">
        <f>27573.82+7681.55+4046.32</f>
        <v>39301.69</v>
      </c>
      <c r="M15" s="6">
        <f t="shared" si="2"/>
        <v>150737.09000000003</v>
      </c>
      <c r="N15" s="20">
        <f t="shared" si="3"/>
        <v>-2.7868795254296357E-2</v>
      </c>
      <c r="O15" s="20">
        <f t="shared" si="0"/>
        <v>0.534742658544205</v>
      </c>
      <c r="P15" s="20">
        <f t="shared" si="0"/>
        <v>7.4866227413397407E-2</v>
      </c>
    </row>
    <row r="16" spans="1:17" x14ac:dyDescent="0.25">
      <c r="B16" s="39">
        <v>45170</v>
      </c>
      <c r="C16" t="s">
        <v>27</v>
      </c>
      <c r="D16">
        <v>16</v>
      </c>
      <c r="E16">
        <v>14</v>
      </c>
      <c r="H16" s="22">
        <v>99679</v>
      </c>
      <c r="I16" s="22">
        <v>15522</v>
      </c>
      <c r="J16" s="6">
        <f t="shared" si="1"/>
        <v>115201</v>
      </c>
      <c r="K16" s="6">
        <f>86459.44+4543.47+2203.48+4659.12</f>
        <v>97865.51</v>
      </c>
      <c r="L16" s="6">
        <f>14907.26+3239.23+3814.63</f>
        <v>21961.120000000003</v>
      </c>
      <c r="M16" s="6">
        <f t="shared" si="2"/>
        <v>119826.63</v>
      </c>
      <c r="N16" s="20">
        <f t="shared" si="3"/>
        <v>-1.8193300494587679E-2</v>
      </c>
      <c r="O16" s="20">
        <f t="shared" si="0"/>
        <v>0.41483829403427408</v>
      </c>
      <c r="P16" s="20">
        <f t="shared" si="0"/>
        <v>4.0152689646791299E-2</v>
      </c>
    </row>
    <row r="17" spans="2:16" x14ac:dyDescent="0.25">
      <c r="B17" s="39">
        <v>45200</v>
      </c>
      <c r="C17" t="s">
        <v>27</v>
      </c>
      <c r="D17">
        <v>16</v>
      </c>
      <c r="E17">
        <v>14</v>
      </c>
      <c r="H17" s="22">
        <v>109646</v>
      </c>
      <c r="I17" s="22">
        <v>25922</v>
      </c>
      <c r="J17" s="6">
        <f t="shared" si="1"/>
        <v>135568</v>
      </c>
      <c r="K17" s="6">
        <f>84699.79+12099.19+5608.72+840.48</f>
        <v>103248.18</v>
      </c>
      <c r="L17" s="6">
        <f>12528.67+2714.08+3935.82</f>
        <v>19178.57</v>
      </c>
      <c r="M17" s="6">
        <f t="shared" si="2"/>
        <v>122426.75</v>
      </c>
      <c r="N17" s="20">
        <f t="shared" si="3"/>
        <v>-5.8349780201740212E-2</v>
      </c>
      <c r="O17" s="20">
        <f t="shared" si="0"/>
        <v>-0.26014312167271048</v>
      </c>
      <c r="P17" s="20">
        <f t="shared" si="0"/>
        <v>-9.6934748613242069E-2</v>
      </c>
    </row>
    <row r="18" spans="2:16" x14ac:dyDescent="0.25">
      <c r="B18" s="39">
        <v>45231</v>
      </c>
      <c r="C18" t="s">
        <v>27</v>
      </c>
      <c r="D18">
        <v>16</v>
      </c>
      <c r="E18">
        <v>14</v>
      </c>
      <c r="H18" s="22">
        <v>102667</v>
      </c>
      <c r="I18" s="22">
        <v>23606</v>
      </c>
      <c r="J18" s="6">
        <f t="shared" si="1"/>
        <v>126273</v>
      </c>
      <c r="K18" s="6">
        <f>82242.41+5887.17+8410.93+9650.24</f>
        <v>106190.75000000001</v>
      </c>
      <c r="L18" s="6">
        <f>11221.54+1763.79+3928.95</f>
        <v>16914.280000000002</v>
      </c>
      <c r="M18" s="6">
        <f t="shared" si="2"/>
        <v>123105.03000000001</v>
      </c>
      <c r="N18" s="20">
        <f t="shared" si="3"/>
        <v>3.4322128824257205E-2</v>
      </c>
      <c r="O18" s="20">
        <f t="shared" si="0"/>
        <v>-0.28347538761331853</v>
      </c>
      <c r="P18" s="20">
        <f t="shared" si="0"/>
        <v>-2.5088261148463936E-2</v>
      </c>
    </row>
    <row r="19" spans="2:16" x14ac:dyDescent="0.25">
      <c r="B19" s="39">
        <v>45261</v>
      </c>
      <c r="C19" t="s">
        <v>27</v>
      </c>
      <c r="D19">
        <v>16</v>
      </c>
      <c r="E19">
        <v>14</v>
      </c>
      <c r="H19" s="22">
        <v>97535</v>
      </c>
      <c r="I19" s="22">
        <v>32941</v>
      </c>
      <c r="J19" s="6">
        <f t="shared" si="1"/>
        <v>130476</v>
      </c>
      <c r="K19" s="6">
        <f>76488.38+9330.4+6026.52+9650.24</f>
        <v>101495.54000000001</v>
      </c>
      <c r="L19" s="6">
        <f>11251.08+1904.14+4054.26</f>
        <v>17209.48</v>
      </c>
      <c r="M19" s="6">
        <f t="shared" si="2"/>
        <v>118705.02</v>
      </c>
      <c r="N19" s="20">
        <f t="shared" si="3"/>
        <v>4.0606346439739663E-2</v>
      </c>
      <c r="O19" s="20">
        <f t="shared" si="0"/>
        <v>-0.47756655839227713</v>
      </c>
      <c r="P19" s="20">
        <f t="shared" si="0"/>
        <v>-9.0215671847696091E-2</v>
      </c>
    </row>
    <row r="20" spans="2:16" x14ac:dyDescent="0.25">
      <c r="B20" s="24"/>
      <c r="K20" s="6"/>
      <c r="L20" s="6"/>
      <c r="M20" s="6"/>
      <c r="N20" s="20"/>
      <c r="O20" s="20"/>
      <c r="P20" s="20"/>
    </row>
    <row r="21" spans="2:16" x14ac:dyDescent="0.25">
      <c r="B21" s="39">
        <v>44927</v>
      </c>
      <c r="C21" t="s">
        <v>14</v>
      </c>
      <c r="D21">
        <v>22</v>
      </c>
      <c r="E21">
        <v>21</v>
      </c>
      <c r="F21">
        <v>2</v>
      </c>
      <c r="G21">
        <v>3</v>
      </c>
      <c r="H21" s="22">
        <f>150525+24997</f>
        <v>175522</v>
      </c>
      <c r="I21" s="6">
        <v>0</v>
      </c>
      <c r="J21" s="6">
        <f>+H21+I21</f>
        <v>175522</v>
      </c>
      <c r="K21" s="6">
        <f>138542.65+7000.29+4938.5+13758.06</f>
        <v>164239.5</v>
      </c>
      <c r="L21" s="6">
        <f>212.68+446.82</f>
        <v>659.5</v>
      </c>
      <c r="M21" s="6">
        <f>+K21+L21</f>
        <v>164899</v>
      </c>
      <c r="N21" s="20">
        <f t="shared" si="3"/>
        <v>-6.4279691434691949E-2</v>
      </c>
      <c r="O21" s="20" t="e">
        <f t="shared" si="0"/>
        <v>#DIV/0!</v>
      </c>
      <c r="P21" s="20">
        <f t="shared" si="0"/>
        <v>-6.0522327685418355E-2</v>
      </c>
    </row>
    <row r="22" spans="2:16" x14ac:dyDescent="0.25">
      <c r="B22" s="39">
        <v>44958</v>
      </c>
      <c r="C22" t="s">
        <v>14</v>
      </c>
      <c r="D22">
        <v>22</v>
      </c>
      <c r="E22">
        <v>21</v>
      </c>
      <c r="F22">
        <v>2</v>
      </c>
      <c r="G22">
        <v>4</v>
      </c>
      <c r="H22" s="22">
        <v>150533</v>
      </c>
      <c r="I22" s="6">
        <v>0</v>
      </c>
      <c r="J22" s="6">
        <f t="shared" ref="J22:J32" si="4">+H22+I22</f>
        <v>150533</v>
      </c>
      <c r="K22" s="6">
        <f>137549.63+6701.52+3800.09+325.01</f>
        <v>148376.25</v>
      </c>
      <c r="L22" s="6">
        <f>148.83+224.76</f>
        <v>373.59000000000003</v>
      </c>
      <c r="M22" s="6">
        <f t="shared" ref="M22:M32" si="5">+K22+L22</f>
        <v>148749.84</v>
      </c>
      <c r="N22" s="20">
        <f t="shared" si="3"/>
        <v>-1.432742322281493E-2</v>
      </c>
      <c r="O22" s="20" t="e">
        <f t="shared" si="0"/>
        <v>#DIV/0!</v>
      </c>
      <c r="P22" s="20">
        <f t="shared" si="0"/>
        <v>-1.1845641819401748E-2</v>
      </c>
    </row>
    <row r="23" spans="2:16" x14ac:dyDescent="0.25">
      <c r="B23" s="39">
        <v>44986</v>
      </c>
      <c r="C23" t="s">
        <v>14</v>
      </c>
      <c r="D23">
        <v>22</v>
      </c>
      <c r="E23">
        <v>21</v>
      </c>
      <c r="F23">
        <v>2</v>
      </c>
      <c r="G23">
        <v>4</v>
      </c>
      <c r="H23" s="22">
        <v>172539</v>
      </c>
      <c r="I23" s="6">
        <v>0</v>
      </c>
      <c r="J23" s="6">
        <f t="shared" si="4"/>
        <v>172539</v>
      </c>
      <c r="K23" s="6">
        <f>151638.57+6353.83+5690.32+0</f>
        <v>163682.72</v>
      </c>
      <c r="L23" s="6">
        <f>2624.94+11134.39</f>
        <v>13759.33</v>
      </c>
      <c r="M23" s="6">
        <f t="shared" si="5"/>
        <v>177442.05</v>
      </c>
      <c r="N23" s="20">
        <f t="shared" si="3"/>
        <v>-5.1329148772161652E-2</v>
      </c>
      <c r="O23" s="20" t="e">
        <f t="shared" si="0"/>
        <v>#DIV/0!</v>
      </c>
      <c r="P23" s="20">
        <f t="shared" si="0"/>
        <v>2.8417053535722291E-2</v>
      </c>
    </row>
    <row r="24" spans="2:16" x14ac:dyDescent="0.25">
      <c r="B24" s="39">
        <v>45017</v>
      </c>
      <c r="C24" t="s">
        <v>14</v>
      </c>
      <c r="D24">
        <v>22</v>
      </c>
      <c r="E24">
        <v>21</v>
      </c>
      <c r="F24">
        <v>2</v>
      </c>
      <c r="G24">
        <v>4</v>
      </c>
      <c r="H24" s="22">
        <v>150533</v>
      </c>
      <c r="I24" s="6">
        <v>0</v>
      </c>
      <c r="J24" s="6">
        <f t="shared" si="4"/>
        <v>150533</v>
      </c>
      <c r="K24" s="6">
        <f>139036+11947.02+3720.64+0</f>
        <v>154703.66</v>
      </c>
      <c r="L24" s="6">
        <f>11.18+860.8</f>
        <v>871.9799999999999</v>
      </c>
      <c r="M24" s="6">
        <f t="shared" si="5"/>
        <v>155575.64000000001</v>
      </c>
      <c r="N24" s="20">
        <f t="shared" si="3"/>
        <v>2.7705951518936071E-2</v>
      </c>
      <c r="O24" s="20" t="e">
        <f t="shared" si="3"/>
        <v>#DIV/0!</v>
      </c>
      <c r="P24" s="20">
        <f t="shared" si="3"/>
        <v>3.3498568420213599E-2</v>
      </c>
    </row>
    <row r="25" spans="2:16" x14ac:dyDescent="0.25">
      <c r="B25" s="39">
        <v>45047</v>
      </c>
      <c r="C25" t="s">
        <v>14</v>
      </c>
      <c r="D25">
        <v>22</v>
      </c>
      <c r="E25">
        <v>21</v>
      </c>
      <c r="F25">
        <v>2</v>
      </c>
      <c r="G25">
        <v>3</v>
      </c>
      <c r="H25" s="22">
        <f>12946+165206</f>
        <v>178152</v>
      </c>
      <c r="I25" s="6">
        <v>0</v>
      </c>
      <c r="J25" s="6">
        <f t="shared" si="4"/>
        <v>178152</v>
      </c>
      <c r="K25" s="6">
        <f>149758.57+6949.27+5562.14+7005.27</f>
        <v>169275.25</v>
      </c>
      <c r="L25" s="6">
        <f>44.71+0</f>
        <v>44.71</v>
      </c>
      <c r="M25" s="6">
        <f t="shared" si="5"/>
        <v>169319.96</v>
      </c>
      <c r="N25" s="20">
        <f t="shared" si="3"/>
        <v>-4.9826833265975125E-2</v>
      </c>
      <c r="O25" s="20" t="e">
        <f t="shared" si="3"/>
        <v>#DIV/0!</v>
      </c>
      <c r="P25" s="20">
        <f t="shared" si="3"/>
        <v>-4.9575867798284656E-2</v>
      </c>
    </row>
    <row r="26" spans="2:16" x14ac:dyDescent="0.25">
      <c r="B26" s="39">
        <v>45078</v>
      </c>
      <c r="C26" t="s">
        <v>14</v>
      </c>
      <c r="D26">
        <v>22</v>
      </c>
      <c r="E26">
        <v>21</v>
      </c>
      <c r="F26">
        <v>2</v>
      </c>
      <c r="G26">
        <v>3</v>
      </c>
      <c r="H26" s="22">
        <v>165206</v>
      </c>
      <c r="I26" s="6">
        <v>0</v>
      </c>
      <c r="J26" s="6">
        <f t="shared" si="4"/>
        <v>165206</v>
      </c>
      <c r="K26" s="6">
        <f>146014.41+13911.74+3652.82+617.52</f>
        <v>164196.49</v>
      </c>
      <c r="L26" s="6">
        <f>375.37</f>
        <v>375.37</v>
      </c>
      <c r="M26" s="6">
        <f t="shared" si="5"/>
        <v>164571.85999999999</v>
      </c>
      <c r="N26" s="20">
        <f t="shared" si="3"/>
        <v>-6.1106134159776846E-3</v>
      </c>
      <c r="O26" s="20" t="e">
        <f t="shared" si="3"/>
        <v>#DIV/0!</v>
      </c>
      <c r="P26" s="20">
        <f t="shared" si="3"/>
        <v>-3.8384804425990217E-3</v>
      </c>
    </row>
    <row r="27" spans="2:16" x14ac:dyDescent="0.25">
      <c r="B27" s="39">
        <v>45108</v>
      </c>
      <c r="C27" t="s">
        <v>14</v>
      </c>
      <c r="D27">
        <v>22</v>
      </c>
      <c r="E27">
        <v>21</v>
      </c>
      <c r="F27">
        <v>2</v>
      </c>
      <c r="G27">
        <v>3</v>
      </c>
      <c r="H27" s="22">
        <f>12946+150533</f>
        <v>163479</v>
      </c>
      <c r="I27" s="6">
        <v>0</v>
      </c>
      <c r="J27" s="6">
        <f t="shared" si="4"/>
        <v>163479</v>
      </c>
      <c r="K27" s="6">
        <f>129509.94+13776.29+5520.89+7005.27</f>
        <v>155812.39000000001</v>
      </c>
      <c r="L27" s="6">
        <f>975.11</f>
        <v>975.11</v>
      </c>
      <c r="M27" s="6">
        <f t="shared" si="5"/>
        <v>156787.5</v>
      </c>
      <c r="N27" s="20">
        <f t="shared" si="3"/>
        <v>-4.6896604456841469E-2</v>
      </c>
      <c r="O27" s="20" t="e">
        <f t="shared" si="3"/>
        <v>#DIV/0!</v>
      </c>
      <c r="P27" s="20">
        <f t="shared" si="3"/>
        <v>-4.0931862808067092E-2</v>
      </c>
    </row>
    <row r="28" spans="2:16" x14ac:dyDescent="0.25">
      <c r="B28" s="39">
        <v>45139</v>
      </c>
      <c r="C28" t="s">
        <v>14</v>
      </c>
      <c r="D28">
        <v>22</v>
      </c>
      <c r="E28">
        <v>20</v>
      </c>
      <c r="F28">
        <v>2</v>
      </c>
      <c r="G28">
        <v>3</v>
      </c>
      <c r="H28" s="22">
        <v>172539</v>
      </c>
      <c r="I28" s="6">
        <v>0</v>
      </c>
      <c r="J28" s="6">
        <f t="shared" si="4"/>
        <v>172539</v>
      </c>
      <c r="K28" s="6">
        <f>150398.29+10307.21+4181.13+392.52</f>
        <v>165279.15</v>
      </c>
      <c r="L28" s="6">
        <f>33.53+1279.47</f>
        <v>1313</v>
      </c>
      <c r="M28" s="6">
        <f t="shared" si="5"/>
        <v>166592.15</v>
      </c>
      <c r="N28" s="20">
        <f t="shared" si="3"/>
        <v>-4.207657399196707E-2</v>
      </c>
      <c r="O28" s="20" t="e">
        <f t="shared" si="3"/>
        <v>#DIV/0!</v>
      </c>
      <c r="P28" s="20">
        <f t="shared" si="3"/>
        <v>-3.4466700282255062E-2</v>
      </c>
    </row>
    <row r="29" spans="2:16" x14ac:dyDescent="0.25">
      <c r="B29" s="39">
        <v>45170</v>
      </c>
      <c r="C29" t="s">
        <v>14</v>
      </c>
      <c r="D29">
        <v>22</v>
      </c>
      <c r="E29">
        <v>20</v>
      </c>
      <c r="F29">
        <v>2</v>
      </c>
      <c r="G29">
        <v>2</v>
      </c>
      <c r="H29" s="22">
        <f>12946+150533</f>
        <v>163479</v>
      </c>
      <c r="I29" s="6">
        <v>0</v>
      </c>
      <c r="J29" s="6">
        <f t="shared" si="4"/>
        <v>163479</v>
      </c>
      <c r="K29" s="6">
        <f>121606.74+15876.22+4316.53+1302.02+6821.27</f>
        <v>149922.77999999997</v>
      </c>
      <c r="L29" s="6">
        <f>11.18+1161.41</f>
        <v>1172.5900000000001</v>
      </c>
      <c r="M29" s="6">
        <f t="shared" si="5"/>
        <v>151095.36999999997</v>
      </c>
      <c r="N29" s="20">
        <f t="shared" si="3"/>
        <v>-8.2923311250986551E-2</v>
      </c>
      <c r="O29" s="20" t="e">
        <f t="shared" si="3"/>
        <v>#DIV/0!</v>
      </c>
      <c r="P29" s="20">
        <f t="shared" si="3"/>
        <v>-7.5750585702139314E-2</v>
      </c>
    </row>
    <row r="30" spans="2:16" x14ac:dyDescent="0.25">
      <c r="B30" s="39">
        <v>45200</v>
      </c>
      <c r="C30" t="s">
        <v>14</v>
      </c>
      <c r="D30">
        <v>22</v>
      </c>
      <c r="E30">
        <v>20</v>
      </c>
      <c r="F30">
        <v>2</v>
      </c>
      <c r="G30">
        <v>2</v>
      </c>
      <c r="H30" s="22">
        <v>165206</v>
      </c>
      <c r="I30" s="6">
        <v>0</v>
      </c>
      <c r="J30" s="6">
        <f t="shared" si="4"/>
        <v>165206</v>
      </c>
      <c r="K30" s="6">
        <f>143146.8+9516.85+4402.38+0</f>
        <v>157066.03</v>
      </c>
      <c r="L30" s="6">
        <f>67.06+365.56</f>
        <v>432.62</v>
      </c>
      <c r="M30" s="6">
        <f t="shared" si="5"/>
        <v>157498.65</v>
      </c>
      <c r="N30" s="20">
        <f t="shared" si="3"/>
        <v>-4.9271636623367199E-2</v>
      </c>
      <c r="O30" s="20" t="e">
        <f t="shared" si="3"/>
        <v>#DIV/0!</v>
      </c>
      <c r="P30" s="20">
        <f t="shared" si="3"/>
        <v>-4.6652966599276091E-2</v>
      </c>
    </row>
    <row r="31" spans="2:16" x14ac:dyDescent="0.25">
      <c r="B31" s="39">
        <v>45231</v>
      </c>
      <c r="C31" t="s">
        <v>14</v>
      </c>
      <c r="D31">
        <v>22</v>
      </c>
      <c r="E31">
        <v>21</v>
      </c>
      <c r="F31">
        <v>2</v>
      </c>
      <c r="G31">
        <v>2</v>
      </c>
      <c r="H31" s="22">
        <f>26929+154842</f>
        <v>181771</v>
      </c>
      <c r="I31" s="6">
        <v>0</v>
      </c>
      <c r="J31" s="6">
        <f t="shared" si="4"/>
        <v>181771</v>
      </c>
      <c r="K31" s="6">
        <f>137555.95+10012.59+8003+661.44+15143.11</f>
        <v>171376.09000000003</v>
      </c>
      <c r="L31" s="6">
        <f>0</f>
        <v>0</v>
      </c>
      <c r="M31" s="6">
        <f t="shared" si="5"/>
        <v>171376.09000000003</v>
      </c>
      <c r="N31" s="20">
        <f t="shared" si="3"/>
        <v>-5.7186844986273799E-2</v>
      </c>
      <c r="O31" s="20" t="e">
        <f t="shared" si="3"/>
        <v>#DIV/0!</v>
      </c>
      <c r="P31" s="20">
        <f t="shared" si="3"/>
        <v>-5.7186844986273799E-2</v>
      </c>
    </row>
    <row r="32" spans="2:16" x14ac:dyDescent="0.25">
      <c r="B32" s="39">
        <v>45261</v>
      </c>
      <c r="C32" t="s">
        <v>14</v>
      </c>
      <c r="D32">
        <v>22</v>
      </c>
      <c r="E32">
        <v>21</v>
      </c>
      <c r="F32">
        <v>2</v>
      </c>
      <c r="G32">
        <v>2</v>
      </c>
      <c r="H32" s="22">
        <f>26929+147295</f>
        <v>174224</v>
      </c>
      <c r="I32" s="6">
        <v>0</v>
      </c>
      <c r="J32" s="6">
        <f t="shared" si="4"/>
        <v>174224</v>
      </c>
      <c r="K32" s="6">
        <f>130967.95+10856.32+4472.55+767.31+14318.82+1500</f>
        <v>162882.94999999998</v>
      </c>
      <c r="L32" s="6">
        <f>24.28</f>
        <v>24.28</v>
      </c>
      <c r="M32" s="6">
        <f t="shared" si="5"/>
        <v>162907.22999999998</v>
      </c>
      <c r="N32" s="20">
        <f t="shared" si="3"/>
        <v>-6.5094648268895314E-2</v>
      </c>
      <c r="O32" s="20" t="e">
        <f t="shared" si="3"/>
        <v>#DIV/0!</v>
      </c>
      <c r="P32" s="20">
        <f t="shared" si="3"/>
        <v>-6.4955287446046575E-2</v>
      </c>
    </row>
    <row r="33" spans="2:16" x14ac:dyDescent="0.25">
      <c r="B33" s="24"/>
    </row>
    <row r="34" spans="2:16" x14ac:dyDescent="0.25">
      <c r="B34" s="24" t="s">
        <v>11</v>
      </c>
      <c r="H34" s="18">
        <f>SUM(H8:H32)</f>
        <v>3269960</v>
      </c>
      <c r="I34" s="18">
        <f>SUM(I8:I32)</f>
        <v>361359</v>
      </c>
      <c r="J34" s="18">
        <f>SUM(J8:J32)</f>
        <v>3631319</v>
      </c>
      <c r="K34" s="18">
        <f>SUM(K8:K32)</f>
        <v>3210551.09</v>
      </c>
      <c r="L34" s="18">
        <f>SUM(L8:L32)</f>
        <v>389925.39000000007</v>
      </c>
      <c r="M34" s="18">
        <f>SUM(M8:M32)</f>
        <v>3600476.4799999995</v>
      </c>
      <c r="N34" s="20">
        <f t="shared" si="3"/>
        <v>-1.8168084624888423E-2</v>
      </c>
      <c r="O34" s="20">
        <f t="shared" si="3"/>
        <v>7.9052659543556614E-2</v>
      </c>
      <c r="P34" s="20">
        <f t="shared" si="3"/>
        <v>-8.4934757866220196E-3</v>
      </c>
    </row>
    <row r="35" spans="2:16" x14ac:dyDescent="0.25">
      <c r="H35" s="20"/>
    </row>
    <row r="36" spans="2:16" x14ac:dyDescent="0.25">
      <c r="B36" t="s">
        <v>43</v>
      </c>
    </row>
    <row r="37" spans="2:16" x14ac:dyDescent="0.25">
      <c r="B37" t="s">
        <v>44</v>
      </c>
    </row>
    <row r="38" spans="2:16" x14ac:dyDescent="0.25">
      <c r="B38" t="s">
        <v>45</v>
      </c>
    </row>
  </sheetData>
  <mergeCells count="7">
    <mergeCell ref="N6:P6"/>
    <mergeCell ref="D5:E5"/>
    <mergeCell ref="F5:G5"/>
    <mergeCell ref="D6:E6"/>
    <mergeCell ref="F6:G6"/>
    <mergeCell ref="H6:J6"/>
    <mergeCell ref="K6:M6"/>
  </mergeCells>
  <pageMargins left="0.7" right="0.7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9E757-CD10-4E03-AB38-E011A3C6B6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F0878E-42A0-4C4E-BE0A-9492EA7D5B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EBED026-5CDE-49E0-9AE8-175F3B809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Test Year-2023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Michael Moriarty</cp:lastModifiedBy>
  <cp:lastPrinted>2024-12-16T20:21:32Z</cp:lastPrinted>
  <dcterms:created xsi:type="dcterms:W3CDTF">2015-06-05T18:17:20Z</dcterms:created>
  <dcterms:modified xsi:type="dcterms:W3CDTF">2024-12-18T18:24:27Z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