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Doug's Work\Water-Sewer\Water Treatment Plant\2023 Rate Study\AUG Responses to BCWD DR1\"/>
    </mc:Choice>
  </mc:AlternateContent>
  <xr:revisionPtr revIDLastSave="0" documentId="8_{65345A7D-BE6F-4457-816F-2C763704FC5E}" xr6:coauthVersionLast="47" xr6:coauthVersionMax="47" xr10:uidLastSave="{00000000-0000-0000-0000-000000000000}"/>
  <bookViews>
    <workbookView xWindow="-120" yWindow="-120" windowWidth="29040" windowHeight="15720" activeTab="4" xr2:uid="{6F3D1BF3-52A0-4021-8810-35E911790C0F}"/>
  </bookViews>
  <sheets>
    <sheet name="Rate Calculation" sheetId="8" r:id="rId1"/>
    <sheet name="Debt" sheetId="2" r:id="rId2"/>
    <sheet name="Pro forma" sheetId="5" r:id="rId3"/>
    <sheet name="Revenue Power Chemicals" sheetId="4" r:id="rId4"/>
    <sheet name="Wages Benefits" sheetId="3" r:id="rId5"/>
    <sheet name="Repairs" sheetId="7" r:id="rId6"/>
    <sheet name="Depreciation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3" l="1"/>
  <c r="G34" i="3" s="1"/>
  <c r="G6" i="3"/>
  <c r="G7" i="3"/>
  <c r="G8" i="3"/>
  <c r="G9" i="3"/>
  <c r="G10" i="3"/>
  <c r="F74" i="2"/>
  <c r="H72" i="2"/>
  <c r="AA66" i="8"/>
  <c r="Y66" i="8"/>
  <c r="W66" i="8"/>
  <c r="Y52" i="8"/>
  <c r="W52" i="8"/>
  <c r="Q38" i="8"/>
  <c r="Q37" i="8"/>
  <c r="U22" i="8"/>
  <c r="Q29" i="8"/>
  <c r="Q28" i="8"/>
  <c r="D93" i="2"/>
  <c r="D92" i="2"/>
  <c r="D83" i="2"/>
  <c r="K27" i="4"/>
  <c r="D27" i="4"/>
  <c r="D84" i="2" s="1"/>
  <c r="K16" i="6"/>
  <c r="K14" i="6"/>
  <c r="K13" i="6"/>
  <c r="K11" i="6"/>
  <c r="K10" i="6"/>
  <c r="J40" i="5"/>
  <c r="J39" i="5"/>
  <c r="J38" i="5"/>
  <c r="J37" i="5"/>
  <c r="J36" i="5"/>
  <c r="J35" i="5"/>
  <c r="J34" i="5"/>
  <c r="J33" i="5"/>
  <c r="J31" i="5"/>
  <c r="J27" i="5"/>
  <c r="J26" i="5"/>
  <c r="E55" i="8"/>
  <c r="E54" i="8"/>
  <c r="I16" i="8" s="1"/>
  <c r="D48" i="2"/>
  <c r="K36" i="6"/>
  <c r="K38" i="6" s="1"/>
  <c r="H44" i="5" s="1"/>
  <c r="I10" i="6"/>
  <c r="H11" i="6"/>
  <c r="H12" i="6"/>
  <c r="K12" i="6" s="1"/>
  <c r="H13" i="6"/>
  <c r="H14" i="6"/>
  <c r="H15" i="6"/>
  <c r="K15" i="6" s="1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10" i="6"/>
  <c r="K29" i="6"/>
  <c r="K31" i="6"/>
  <c r="K32" i="6"/>
  <c r="K33" i="6"/>
  <c r="K30" i="6"/>
  <c r="K28" i="6"/>
  <c r="H73" i="5"/>
  <c r="H76" i="5" s="1"/>
  <c r="H43" i="5" s="1"/>
  <c r="A72" i="5"/>
  <c r="R10" i="6"/>
  <c r="A98" i="5"/>
  <c r="A89" i="5"/>
  <c r="I43" i="5"/>
  <c r="AC70" i="4"/>
  <c r="AC68" i="4"/>
  <c r="AC67" i="4"/>
  <c r="AC61" i="4"/>
  <c r="AZ41" i="4"/>
  <c r="AK42" i="4"/>
  <c r="BA48" i="4" s="1"/>
  <c r="I11" i="3"/>
  <c r="E33" i="3" l="1"/>
  <c r="G33" i="3" s="1"/>
  <c r="G36" i="3" s="1"/>
  <c r="AH52" i="8"/>
  <c r="Q40" i="8"/>
  <c r="S37" i="8" s="1"/>
  <c r="Q31" i="8"/>
  <c r="S28" i="8" s="1"/>
  <c r="D95" i="2"/>
  <c r="F92" i="2" s="1"/>
  <c r="D86" i="2"/>
  <c r="F84" i="2" s="1"/>
  <c r="E57" i="8"/>
  <c r="K16" i="8"/>
  <c r="G54" i="8"/>
  <c r="G55" i="8"/>
  <c r="I10" i="3"/>
  <c r="I9" i="3"/>
  <c r="I8" i="3"/>
  <c r="S38" i="8" l="1"/>
  <c r="S40" i="8"/>
  <c r="S29" i="8"/>
  <c r="F93" i="2"/>
  <c r="F95" i="2" s="1"/>
  <c r="F83" i="2"/>
  <c r="F86" i="2" s="1"/>
  <c r="G57" i="8"/>
  <c r="I6" i="3"/>
  <c r="I7" i="3"/>
  <c r="H94" i="5"/>
  <c r="H93" i="5"/>
  <c r="H103" i="5"/>
  <c r="H32" i="5" s="1"/>
  <c r="J32" i="5" s="1"/>
  <c r="F19" i="5"/>
  <c r="AD47" i="4"/>
  <c r="AD46" i="4"/>
  <c r="AD48" i="4" s="1"/>
  <c r="F14" i="5"/>
  <c r="H66" i="5"/>
  <c r="H65" i="5"/>
  <c r="A61" i="5"/>
  <c r="A60" i="5"/>
  <c r="F24" i="5"/>
  <c r="BO21" i="4"/>
  <c r="BO18" i="4"/>
  <c r="BQ27" i="4" s="1"/>
  <c r="F23" i="5" s="1"/>
  <c r="G37" i="3" l="1"/>
  <c r="S31" i="8"/>
  <c r="H68" i="5"/>
  <c r="H24" i="5" s="1"/>
  <c r="J25" i="5" s="1"/>
  <c r="H96" i="5"/>
  <c r="H30" i="5" s="1"/>
  <c r="J30" i="5" s="1"/>
  <c r="I13" i="3"/>
  <c r="I19" i="3" s="1"/>
  <c r="I22" i="3" s="1"/>
  <c r="Y46" i="4"/>
  <c r="AD49" i="4"/>
  <c r="BP23" i="4"/>
  <c r="G39" i="3" l="1"/>
  <c r="H19" i="5" s="1"/>
  <c r="AC15" i="4"/>
  <c r="Y48" i="4"/>
  <c r="AA46" i="4"/>
  <c r="AA48" i="4" s="1"/>
  <c r="D49" i="2"/>
  <c r="D50" i="2"/>
  <c r="H26" i="2"/>
  <c r="F37" i="2"/>
  <c r="F50" i="2" s="1"/>
  <c r="F35" i="2"/>
  <c r="H35" i="2" s="1"/>
  <c r="F36" i="2"/>
  <c r="F49" i="2" s="1"/>
  <c r="H27" i="2"/>
  <c r="H28" i="2"/>
  <c r="H48" i="2" l="1"/>
  <c r="H36" i="2"/>
  <c r="H49" i="2" s="1"/>
  <c r="H37" i="2"/>
  <c r="H50" i="2" s="1"/>
  <c r="H52" i="2" s="1"/>
  <c r="H55" i="2" s="1"/>
  <c r="H58" i="2" s="1"/>
  <c r="F48" i="2"/>
  <c r="I12" i="7"/>
  <c r="P10" i="7"/>
  <c r="P9" i="7"/>
  <c r="P12" i="7" s="1"/>
  <c r="I10" i="7"/>
  <c r="A50" i="6"/>
  <c r="A49" i="6"/>
  <c r="A48" i="6"/>
  <c r="A47" i="6"/>
  <c r="A46" i="6"/>
  <c r="E50" i="6"/>
  <c r="E49" i="6"/>
  <c r="E48" i="6"/>
  <c r="E47" i="6"/>
  <c r="E46" i="6"/>
  <c r="E52" i="6" s="1"/>
  <c r="J51" i="5"/>
  <c r="G13" i="8" s="1"/>
  <c r="J28" i="5"/>
  <c r="J29" i="5"/>
  <c r="BQ38" i="4"/>
  <c r="BM38" i="4"/>
  <c r="S17" i="4"/>
  <c r="S18" i="4"/>
  <c r="Y17" i="4"/>
  <c r="AC17" i="4" s="1"/>
  <c r="S19" i="4"/>
  <c r="Y18" i="4"/>
  <c r="AC18" i="4" s="1"/>
  <c r="S20" i="4"/>
  <c r="Y19" i="4"/>
  <c r="AC19" i="4" s="1"/>
  <c r="S21" i="4"/>
  <c r="S22" i="4"/>
  <c r="Y21" i="4"/>
  <c r="AC21" i="4" s="1"/>
  <c r="S23" i="4"/>
  <c r="S24" i="4"/>
  <c r="Y23" i="4"/>
  <c r="AC23" i="4" s="1"/>
  <c r="S25" i="4"/>
  <c r="Y24" i="4"/>
  <c r="AC24" i="4" s="1"/>
  <c r="S26" i="4"/>
  <c r="S27" i="4"/>
  <c r="Y26" i="4"/>
  <c r="S28" i="4"/>
  <c r="Y27" i="4"/>
  <c r="S29" i="4"/>
  <c r="S30" i="4"/>
  <c r="S31" i="4"/>
  <c r="Y31" i="4"/>
  <c r="AC31" i="4" s="1"/>
  <c r="S32" i="4"/>
  <c r="Y32" i="4"/>
  <c r="AC32" i="4" s="1"/>
  <c r="S33" i="4"/>
  <c r="S34" i="4"/>
  <c r="Y34" i="4"/>
  <c r="AC34" i="4" s="1"/>
  <c r="S35" i="4"/>
  <c r="Y35" i="4"/>
  <c r="AC35" i="4" s="1"/>
  <c r="S36" i="4"/>
  <c r="Y36" i="4"/>
  <c r="S37" i="4"/>
  <c r="Y37" i="4"/>
  <c r="Y15" i="4"/>
  <c r="S16" i="4"/>
  <c r="BJ27" i="4"/>
  <c r="AV26" i="4"/>
  <c r="AV27" i="4"/>
  <c r="BJ26" i="4"/>
  <c r="H92" i="2" l="1"/>
  <c r="W63" i="8" s="1"/>
  <c r="H93" i="2"/>
  <c r="Y63" i="8" s="1"/>
  <c r="Y49" i="8"/>
  <c r="H84" i="2"/>
  <c r="H83" i="2"/>
  <c r="I10" i="8"/>
  <c r="G10" i="8"/>
  <c r="I13" i="8"/>
  <c r="K13" i="8"/>
  <c r="Y68" i="4"/>
  <c r="Y61" i="4"/>
  <c r="Y64" i="4" s="1"/>
  <c r="Y67" i="4" s="1"/>
  <c r="AA61" i="4"/>
  <c r="AA64" i="4" s="1"/>
  <c r="AA67" i="4" s="1"/>
  <c r="AA68" i="4"/>
  <c r="T38" i="4"/>
  <c r="T27" i="4"/>
  <c r="BJ29" i="4"/>
  <c r="H9" i="5" s="1"/>
  <c r="J23" i="5"/>
  <c r="E55" i="6"/>
  <c r="H45" i="5" s="1"/>
  <c r="J45" i="5" s="1"/>
  <c r="AV38" i="4"/>
  <c r="C18" i="4"/>
  <c r="E18" i="4" s="1"/>
  <c r="C19" i="4"/>
  <c r="E19" i="4" s="1"/>
  <c r="C20" i="4"/>
  <c r="E20" i="4" s="1"/>
  <c r="C21" i="4"/>
  <c r="E21" i="4" s="1"/>
  <c r="C22" i="4"/>
  <c r="E22" i="4" s="1"/>
  <c r="C23" i="4"/>
  <c r="E23" i="4" s="1"/>
  <c r="C24" i="4"/>
  <c r="E24" i="4" s="1"/>
  <c r="C25" i="4"/>
  <c r="E25" i="4" s="1"/>
  <c r="C26" i="4"/>
  <c r="C27" i="4"/>
  <c r="E27" i="4" s="1"/>
  <c r="C28" i="4"/>
  <c r="E28" i="4" s="1"/>
  <c r="C29" i="4"/>
  <c r="E29" i="4" s="1"/>
  <c r="C30" i="4"/>
  <c r="E30" i="4" s="1"/>
  <c r="C31" i="4"/>
  <c r="E31" i="4" s="1"/>
  <c r="C32" i="4"/>
  <c r="E32" i="4" s="1"/>
  <c r="C33" i="4"/>
  <c r="E33" i="4" s="1"/>
  <c r="C34" i="4"/>
  <c r="E34" i="4" s="1"/>
  <c r="C35" i="4"/>
  <c r="E35" i="4" s="1"/>
  <c r="C36" i="4"/>
  <c r="E36" i="4" s="1"/>
  <c r="C37" i="4"/>
  <c r="E37" i="4" s="1"/>
  <c r="C17" i="4"/>
  <c r="E17" i="4" s="1"/>
  <c r="C16" i="4"/>
  <c r="E16" i="4" s="1"/>
  <c r="AK54" i="4"/>
  <c r="AM54" i="4" s="1"/>
  <c r="AK55" i="4"/>
  <c r="AM55" i="4" s="1"/>
  <c r="AK56" i="4"/>
  <c r="AM56" i="4" s="1"/>
  <c r="AK57" i="4"/>
  <c r="AM57" i="4" s="1"/>
  <c r="AQ57" i="4" s="1"/>
  <c r="AK58" i="4"/>
  <c r="AM58" i="4" s="1"/>
  <c r="AQ58" i="4" s="1"/>
  <c r="AK59" i="4"/>
  <c r="AM59" i="4" s="1"/>
  <c r="AQ59" i="4" s="1"/>
  <c r="AK60" i="4"/>
  <c r="AM60" i="4" s="1"/>
  <c r="AQ60" i="4" s="1"/>
  <c r="AK61" i="4"/>
  <c r="AM61" i="4" s="1"/>
  <c r="AQ61" i="4" s="1"/>
  <c r="AK62" i="4"/>
  <c r="AM62" i="4" s="1"/>
  <c r="AQ62" i="4" s="1"/>
  <c r="AK63" i="4"/>
  <c r="AM63" i="4" s="1"/>
  <c r="AQ63" i="4" s="1"/>
  <c r="AK64" i="4"/>
  <c r="AM64" i="4" s="1"/>
  <c r="AQ64" i="4" s="1"/>
  <c r="AK53" i="4"/>
  <c r="AM53" i="4" s="1"/>
  <c r="AI54" i="4"/>
  <c r="AI55" i="4"/>
  <c r="AI56" i="4"/>
  <c r="AI57" i="4"/>
  <c r="AI58" i="4"/>
  <c r="AI59" i="4"/>
  <c r="AI60" i="4"/>
  <c r="AI61" i="4"/>
  <c r="AI62" i="4"/>
  <c r="AI63" i="4"/>
  <c r="AI64" i="4"/>
  <c r="AI53" i="4"/>
  <c r="AA63" i="8" l="1"/>
  <c r="H86" i="2"/>
  <c r="H95" i="2"/>
  <c r="H71" i="2"/>
  <c r="W49" i="8" s="1"/>
  <c r="AC37" i="4"/>
  <c r="AA70" i="4"/>
  <c r="AC36" i="4"/>
  <c r="Y70" i="4"/>
  <c r="T40" i="4"/>
  <c r="H20" i="5" s="1"/>
  <c r="D37" i="4"/>
  <c r="E26" i="4"/>
  <c r="F37" i="4" s="1"/>
  <c r="AM66" i="4"/>
  <c r="AH49" i="8" l="1"/>
  <c r="K10" i="8"/>
  <c r="H74" i="2"/>
  <c r="J20" i="5"/>
  <c r="D39" i="4"/>
  <c r="D40" i="4" s="1"/>
  <c r="F27" i="4"/>
  <c r="F39" i="4" s="1"/>
  <c r="U15" i="6"/>
  <c r="I15" i="6" s="1"/>
  <c r="J15" i="6" s="1"/>
  <c r="U17" i="6"/>
  <c r="I17" i="6" s="1"/>
  <c r="J17" i="6" s="1"/>
  <c r="U18" i="6"/>
  <c r="I18" i="6" s="1"/>
  <c r="J18" i="6" s="1"/>
  <c r="U19" i="6"/>
  <c r="I19" i="6" s="1"/>
  <c r="J19" i="6" s="1"/>
  <c r="U22" i="6"/>
  <c r="I22" i="6" s="1"/>
  <c r="J22" i="6" s="1"/>
  <c r="T21" i="6"/>
  <c r="U21" i="6" s="1"/>
  <c r="I21" i="6" s="1"/>
  <c r="J21" i="6" s="1"/>
  <c r="K21" i="6" s="1"/>
  <c r="T11" i="6"/>
  <c r="U11" i="6" s="1"/>
  <c r="I11" i="6" s="1"/>
  <c r="J11" i="6" s="1"/>
  <c r="T12" i="6"/>
  <c r="U12" i="6" s="1"/>
  <c r="I12" i="6" s="1"/>
  <c r="J12" i="6" s="1"/>
  <c r="T13" i="6"/>
  <c r="U13" i="6" s="1"/>
  <c r="I13" i="6" s="1"/>
  <c r="J13" i="6" s="1"/>
  <c r="T14" i="6"/>
  <c r="U14" i="6" s="1"/>
  <c r="I14" i="6" s="1"/>
  <c r="J14" i="6" s="1"/>
  <c r="T16" i="6"/>
  <c r="U16" i="6" s="1"/>
  <c r="I16" i="6" s="1"/>
  <c r="J16" i="6" s="1"/>
  <c r="T23" i="6"/>
  <c r="U23" i="6" s="1"/>
  <c r="I23" i="6" s="1"/>
  <c r="J23" i="6" s="1"/>
  <c r="K23" i="6" s="1"/>
  <c r="T24" i="6"/>
  <c r="U24" i="6" s="1"/>
  <c r="I24" i="6" s="1"/>
  <c r="J24" i="6" s="1"/>
  <c r="K24" i="6" s="1"/>
  <c r="T25" i="6"/>
  <c r="T26" i="6"/>
  <c r="T27" i="6"/>
  <c r="U27" i="6" s="1"/>
  <c r="I27" i="6" s="1"/>
  <c r="J27" i="6" s="1"/>
  <c r="T28" i="6"/>
  <c r="U28" i="6" s="1"/>
  <c r="I28" i="6" s="1"/>
  <c r="J28" i="6" s="1"/>
  <c r="T29" i="6"/>
  <c r="U29" i="6" s="1"/>
  <c r="I29" i="6" s="1"/>
  <c r="J29" i="6" s="1"/>
  <c r="T30" i="6"/>
  <c r="U30" i="6" s="1"/>
  <c r="I30" i="6" s="1"/>
  <c r="J30" i="6" s="1"/>
  <c r="T31" i="6"/>
  <c r="U31" i="6" s="1"/>
  <c r="I31" i="6" s="1"/>
  <c r="J31" i="6" s="1"/>
  <c r="T32" i="6"/>
  <c r="U32" i="6" s="1"/>
  <c r="I32" i="6" s="1"/>
  <c r="J32" i="6" s="1"/>
  <c r="T33" i="6"/>
  <c r="U33" i="6" s="1"/>
  <c r="I33" i="6" s="1"/>
  <c r="J33" i="6" s="1"/>
  <c r="T10" i="6"/>
  <c r="U10" i="6" s="1"/>
  <c r="J10" i="6" s="1"/>
  <c r="Y11" i="6"/>
  <c r="AA11" i="6" s="1"/>
  <c r="Y12" i="6"/>
  <c r="AA12" i="6" s="1"/>
  <c r="Y13" i="6"/>
  <c r="Y14" i="6"/>
  <c r="Y15" i="6"/>
  <c r="Y16" i="6"/>
  <c r="AA16" i="6" s="1"/>
  <c r="Y17" i="6"/>
  <c r="AA17" i="6" s="1"/>
  <c r="Y18" i="6"/>
  <c r="AA18" i="6" s="1"/>
  <c r="Y19" i="6"/>
  <c r="AA19" i="6" s="1"/>
  <c r="Y20" i="6"/>
  <c r="Y21" i="6"/>
  <c r="Y22" i="6"/>
  <c r="AA22" i="6" s="1"/>
  <c r="Y23" i="6"/>
  <c r="Y24" i="6"/>
  <c r="Y25" i="6"/>
  <c r="Y26" i="6"/>
  <c r="Y27" i="6"/>
  <c r="Y28" i="6"/>
  <c r="Y29" i="6"/>
  <c r="Y30" i="6"/>
  <c r="Y31" i="6"/>
  <c r="Y32" i="6"/>
  <c r="Y33" i="6"/>
  <c r="Y10" i="6"/>
  <c r="R11" i="6"/>
  <c r="R12" i="6"/>
  <c r="R13" i="6"/>
  <c r="R14" i="6"/>
  <c r="R16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S35" i="6"/>
  <c r="F35" i="6"/>
  <c r="BE28" i="4"/>
  <c r="BE39" i="4"/>
  <c r="BE40" i="4"/>
  <c r="BC10" i="4"/>
  <c r="BE10" i="4" s="1"/>
  <c r="BC11" i="4"/>
  <c r="BE11" i="4" s="1"/>
  <c r="BC12" i="4"/>
  <c r="BE12" i="4" s="1"/>
  <c r="BC13" i="4"/>
  <c r="BE13" i="4" s="1"/>
  <c r="BC14" i="4"/>
  <c r="BE14" i="4" s="1"/>
  <c r="BC16" i="4"/>
  <c r="BC17" i="4"/>
  <c r="BC18" i="4"/>
  <c r="BC19" i="4"/>
  <c r="BC20" i="4"/>
  <c r="BC21" i="4"/>
  <c r="BC22" i="4"/>
  <c r="BC23" i="4"/>
  <c r="BC24" i="4"/>
  <c r="BC25" i="4"/>
  <c r="BC26" i="4"/>
  <c r="BC27" i="4"/>
  <c r="BC29" i="4"/>
  <c r="BC30" i="4"/>
  <c r="BC31" i="4"/>
  <c r="BC32" i="4"/>
  <c r="BC33" i="4"/>
  <c r="BC34" i="4"/>
  <c r="BC35" i="4"/>
  <c r="BC36" i="4"/>
  <c r="BC37" i="4"/>
  <c r="BC38" i="4"/>
  <c r="BC9" i="4"/>
  <c r="BE9" i="4" s="1"/>
  <c r="AA13" i="6" l="1"/>
  <c r="AA26" i="6"/>
  <c r="AA10" i="6"/>
  <c r="AA25" i="6"/>
  <c r="AA33" i="6"/>
  <c r="AA14" i="6"/>
  <c r="BC42" i="4"/>
  <c r="BA49" i="4" s="1"/>
  <c r="BA51" i="4"/>
  <c r="BB48" i="4" s="1"/>
  <c r="R35" i="6"/>
  <c r="AA21" i="6"/>
  <c r="BE33" i="4"/>
  <c r="BH33" i="4" s="1"/>
  <c r="J32" i="4"/>
  <c r="L32" i="4" s="1"/>
  <c r="BE31" i="4"/>
  <c r="BH31" i="4" s="1"/>
  <c r="J30" i="4"/>
  <c r="L30" i="4" s="1"/>
  <c r="BE29" i="4"/>
  <c r="BH29" i="4" s="1"/>
  <c r="J28" i="4"/>
  <c r="L28" i="4" s="1"/>
  <c r="BE25" i="4"/>
  <c r="BH25" i="4" s="1"/>
  <c r="J25" i="4"/>
  <c r="L25" i="4" s="1"/>
  <c r="BE24" i="4"/>
  <c r="BH24" i="4" s="1"/>
  <c r="J24" i="4"/>
  <c r="L24" i="4" s="1"/>
  <c r="BE17" i="4"/>
  <c r="BH17" i="4" s="1"/>
  <c r="J17" i="4"/>
  <c r="L17" i="4" s="1"/>
  <c r="BE27" i="4"/>
  <c r="BH27" i="4" s="1"/>
  <c r="J27" i="4"/>
  <c r="L27" i="4" s="1"/>
  <c r="BE26" i="4"/>
  <c r="BH26" i="4" s="1"/>
  <c r="J26" i="4"/>
  <c r="BE23" i="4"/>
  <c r="BH23" i="4" s="1"/>
  <c r="J23" i="4"/>
  <c r="L23" i="4" s="1"/>
  <c r="H12" i="5"/>
  <c r="F40" i="4"/>
  <c r="BE32" i="4"/>
  <c r="BH32" i="4" s="1"/>
  <c r="J31" i="4"/>
  <c r="L31" i="4" s="1"/>
  <c r="BE22" i="4"/>
  <c r="BH22" i="4" s="1"/>
  <c r="J22" i="4"/>
  <c r="L22" i="4" s="1"/>
  <c r="BE21" i="4"/>
  <c r="BH21" i="4" s="1"/>
  <c r="J21" i="4"/>
  <c r="L21" i="4" s="1"/>
  <c r="BE37" i="4"/>
  <c r="BH37" i="4" s="1"/>
  <c r="J36" i="4"/>
  <c r="L36" i="4" s="1"/>
  <c r="BE36" i="4"/>
  <c r="BH36" i="4" s="1"/>
  <c r="J35" i="4"/>
  <c r="L35" i="4" s="1"/>
  <c r="BE19" i="4"/>
  <c r="BH19" i="4" s="1"/>
  <c r="J19" i="4"/>
  <c r="L19" i="4" s="1"/>
  <c r="BE34" i="4"/>
  <c r="BH34" i="4" s="1"/>
  <c r="J33" i="4"/>
  <c r="L33" i="4" s="1"/>
  <c r="BE16" i="4"/>
  <c r="BH16" i="4" s="1"/>
  <c r="J16" i="4"/>
  <c r="BE30" i="4"/>
  <c r="BH30" i="4" s="1"/>
  <c r="J29" i="4"/>
  <c r="L29" i="4" s="1"/>
  <c r="BE38" i="4"/>
  <c r="BH38" i="4" s="1"/>
  <c r="J37" i="4"/>
  <c r="L37" i="4" s="1"/>
  <c r="BE20" i="4"/>
  <c r="BH20" i="4" s="1"/>
  <c r="J20" i="4"/>
  <c r="L20" i="4" s="1"/>
  <c r="BE35" i="4"/>
  <c r="BH35" i="4" s="1"/>
  <c r="J34" i="4"/>
  <c r="L34" i="4" s="1"/>
  <c r="BE18" i="4"/>
  <c r="BH18" i="4" s="1"/>
  <c r="J18" i="4"/>
  <c r="L18" i="4" s="1"/>
  <c r="U26" i="6"/>
  <c r="I26" i="6" s="1"/>
  <c r="J26" i="6" s="1"/>
  <c r="K26" i="6" s="1"/>
  <c r="U25" i="6"/>
  <c r="I25" i="6" s="1"/>
  <c r="J25" i="6" s="1"/>
  <c r="K25" i="6" s="1"/>
  <c r="K35" i="6" s="1"/>
  <c r="AA24" i="6"/>
  <c r="AA23" i="6"/>
  <c r="T20" i="6"/>
  <c r="U20" i="6" s="1"/>
  <c r="I20" i="6" s="1"/>
  <c r="J20" i="6" s="1"/>
  <c r="AA31" i="6"/>
  <c r="AA30" i="6"/>
  <c r="AA32" i="6"/>
  <c r="AA29" i="6"/>
  <c r="AA28" i="6"/>
  <c r="AA27" i="6"/>
  <c r="BN26" i="4"/>
  <c r="BN23" i="4"/>
  <c r="Y22" i="4" s="1"/>
  <c r="AC22" i="4" s="1"/>
  <c r="BN21" i="4"/>
  <c r="Y20" i="4" s="1"/>
  <c r="AC20" i="4" s="1"/>
  <c r="BN17" i="4"/>
  <c r="BM27" i="4"/>
  <c r="BN30" i="4"/>
  <c r="Y29" i="4" s="1"/>
  <c r="AC29" i="4" s="1"/>
  <c r="BN31" i="4"/>
  <c r="Y30" i="4" s="1"/>
  <c r="AC30" i="4" s="1"/>
  <c r="BN34" i="4"/>
  <c r="Y33" i="4" s="1"/>
  <c r="AC33" i="4" s="1"/>
  <c r="AM38" i="4"/>
  <c r="AM27" i="4"/>
  <c r="BA27" i="4"/>
  <c r="BF49" i="4" s="1"/>
  <c r="BA21" i="4"/>
  <c r="BA34" i="4"/>
  <c r="BA38" i="4"/>
  <c r="BH14" i="4"/>
  <c r="AM34" i="4"/>
  <c r="AM21" i="4"/>
  <c r="AQ40" i="4"/>
  <c r="AQ39" i="4"/>
  <c r="AQ38" i="4"/>
  <c r="AU38" i="4" s="1"/>
  <c r="AQ37" i="4"/>
  <c r="AU37" i="4" s="1"/>
  <c r="AQ36" i="4"/>
  <c r="AU36" i="4" s="1"/>
  <c r="AQ35" i="4"/>
  <c r="AU35" i="4" s="1"/>
  <c r="AQ21" i="4"/>
  <c r="AU21" i="4" s="1"/>
  <c r="AQ20" i="4"/>
  <c r="AU20" i="4" s="1"/>
  <c r="AQ19" i="4"/>
  <c r="AU19" i="4" s="1"/>
  <c r="AO56" i="4" s="1"/>
  <c r="AQ56" i="4" s="1"/>
  <c r="AQ18" i="4"/>
  <c r="AU18" i="4" s="1"/>
  <c r="AO55" i="4" s="1"/>
  <c r="AQ55" i="4" s="1"/>
  <c r="AQ17" i="4"/>
  <c r="AU17" i="4" s="1"/>
  <c r="AO54" i="4" s="1"/>
  <c r="AQ54" i="4" s="1"/>
  <c r="AQ16" i="4"/>
  <c r="AU16" i="4" s="1"/>
  <c r="AO53" i="4" s="1"/>
  <c r="AQ14" i="4"/>
  <c r="AU14" i="4" s="1"/>
  <c r="AQ13" i="4"/>
  <c r="AQ12" i="4"/>
  <c r="AQ11" i="4"/>
  <c r="AQ10" i="4"/>
  <c r="AQ9" i="4"/>
  <c r="AQ23" i="4"/>
  <c r="AU23" i="4" s="1"/>
  <c r="AQ24" i="4"/>
  <c r="AU24" i="4" s="1"/>
  <c r="AQ25" i="4"/>
  <c r="AU25" i="4" s="1"/>
  <c r="AQ26" i="4"/>
  <c r="AU26" i="4" s="1"/>
  <c r="AQ27" i="4"/>
  <c r="AU27" i="4" s="1"/>
  <c r="AQ29" i="4"/>
  <c r="AU29" i="4" s="1"/>
  <c r="AQ30" i="4"/>
  <c r="AU30" i="4" s="1"/>
  <c r="AQ31" i="4"/>
  <c r="AU31" i="4" s="1"/>
  <c r="AQ32" i="4"/>
  <c r="AU32" i="4" s="1"/>
  <c r="AQ33" i="4"/>
  <c r="AU33" i="4" s="1"/>
  <c r="AQ34" i="4"/>
  <c r="AU34" i="4" s="1"/>
  <c r="AQ22" i="4"/>
  <c r="AU22" i="4" s="1"/>
  <c r="AM42" i="4" l="1"/>
  <c r="AM43" i="4" s="1"/>
  <c r="BF48" i="4"/>
  <c r="BB49" i="4"/>
  <c r="BP27" i="4"/>
  <c r="Y16" i="4"/>
  <c r="BP38" i="4"/>
  <c r="Y25" i="4"/>
  <c r="BS38" i="4"/>
  <c r="BS27" i="4"/>
  <c r="K37" i="4"/>
  <c r="G16" i="8" s="1"/>
  <c r="L26" i="4"/>
  <c r="M37" i="4" s="1"/>
  <c r="L16" i="4"/>
  <c r="M27" i="4" s="1"/>
  <c r="BS40" i="4"/>
  <c r="AO66" i="4"/>
  <c r="AQ53" i="4"/>
  <c r="AQ66" i="4" s="1"/>
  <c r="H11" i="5"/>
  <c r="AA20" i="6"/>
  <c r="BA43" i="4"/>
  <c r="BA44" i="4" s="1"/>
  <c r="H10" i="2"/>
  <c r="H8" i="2"/>
  <c r="H6" i="2"/>
  <c r="AD53" i="4" l="1"/>
  <c r="AD56" i="4" s="1"/>
  <c r="AA37" i="4"/>
  <c r="AC16" i="4"/>
  <c r="AA26" i="4"/>
  <c r="K39" i="4"/>
  <c r="K40" i="4" s="1"/>
  <c r="BF51" i="4"/>
  <c r="BG49" i="4" s="1"/>
  <c r="BG48" i="4"/>
  <c r="H12" i="2"/>
  <c r="H13" i="2" s="1"/>
  <c r="H17" i="2" s="1"/>
  <c r="M39" i="4"/>
  <c r="F21" i="5"/>
  <c r="BS28" i="4"/>
  <c r="L11" i="5"/>
  <c r="J12" i="5"/>
  <c r="AC27" i="4" l="1"/>
  <c r="AC26" i="4"/>
  <c r="AC25" i="4"/>
  <c r="Y55" i="4"/>
  <c r="AC28" i="4"/>
  <c r="F42" i="5"/>
  <c r="I16" i="3"/>
  <c r="J19" i="5"/>
  <c r="M40" i="4"/>
  <c r="H10" i="5"/>
  <c r="H18" i="5" l="1"/>
  <c r="J18" i="5" s="1"/>
  <c r="Y57" i="4"/>
  <c r="AA55" i="4"/>
  <c r="AA57" i="4" s="1"/>
  <c r="H21" i="5" s="1"/>
  <c r="AF28" i="4"/>
  <c r="AD37" i="4"/>
  <c r="AD26" i="4"/>
  <c r="J10" i="5"/>
  <c r="J14" i="5" s="1"/>
  <c r="H14" i="5"/>
  <c r="AF37" i="4" l="1"/>
  <c r="AD39" i="4"/>
  <c r="H22" i="5" s="1"/>
  <c r="H42" i="5" s="1"/>
  <c r="F48" i="5"/>
  <c r="M49" i="5" s="1"/>
  <c r="I23" i="3"/>
  <c r="I25" i="3" s="1"/>
  <c r="H46" i="5" s="1"/>
  <c r="J46" i="5" s="1"/>
  <c r="H48" i="5" l="1"/>
  <c r="H50" i="5" s="1"/>
  <c r="H53" i="5" s="1"/>
  <c r="J22" i="5"/>
  <c r="J42" i="5" s="1"/>
  <c r="J48" i="5" s="1"/>
  <c r="F50" i="5"/>
  <c r="F53" i="5" s="1"/>
  <c r="J50" i="5" l="1"/>
  <c r="J53" i="5" s="1"/>
  <c r="U21" i="8"/>
  <c r="U24" i="8" s="1"/>
  <c r="G9" i="8"/>
  <c r="U28" i="8" l="1"/>
  <c r="U37" i="8"/>
  <c r="U38" i="8"/>
  <c r="Y48" i="8" s="1"/>
  <c r="U29" i="8"/>
  <c r="G12" i="8"/>
  <c r="G15" i="8" s="1"/>
  <c r="G18" i="8" s="1"/>
  <c r="K9" i="8"/>
  <c r="K12" i="8" s="1"/>
  <c r="K15" i="8" s="1"/>
  <c r="K18" i="8" s="1"/>
  <c r="I9" i="8"/>
  <c r="I12" i="8" s="1"/>
  <c r="I15" i="8" s="1"/>
  <c r="I18" i="8" s="1"/>
  <c r="U31" i="8" l="1"/>
  <c r="Y62" i="8"/>
  <c r="Y65" i="8" s="1"/>
  <c r="Y68" i="8" s="1"/>
  <c r="Y51" i="8"/>
  <c r="Y54" i="8" s="1"/>
  <c r="W48" i="8"/>
  <c r="U40" i="8"/>
  <c r="W62" i="8" l="1"/>
  <c r="AH48" i="8"/>
  <c r="AH51" i="8" s="1"/>
  <c r="AH54" i="8" s="1"/>
  <c r="W51" i="8"/>
  <c r="W54" i="8" s="1"/>
  <c r="AA62" i="8" l="1"/>
  <c r="W65" i="8"/>
  <c r="W68" i="8" l="1"/>
  <c r="AA65" i="8"/>
  <c r="AA68" i="8" s="1"/>
</calcChain>
</file>

<file path=xl/sharedStrings.xml><?xml version="1.0" encoding="utf-8"?>
<sst xmlns="http://schemas.openxmlformats.org/spreadsheetml/2006/main" count="744" uniqueCount="337">
  <si>
    <t>Wages</t>
  </si>
  <si>
    <t>Copier</t>
  </si>
  <si>
    <t>Depreciation</t>
  </si>
  <si>
    <t>Testing</t>
  </si>
  <si>
    <t>Service Specialists LLC</t>
  </si>
  <si>
    <t>Hach Co.</t>
  </si>
  <si>
    <t>National Water Services LLC</t>
  </si>
  <si>
    <t>Electro Mech Services</t>
  </si>
  <si>
    <t>KLC Insurance Services</t>
  </si>
  <si>
    <t>Labtronix</t>
  </si>
  <si>
    <t>Henry P Thompson Co</t>
  </si>
  <si>
    <t>Purchased Power for Pumping</t>
  </si>
  <si>
    <t>Chemicals</t>
  </si>
  <si>
    <t>Office Supplies</t>
  </si>
  <si>
    <t>Revenue</t>
  </si>
  <si>
    <t>BCWD</t>
  </si>
  <si>
    <t>Augusta</t>
  </si>
  <si>
    <t>Adjustments</t>
  </si>
  <si>
    <t>Electro Mech Service</t>
  </si>
  <si>
    <t>Cann Tech LLC</t>
  </si>
  <si>
    <t>Grainger WW</t>
  </si>
  <si>
    <t>Less:</t>
  </si>
  <si>
    <t>overhead door company of covington</t>
  </si>
  <si>
    <t>Complete Restoration</t>
  </si>
  <si>
    <t>Moody's of Dayton, Inc, Well #2</t>
  </si>
  <si>
    <t>Morris Auto Service</t>
  </si>
  <si>
    <t>Core &amp; Main</t>
  </si>
  <si>
    <t>Citco Water</t>
  </si>
  <si>
    <t>Bess Contracting</t>
  </si>
  <si>
    <t>Citco Water, Meter testing</t>
  </si>
  <si>
    <t>Kentucky Infrared Heat Systems</t>
  </si>
  <si>
    <t>Riemburse Credity Card Payment</t>
  </si>
  <si>
    <t>Service Specialties, LLC</t>
  </si>
  <si>
    <t>Nordmann VIC</t>
  </si>
  <si>
    <t>City of Augusta Series 1996 A</t>
  </si>
  <si>
    <t>Principal</t>
  </si>
  <si>
    <t>Interest</t>
  </si>
  <si>
    <t>Total</t>
  </si>
  <si>
    <t>Date</t>
  </si>
  <si>
    <t>Annual</t>
  </si>
  <si>
    <t>Three-Year Total</t>
  </si>
  <si>
    <t>Three-Year Annual Average</t>
  </si>
  <si>
    <t>Times: 1.20</t>
  </si>
  <si>
    <t>Three-Year Annual Average Debt Service Requirement</t>
  </si>
  <si>
    <t>Electrical to another</t>
  </si>
  <si>
    <t>Taken from "Debt Service Schedule $1,150,000"</t>
  </si>
  <si>
    <t>Taken from 2022 Totals Water Consumption and 2023 Totals Water Consumption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</si>
  <si>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</si>
  <si>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</si>
  <si>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</si>
  <si>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</si>
  <si>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</si>
  <si>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</si>
  <si>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</si>
  <si>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</si>
  <si>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</si>
  <si>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</si>
  <si>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</si>
  <si>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</si>
  <si>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Production</t>
  </si>
  <si>
    <t>Month</t>
  </si>
  <si>
    <t>Power</t>
  </si>
  <si>
    <t>Recalculated</t>
  </si>
  <si>
    <t>G/L</t>
  </si>
  <si>
    <t>Water Sales Revenue</t>
  </si>
  <si>
    <t>Bracken County Water District</t>
  </si>
  <si>
    <t>Operating Expenses</t>
  </si>
  <si>
    <t>Salaries and Wages</t>
  </si>
  <si>
    <t>Contracted Services - Audit</t>
  </si>
  <si>
    <t>Contracted Services - Legal</t>
  </si>
  <si>
    <t>Contracted Services - Software</t>
  </si>
  <si>
    <t>Natural Gas</t>
  </si>
  <si>
    <t>Communication</t>
  </si>
  <si>
    <t>Bank Service Fees</t>
  </si>
  <si>
    <t>Operation and Maintenance Expenses</t>
  </si>
  <si>
    <t>Total Operation and Maintenance</t>
  </si>
  <si>
    <t>Taxes Other Than Income</t>
  </si>
  <si>
    <t>Total Operating Expenses</t>
  </si>
  <si>
    <t>Net Operating Income</t>
  </si>
  <si>
    <t>Employee Benefits - Health Insurance</t>
  </si>
  <si>
    <t>Plus: Interest Income</t>
  </si>
  <si>
    <t>Income Available to Service Debt</t>
  </si>
  <si>
    <t>Total Water Sales Revenue</t>
  </si>
  <si>
    <t>Employee Training</t>
  </si>
  <si>
    <t>Test Year</t>
  </si>
  <si>
    <t>Pro Forma</t>
  </si>
  <si>
    <t>Difference</t>
  </si>
  <si>
    <t>Recalculated/GL</t>
  </si>
  <si>
    <t>Sept</t>
  </si>
  <si>
    <t>Oct</t>
  </si>
  <si>
    <t>Nov</t>
  </si>
  <si>
    <t>Dec</t>
  </si>
  <si>
    <t>Jan</t>
  </si>
  <si>
    <t>Feb</t>
  </si>
  <si>
    <t>Purchased</t>
  </si>
  <si>
    <t>KU</t>
  </si>
  <si>
    <t>Citgo</t>
  </si>
  <si>
    <t>Test year balances</t>
  </si>
  <si>
    <t>Pro forma</t>
  </si>
  <si>
    <t>Gallons</t>
  </si>
  <si>
    <t>Sold</t>
  </si>
  <si>
    <t>Use</t>
  </si>
  <si>
    <t>Less: Plant</t>
  </si>
  <si>
    <t>Billed</t>
  </si>
  <si>
    <t>Metered</t>
  </si>
  <si>
    <t>Insurance - General Liability</t>
  </si>
  <si>
    <t>Insurance - Workers Comp</t>
  </si>
  <si>
    <t>Audited</t>
  </si>
  <si>
    <t>Water Treatment Plant In Service</t>
  </si>
  <si>
    <t>Water Treatment Plant</t>
  </si>
  <si>
    <t>Additions</t>
  </si>
  <si>
    <t>Engineering</t>
  </si>
  <si>
    <t>Lagoon</t>
  </si>
  <si>
    <t>Well Recharge</t>
  </si>
  <si>
    <t>Air Compressor</t>
  </si>
  <si>
    <t>Radios</t>
  </si>
  <si>
    <t>Pump</t>
  </si>
  <si>
    <t>Pump and Motor</t>
  </si>
  <si>
    <t>Motor</t>
  </si>
  <si>
    <t>12" Spool Injection Line</t>
  </si>
  <si>
    <t>Aeration Disc</t>
  </si>
  <si>
    <t>Diaphragm Meter Pump</t>
  </si>
  <si>
    <t>Benchtop Meter</t>
  </si>
  <si>
    <t>Spectrophotometer</t>
  </si>
  <si>
    <t>Backflow Preventer</t>
  </si>
  <si>
    <t>Furnance</t>
  </si>
  <si>
    <t>Master Meter BCWD</t>
  </si>
  <si>
    <t>Chemical Feed Pump</t>
  </si>
  <si>
    <t>Polymer Pump</t>
  </si>
  <si>
    <t>AC/Furnance</t>
  </si>
  <si>
    <t>VS Pump</t>
  </si>
  <si>
    <t>Chevy Colorado</t>
  </si>
  <si>
    <t>Depreciable</t>
  </si>
  <si>
    <t>Basis</t>
  </si>
  <si>
    <t>Accumulated</t>
  </si>
  <si>
    <t>at 6/30/24</t>
  </si>
  <si>
    <t>at 6/30/23</t>
  </si>
  <si>
    <t>Undepreciated</t>
  </si>
  <si>
    <t>Expense</t>
  </si>
  <si>
    <t>Recalculate</t>
  </si>
  <si>
    <t>Test-Year</t>
  </si>
  <si>
    <t>Net Plant</t>
  </si>
  <si>
    <t>for Reporting</t>
  </si>
  <si>
    <t>Purposes</t>
  </si>
  <si>
    <t>Debt Financed</t>
  </si>
  <si>
    <t>Purchasing from western mason</t>
  </si>
  <si>
    <t>Test Year Sales Recalculated</t>
  </si>
  <si>
    <t>Miscellaneous - Bond Fees</t>
  </si>
  <si>
    <t>Gallons Sold</t>
  </si>
  <si>
    <t>to Bracken</t>
  </si>
  <si>
    <t>Revenue at</t>
  </si>
  <si>
    <t>$2.36 per 1,000</t>
  </si>
  <si>
    <t>Actual</t>
  </si>
  <si>
    <t>Refund</t>
  </si>
  <si>
    <t>Credit</t>
  </si>
  <si>
    <t>Reported</t>
  </si>
  <si>
    <t>January 2023</t>
  </si>
  <si>
    <t>July 2022</t>
  </si>
  <si>
    <t>January 2024</t>
  </si>
  <si>
    <t>Decrease to Test Year</t>
  </si>
  <si>
    <t>Percentage</t>
  </si>
  <si>
    <t>Current Rate</t>
  </si>
  <si>
    <t>Ref.</t>
  </si>
  <si>
    <t>(B)</t>
  </si>
  <si>
    <t>See trial balance.  With Audit Adjustment 2, Auditor accrued revenue to Bracken, but not Distribution Department.  Pro forma adjustment accrues revenue for both</t>
  </si>
  <si>
    <t>See Audit Adjustment 2.Auditor accrued revenue from bracken but not the Distribution Plant</t>
  </si>
  <si>
    <t>Accrual Basis</t>
  </si>
  <si>
    <t>of Accouting</t>
  </si>
  <si>
    <t>of Accounting</t>
  </si>
  <si>
    <t>Adjustment - Sales to Bracken</t>
  </si>
  <si>
    <t>Hach</t>
  </si>
  <si>
    <t>Lab Testing</t>
  </si>
  <si>
    <t>Treatment</t>
  </si>
  <si>
    <t>Totals</t>
  </si>
  <si>
    <t>Chemicals - Water Treatment</t>
  </si>
  <si>
    <t>Chemicals - Lab</t>
  </si>
  <si>
    <t>Ground Maintenance</t>
  </si>
  <si>
    <t>Moody's of Dayton</t>
  </si>
  <si>
    <t>Total Cost</t>
  </si>
  <si>
    <t>Divide by: 30 Years</t>
  </si>
  <si>
    <t>Increase to Test-Year Depreciation</t>
  </si>
  <si>
    <t>New Well  No. 2</t>
  </si>
  <si>
    <t>Vendor</t>
  </si>
  <si>
    <t>Cost</t>
  </si>
  <si>
    <t>Test Year 6/30/24</t>
  </si>
  <si>
    <t>Repairs Expense Comparison</t>
  </si>
  <si>
    <t>6/30/23</t>
  </si>
  <si>
    <t>Service Specialties</t>
  </si>
  <si>
    <t>Repairs - Materials and Contract Labor</t>
  </si>
  <si>
    <t>Remove Extraordinary Items</t>
  </si>
  <si>
    <t>Remove Well</t>
  </si>
  <si>
    <t>Reversed Payable</t>
  </si>
  <si>
    <t>Employee</t>
  </si>
  <si>
    <t>Contribution</t>
  </si>
  <si>
    <t>Less: Test Year</t>
  </si>
  <si>
    <t>Preliminary Engineering Report for Plant Construction provided by Augusta from Bond Transcript Binder</t>
  </si>
  <si>
    <t>Statement of Project Consulting Engineers provided by the Augusta.</t>
  </si>
  <si>
    <t>City of Augusta Servies 2016 C used to Refinance Series 1996 A and 1996 B</t>
  </si>
  <si>
    <t>Fiscal Year Ended</t>
  </si>
  <si>
    <t>City of Augusta Series 2004 Water Revenue Bonds</t>
  </si>
  <si>
    <t>Fiscal</t>
  </si>
  <si>
    <t>Year End</t>
  </si>
  <si>
    <t>Divide by: 3 Years</t>
  </si>
  <si>
    <t>CALCULATION OF WHOLESALE RATE</t>
  </si>
  <si>
    <t>Pro forma Operating Expenses</t>
  </si>
  <si>
    <t>Plus: Debt Service Requirement</t>
  </si>
  <si>
    <t>Total Revenue Requirment</t>
  </si>
  <si>
    <t>Less: Interest Income</t>
  </si>
  <si>
    <t>Total Revenue Requirement from Rate</t>
  </si>
  <si>
    <t>Schedule A</t>
  </si>
  <si>
    <t>City of Augusta Water Treatment Plant, Test Year Ended June 30, 2023</t>
  </si>
  <si>
    <t>Divide by: Pro forma Gallons Sold (000's)</t>
  </si>
  <si>
    <t>Lab Chem</t>
  </si>
  <si>
    <t>Charged to Repairs in G/L</t>
  </si>
  <si>
    <t>(C)</t>
  </si>
  <si>
    <t>(D)</t>
  </si>
  <si>
    <t>Premium</t>
  </si>
  <si>
    <t>Total Single Policies</t>
  </si>
  <si>
    <t>Annualized</t>
  </si>
  <si>
    <t>Percent</t>
  </si>
  <si>
    <t>Allocated</t>
  </si>
  <si>
    <t>to Augusta</t>
  </si>
  <si>
    <t>Adjustment</t>
  </si>
  <si>
    <t>Current</t>
  </si>
  <si>
    <t>Monthly</t>
  </si>
  <si>
    <t>Subtotal</t>
  </si>
  <si>
    <t>Times:</t>
  </si>
  <si>
    <t>Rate Case Expense</t>
  </si>
  <si>
    <t>(E)</t>
  </si>
  <si>
    <t>Total Family Policy</t>
  </si>
  <si>
    <t>Cost of Engineering Study</t>
  </si>
  <si>
    <t>Divide by: 3 years</t>
  </si>
  <si>
    <t>Annual Recovery</t>
  </si>
  <si>
    <t>Decrease</t>
  </si>
  <si>
    <t>(F)</t>
  </si>
  <si>
    <t>Augusta Distribution Department</t>
  </si>
  <si>
    <t>(A)</t>
  </si>
  <si>
    <t>(G)</t>
  </si>
  <si>
    <t>(H)</t>
  </si>
  <si>
    <t>(I)</t>
  </si>
  <si>
    <t>Rate Case Expense - Amortization</t>
  </si>
  <si>
    <t>(J)</t>
  </si>
  <si>
    <t>April 15, 2024</t>
  </si>
  <si>
    <t>Adjustment - Decrease</t>
  </si>
  <si>
    <t>Reporting Month</t>
  </si>
  <si>
    <t>June 2022</t>
  </si>
  <si>
    <t>Service Month</t>
  </si>
  <si>
    <t>Cash Basis</t>
  </si>
  <si>
    <t>Total Test Year</t>
  </si>
  <si>
    <t>Total Pro forma</t>
  </si>
  <si>
    <t xml:space="preserve">Adjustment - Purchased Power for Pumping </t>
  </si>
  <si>
    <t>FYE 6/30/22</t>
  </si>
  <si>
    <t>Times: Cost Per Day</t>
  </si>
  <si>
    <t>Number of Days Used</t>
  </si>
  <si>
    <t>(K)</t>
  </si>
  <si>
    <t>(L)</t>
  </si>
  <si>
    <t>(M)</t>
  </si>
  <si>
    <t>(N)</t>
  </si>
  <si>
    <t>FYE 6/30/24</t>
  </si>
  <si>
    <t>(O)</t>
  </si>
  <si>
    <t>August-Accrued from Prior Year</t>
  </si>
  <si>
    <t xml:space="preserve">August-Paid </t>
  </si>
  <si>
    <t>Days in Service</t>
  </si>
  <si>
    <t>Pro Forma Expense April 30, 2024</t>
  </si>
  <si>
    <t>Less: Cash Basis Expense</t>
  </si>
  <si>
    <t>Decrease for Accrual Basis</t>
  </si>
  <si>
    <t>Pro forma Days in Service</t>
  </si>
  <si>
    <t>Cost Per Day</t>
  </si>
  <si>
    <t>Anticipated Cost of Rate Proceeding</t>
  </si>
  <si>
    <t>Legal Fees Meter Case</t>
  </si>
  <si>
    <t>Divid by: 3  years</t>
  </si>
  <si>
    <t>Increase</t>
  </si>
  <si>
    <t>Pro forma Wages</t>
  </si>
  <si>
    <t>Employee No.</t>
  </si>
  <si>
    <t>Hours Worked</t>
  </si>
  <si>
    <t>Pro Forma Wages</t>
  </si>
  <si>
    <t>Regular</t>
  </si>
  <si>
    <t>O/T</t>
  </si>
  <si>
    <t>Rate</t>
  </si>
  <si>
    <t>Percent to</t>
  </si>
  <si>
    <t>Plant</t>
  </si>
  <si>
    <t>Times: FICA Tax Rate</t>
  </si>
  <si>
    <t>Pro forma FICA</t>
  </si>
  <si>
    <t>(P)</t>
  </si>
  <si>
    <t>Bracken</t>
  </si>
  <si>
    <t>Augusta Distribution</t>
  </si>
  <si>
    <t>Pro forma Gallon Sales to:</t>
  </si>
  <si>
    <t xml:space="preserve"> </t>
  </si>
  <si>
    <t>(Q)</t>
  </si>
  <si>
    <t>Divide by: 10 years</t>
  </si>
  <si>
    <t>Annual Depreciation Recovery</t>
  </si>
  <si>
    <t xml:space="preserve">Cost of Replacement Air Compressor </t>
  </si>
  <si>
    <t>Adjustment - Sales to Augusta Distribution</t>
  </si>
  <si>
    <t>not Depreciable</t>
  </si>
  <si>
    <t>Through Rates</t>
  </si>
  <si>
    <t>Pursuant to</t>
  </si>
  <si>
    <t>Adjusted</t>
  </si>
  <si>
    <t>Provision 16.g.</t>
  </si>
  <si>
    <t>2016 Contract,</t>
  </si>
  <si>
    <t>Service</t>
  </si>
  <si>
    <t>Life</t>
  </si>
  <si>
    <t>Less: Test-Year Expense</t>
  </si>
  <si>
    <t>Basis for</t>
  </si>
  <si>
    <t>Rate-Making</t>
  </si>
  <si>
    <t>District</t>
  </si>
  <si>
    <t>Distribution</t>
  </si>
  <si>
    <t>Pro Forma Sales to Bracken District</t>
  </si>
  <si>
    <t>Pro Forma Sales to Augusta Distribution</t>
  </si>
  <si>
    <t>Total Sales</t>
  </si>
  <si>
    <t xml:space="preserve">Gallons </t>
  </si>
  <si>
    <t>(000 omitted)</t>
  </si>
  <si>
    <t>Unified Rate</t>
  </si>
  <si>
    <t>Wholesale Rate Per Thousand Gallons</t>
  </si>
  <si>
    <t>Separate Rates Pursuant to 2016 Contract</t>
  </si>
  <si>
    <t>PRO FORMA ADJUSTED OPERATING STATEMENT</t>
  </si>
  <si>
    <t>Bracken District</t>
  </si>
  <si>
    <t>Bracken District, Limited to 64 Percent</t>
  </si>
  <si>
    <t>Augusta Distribution, 36 Percent Remaining After Max Allocation to Bracken District</t>
  </si>
  <si>
    <t>DEBT SERVICE REQUIREMENT</t>
  </si>
  <si>
    <t>Allocation of Debt Service Requirement using Three Alternative Methods</t>
  </si>
  <si>
    <t>2.   Allocated Based on Test-Year Water Sales Volume.</t>
  </si>
  <si>
    <t>Pro forma Operating Expenses to be Recovered through Rates</t>
  </si>
  <si>
    <t>Allocation</t>
  </si>
  <si>
    <t>Three-Year Average in Accordance with 2016 Contract, Section 16.c. and d.</t>
  </si>
  <si>
    <t>Expense Allocation</t>
  </si>
  <si>
    <t>Revenue Required</t>
  </si>
  <si>
    <t>Divide by: Adjusted Test-Year Gallons</t>
  </si>
  <si>
    <t>Rate Per Thousand Gallons</t>
  </si>
  <si>
    <t>Unified</t>
  </si>
  <si>
    <t>Schedule C</t>
  </si>
  <si>
    <t>Debt Service Allocation Method 3</t>
  </si>
  <si>
    <t>Debt Service Allocated Based on Pro Forma Water Sales Volume</t>
  </si>
  <si>
    <t>Allocated Pursuant to 2016 Contract, Section 16.d.</t>
  </si>
  <si>
    <t>Debt Service Allocated Pursuant to 2016 Contract, Section 16.d.</t>
  </si>
  <si>
    <t>Debt Service Allocation, 36 / 64</t>
  </si>
  <si>
    <t>Debt Service Allocation</t>
  </si>
  <si>
    <t>Advisory Board, 12 meetings per year, $100 per meeting, 2016 Contract, 17.f.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</si>
</sst>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0_);_(&quot;$&quot;* \(#,##0.0000\);_(&quot;$&quot;* &quot;-&quot;??_);_(@_)"/>
    <numFmt numFmtId="167" formatCode="_(&quot;$&quot;* #,##0.000_);_(&quot;$&quot;* \(#,##0.0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7">
    <xf numFmtId="0" fontId="0" fillId="0" borderId="0" xfId="0"/>
    <xf numFmtId="14" fontId="0" fillId="0" borderId="0" xfId="0" applyNumberFormat="1"/>
    <xf numFmtId="43" fontId="0" fillId="0" borderId="0" xfId="1" applyFont="1"/>
    <xf numFmtId="164" fontId="0" fillId="0" borderId="0" xfId="1" applyNumberFormat="1" applyFont="1"/>
    <xf numFmtId="164" fontId="0" fillId="0" borderId="0" xfId="0" applyNumberFormat="1"/>
    <xf numFmtId="165" fontId="0" fillId="0" borderId="0" xfId="2" applyNumberFormat="1" applyFont="1"/>
    <xf numFmtId="164" fontId="0" fillId="0" borderId="1" xfId="1" applyNumberFormat="1" applyFont="1" applyBorder="1"/>
    <xf numFmtId="43" fontId="0" fillId="0" borderId="0" xfId="0" applyNumberFormat="1"/>
    <xf numFmtId="0" fontId="0" fillId="0" borderId="2" xfId="0" applyBorder="1"/>
    <xf numFmtId="0" fontId="0" fillId="0" borderId="3" xfId="0" applyBorder="1"/>
    <xf numFmtId="164" fontId="0" fillId="0" borderId="3" xfId="1" applyNumberFormat="1" applyFont="1" applyBorder="1"/>
    <xf numFmtId="43" fontId="0" fillId="0" borderId="3" xfId="1" applyFont="1" applyBorder="1"/>
    <xf numFmtId="0" fontId="0" fillId="0" borderId="4" xfId="0" applyBorder="1"/>
    <xf numFmtId="0" fontId="0" fillId="0" borderId="5" xfId="0" applyBorder="1"/>
    <xf numFmtId="164" fontId="0" fillId="0" borderId="0" xfId="1" applyNumberFormat="1" applyFont="1" applyBorder="1"/>
    <xf numFmtId="43" fontId="0" fillId="0" borderId="0" xfId="1" applyFont="1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43" fontId="0" fillId="0" borderId="1" xfId="1" applyFont="1" applyBorder="1"/>
    <xf numFmtId="0" fontId="0" fillId="0" borderId="8" xfId="0" applyBorder="1"/>
    <xf numFmtId="43" fontId="0" fillId="0" borderId="0" xfId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44" fontId="0" fillId="0" borderId="0" xfId="2" applyFont="1"/>
    <xf numFmtId="0" fontId="0" fillId="0" borderId="0" xfId="0" applyAlignment="1">
      <alignment horizontal="center"/>
    </xf>
    <xf numFmtId="43" fontId="0" fillId="0" borderId="1" xfId="0" applyNumberFormat="1" applyBorder="1"/>
    <xf numFmtId="43" fontId="0" fillId="2" borderId="0" xfId="0" applyNumberFormat="1" applyFill="1"/>
    <xf numFmtId="0" fontId="0" fillId="2" borderId="0" xfId="0" applyFill="1"/>
    <xf numFmtId="43" fontId="0" fillId="2" borderId="3" xfId="0" applyNumberFormat="1" applyFill="1" applyBorder="1"/>
    <xf numFmtId="43" fontId="0" fillId="2" borderId="1" xfId="0" applyNumberFormat="1" applyFill="1" applyBorder="1"/>
    <xf numFmtId="43" fontId="0" fillId="0" borderId="9" xfId="1" applyFont="1" applyBorder="1"/>
    <xf numFmtId="43" fontId="0" fillId="0" borderId="10" xfId="1" applyFont="1" applyBorder="1"/>
    <xf numFmtId="0" fontId="0" fillId="3" borderId="0" xfId="0" applyFill="1"/>
    <xf numFmtId="164" fontId="0" fillId="0" borderId="0" xfId="1" applyNumberFormat="1" applyFont="1" applyFill="1" applyBorder="1"/>
    <xf numFmtId="165" fontId="0" fillId="2" borderId="0" xfId="2" applyNumberFormat="1" applyFont="1" applyFill="1"/>
    <xf numFmtId="164" fontId="0" fillId="2" borderId="0" xfId="1" applyNumberFormat="1" applyFont="1" applyFill="1"/>
    <xf numFmtId="164" fontId="0" fillId="2" borderId="3" xfId="1" applyNumberFormat="1" applyFont="1" applyFill="1" applyBorder="1"/>
    <xf numFmtId="164" fontId="0" fillId="2" borderId="0" xfId="1" applyNumberFormat="1" applyFont="1" applyFill="1" applyBorder="1"/>
    <xf numFmtId="164" fontId="0" fillId="2" borderId="1" xfId="1" applyNumberFormat="1" applyFont="1" applyFill="1" applyBorder="1"/>
    <xf numFmtId="164" fontId="0" fillId="0" borderId="5" xfId="1" applyNumberFormat="1" applyFont="1" applyBorder="1"/>
    <xf numFmtId="164" fontId="0" fillId="2" borderId="8" xfId="1" applyNumberFormat="1" applyFont="1" applyFill="1" applyBorder="1"/>
    <xf numFmtId="16" fontId="0" fillId="0" borderId="0" xfId="0" quotePrefix="1" applyNumberFormat="1"/>
    <xf numFmtId="0" fontId="0" fillId="0" borderId="0" xfId="0" quotePrefix="1"/>
    <xf numFmtId="165" fontId="0" fillId="0" borderId="0" xfId="0" applyNumberFormat="1"/>
    <xf numFmtId="44" fontId="0" fillId="0" borderId="0" xfId="0" applyNumberFormat="1"/>
    <xf numFmtId="44" fontId="0" fillId="0" borderId="0" xfId="2" applyFont="1" applyAlignment="1">
      <alignment horizontal="center"/>
    </xf>
    <xf numFmtId="44" fontId="0" fillId="0" borderId="1" xfId="2" applyFont="1" applyBorder="1" applyAlignment="1">
      <alignment horizontal="center"/>
    </xf>
    <xf numFmtId="165" fontId="0" fillId="0" borderId="12" xfId="0" applyNumberFormat="1" applyBorder="1"/>
    <xf numFmtId="165" fontId="0" fillId="0" borderId="12" xfId="2" applyNumberFormat="1" applyFont="1" applyBorder="1"/>
    <xf numFmtId="0" fontId="2" fillId="0" borderId="0" xfId="0" applyFont="1"/>
    <xf numFmtId="164" fontId="2" fillId="0" borderId="0" xfId="0" applyNumberFormat="1" applyFont="1"/>
    <xf numFmtId="0" fontId="2" fillId="0" borderId="0" xfId="0" quotePrefix="1" applyFont="1"/>
    <xf numFmtId="0" fontId="3" fillId="0" borderId="0" xfId="0" applyFont="1" applyAlignment="1">
      <alignment horizontal="center"/>
    </xf>
    <xf numFmtId="164" fontId="2" fillId="0" borderId="1" xfId="0" applyNumberFormat="1" applyFont="1" applyBorder="1"/>
    <xf numFmtId="10" fontId="0" fillId="0" borderId="0" xfId="3" applyNumberFormat="1" applyFont="1"/>
    <xf numFmtId="164" fontId="0" fillId="0" borderId="12" xfId="0" applyNumberFormat="1" applyBorder="1"/>
    <xf numFmtId="10" fontId="0" fillId="0" borderId="12" xfId="3" applyNumberFormat="1" applyFont="1" applyBorder="1"/>
    <xf numFmtId="164" fontId="0" fillId="4" borderId="5" xfId="1" applyNumberFormat="1" applyFont="1" applyFill="1" applyBorder="1"/>
    <xf numFmtId="43" fontId="0" fillId="4" borderId="0" xfId="0" applyNumberFormat="1" applyFill="1"/>
    <xf numFmtId="0" fontId="0" fillId="4" borderId="0" xfId="0" applyFill="1"/>
    <xf numFmtId="165" fontId="0" fillId="0" borderId="0" xfId="2" applyNumberFormat="1" applyFont="1" applyBorder="1"/>
    <xf numFmtId="43" fontId="0" fillId="0" borderId="0" xfId="1" applyFont="1" applyFill="1"/>
    <xf numFmtId="43" fontId="0" fillId="3" borderId="0" xfId="0" applyNumberFormat="1" applyFill="1"/>
    <xf numFmtId="43" fontId="2" fillId="0" borderId="0" xfId="0" applyNumberFormat="1" applyFont="1"/>
    <xf numFmtId="43" fontId="0" fillId="0" borderId="5" xfId="1" applyFont="1" applyBorder="1"/>
    <xf numFmtId="43" fontId="0" fillId="0" borderId="11" xfId="1" applyFont="1" applyBorder="1"/>
    <xf numFmtId="43" fontId="0" fillId="0" borderId="2" xfId="1" applyFont="1" applyBorder="1"/>
    <xf numFmtId="43" fontId="0" fillId="0" borderId="7" xfId="1" applyFont="1" applyBorder="1"/>
    <xf numFmtId="165" fontId="0" fillId="0" borderId="1" xfId="0" applyNumberFormat="1" applyBorder="1"/>
    <xf numFmtId="9" fontId="0" fillId="0" borderId="1" xfId="3" applyFont="1" applyBorder="1"/>
    <xf numFmtId="9" fontId="0" fillId="0" borderId="0" xfId="3" applyFont="1"/>
    <xf numFmtId="165" fontId="0" fillId="0" borderId="0" xfId="3" applyNumberFormat="1" applyFont="1"/>
    <xf numFmtId="165" fontId="0" fillId="0" borderId="1" xfId="2" applyNumberFormat="1" applyFont="1" applyBorder="1"/>
    <xf numFmtId="164" fontId="2" fillId="0" borderId="1" xfId="1" applyNumberFormat="1" applyFont="1" applyBorder="1"/>
    <xf numFmtId="15" fontId="2" fillId="0" borderId="0" xfId="0" quotePrefix="1" applyNumberFormat="1" applyFont="1"/>
    <xf numFmtId="0" fontId="0" fillId="0" borderId="0" xfId="0" applyAlignment="1">
      <alignment horizontal="left"/>
    </xf>
    <xf numFmtId="164" fontId="2" fillId="0" borderId="0" xfId="1" applyNumberFormat="1" applyFont="1" applyBorder="1"/>
    <xf numFmtId="17" fontId="0" fillId="0" borderId="0" xfId="0" quotePrefix="1" applyNumberFormat="1"/>
    <xf numFmtId="164" fontId="2" fillId="0" borderId="0" xfId="1" applyNumberFormat="1" applyFont="1"/>
    <xf numFmtId="0" fontId="2" fillId="0" borderId="1" xfId="0" applyFont="1" applyBorder="1"/>
    <xf numFmtId="44" fontId="0" fillId="0" borderId="1" xfId="2" applyFont="1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0" xfId="2" applyNumberFormat="1" applyFont="1" applyBorder="1"/>
    <xf numFmtId="164" fontId="0" fillId="0" borderId="6" xfId="0" applyNumberFormat="1" applyBorder="1"/>
    <xf numFmtId="0" fontId="0" fillId="0" borderId="5" xfId="0" quotePrefix="1" applyBorder="1"/>
    <xf numFmtId="0" fontId="2" fillId="0" borderId="5" xfId="0" applyFont="1" applyBorder="1"/>
    <xf numFmtId="16" fontId="0" fillId="0" borderId="3" xfId="0" quotePrefix="1" applyNumberFormat="1" applyBorder="1"/>
    <xf numFmtId="0" fontId="0" fillId="0" borderId="13" xfId="0" applyBorder="1"/>
    <xf numFmtId="165" fontId="0" fillId="0" borderId="8" xfId="2" applyNumberFormat="1" applyFont="1" applyBorder="1"/>
    <xf numFmtId="16" fontId="3" fillId="0" borderId="0" xfId="0" applyNumberFormat="1" applyFont="1" applyAlignment="1">
      <alignment horizontal="center"/>
    </xf>
    <xf numFmtId="165" fontId="2" fillId="0" borderId="12" xfId="2" applyNumberFormat="1" applyFont="1" applyBorder="1"/>
    <xf numFmtId="0" fontId="2" fillId="0" borderId="0" xfId="0" applyFont="1" applyAlignment="1">
      <alignment horizontal="center"/>
    </xf>
    <xf numFmtId="164" fontId="0" fillId="0" borderId="1" xfId="1" applyNumberFormat="1" applyFont="1" applyFill="1" applyBorder="1"/>
    <xf numFmtId="0" fontId="3" fillId="0" borderId="0" xfId="0" applyFont="1"/>
    <xf numFmtId="164" fontId="0" fillId="5" borderId="0" xfId="1" applyNumberFormat="1" applyFont="1" applyFill="1"/>
    <xf numFmtId="10" fontId="0" fillId="0" borderId="1" xfId="3" applyNumberFormat="1" applyFont="1" applyBorder="1"/>
    <xf numFmtId="165" fontId="0" fillId="0" borderId="3" xfId="2" applyNumberFormat="1" applyFont="1" applyBorder="1"/>
    <xf numFmtId="0" fontId="2" fillId="0" borderId="6" xfId="0" applyFont="1" applyBorder="1"/>
    <xf numFmtId="0" fontId="2" fillId="0" borderId="7" xfId="0" applyFont="1" applyBorder="1"/>
    <xf numFmtId="44" fontId="0" fillId="0" borderId="0" xfId="2" applyFont="1" applyBorder="1"/>
    <xf numFmtId="165" fontId="0" fillId="0" borderId="14" xfId="0" applyNumberFormat="1" applyBorder="1"/>
    <xf numFmtId="166" fontId="0" fillId="0" borderId="0" xfId="0" applyNumberFormat="1"/>
    <xf numFmtId="166" fontId="0" fillId="0" borderId="12" xfId="0" applyNumberFormat="1" applyBorder="1"/>
    <xf numFmtId="166" fontId="0" fillId="0" borderId="12" xfId="2" applyNumberFormat="1" applyFont="1" applyBorder="1"/>
    <xf numFmtId="164" fontId="0" fillId="0" borderId="12" xfId="1" applyNumberFormat="1" applyFont="1" applyBorder="1"/>
    <xf numFmtId="167" fontId="0" fillId="0" borderId="0" xfId="2" applyNumberFormat="1" applyFont="1"/>
    <xf numFmtId="167" fontId="0" fillId="0" borderId="12" xfId="2" applyNumberFormat="1" applyFont="1" applyBorder="1"/>
    <xf numFmtId="9" fontId="0" fillId="0" borderId="12" xfId="0" applyNumberForma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43" fontId="0" fillId="0" borderId="0" xfId="1" applyFont="1" applyAlignment="1">
      <alignment horizontal="center"/>
    </xf>
    <xf numFmtId="0" fontId="3" fillId="0" borderId="3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8</xdr:row>
      <xdr:rowOff>0</xdr:rowOff>
    </xdr:from>
    <xdr:to>
      <xdr:col>26</xdr:col>
      <xdr:colOff>399223</xdr:colOff>
      <xdr:row>50</xdr:row>
      <xdr:rowOff>132526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7005A9-3821-F7EC-1C8C-490FD31E0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4175" y="1447800"/>
          <a:ext cx="7725853" cy="7744906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55</xdr:row>
      <xdr:rowOff>0</xdr:rowOff>
    </xdr:from>
    <xdr:to>
      <xdr:col>25</xdr:col>
      <xdr:colOff>439147</xdr:colOff>
      <xdr:row>94</xdr:row>
      <xdr:rowOff>39098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C4A66B1-2FFB-BE5F-F4B1-3A1A4F2BB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34175" y="9772650"/>
          <a:ext cx="7144747" cy="71542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60</xdr:row>
      <xdr:rowOff>0</xdr:rowOff>
    </xdr:from>
    <xdr:to>
      <xdr:col>21</xdr:col>
      <xdr:colOff>136521</xdr:colOff>
      <xdr:row>90</xdr:row>
      <xdr:rowOff>38863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20AF38-5007-973C-58D0-8790D31A56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29350" y="10877550"/>
          <a:ext cx="9069066" cy="5468113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93</xdr:row>
      <xdr:rowOff>0</xdr:rowOff>
    </xdr:from>
    <xdr:to>
      <xdr:col>19</xdr:col>
      <xdr:colOff>553528</xdr:colOff>
      <xdr:row>115</xdr:row>
      <xdr:rowOff>133923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7C93AEF-B744-87E0-2A1F-AEB47FBB9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29350" y="16849725"/>
          <a:ext cx="7725853" cy="410584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678B2-B740-406A-861E-832C8AF1963A}">
  <dimension ref="A2:AH69"/>
  <sheetViews>
    <sheetView showGridLines="0" workbookViewId="0">
      <selection activeCell="A2" sqref="A2:G2"/>
    </sheetView>
  </sheetViews>
  <sheetFormatPr defaultRowHeight="15" x14ac:dyDescent="0.25"/>
  <cols>
    <col min="4" max="4" width="12.140625" bestFit="1" customWidth="1"/>
    <col min="5" max="5" width="13.42578125" customWidth="1"/>
    <col min="6" max="6" width="1.28515625" customWidth="1"/>
    <col min="7" max="7" width="13.28515625" bestFit="1" customWidth="1"/>
    <col min="8" max="8" width="1.85546875" customWidth="1"/>
    <col min="9" max="9" width="12.140625" bestFit="1" customWidth="1"/>
    <col min="10" max="10" width="1.85546875" customWidth="1"/>
    <col min="11" max="11" width="12.140625" bestFit="1" customWidth="1"/>
    <col min="17" max="17" width="12.140625" bestFit="1" customWidth="1"/>
    <col min="18" max="18" width="1.5703125" customWidth="1"/>
    <col min="19" max="19" width="10.42578125" bestFit="1" customWidth="1"/>
    <col min="20" max="20" width="2.7109375" customWidth="1"/>
    <col min="21" max="21" width="12.140625" bestFit="1" customWidth="1"/>
    <col min="22" max="22" width="39.140625" customWidth="1"/>
    <col min="23" max="23" width="12" bestFit="1" customWidth="1"/>
    <col min="24" max="24" width="1.7109375" customWidth="1"/>
    <col min="25" max="25" width="12.140625" bestFit="1" customWidth="1"/>
    <col min="26" max="26" width="2.28515625" customWidth="1"/>
    <col min="27" max="27" width="12.140625" bestFit="1" customWidth="1"/>
    <col min="31" max="31" width="14.85546875" customWidth="1"/>
    <col min="34" max="34" width="9.7109375" bestFit="1" customWidth="1"/>
  </cols>
  <sheetData>
    <row r="2" spans="1:11" x14ac:dyDescent="0.25">
      <c r="A2" s="110" t="s">
        <v>209</v>
      </c>
      <c r="B2" s="110"/>
      <c r="C2" s="110"/>
      <c r="D2" s="110"/>
      <c r="E2" s="110"/>
      <c r="F2" s="110"/>
      <c r="G2" s="110"/>
    </row>
    <row r="3" spans="1:11" x14ac:dyDescent="0.25">
      <c r="A3" s="110" t="s">
        <v>203</v>
      </c>
      <c r="B3" s="110"/>
      <c r="C3" s="110"/>
      <c r="D3" s="110"/>
      <c r="E3" s="110"/>
      <c r="F3" s="110"/>
      <c r="G3" s="110"/>
    </row>
    <row r="4" spans="1:11" x14ac:dyDescent="0.25">
      <c r="A4" s="110" t="s">
        <v>210</v>
      </c>
      <c r="B4" s="110"/>
      <c r="C4" s="110"/>
      <c r="D4" s="110"/>
      <c r="E4" s="110"/>
      <c r="F4" s="110"/>
      <c r="G4" s="110"/>
    </row>
    <row r="5" spans="1:11" x14ac:dyDescent="0.25">
      <c r="I5" t="s">
        <v>313</v>
      </c>
    </row>
    <row r="6" spans="1:11" x14ac:dyDescent="0.25">
      <c r="I6" s="25" t="s">
        <v>284</v>
      </c>
      <c r="J6" s="25"/>
      <c r="K6" s="25" t="s">
        <v>16</v>
      </c>
    </row>
    <row r="7" spans="1:11" x14ac:dyDescent="0.25">
      <c r="G7" s="53" t="s">
        <v>311</v>
      </c>
      <c r="I7" s="53" t="s">
        <v>304</v>
      </c>
      <c r="J7" s="25"/>
      <c r="K7" s="53" t="s">
        <v>305</v>
      </c>
    </row>
    <row r="9" spans="1:11" x14ac:dyDescent="0.25">
      <c r="A9" t="s">
        <v>204</v>
      </c>
      <c r="G9" s="5">
        <f>'Pro forma'!J48</f>
        <v>481535.73430691112</v>
      </c>
      <c r="I9" s="5">
        <f>G9*G54</f>
        <v>377772.89684607921</v>
      </c>
      <c r="J9" s="5"/>
      <c r="K9" s="5">
        <f>G9*G55</f>
        <v>103762.8374608319</v>
      </c>
    </row>
    <row r="10" spans="1:11" x14ac:dyDescent="0.25">
      <c r="A10" t="s">
        <v>205</v>
      </c>
      <c r="G10" s="6">
        <f>Debt!H58</f>
        <v>104232.71199999998</v>
      </c>
      <c r="I10" s="6">
        <f>Debt!H72</f>
        <v>66708.935679999995</v>
      </c>
      <c r="J10" s="3"/>
      <c r="K10" s="6">
        <f>Debt!H71</f>
        <v>37523.77631999999</v>
      </c>
    </row>
    <row r="11" spans="1:11" x14ac:dyDescent="0.25">
      <c r="G11" s="3"/>
    </row>
    <row r="12" spans="1:11" x14ac:dyDescent="0.25">
      <c r="A12" t="s">
        <v>206</v>
      </c>
      <c r="G12" s="3">
        <f>G9+G10</f>
        <v>585768.44630691106</v>
      </c>
      <c r="I12" s="3">
        <f>SUM(I9:I11)</f>
        <v>444481.8325260792</v>
      </c>
      <c r="J12" s="3"/>
      <c r="K12" s="3">
        <f>SUM(K9:K11)</f>
        <v>141286.61378083189</v>
      </c>
    </row>
    <row r="13" spans="1:11" x14ac:dyDescent="0.25">
      <c r="A13" t="s">
        <v>207</v>
      </c>
      <c r="G13" s="6">
        <f>-'Pro forma'!J51</f>
        <v>-1409</v>
      </c>
      <c r="I13" s="6">
        <f>G13*G54</f>
        <v>-1105.384239909537</v>
      </c>
      <c r="J13" s="3"/>
      <c r="K13" s="6">
        <f>G55*G13</f>
        <v>-303.6157600904632</v>
      </c>
    </row>
    <row r="14" spans="1:11" x14ac:dyDescent="0.25">
      <c r="G14" s="3"/>
      <c r="I14" s="3"/>
      <c r="J14" s="3"/>
      <c r="K14" s="3"/>
    </row>
    <row r="15" spans="1:11" x14ac:dyDescent="0.25">
      <c r="A15" t="s">
        <v>208</v>
      </c>
      <c r="G15" s="3">
        <f>G12+G13</f>
        <v>584359.44630691106</v>
      </c>
      <c r="I15" s="3">
        <f>I12+I13</f>
        <v>443376.44828616967</v>
      </c>
      <c r="J15" s="3"/>
      <c r="K15" s="3">
        <f>K12+K13</f>
        <v>140982.99802074142</v>
      </c>
    </row>
    <row r="16" spans="1:11" x14ac:dyDescent="0.25">
      <c r="A16" t="s">
        <v>211</v>
      </c>
      <c r="G16" s="6">
        <f>('Revenue Power Chemicals'!D37+'Revenue Power Chemicals'!K37)/1000</f>
        <v>196922.62599999999</v>
      </c>
      <c r="I16" s="6">
        <f>E54</f>
        <v>154489.11799999999</v>
      </c>
      <c r="J16" s="3"/>
      <c r="K16" s="6">
        <f>E55</f>
        <v>42433.508000000002</v>
      </c>
    </row>
    <row r="18" spans="1:21" ht="15.75" thickBot="1" x14ac:dyDescent="0.3">
      <c r="A18" t="s">
        <v>312</v>
      </c>
      <c r="G18" s="105">
        <f>G15/G16</f>
        <v>2.9674571082903958</v>
      </c>
      <c r="I18" s="104">
        <f>I15/I16</f>
        <v>2.8699526156021533</v>
      </c>
      <c r="J18" s="103"/>
      <c r="K18" s="104">
        <f>K15/K16</f>
        <v>3.3224450361431681</v>
      </c>
    </row>
    <row r="19" spans="1:21" ht="15.75" thickTop="1" x14ac:dyDescent="0.25"/>
    <row r="21" spans="1:21" x14ac:dyDescent="0.25">
      <c r="N21" t="s">
        <v>204</v>
      </c>
      <c r="U21" s="5">
        <f>'Pro forma'!J48</f>
        <v>481535.73430691112</v>
      </c>
    </row>
    <row r="22" spans="1:21" x14ac:dyDescent="0.25">
      <c r="N22" t="s">
        <v>207</v>
      </c>
      <c r="U22" s="6">
        <f>-'Pro forma'!J51</f>
        <v>-1409</v>
      </c>
    </row>
    <row r="24" spans="1:21" ht="15.75" thickBot="1" x14ac:dyDescent="0.3">
      <c r="N24" t="s">
        <v>321</v>
      </c>
      <c r="U24" s="49">
        <f>SUM(U21:U23)</f>
        <v>480126.73430691112</v>
      </c>
    </row>
    <row r="25" spans="1:21" ht="15.75" thickTop="1" x14ac:dyDescent="0.25"/>
    <row r="26" spans="1:21" x14ac:dyDescent="0.25">
      <c r="Q26" s="25" t="s">
        <v>140</v>
      </c>
      <c r="U26" s="25" t="s">
        <v>138</v>
      </c>
    </row>
    <row r="27" spans="1:21" x14ac:dyDescent="0.25">
      <c r="Q27" s="53" t="s">
        <v>309</v>
      </c>
      <c r="R27" s="53"/>
      <c r="S27" s="53" t="s">
        <v>160</v>
      </c>
      <c r="U27" s="53" t="s">
        <v>322</v>
      </c>
    </row>
    <row r="28" spans="1:21" x14ac:dyDescent="0.25">
      <c r="N28" t="s">
        <v>285</v>
      </c>
      <c r="Q28" s="3">
        <f>'Revenue Power Chemicals'!K27</f>
        <v>52539444</v>
      </c>
      <c r="S28" s="55">
        <f>Q28/Q31</f>
        <v>0.23278192173957335</v>
      </c>
      <c r="U28" s="44">
        <f>U24*S28</f>
        <v>111764.82389050831</v>
      </c>
    </row>
    <row r="29" spans="1:21" x14ac:dyDescent="0.25">
      <c r="N29" t="s">
        <v>315</v>
      </c>
      <c r="Q29" s="6">
        <f>'Revenue Power Chemicals'!D27</f>
        <v>173162980</v>
      </c>
      <c r="S29" s="97">
        <f>Q29/Q31</f>
        <v>0.76721807826042665</v>
      </c>
      <c r="U29" s="6">
        <f>U24*S29</f>
        <v>368361.9104164028</v>
      </c>
    </row>
    <row r="30" spans="1:21" x14ac:dyDescent="0.25">
      <c r="Q30" s="3"/>
      <c r="S30" s="55"/>
    </row>
    <row r="31" spans="1:21" ht="15.75" thickBot="1" x14ac:dyDescent="0.3">
      <c r="N31" t="s">
        <v>37</v>
      </c>
      <c r="Q31" s="106">
        <f>SUM(Q28:Q30)</f>
        <v>225702424</v>
      </c>
      <c r="S31" s="57">
        <f>SUM(S28:S30)</f>
        <v>1</v>
      </c>
      <c r="U31" s="48">
        <f>SUM(U28:U30)</f>
        <v>480126.73430691112</v>
      </c>
    </row>
    <row r="32" spans="1:21" ht="15.75" thickTop="1" x14ac:dyDescent="0.25"/>
    <row r="35" spans="1:34" x14ac:dyDescent="0.25">
      <c r="Q35" s="25" t="s">
        <v>98</v>
      </c>
      <c r="U35" s="25" t="s">
        <v>138</v>
      </c>
    </row>
    <row r="36" spans="1:34" x14ac:dyDescent="0.25">
      <c r="Q36" s="53" t="s">
        <v>309</v>
      </c>
      <c r="R36" s="53"/>
      <c r="S36" s="53" t="s">
        <v>160</v>
      </c>
      <c r="U36" s="53" t="s">
        <v>322</v>
      </c>
    </row>
    <row r="37" spans="1:34" x14ac:dyDescent="0.25">
      <c r="N37" t="s">
        <v>285</v>
      </c>
      <c r="Q37" s="3">
        <f>'Revenue Power Chemicals'!K37</f>
        <v>42433508</v>
      </c>
      <c r="S37" s="55">
        <f>Q37/Q40</f>
        <v>0.21548315123524708</v>
      </c>
      <c r="U37" s="44">
        <f>U24*S37</f>
        <v>103459.22170074143</v>
      </c>
    </row>
    <row r="38" spans="1:34" x14ac:dyDescent="0.25">
      <c r="N38" t="s">
        <v>315</v>
      </c>
      <c r="Q38" s="6">
        <f>'Revenue Power Chemicals'!D37</f>
        <v>154489118</v>
      </c>
      <c r="S38" s="97">
        <f>Q38/Q40</f>
        <v>0.78451684876475292</v>
      </c>
      <c r="U38" s="6">
        <f>U24*S38</f>
        <v>376667.51260616968</v>
      </c>
    </row>
    <row r="39" spans="1:34" x14ac:dyDescent="0.25">
      <c r="Q39" s="3"/>
      <c r="S39" s="55"/>
    </row>
    <row r="40" spans="1:34" ht="15.75" thickBot="1" x14ac:dyDescent="0.3">
      <c r="D40" t="s">
        <v>284</v>
      </c>
      <c r="G40" t="s">
        <v>16</v>
      </c>
      <c r="N40" t="s">
        <v>37</v>
      </c>
      <c r="Q40" s="106">
        <f>SUM(Q37:Q39)</f>
        <v>196922626</v>
      </c>
      <c r="S40" s="57">
        <f>SUM(S37:S39)</f>
        <v>1</v>
      </c>
      <c r="U40" s="48">
        <f>SUM(U37:U39)</f>
        <v>480126.73430691112</v>
      </c>
    </row>
    <row r="41" spans="1:34" ht="15.75" thickTop="1" x14ac:dyDescent="0.25">
      <c r="D41" t="s">
        <v>304</v>
      </c>
      <c r="G41" t="s">
        <v>305</v>
      </c>
    </row>
    <row r="43" spans="1:34" x14ac:dyDescent="0.25">
      <c r="A43" t="s">
        <v>66</v>
      </c>
    </row>
    <row r="45" spans="1:34" x14ac:dyDescent="0.25">
      <c r="W45" s="25" t="s">
        <v>16</v>
      </c>
      <c r="X45" s="25"/>
      <c r="Y45" s="25" t="s">
        <v>284</v>
      </c>
      <c r="Z45" s="25"/>
      <c r="AH45" s="25" t="s">
        <v>328</v>
      </c>
    </row>
    <row r="46" spans="1:34" x14ac:dyDescent="0.25">
      <c r="W46" s="23" t="s">
        <v>305</v>
      </c>
      <c r="X46" s="25"/>
      <c r="Y46" s="23" t="s">
        <v>304</v>
      </c>
      <c r="Z46" s="25"/>
      <c r="AH46" s="23" t="s">
        <v>278</v>
      </c>
    </row>
    <row r="48" spans="1:34" x14ac:dyDescent="0.25">
      <c r="V48" t="s">
        <v>324</v>
      </c>
      <c r="W48" s="44">
        <f>U37</f>
        <v>103459.22170074143</v>
      </c>
      <c r="Y48" s="5">
        <f>U38</f>
        <v>376667.51260616968</v>
      </c>
      <c r="AE48" t="s">
        <v>324</v>
      </c>
      <c r="AH48" s="44">
        <f>W48+Y48</f>
        <v>480126.73430691112</v>
      </c>
    </row>
    <row r="49" spans="1:34" x14ac:dyDescent="0.25">
      <c r="V49" t="s">
        <v>334</v>
      </c>
      <c r="W49" s="6">
        <f>Debt!H71</f>
        <v>37523.77631999999</v>
      </c>
      <c r="X49" s="3"/>
      <c r="Y49" s="6">
        <f>Debt!H72</f>
        <v>66708.935679999995</v>
      </c>
      <c r="Z49" s="3"/>
      <c r="AE49" t="s">
        <v>335</v>
      </c>
      <c r="AH49" s="6">
        <f>W49+Y49</f>
        <v>104232.71199999998</v>
      </c>
    </row>
    <row r="51" spans="1:34" x14ac:dyDescent="0.25">
      <c r="E51" s="25" t="s">
        <v>309</v>
      </c>
      <c r="F51" s="25"/>
      <c r="V51" t="s">
        <v>325</v>
      </c>
      <c r="W51" s="3">
        <f>W48+W49</f>
        <v>140982.99802074142</v>
      </c>
      <c r="X51" s="3"/>
      <c r="Y51" s="3">
        <f>Y48+Y49</f>
        <v>443376.44828616967</v>
      </c>
      <c r="Z51" s="3"/>
      <c r="AE51" t="s">
        <v>325</v>
      </c>
      <c r="AH51" s="3">
        <f>AH48+AH49</f>
        <v>584359.44630691106</v>
      </c>
    </row>
    <row r="52" spans="1:34" x14ac:dyDescent="0.25">
      <c r="E52" s="25" t="s">
        <v>310</v>
      </c>
      <c r="F52" s="25"/>
      <c r="V52" t="s">
        <v>326</v>
      </c>
      <c r="W52" s="22">
        <f>Q37/1000</f>
        <v>42433.508000000002</v>
      </c>
      <c r="Y52" s="22">
        <f>Q38/1000</f>
        <v>154489.11799999999</v>
      </c>
      <c r="AE52" t="s">
        <v>326</v>
      </c>
      <c r="AH52" s="22">
        <f>W52+Y52</f>
        <v>196922.62599999999</v>
      </c>
    </row>
    <row r="54" spans="1:34" ht="15.75" thickBot="1" x14ac:dyDescent="0.3">
      <c r="A54" t="s">
        <v>306</v>
      </c>
      <c r="E54">
        <f>'Revenue Power Chemicals'!D37/1000</f>
        <v>154489.11799999999</v>
      </c>
      <c r="G54" s="55">
        <f>E54/E57</f>
        <v>0.78451684876475292</v>
      </c>
      <c r="V54" t="s">
        <v>327</v>
      </c>
      <c r="W54" s="108">
        <f>W51/W52</f>
        <v>3.3224450361431681</v>
      </c>
      <c r="X54" s="107"/>
      <c r="Y54" s="108">
        <f>Y51/Y52</f>
        <v>2.8699526156021533</v>
      </c>
      <c r="Z54" s="107"/>
      <c r="AE54" t="s">
        <v>327</v>
      </c>
      <c r="AH54" s="108">
        <f>AH51/AH52</f>
        <v>2.9674571082903958</v>
      </c>
    </row>
    <row r="55" spans="1:34" ht="15.75" thickTop="1" x14ac:dyDescent="0.25">
      <c r="A55" t="s">
        <v>307</v>
      </c>
      <c r="E55">
        <f>'Revenue Power Chemicals'!K37/1000</f>
        <v>42433.508000000002</v>
      </c>
      <c r="G55" s="55">
        <f>E55/E57</f>
        <v>0.21548315123524711</v>
      </c>
    </row>
    <row r="56" spans="1:34" x14ac:dyDescent="0.25">
      <c r="G56" s="55"/>
    </row>
    <row r="57" spans="1:34" x14ac:dyDescent="0.25">
      <c r="A57" t="s">
        <v>308</v>
      </c>
      <c r="E57">
        <f>SUM(E54:E56)</f>
        <v>196922.62599999999</v>
      </c>
      <c r="G57" s="55">
        <f>SUM(G54:G56)</f>
        <v>1</v>
      </c>
    </row>
    <row r="59" spans="1:34" x14ac:dyDescent="0.25">
      <c r="W59" s="25" t="s">
        <v>16</v>
      </c>
      <c r="X59" s="25"/>
      <c r="Y59" s="25" t="s">
        <v>284</v>
      </c>
    </row>
    <row r="60" spans="1:34" x14ac:dyDescent="0.25">
      <c r="W60" s="23" t="s">
        <v>305</v>
      </c>
      <c r="X60" s="25"/>
      <c r="Y60" s="23" t="s">
        <v>304</v>
      </c>
      <c r="AA60" s="23" t="s">
        <v>37</v>
      </c>
    </row>
    <row r="62" spans="1:34" x14ac:dyDescent="0.25">
      <c r="V62" t="s">
        <v>324</v>
      </c>
      <c r="W62" s="44">
        <f>W48</f>
        <v>103459.22170074143</v>
      </c>
      <c r="Y62" s="5">
        <f>Y48</f>
        <v>376667.51260616968</v>
      </c>
      <c r="AA62" s="44">
        <f>W62+Y62</f>
        <v>480126.73430691112</v>
      </c>
    </row>
    <row r="63" spans="1:34" x14ac:dyDescent="0.25">
      <c r="V63" t="s">
        <v>330</v>
      </c>
      <c r="W63" s="6">
        <f>Debt!H92</f>
        <v>22460.393243555951</v>
      </c>
      <c r="X63" s="3"/>
      <c r="Y63" s="6">
        <f>Debt!H93</f>
        <v>81772.31875644403</v>
      </c>
      <c r="AA63" s="22">
        <f>W63+Y63</f>
        <v>104232.71199999998</v>
      </c>
    </row>
    <row r="65" spans="22:27" x14ac:dyDescent="0.25">
      <c r="V65" t="s">
        <v>325</v>
      </c>
      <c r="W65" s="3">
        <f>W62+W63</f>
        <v>125919.61494429738</v>
      </c>
      <c r="X65" s="3"/>
      <c r="Y65" s="3">
        <f>Y62+Y63</f>
        <v>458439.83136261371</v>
      </c>
      <c r="AA65" s="4">
        <f>W65+Y65</f>
        <v>584359.44630691106</v>
      </c>
    </row>
    <row r="66" spans="22:27" x14ac:dyDescent="0.25">
      <c r="V66" t="s">
        <v>326</v>
      </c>
      <c r="W66" s="22">
        <f>W52</f>
        <v>42433.508000000002</v>
      </c>
      <c r="Y66" s="22">
        <f>Y52</f>
        <v>154489.11799999999</v>
      </c>
      <c r="AA66" s="22">
        <f>W66+Y66</f>
        <v>196922.62599999999</v>
      </c>
    </row>
    <row r="68" spans="22:27" ht="15.75" thickBot="1" x14ac:dyDescent="0.3">
      <c r="V68" t="s">
        <v>327</v>
      </c>
      <c r="W68" s="108">
        <f>W65/W66</f>
        <v>2.9674571082903958</v>
      </c>
      <c r="X68" s="107"/>
      <c r="Y68" s="108">
        <f>Y65/Y66</f>
        <v>2.9674571082903958</v>
      </c>
      <c r="AA68" s="108">
        <f>AA65/AA66</f>
        <v>2.9674571082903958</v>
      </c>
    </row>
    <row r="69" spans="22:27" ht="15.75" thickTop="1" x14ac:dyDescent="0.25"/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ABEAE-F2EB-4ABC-91BE-CE9C3F54C23D}">
  <dimension ref="A1:O96"/>
  <sheetViews>
    <sheetView showGridLines="0" topLeftCell="A51" workbookViewId="0">
      <selection activeCell="B77" sqref="B77"/>
    </sheetView>
  </sheetViews>
  <sheetFormatPr defaultRowHeight="15" x14ac:dyDescent="0.25"/>
  <cols>
    <col min="1" max="1" width="9.28515625" bestFit="1" customWidth="1"/>
    <col min="4" max="4" width="14.85546875" bestFit="1" customWidth="1"/>
    <col min="6" max="6" width="11.140625" bestFit="1" customWidth="1"/>
    <col min="7" max="7" width="10.85546875" customWidth="1"/>
    <col min="8" max="8" width="12.140625" bestFit="1" customWidth="1"/>
  </cols>
  <sheetData>
    <row r="1" spans="1:15" x14ac:dyDescent="0.25">
      <c r="A1" t="s">
        <v>34</v>
      </c>
    </row>
    <row r="3" spans="1:15" x14ac:dyDescent="0.25">
      <c r="H3" t="s">
        <v>39</v>
      </c>
    </row>
    <row r="4" spans="1:15" x14ac:dyDescent="0.25">
      <c r="A4" t="s">
        <v>38</v>
      </c>
      <c r="D4" t="s">
        <v>35</v>
      </c>
      <c r="F4" t="s">
        <v>36</v>
      </c>
      <c r="H4" t="s">
        <v>37</v>
      </c>
      <c r="O4" t="s">
        <v>45</v>
      </c>
    </row>
    <row r="5" spans="1:15" x14ac:dyDescent="0.25">
      <c r="A5" s="1">
        <v>45627</v>
      </c>
      <c r="F5">
        <v>3996</v>
      </c>
    </row>
    <row r="6" spans="1:15" x14ac:dyDescent="0.25">
      <c r="A6" s="1">
        <v>45809</v>
      </c>
      <c r="D6">
        <v>11500</v>
      </c>
      <c r="F6">
        <v>3996</v>
      </c>
      <c r="H6">
        <f>SUM(D5:F6)</f>
        <v>19492</v>
      </c>
    </row>
    <row r="7" spans="1:15" x14ac:dyDescent="0.25">
      <c r="A7" s="1">
        <v>45992</v>
      </c>
      <c r="F7">
        <v>3737.25</v>
      </c>
    </row>
    <row r="8" spans="1:15" x14ac:dyDescent="0.25">
      <c r="A8" s="1">
        <v>46174</v>
      </c>
      <c r="D8">
        <v>12000</v>
      </c>
      <c r="F8">
        <v>3737.25</v>
      </c>
      <c r="H8">
        <f>SUM(D7:F8)</f>
        <v>19474.5</v>
      </c>
    </row>
    <row r="9" spans="1:15" x14ac:dyDescent="0.25">
      <c r="A9" s="1">
        <v>46357</v>
      </c>
      <c r="F9">
        <v>3467.25</v>
      </c>
    </row>
    <row r="10" spans="1:15" x14ac:dyDescent="0.25">
      <c r="A10" s="1">
        <v>46539</v>
      </c>
      <c r="D10">
        <v>12600</v>
      </c>
      <c r="F10">
        <v>3467.25</v>
      </c>
      <c r="H10">
        <f>SUM(D9:F10)</f>
        <v>19534.5</v>
      </c>
    </row>
    <row r="12" spans="1:15" x14ac:dyDescent="0.25">
      <c r="A12" t="s">
        <v>40</v>
      </c>
      <c r="H12">
        <f>SUM(H10,H8,H6)</f>
        <v>58501</v>
      </c>
    </row>
    <row r="13" spans="1:15" x14ac:dyDescent="0.25">
      <c r="A13" t="s">
        <v>41</v>
      </c>
      <c r="H13">
        <f>H12/3</f>
        <v>19500.333333333332</v>
      </c>
    </row>
    <row r="15" spans="1:15" x14ac:dyDescent="0.25">
      <c r="A15" t="s">
        <v>42</v>
      </c>
      <c r="H15">
        <v>1.2</v>
      </c>
    </row>
    <row r="17" spans="1:8" x14ac:dyDescent="0.25">
      <c r="A17" t="s">
        <v>43</v>
      </c>
      <c r="H17">
        <f>H13*H15</f>
        <v>23400.399999999998</v>
      </c>
    </row>
    <row r="22" spans="1:8" x14ac:dyDescent="0.25">
      <c r="A22" t="s">
        <v>197</v>
      </c>
    </row>
    <row r="24" spans="1:8" x14ac:dyDescent="0.25">
      <c r="H24" t="s">
        <v>39</v>
      </c>
    </row>
    <row r="25" spans="1:8" x14ac:dyDescent="0.25">
      <c r="A25" t="s">
        <v>198</v>
      </c>
      <c r="D25" t="s">
        <v>35</v>
      </c>
      <c r="F25" t="s">
        <v>36</v>
      </c>
      <c r="H25" t="s">
        <v>37</v>
      </c>
    </row>
    <row r="26" spans="1:8" x14ac:dyDescent="0.25">
      <c r="A26" s="1">
        <v>45838</v>
      </c>
      <c r="D26">
        <v>55000</v>
      </c>
      <c r="F26">
        <v>24841.26</v>
      </c>
      <c r="H26">
        <f>D26+F26</f>
        <v>79841.259999999995</v>
      </c>
    </row>
    <row r="27" spans="1:8" x14ac:dyDescent="0.25">
      <c r="A27" s="1">
        <v>46203</v>
      </c>
      <c r="D27">
        <v>60000</v>
      </c>
      <c r="F27">
        <v>23001.26</v>
      </c>
      <c r="H27">
        <f>D27+F27</f>
        <v>83001.259999999995</v>
      </c>
    </row>
    <row r="28" spans="1:8" x14ac:dyDescent="0.25">
      <c r="A28" s="1">
        <v>46568</v>
      </c>
      <c r="D28">
        <v>60000</v>
      </c>
      <c r="F28">
        <v>21081.26</v>
      </c>
      <c r="H28">
        <f>D28+F28</f>
        <v>81081.259999999995</v>
      </c>
    </row>
    <row r="29" spans="1:8" x14ac:dyDescent="0.25">
      <c r="A29" s="1"/>
    </row>
    <row r="30" spans="1:8" x14ac:dyDescent="0.25">
      <c r="A30" s="1"/>
    </row>
    <row r="31" spans="1:8" x14ac:dyDescent="0.25">
      <c r="A31" s="1" t="s">
        <v>199</v>
      </c>
    </row>
    <row r="33" spans="1:8" x14ac:dyDescent="0.25">
      <c r="H33" t="s">
        <v>39</v>
      </c>
    </row>
    <row r="34" spans="1:8" x14ac:dyDescent="0.25">
      <c r="A34" t="s">
        <v>198</v>
      </c>
      <c r="D34" t="s">
        <v>35</v>
      </c>
      <c r="F34" t="s">
        <v>36</v>
      </c>
      <c r="H34" t="s">
        <v>37</v>
      </c>
    </row>
    <row r="35" spans="1:8" x14ac:dyDescent="0.25">
      <c r="A35" s="1">
        <v>45838</v>
      </c>
      <c r="D35">
        <v>2300</v>
      </c>
      <c r="F35">
        <f>1629+1629</f>
        <v>3258</v>
      </c>
      <c r="H35">
        <f>D35+F35</f>
        <v>5558</v>
      </c>
    </row>
    <row r="36" spans="1:8" x14ac:dyDescent="0.25">
      <c r="A36" s="1">
        <v>46203</v>
      </c>
      <c r="D36">
        <v>2400</v>
      </c>
      <c r="F36">
        <f>1577+1577</f>
        <v>3154</v>
      </c>
      <c r="H36">
        <f>D36+F36</f>
        <v>5554</v>
      </c>
    </row>
    <row r="37" spans="1:8" x14ac:dyDescent="0.25">
      <c r="A37" s="1">
        <v>46568</v>
      </c>
      <c r="D37">
        <v>2500</v>
      </c>
      <c r="F37">
        <f>1523+1523</f>
        <v>3046</v>
      </c>
      <c r="H37">
        <f>D37+F37</f>
        <v>5546</v>
      </c>
    </row>
    <row r="40" spans="1:8" x14ac:dyDescent="0.25">
      <c r="A40" s="110" t="s">
        <v>329</v>
      </c>
      <c r="B40" s="110"/>
      <c r="C40" s="110"/>
      <c r="D40" s="110"/>
      <c r="E40" s="110"/>
      <c r="F40" s="110"/>
      <c r="G40" s="110"/>
      <c r="H40" s="110"/>
    </row>
    <row r="41" spans="1:8" x14ac:dyDescent="0.25">
      <c r="A41" s="110" t="s">
        <v>318</v>
      </c>
      <c r="B41" s="110"/>
      <c r="C41" s="110"/>
      <c r="D41" s="110"/>
      <c r="E41" s="110"/>
      <c r="F41" s="110"/>
      <c r="G41" s="110"/>
      <c r="H41" s="110"/>
    </row>
    <row r="42" spans="1:8" x14ac:dyDescent="0.25">
      <c r="A42" s="110" t="s">
        <v>210</v>
      </c>
      <c r="B42" s="110"/>
      <c r="C42" s="110"/>
      <c r="D42" s="110"/>
      <c r="E42" s="110"/>
      <c r="F42" s="110"/>
      <c r="G42" s="110"/>
      <c r="H42" s="110"/>
    </row>
    <row r="43" spans="1:8" x14ac:dyDescent="0.25">
      <c r="A43" s="93"/>
      <c r="B43" s="93"/>
      <c r="C43" s="93"/>
      <c r="D43" s="93"/>
      <c r="E43" s="93"/>
      <c r="F43" s="93"/>
      <c r="G43" s="93"/>
      <c r="H43" s="93"/>
    </row>
    <row r="44" spans="1:8" x14ac:dyDescent="0.25">
      <c r="A44" s="110" t="s">
        <v>323</v>
      </c>
      <c r="B44" s="110"/>
      <c r="C44" s="110"/>
      <c r="D44" s="110"/>
      <c r="E44" s="110"/>
      <c r="F44" s="110"/>
      <c r="G44" s="110"/>
      <c r="H44" s="110"/>
    </row>
    <row r="45" spans="1:8" x14ac:dyDescent="0.25">
      <c r="A45" s="25" t="s">
        <v>200</v>
      </c>
    </row>
    <row r="46" spans="1:8" x14ac:dyDescent="0.25">
      <c r="A46" s="25" t="s">
        <v>201</v>
      </c>
      <c r="D46" t="s">
        <v>35</v>
      </c>
      <c r="F46" t="s">
        <v>36</v>
      </c>
      <c r="H46" t="s">
        <v>37</v>
      </c>
    </row>
    <row r="48" spans="1:8" x14ac:dyDescent="0.25">
      <c r="A48" s="1">
        <v>45838</v>
      </c>
      <c r="D48" s="5">
        <f>D26+D35</f>
        <v>57300</v>
      </c>
      <c r="E48" s="5"/>
      <c r="F48" s="5">
        <f>F26+F35</f>
        <v>28099.26</v>
      </c>
      <c r="G48" s="5"/>
      <c r="H48" s="5">
        <f>H26+H35</f>
        <v>85399.26</v>
      </c>
    </row>
    <row r="49" spans="1:8" x14ac:dyDescent="0.25">
      <c r="A49" s="1">
        <v>46203</v>
      </c>
      <c r="D49" s="3">
        <f t="shared" ref="D49:F50" si="0">D27+D36</f>
        <v>62400</v>
      </c>
      <c r="E49" s="3"/>
      <c r="F49" s="3">
        <f t="shared" si="0"/>
        <v>26155.26</v>
      </c>
      <c r="G49" s="3"/>
      <c r="H49" s="3">
        <f>H27+H36</f>
        <v>88555.26</v>
      </c>
    </row>
    <row r="50" spans="1:8" x14ac:dyDescent="0.25">
      <c r="A50" s="1">
        <v>46568</v>
      </c>
      <c r="D50" s="3">
        <f t="shared" si="0"/>
        <v>62500</v>
      </c>
      <c r="E50" s="3"/>
      <c r="F50" s="3">
        <f t="shared" si="0"/>
        <v>24127.26</v>
      </c>
      <c r="G50" s="3"/>
      <c r="H50" s="6">
        <f>H28+H37</f>
        <v>86627.26</v>
      </c>
    </row>
    <row r="51" spans="1:8" x14ac:dyDescent="0.25">
      <c r="D51" s="3"/>
      <c r="E51" s="3"/>
      <c r="F51" s="3"/>
      <c r="G51" s="3"/>
      <c r="H51" s="3"/>
    </row>
    <row r="52" spans="1:8" x14ac:dyDescent="0.25">
      <c r="A52" t="s">
        <v>40</v>
      </c>
      <c r="D52" s="3"/>
      <c r="E52" s="3"/>
      <c r="F52" s="3"/>
      <c r="G52" s="3"/>
      <c r="H52" s="3">
        <f>SUM(H48:H50)</f>
        <v>260581.77999999997</v>
      </c>
    </row>
    <row r="53" spans="1:8" x14ac:dyDescent="0.25">
      <c r="A53" t="s">
        <v>202</v>
      </c>
      <c r="D53" s="3"/>
      <c r="E53" s="3"/>
      <c r="F53" s="3"/>
      <c r="G53" s="3"/>
      <c r="H53" s="6">
        <v>3</v>
      </c>
    </row>
    <row r="54" spans="1:8" x14ac:dyDescent="0.25">
      <c r="D54" s="3"/>
      <c r="E54" s="3"/>
      <c r="F54" s="3"/>
      <c r="G54" s="3"/>
      <c r="H54" s="3"/>
    </row>
    <row r="55" spans="1:8" x14ac:dyDescent="0.25">
      <c r="A55" t="s">
        <v>41</v>
      </c>
      <c r="D55" s="3"/>
      <c r="E55" s="3"/>
      <c r="F55" s="3"/>
      <c r="G55" s="3"/>
      <c r="H55" s="3">
        <f>H52/H53</f>
        <v>86860.593333333323</v>
      </c>
    </row>
    <row r="56" spans="1:8" x14ac:dyDescent="0.25">
      <c r="A56" t="s">
        <v>42</v>
      </c>
      <c r="H56" s="70">
        <v>1.2</v>
      </c>
    </row>
    <row r="58" spans="1:8" ht="15.75" thickBot="1" x14ac:dyDescent="0.3">
      <c r="A58" t="s">
        <v>43</v>
      </c>
      <c r="H58" s="49">
        <f>H55*H56</f>
        <v>104232.71199999998</v>
      </c>
    </row>
    <row r="59" spans="1:8" ht="15.75" thickTop="1" x14ac:dyDescent="0.25"/>
    <row r="60" spans="1:8" x14ac:dyDescent="0.25">
      <c r="A60" s="110" t="s">
        <v>319</v>
      </c>
      <c r="B60" s="110"/>
      <c r="C60" s="110"/>
      <c r="D60" s="110"/>
      <c r="E60" s="110"/>
      <c r="F60" s="110"/>
      <c r="G60" s="110"/>
      <c r="H60" s="110"/>
    </row>
    <row r="62" spans="1:8" x14ac:dyDescent="0.25">
      <c r="A62" s="111" t="s">
        <v>332</v>
      </c>
      <c r="B62" s="111"/>
      <c r="C62" s="111"/>
      <c r="D62" s="111"/>
      <c r="E62" s="111"/>
      <c r="F62" s="111"/>
      <c r="G62" s="111"/>
      <c r="H62" s="111"/>
    </row>
    <row r="63" spans="1:8" x14ac:dyDescent="0.25">
      <c r="A63" s="76"/>
      <c r="B63" s="76"/>
      <c r="C63" s="76"/>
      <c r="D63" s="76"/>
      <c r="E63" s="76"/>
      <c r="F63" s="76"/>
      <c r="G63" s="76"/>
      <c r="H63" s="76"/>
    </row>
    <row r="64" spans="1:8" x14ac:dyDescent="0.25">
      <c r="A64" t="s">
        <v>317</v>
      </c>
    </row>
    <row r="65" spans="1:8" x14ac:dyDescent="0.25">
      <c r="A65" t="s">
        <v>316</v>
      </c>
    </row>
    <row r="67" spans="1:8" x14ac:dyDescent="0.25">
      <c r="A67" t="s">
        <v>37</v>
      </c>
    </row>
    <row r="68" spans="1:8" x14ac:dyDescent="0.25">
      <c r="D68" s="111" t="s">
        <v>333</v>
      </c>
      <c r="E68" s="111"/>
      <c r="F68" s="111"/>
      <c r="G68" s="111"/>
      <c r="H68" s="111"/>
    </row>
    <row r="70" spans="1:8" x14ac:dyDescent="0.25">
      <c r="F70" s="53" t="s">
        <v>160</v>
      </c>
      <c r="G70" s="53"/>
      <c r="H70" s="53" t="s">
        <v>37</v>
      </c>
    </row>
    <row r="71" spans="1:8" x14ac:dyDescent="0.25">
      <c r="D71" t="s">
        <v>285</v>
      </c>
      <c r="F71" s="71">
        <v>0.36</v>
      </c>
      <c r="H71" s="44">
        <f>H58-H72</f>
        <v>37523.77631999999</v>
      </c>
    </row>
    <row r="72" spans="1:8" x14ac:dyDescent="0.25">
      <c r="D72" t="s">
        <v>315</v>
      </c>
      <c r="F72" s="70">
        <v>0.64</v>
      </c>
      <c r="H72" s="6">
        <f>H58*0.64</f>
        <v>66708.935679999995</v>
      </c>
    </row>
    <row r="74" spans="1:8" ht="15.75" thickBot="1" x14ac:dyDescent="0.3">
      <c r="D74" t="s">
        <v>37</v>
      </c>
      <c r="F74" s="109">
        <f>SUM(F71:F73)</f>
        <v>1</v>
      </c>
      <c r="H74" s="48">
        <f>H71+H72</f>
        <v>104232.71199999998</v>
      </c>
    </row>
    <row r="75" spans="1:8" ht="15.75" thickTop="1" x14ac:dyDescent="0.25"/>
    <row r="80" spans="1:8" x14ac:dyDescent="0.25">
      <c r="A80" s="112" t="s">
        <v>320</v>
      </c>
      <c r="B80" s="112"/>
      <c r="C80" s="112"/>
      <c r="D80" s="112"/>
      <c r="E80" s="112"/>
      <c r="F80" s="112"/>
      <c r="G80" s="112"/>
      <c r="H80" s="112"/>
    </row>
    <row r="81" spans="1:8" x14ac:dyDescent="0.25">
      <c r="A81" s="25"/>
      <c r="B81" s="25"/>
      <c r="C81" s="25"/>
      <c r="D81" s="25"/>
      <c r="E81" s="25"/>
      <c r="F81" s="25"/>
      <c r="G81" s="25"/>
      <c r="H81" s="25"/>
    </row>
    <row r="82" spans="1:8" x14ac:dyDescent="0.25">
      <c r="D82" s="53" t="s">
        <v>309</v>
      </c>
      <c r="E82" s="53"/>
      <c r="F82" s="53" t="s">
        <v>160</v>
      </c>
      <c r="G82" s="53"/>
      <c r="H82" s="53" t="s">
        <v>37</v>
      </c>
    </row>
    <row r="83" spans="1:8" x14ac:dyDescent="0.25">
      <c r="A83" t="s">
        <v>285</v>
      </c>
      <c r="D83" s="3">
        <f>'Revenue Power Chemicals'!K27</f>
        <v>52539444</v>
      </c>
      <c r="F83" s="55">
        <f>D83/D86</f>
        <v>0.23278192173957335</v>
      </c>
      <c r="H83" s="44">
        <f>H58*F83</f>
        <v>24263.491007487486</v>
      </c>
    </row>
    <row r="84" spans="1:8" x14ac:dyDescent="0.25">
      <c r="A84" t="s">
        <v>315</v>
      </c>
      <c r="D84" s="6">
        <f>'Revenue Power Chemicals'!D27</f>
        <v>173162980</v>
      </c>
      <c r="F84" s="97">
        <f>D84/D86</f>
        <v>0.76721807826042665</v>
      </c>
      <c r="H84" s="6">
        <f>H58*F84</f>
        <v>79969.220992512506</v>
      </c>
    </row>
    <row r="85" spans="1:8" x14ac:dyDescent="0.25">
      <c r="D85" s="3"/>
      <c r="F85" s="55"/>
    </row>
    <row r="86" spans="1:8" ht="15.75" thickBot="1" x14ac:dyDescent="0.3">
      <c r="A86" t="s">
        <v>37</v>
      </c>
      <c r="D86" s="106">
        <f>SUM(D83:D85)</f>
        <v>225702424</v>
      </c>
      <c r="F86" s="57">
        <f>SUM(F83:F85)</f>
        <v>1</v>
      </c>
      <c r="H86" s="49">
        <f>SUM(H83:H85)</f>
        <v>104232.712</v>
      </c>
    </row>
    <row r="87" spans="1:8" ht="15.75" thickTop="1" x14ac:dyDescent="0.25"/>
    <row r="89" spans="1:8" x14ac:dyDescent="0.25">
      <c r="A89" s="111" t="s">
        <v>331</v>
      </c>
      <c r="B89" s="111"/>
      <c r="C89" s="111"/>
      <c r="D89" s="111"/>
      <c r="E89" s="111"/>
      <c r="F89" s="111"/>
      <c r="G89" s="111"/>
      <c r="H89" s="111"/>
    </row>
    <row r="91" spans="1:8" x14ac:dyDescent="0.25">
      <c r="D91" s="53" t="s">
        <v>309</v>
      </c>
      <c r="E91" s="53"/>
      <c r="F91" s="53" t="s">
        <v>160</v>
      </c>
      <c r="G91" s="53"/>
      <c r="H91" s="53" t="s">
        <v>37</v>
      </c>
    </row>
    <row r="92" spans="1:8" x14ac:dyDescent="0.25">
      <c r="A92" t="s">
        <v>285</v>
      </c>
      <c r="D92" s="3">
        <f>'Revenue Power Chemicals'!K37</f>
        <v>42433508</v>
      </c>
      <c r="F92" s="55">
        <f>D92/D95</f>
        <v>0.21548315123524708</v>
      </c>
      <c r="H92" s="44">
        <f>H58*F92</f>
        <v>22460.393243555951</v>
      </c>
    </row>
    <row r="93" spans="1:8" x14ac:dyDescent="0.25">
      <c r="A93" t="s">
        <v>315</v>
      </c>
      <c r="D93" s="6">
        <f>'Revenue Power Chemicals'!D37</f>
        <v>154489118</v>
      </c>
      <c r="F93" s="97">
        <f>D93/D95</f>
        <v>0.78451684876475292</v>
      </c>
      <c r="H93" s="6">
        <f>F93*H58</f>
        <v>81772.31875644403</v>
      </c>
    </row>
    <row r="94" spans="1:8" x14ac:dyDescent="0.25">
      <c r="D94" s="3"/>
      <c r="F94" s="55"/>
    </row>
    <row r="95" spans="1:8" ht="15.75" thickBot="1" x14ac:dyDescent="0.3">
      <c r="A95" t="s">
        <v>37</v>
      </c>
      <c r="D95" s="106">
        <f>SUM(D92:D94)</f>
        <v>196922626</v>
      </c>
      <c r="F95" s="57">
        <f>SUM(F92:F94)</f>
        <v>1</v>
      </c>
      <c r="H95" s="49">
        <f>SUM(H92:H94)</f>
        <v>104232.71199999998</v>
      </c>
    </row>
    <row r="96" spans="1:8" ht="15.75" thickTop="1" x14ac:dyDescent="0.25"/>
  </sheetData>
  <mergeCells count="9">
    <mergeCell ref="A40:H40"/>
    <mergeCell ref="A62:H62"/>
    <mergeCell ref="A80:H80"/>
    <mergeCell ref="D68:H68"/>
    <mergeCell ref="A89:H89"/>
    <mergeCell ref="A60:H60"/>
    <mergeCell ref="A42:H42"/>
    <mergeCell ref="A41:H41"/>
    <mergeCell ref="A44:H4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82A58-CEF0-4A10-BFB0-AA2E2BD05300}">
  <dimension ref="A2:O104"/>
  <sheetViews>
    <sheetView showGridLines="0" topLeftCell="A22" workbookViewId="0">
      <selection activeCell="D57" sqref="D57"/>
    </sheetView>
  </sheetViews>
  <sheetFormatPr defaultRowHeight="15" x14ac:dyDescent="0.25"/>
  <cols>
    <col min="1" max="2" width="2.85546875" customWidth="1"/>
    <col min="3" max="3" width="17" customWidth="1"/>
    <col min="6" max="6" width="12.140625" bestFit="1" customWidth="1"/>
    <col min="7" max="7" width="0.85546875" customWidth="1"/>
    <col min="8" max="8" width="11.85546875" bestFit="1" customWidth="1"/>
    <col min="9" max="9" width="5.140625" customWidth="1"/>
    <col min="10" max="10" width="12.140625" bestFit="1" customWidth="1"/>
    <col min="12" max="12" width="9.7109375" bestFit="1" customWidth="1"/>
  </cols>
  <sheetData>
    <row r="2" spans="1:15" x14ac:dyDescent="0.25">
      <c r="A2" s="110" t="s">
        <v>209</v>
      </c>
      <c r="B2" s="110"/>
      <c r="C2" s="110"/>
      <c r="D2" s="110"/>
      <c r="E2" s="110"/>
      <c r="F2" s="110"/>
      <c r="G2" s="110"/>
      <c r="H2" s="110"/>
      <c r="I2" s="110"/>
      <c r="J2" s="110"/>
    </row>
    <row r="3" spans="1:15" x14ac:dyDescent="0.25">
      <c r="A3" s="110" t="s">
        <v>314</v>
      </c>
      <c r="B3" s="110"/>
      <c r="C3" s="110"/>
      <c r="D3" s="110"/>
      <c r="E3" s="110"/>
      <c r="F3" s="110"/>
      <c r="G3" s="110"/>
      <c r="H3" s="110"/>
      <c r="I3" s="110"/>
      <c r="J3" s="110"/>
    </row>
    <row r="4" spans="1:15" x14ac:dyDescent="0.25">
      <c r="A4" s="110" t="s">
        <v>210</v>
      </c>
      <c r="B4" s="110"/>
      <c r="C4" s="110"/>
      <c r="D4" s="110"/>
      <c r="E4" s="110"/>
      <c r="F4" s="110"/>
      <c r="G4" s="110"/>
      <c r="H4" s="110"/>
      <c r="I4" s="110"/>
      <c r="J4" s="110"/>
    </row>
    <row r="6" spans="1:15" x14ac:dyDescent="0.25">
      <c r="F6" s="53" t="s">
        <v>84</v>
      </c>
      <c r="G6" s="53"/>
      <c r="H6" s="53" t="s">
        <v>17</v>
      </c>
      <c r="I6" s="53" t="s">
        <v>162</v>
      </c>
      <c r="J6" s="53" t="s">
        <v>98</v>
      </c>
    </row>
    <row r="8" spans="1:15" x14ac:dyDescent="0.25">
      <c r="A8" t="s">
        <v>64</v>
      </c>
    </row>
    <row r="9" spans="1:15" x14ac:dyDescent="0.25">
      <c r="B9" t="s">
        <v>235</v>
      </c>
      <c r="F9" s="61">
        <v>126660.16</v>
      </c>
      <c r="G9" s="14"/>
      <c r="H9" s="5">
        <f>'Revenue Power Chemicals'!BJ29</f>
        <v>-2667.2299999999959</v>
      </c>
      <c r="I9" t="s">
        <v>236</v>
      </c>
      <c r="J9" s="44"/>
      <c r="O9" t="s">
        <v>164</v>
      </c>
    </row>
    <row r="10" spans="1:15" x14ac:dyDescent="0.25">
      <c r="H10" s="14">
        <f>'Revenue Power Chemicals'!M39</f>
        <v>-23850.008959999992</v>
      </c>
      <c r="I10" t="s">
        <v>163</v>
      </c>
      <c r="J10" s="5">
        <f>SUM(F9:H10)</f>
        <v>100142.92104000002</v>
      </c>
    </row>
    <row r="11" spans="1:15" x14ac:dyDescent="0.25">
      <c r="B11" t="s">
        <v>65</v>
      </c>
      <c r="F11" s="3">
        <v>370623.83</v>
      </c>
      <c r="G11" s="61"/>
      <c r="H11" s="3">
        <f>ROUND(SUM('Revenue Power Chemicals'!AU16:AU19),0)</f>
        <v>38041</v>
      </c>
      <c r="I11" t="s">
        <v>214</v>
      </c>
      <c r="L11" s="44">
        <f>F11+H11</f>
        <v>408664.83</v>
      </c>
    </row>
    <row r="12" spans="1:15" x14ac:dyDescent="0.25">
      <c r="F12" s="73"/>
      <c r="G12" s="61"/>
      <c r="H12" s="6">
        <f>'Revenue Power Chemicals'!F39</f>
        <v>-44070.314320000005</v>
      </c>
      <c r="I12" t="s">
        <v>215</v>
      </c>
      <c r="J12" s="6">
        <f>SUM(F11:H12)</f>
        <v>364594.51568000001</v>
      </c>
    </row>
    <row r="14" spans="1:15" x14ac:dyDescent="0.25">
      <c r="A14" t="s">
        <v>82</v>
      </c>
      <c r="F14" s="6">
        <f>SUM(F9:F13)</f>
        <v>497283.99</v>
      </c>
      <c r="G14" s="14"/>
      <c r="H14" s="69">
        <f>SUM(H9:H13)</f>
        <v>-32546.553279999993</v>
      </c>
      <c r="J14" s="22">
        <f>SUM(J10,J12)</f>
        <v>464737.43672</v>
      </c>
    </row>
    <row r="15" spans="1:15" x14ac:dyDescent="0.25">
      <c r="F15" s="3"/>
      <c r="G15" s="14"/>
    </row>
    <row r="16" spans="1:15" x14ac:dyDescent="0.25">
      <c r="A16" t="s">
        <v>66</v>
      </c>
      <c r="F16" s="3"/>
      <c r="G16" s="14"/>
    </row>
    <row r="17" spans="2:10" x14ac:dyDescent="0.25">
      <c r="B17" t="s">
        <v>74</v>
      </c>
      <c r="F17" s="3"/>
      <c r="G17" s="14"/>
    </row>
    <row r="18" spans="2:10" x14ac:dyDescent="0.25">
      <c r="C18" t="s">
        <v>67</v>
      </c>
      <c r="F18" s="96">
        <v>185277</v>
      </c>
      <c r="G18" s="14"/>
      <c r="H18" s="3">
        <f>'Wages Benefits'!I16</f>
        <v>10070.046670924319</v>
      </c>
      <c r="I18" s="43" t="s">
        <v>228</v>
      </c>
      <c r="J18" s="4">
        <f>F18+H18</f>
        <v>195347.04667092432</v>
      </c>
    </row>
    <row r="19" spans="2:10" x14ac:dyDescent="0.25">
      <c r="C19" t="s">
        <v>79</v>
      </c>
      <c r="F19" s="3">
        <f>15941.2+3061.9</f>
        <v>19003.100000000002</v>
      </c>
      <c r="G19" s="14"/>
      <c r="H19" s="3">
        <f>'Wages Benefits'!G39</f>
        <v>9555.2199999999975</v>
      </c>
      <c r="I19" t="s">
        <v>234</v>
      </c>
      <c r="J19" s="4">
        <f t="shared" ref="J19:J29" si="0">F19+H19</f>
        <v>28558.32</v>
      </c>
    </row>
    <row r="20" spans="2:10" x14ac:dyDescent="0.25">
      <c r="C20" t="s">
        <v>11</v>
      </c>
      <c r="F20" s="3">
        <v>87412.78</v>
      </c>
      <c r="G20" s="14"/>
      <c r="H20" s="4">
        <f>'Revenue Power Chemicals'!T40</f>
        <v>-6449.2700000000041</v>
      </c>
      <c r="I20" t="s">
        <v>237</v>
      </c>
      <c r="J20" s="4">
        <f t="shared" si="0"/>
        <v>80963.509999999995</v>
      </c>
    </row>
    <row r="21" spans="2:10" x14ac:dyDescent="0.25">
      <c r="C21" t="s">
        <v>174</v>
      </c>
      <c r="F21" s="3">
        <f>'Revenue Power Chemicals'!BP27</f>
        <v>30870.2</v>
      </c>
      <c r="G21" s="14"/>
      <c r="H21" s="3">
        <f>'Revenue Power Chemicals'!AA48-'Revenue Power Chemicals'!AA57</f>
        <v>5899.5705793650795</v>
      </c>
      <c r="I21" t="s">
        <v>238</v>
      </c>
    </row>
    <row r="22" spans="2:10" x14ac:dyDescent="0.25">
      <c r="F22" s="3"/>
      <c r="G22" s="14"/>
      <c r="H22" s="3">
        <f>'Revenue Power Chemicals'!AD39</f>
        <v>-9023.3205793650777</v>
      </c>
      <c r="I22" t="s">
        <v>239</v>
      </c>
      <c r="J22" s="4">
        <f>F21+H21+H22</f>
        <v>27746.450000000004</v>
      </c>
    </row>
    <row r="23" spans="2:10" x14ac:dyDescent="0.25">
      <c r="C23" t="s">
        <v>175</v>
      </c>
      <c r="F23" s="3">
        <f>'Revenue Power Chemicals'!BQ27</f>
        <v>5799.55</v>
      </c>
      <c r="G23" s="14"/>
      <c r="J23" s="4">
        <f t="shared" si="0"/>
        <v>5799.55</v>
      </c>
    </row>
    <row r="24" spans="2:10" x14ac:dyDescent="0.25">
      <c r="C24" t="s">
        <v>188</v>
      </c>
      <c r="F24" s="3">
        <f>53270.39-3968.92</f>
        <v>49301.47</v>
      </c>
      <c r="G24" s="14"/>
      <c r="H24" s="3">
        <f>H68</f>
        <v>-16666.666666666664</v>
      </c>
      <c r="I24" t="s">
        <v>241</v>
      </c>
    </row>
    <row r="25" spans="2:10" x14ac:dyDescent="0.25">
      <c r="F25" s="3"/>
      <c r="G25" s="14"/>
      <c r="H25" s="3">
        <v>-8086.22</v>
      </c>
      <c r="I25" t="s">
        <v>254</v>
      </c>
      <c r="J25" s="4">
        <f>F24+H24+H25</f>
        <v>24548.583333333336</v>
      </c>
    </row>
    <row r="26" spans="2:10" x14ac:dyDescent="0.25">
      <c r="C26" t="s">
        <v>71</v>
      </c>
      <c r="F26" s="3">
        <v>3558.84</v>
      </c>
      <c r="G26" s="14"/>
      <c r="J26" s="4">
        <f>F26+H26</f>
        <v>3558.84</v>
      </c>
    </row>
    <row r="27" spans="2:10" x14ac:dyDescent="0.25">
      <c r="C27" t="s">
        <v>3</v>
      </c>
      <c r="F27" s="3">
        <v>3524.02</v>
      </c>
      <c r="G27" s="14"/>
      <c r="J27" s="4">
        <f>F27+H27</f>
        <v>3524.02</v>
      </c>
    </row>
    <row r="28" spans="2:10" x14ac:dyDescent="0.25">
      <c r="C28" t="s">
        <v>83</v>
      </c>
      <c r="F28" s="3">
        <v>1020.59</v>
      </c>
      <c r="G28" s="14"/>
      <c r="J28" s="4">
        <f t="shared" si="0"/>
        <v>1020.59</v>
      </c>
    </row>
    <row r="29" spans="2:10" x14ac:dyDescent="0.25">
      <c r="C29" t="s">
        <v>68</v>
      </c>
      <c r="F29" s="3">
        <v>1700</v>
      </c>
      <c r="G29" s="14"/>
      <c r="J29" s="4">
        <f t="shared" si="0"/>
        <v>1700</v>
      </c>
    </row>
    <row r="30" spans="2:10" x14ac:dyDescent="0.25">
      <c r="C30" t="s">
        <v>69</v>
      </c>
      <c r="F30" s="3">
        <v>2141.5</v>
      </c>
      <c r="G30" s="14"/>
      <c r="H30" s="4">
        <f>H96</f>
        <v>1281.5</v>
      </c>
      <c r="I30" t="s">
        <v>255</v>
      </c>
      <c r="J30" s="4">
        <f t="shared" ref="J30:J40" si="1">F30+H30</f>
        <v>3423</v>
      </c>
    </row>
    <row r="31" spans="2:10" x14ac:dyDescent="0.25">
      <c r="C31" t="s">
        <v>70</v>
      </c>
      <c r="F31" s="3">
        <v>713</v>
      </c>
      <c r="G31" s="14"/>
      <c r="J31" s="4">
        <f t="shared" si="1"/>
        <v>713</v>
      </c>
    </row>
    <row r="32" spans="2:10" x14ac:dyDescent="0.25">
      <c r="C32" t="s">
        <v>240</v>
      </c>
      <c r="F32" s="3"/>
      <c r="G32" s="14"/>
      <c r="H32" s="3">
        <f>H103</f>
        <v>2750</v>
      </c>
      <c r="I32" t="s">
        <v>256</v>
      </c>
      <c r="J32" s="4">
        <f t="shared" si="1"/>
        <v>2750</v>
      </c>
    </row>
    <row r="33" spans="1:14" x14ac:dyDescent="0.25">
      <c r="C33" t="s">
        <v>1</v>
      </c>
      <c r="F33" s="3">
        <v>540.66</v>
      </c>
      <c r="G33" s="14"/>
      <c r="J33" s="4">
        <f t="shared" si="1"/>
        <v>540.66</v>
      </c>
    </row>
    <row r="34" spans="1:14" x14ac:dyDescent="0.25">
      <c r="C34" t="s">
        <v>72</v>
      </c>
      <c r="F34" s="3">
        <v>2416.3000000000002</v>
      </c>
      <c r="G34" s="14"/>
      <c r="J34" s="4">
        <f t="shared" si="1"/>
        <v>2416.3000000000002</v>
      </c>
    </row>
    <row r="35" spans="1:14" x14ac:dyDescent="0.25">
      <c r="C35" t="s">
        <v>105</v>
      </c>
      <c r="F35" s="3">
        <v>11039.17</v>
      </c>
      <c r="G35" s="14"/>
      <c r="H35" s="3">
        <v>-2638</v>
      </c>
      <c r="I35" t="s">
        <v>257</v>
      </c>
      <c r="J35" s="4">
        <f t="shared" si="1"/>
        <v>8401.17</v>
      </c>
    </row>
    <row r="36" spans="1:14" x14ac:dyDescent="0.25">
      <c r="C36" t="s">
        <v>106</v>
      </c>
      <c r="F36" s="3">
        <v>6492</v>
      </c>
      <c r="G36" s="14"/>
      <c r="J36" s="4">
        <f t="shared" si="1"/>
        <v>6492</v>
      </c>
    </row>
    <row r="37" spans="1:14" x14ac:dyDescent="0.25">
      <c r="C37" t="s">
        <v>13</v>
      </c>
      <c r="F37" s="3">
        <v>323.41000000000003</v>
      </c>
      <c r="G37" s="14"/>
      <c r="J37" s="4">
        <f t="shared" si="1"/>
        <v>323.41000000000003</v>
      </c>
    </row>
    <row r="38" spans="1:14" x14ac:dyDescent="0.25">
      <c r="C38" t="s">
        <v>176</v>
      </c>
      <c r="F38" s="3">
        <v>2838</v>
      </c>
      <c r="G38" s="14"/>
      <c r="J38" s="4">
        <f t="shared" si="1"/>
        <v>2838</v>
      </c>
    </row>
    <row r="39" spans="1:14" x14ac:dyDescent="0.25">
      <c r="C39" t="s">
        <v>147</v>
      </c>
      <c r="F39" s="3">
        <v>450</v>
      </c>
      <c r="G39" s="14"/>
      <c r="J39" s="4">
        <f t="shared" si="1"/>
        <v>450</v>
      </c>
    </row>
    <row r="40" spans="1:14" x14ac:dyDescent="0.25">
      <c r="C40" t="s">
        <v>73</v>
      </c>
      <c r="F40" s="6">
        <v>65</v>
      </c>
      <c r="G40" s="14"/>
      <c r="H40" s="18"/>
      <c r="J40" s="22">
        <f t="shared" si="1"/>
        <v>65</v>
      </c>
    </row>
    <row r="41" spans="1:14" x14ac:dyDescent="0.25">
      <c r="F41" s="3"/>
      <c r="G41" s="14"/>
    </row>
    <row r="42" spans="1:14" x14ac:dyDescent="0.25">
      <c r="B42" t="s">
        <v>75</v>
      </c>
      <c r="F42" s="3">
        <f>SUM(F18:F41)</f>
        <v>414486.58999999997</v>
      </c>
      <c r="G42" s="14"/>
      <c r="H42" s="3">
        <f>SUM(H18:H41)</f>
        <v>-13307.139995742349</v>
      </c>
      <c r="J42" s="3">
        <f>SUM(J18:J41)</f>
        <v>401179.45000425761</v>
      </c>
    </row>
    <row r="43" spans="1:14" x14ac:dyDescent="0.25">
      <c r="B43" t="s">
        <v>2</v>
      </c>
      <c r="F43" s="3">
        <v>104882</v>
      </c>
      <c r="G43" s="14"/>
      <c r="H43" s="4">
        <f>H76</f>
        <v>808.62200000000007</v>
      </c>
      <c r="I43" t="str">
        <f>I25</f>
        <v>(K)</v>
      </c>
    </row>
    <row r="44" spans="1:14" x14ac:dyDescent="0.25">
      <c r="F44" s="3"/>
      <c r="G44" s="14"/>
      <c r="H44" s="3">
        <f>Depreciation!K38</f>
        <v>-42821.527105263165</v>
      </c>
      <c r="I44" t="s">
        <v>259</v>
      </c>
    </row>
    <row r="45" spans="1:14" x14ac:dyDescent="0.25">
      <c r="F45" s="3"/>
      <c r="G45" s="14"/>
      <c r="H45" s="3">
        <f>Depreciation!E55</f>
        <v>2543.1666666666665</v>
      </c>
      <c r="I45" t="s">
        <v>283</v>
      </c>
      <c r="J45" s="4">
        <f>SUM(F43:H45)</f>
        <v>65412.261561403502</v>
      </c>
    </row>
    <row r="46" spans="1:14" x14ac:dyDescent="0.25">
      <c r="B46" t="s">
        <v>76</v>
      </c>
      <c r="F46" s="6">
        <v>14004</v>
      </c>
      <c r="G46" s="14"/>
      <c r="H46" s="6">
        <f>'Wages Benefits'!I25</f>
        <v>940.02274125000076</v>
      </c>
      <c r="I46" t="s">
        <v>288</v>
      </c>
      <c r="J46" s="22">
        <f>F46+H46</f>
        <v>14944.022741250001</v>
      </c>
    </row>
    <row r="47" spans="1:14" x14ac:dyDescent="0.25">
      <c r="F47" s="3"/>
      <c r="G47" s="14"/>
    </row>
    <row r="48" spans="1:14" x14ac:dyDescent="0.25">
      <c r="A48" t="s">
        <v>77</v>
      </c>
      <c r="F48" s="6">
        <f>SUM(F42:F47)</f>
        <v>533372.59</v>
      </c>
      <c r="G48" s="14"/>
      <c r="H48" s="6">
        <f>SUM(H42:H47)</f>
        <v>-51836.855693088844</v>
      </c>
      <c r="J48" s="6">
        <f>SUM(J42:J47)</f>
        <v>481535.73430691112</v>
      </c>
      <c r="K48" s="14"/>
      <c r="M48">
        <v>533372</v>
      </c>
      <c r="N48" t="s">
        <v>107</v>
      </c>
    </row>
    <row r="49" spans="1:13" x14ac:dyDescent="0.25">
      <c r="F49" s="3"/>
      <c r="G49" s="14"/>
      <c r="M49" s="4">
        <f>F48-M48</f>
        <v>0.58999999996740371</v>
      </c>
    </row>
    <row r="50" spans="1:13" x14ac:dyDescent="0.25">
      <c r="A50" t="s">
        <v>78</v>
      </c>
      <c r="F50" s="3">
        <f>F14-F48</f>
        <v>-36088.599999999977</v>
      </c>
      <c r="G50" s="14"/>
      <c r="H50" s="3">
        <f>H14-H48</f>
        <v>19290.302413088852</v>
      </c>
      <c r="J50" s="3">
        <f>J14-J48</f>
        <v>-16798.297586911125</v>
      </c>
    </row>
    <row r="51" spans="1:13" x14ac:dyDescent="0.25">
      <c r="A51" t="s">
        <v>80</v>
      </c>
      <c r="F51" s="22">
        <v>1409</v>
      </c>
      <c r="G51" s="4"/>
      <c r="H51" s="18"/>
      <c r="J51" s="22">
        <f>F51+H51</f>
        <v>1409</v>
      </c>
    </row>
    <row r="53" spans="1:13" ht="15.75" thickBot="1" x14ac:dyDescent="0.3">
      <c r="A53" t="s">
        <v>81</v>
      </c>
      <c r="F53" s="49">
        <f>F50+F51</f>
        <v>-34679.599999999977</v>
      </c>
      <c r="G53" s="5"/>
      <c r="H53" s="49">
        <f>H50+H51</f>
        <v>19290.302413088852</v>
      </c>
      <c r="I53" s="5"/>
      <c r="J53" s="49">
        <f>J50+J51</f>
        <v>-15389.297586911125</v>
      </c>
    </row>
    <row r="54" spans="1:13" ht="15.75" thickTop="1" x14ac:dyDescent="0.25"/>
    <row r="60" spans="1:13" x14ac:dyDescent="0.25">
      <c r="A60" t="str">
        <f>I24</f>
        <v>(J)</v>
      </c>
    </row>
    <row r="61" spans="1:13" x14ac:dyDescent="0.25">
      <c r="A61" t="str">
        <f>C24</f>
        <v>Repairs - Materials and Contract Labor</v>
      </c>
    </row>
    <row r="62" spans="1:13" x14ac:dyDescent="0.25">
      <c r="A62" t="s">
        <v>230</v>
      </c>
      <c r="H62" s="5">
        <v>25000</v>
      </c>
    </row>
    <row r="63" spans="1:13" x14ac:dyDescent="0.25">
      <c r="A63" t="s">
        <v>231</v>
      </c>
      <c r="H63" s="6">
        <v>3</v>
      </c>
    </row>
    <row r="64" spans="1:13" x14ac:dyDescent="0.25">
      <c r="H64" s="3"/>
    </row>
    <row r="65" spans="1:8" x14ac:dyDescent="0.25">
      <c r="A65" t="s">
        <v>232</v>
      </c>
      <c r="H65" s="3">
        <f>H62/H63</f>
        <v>8333.3333333333339</v>
      </c>
    </row>
    <row r="66" spans="1:8" x14ac:dyDescent="0.25">
      <c r="A66" t="s">
        <v>194</v>
      </c>
      <c r="H66" s="6">
        <f>-H62</f>
        <v>-25000</v>
      </c>
    </row>
    <row r="68" spans="1:8" ht="15.75" thickBot="1" x14ac:dyDescent="0.3">
      <c r="A68" t="s">
        <v>233</v>
      </c>
      <c r="H68" s="49">
        <f>H65+H66</f>
        <v>-16666.666666666664</v>
      </c>
    </row>
    <row r="69" spans="1:8" ht="15.75" thickTop="1" x14ac:dyDescent="0.25"/>
    <row r="72" spans="1:8" x14ac:dyDescent="0.25">
      <c r="A72" t="str">
        <f>I25</f>
        <v>(K)</v>
      </c>
    </row>
    <row r="73" spans="1:8" x14ac:dyDescent="0.25">
      <c r="A73" t="s">
        <v>291</v>
      </c>
      <c r="H73" s="5">
        <f>-H25</f>
        <v>8086.22</v>
      </c>
    </row>
    <row r="74" spans="1:8" x14ac:dyDescent="0.25">
      <c r="A74" t="s">
        <v>289</v>
      </c>
      <c r="H74" s="6">
        <v>10</v>
      </c>
    </row>
    <row r="76" spans="1:8" ht="15.75" thickBot="1" x14ac:dyDescent="0.3">
      <c r="A76" t="s">
        <v>290</v>
      </c>
      <c r="H76" s="49">
        <f>H73/H74</f>
        <v>808.62200000000007</v>
      </c>
    </row>
    <row r="77" spans="1:8" ht="15.75" thickTop="1" x14ac:dyDescent="0.25"/>
    <row r="89" spans="1:8" x14ac:dyDescent="0.25">
      <c r="A89" t="str">
        <f>I30</f>
        <v>(L)</v>
      </c>
    </row>
    <row r="90" spans="1:8" x14ac:dyDescent="0.25">
      <c r="A90" t="s">
        <v>269</v>
      </c>
      <c r="H90" s="5">
        <v>10269</v>
      </c>
    </row>
    <row r="91" spans="1:8" x14ac:dyDescent="0.25">
      <c r="A91" t="s">
        <v>270</v>
      </c>
      <c r="H91" s="6">
        <v>3</v>
      </c>
    </row>
    <row r="93" spans="1:8" x14ac:dyDescent="0.25">
      <c r="A93" t="s">
        <v>232</v>
      </c>
      <c r="H93" s="3">
        <f>H90/H91</f>
        <v>3423</v>
      </c>
    </row>
    <row r="94" spans="1:8" x14ac:dyDescent="0.25">
      <c r="A94" t="s">
        <v>194</v>
      </c>
      <c r="H94" s="6">
        <f>-F30</f>
        <v>-2141.5</v>
      </c>
    </row>
    <row r="96" spans="1:8" ht="15.75" thickBot="1" x14ac:dyDescent="0.3">
      <c r="A96" t="s">
        <v>271</v>
      </c>
      <c r="H96" s="49">
        <f>H93+H94</f>
        <v>1281.5</v>
      </c>
    </row>
    <row r="97" spans="1:8" ht="15.75" thickTop="1" x14ac:dyDescent="0.25"/>
    <row r="98" spans="1:8" x14ac:dyDescent="0.25">
      <c r="A98" t="str">
        <f>I32</f>
        <v>(M)</v>
      </c>
    </row>
    <row r="99" spans="1:8" x14ac:dyDescent="0.25">
      <c r="A99" t="s">
        <v>227</v>
      </c>
    </row>
    <row r="100" spans="1:8" x14ac:dyDescent="0.25">
      <c r="A100" t="s">
        <v>268</v>
      </c>
      <c r="H100" s="5">
        <v>8250</v>
      </c>
    </row>
    <row r="101" spans="1:8" x14ac:dyDescent="0.25">
      <c r="A101" t="s">
        <v>231</v>
      </c>
      <c r="H101" s="6">
        <v>3</v>
      </c>
    </row>
    <row r="103" spans="1:8" ht="15.75" thickBot="1" x14ac:dyDescent="0.3">
      <c r="A103" t="s">
        <v>232</v>
      </c>
      <c r="H103" s="49">
        <f>H100/H101</f>
        <v>2750</v>
      </c>
    </row>
    <row r="104" spans="1:8" ht="15.75" thickTop="1" x14ac:dyDescent="0.25"/>
  </sheetData>
  <mergeCells count="3">
    <mergeCell ref="A2:J2"/>
    <mergeCell ref="A3:J3"/>
    <mergeCell ref="A4:J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84975-0669-4BEF-88A2-D116F56997E7}">
  <dimension ref="A2:BT71"/>
  <sheetViews>
    <sheetView showGridLines="0" zoomScale="85" zoomScaleNormal="85" workbookViewId="0">
      <selection activeCell="D3" sqref="D3"/>
    </sheetView>
  </sheetViews>
  <sheetFormatPr defaultRowHeight="15" x14ac:dyDescent="0.25"/>
  <cols>
    <col min="1" max="1" width="13.5703125" customWidth="1"/>
    <col min="2" max="2" width="11.5703125" bestFit="1" customWidth="1"/>
    <col min="3" max="3" width="11.42578125" bestFit="1" customWidth="1"/>
    <col min="4" max="4" width="12.42578125" bestFit="1" customWidth="1"/>
    <col min="5" max="5" width="8.85546875" bestFit="1" customWidth="1"/>
    <col min="6" max="6" width="9.7109375" bestFit="1" customWidth="1"/>
    <col min="8" max="8" width="13.7109375" customWidth="1"/>
    <col min="9" max="9" width="11.5703125" bestFit="1" customWidth="1"/>
    <col min="10" max="10" width="10.5703125" bestFit="1" customWidth="1"/>
    <col min="11" max="11" width="11.85546875" bestFit="1" customWidth="1"/>
    <col min="12" max="12" width="8.85546875" bestFit="1" customWidth="1"/>
    <col min="13" max="13" width="9.7109375" bestFit="1" customWidth="1"/>
    <col min="15" max="15" width="0.85546875" customWidth="1"/>
    <col min="17" max="18" width="15.5703125" customWidth="1"/>
    <col min="19" max="19" width="10.42578125" bestFit="1" customWidth="1"/>
    <col min="20" max="20" width="12.5703125" customWidth="1"/>
    <col min="21" max="21" width="1.140625" customWidth="1"/>
    <col min="22" max="22" width="10.5703125" customWidth="1"/>
    <col min="23" max="23" width="14.140625" customWidth="1"/>
    <col min="24" max="24" width="15.28515625" customWidth="1"/>
    <col min="25" max="25" width="10.140625" bestFit="1" customWidth="1"/>
    <col min="26" max="26" width="0.85546875" customWidth="1"/>
    <col min="27" max="27" width="10.7109375" bestFit="1" customWidth="1"/>
    <col min="28" max="28" width="0.7109375" customWidth="1"/>
    <col min="29" max="29" width="11.85546875" customWidth="1"/>
    <col min="30" max="30" width="11.42578125" bestFit="1" customWidth="1"/>
    <col min="31" max="31" width="10.42578125" customWidth="1"/>
    <col min="33" max="34" width="8.85546875" customWidth="1"/>
    <col min="35" max="35" width="12" customWidth="1"/>
    <col min="36" max="36" width="0.85546875" customWidth="1"/>
    <col min="37" max="37" width="14.140625" customWidth="1"/>
    <col min="38" max="38" width="0.85546875" customWidth="1"/>
    <col min="39" max="39" width="14.140625" customWidth="1"/>
    <col min="40" max="40" width="0.85546875" customWidth="1"/>
    <col min="41" max="41" width="9.42578125" customWidth="1"/>
    <col min="42" max="42" width="0.85546875" customWidth="1"/>
    <col min="43" max="43" width="11.5703125" customWidth="1"/>
    <col min="44" max="44" width="4.28515625" customWidth="1"/>
    <col min="45" max="45" width="8.85546875" customWidth="1"/>
    <col min="46" max="46" width="11.5703125" customWidth="1"/>
    <col min="47" max="47" width="14.7109375" customWidth="1"/>
    <col min="48" max="50" width="8.85546875" customWidth="1"/>
    <col min="51" max="51" width="10.85546875" customWidth="1"/>
    <col min="52" max="52" width="12.140625" bestFit="1" customWidth="1"/>
    <col min="53" max="53" width="13" customWidth="1"/>
    <col min="54" max="54" width="13" style="3" customWidth="1"/>
    <col min="55" max="55" width="13" customWidth="1"/>
    <col min="56" max="56" width="8.85546875" customWidth="1"/>
    <col min="57" max="57" width="11.42578125" style="2" customWidth="1"/>
    <col min="58" max="58" width="8.85546875" customWidth="1"/>
    <col min="59" max="59" width="10.85546875" customWidth="1"/>
    <col min="60" max="60" width="14.5703125" customWidth="1"/>
    <col min="61" max="61" width="8.85546875" customWidth="1"/>
    <col min="62" max="62" width="11.140625" customWidth="1"/>
    <col min="64" max="64" width="10.85546875" style="2" bestFit="1" customWidth="1"/>
    <col min="65" max="65" width="10.140625" bestFit="1" customWidth="1"/>
    <col min="66" max="66" width="9.85546875" style="2" bestFit="1" customWidth="1"/>
    <col min="68" max="68" width="11.5703125" customWidth="1"/>
    <col min="69" max="69" width="9.85546875" bestFit="1" customWidth="1"/>
    <col min="70" max="70" width="9.140625" customWidth="1"/>
    <col min="71" max="71" width="10.140625" bestFit="1" customWidth="1"/>
  </cols>
  <sheetData>
    <row r="2" spans="1:69" x14ac:dyDescent="0.25">
      <c r="A2" t="s">
        <v>161</v>
      </c>
      <c r="C2">
        <v>2.36</v>
      </c>
      <c r="AK2" t="s">
        <v>46</v>
      </c>
    </row>
    <row r="3" spans="1:69" x14ac:dyDescent="0.25">
      <c r="D3" t="s">
        <v>287</v>
      </c>
    </row>
    <row r="5" spans="1:69" x14ac:dyDescent="0.25">
      <c r="AK5" s="113" t="s">
        <v>15</v>
      </c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Z5" s="113" t="s">
        <v>16</v>
      </c>
      <c r="BA5" s="113"/>
      <c r="BB5" s="113"/>
      <c r="BC5" s="113"/>
      <c r="BD5" s="113"/>
      <c r="BE5" s="113"/>
      <c r="BF5" s="113"/>
      <c r="BG5" s="113"/>
      <c r="BH5" s="113"/>
      <c r="BL5" s="2" t="s">
        <v>94</v>
      </c>
    </row>
    <row r="6" spans="1:69" x14ac:dyDescent="0.25">
      <c r="AK6" t="s">
        <v>99</v>
      </c>
      <c r="AU6" t="s">
        <v>86</v>
      </c>
      <c r="AZ6" t="s">
        <v>99</v>
      </c>
      <c r="BB6" s="3" t="s">
        <v>102</v>
      </c>
      <c r="BC6" t="s">
        <v>99</v>
      </c>
      <c r="BF6" s="114" t="s">
        <v>63</v>
      </c>
      <c r="BG6" s="114"/>
      <c r="BH6" t="s">
        <v>86</v>
      </c>
      <c r="BL6" s="2" t="s">
        <v>61</v>
      </c>
      <c r="BN6" s="2" t="s">
        <v>12</v>
      </c>
    </row>
    <row r="7" spans="1:69" x14ac:dyDescent="0.25">
      <c r="AI7" t="s">
        <v>59</v>
      </c>
      <c r="AK7" t="s">
        <v>100</v>
      </c>
      <c r="AQ7" t="s">
        <v>62</v>
      </c>
      <c r="AS7" s="113" t="s">
        <v>63</v>
      </c>
      <c r="AT7" s="113"/>
      <c r="AU7" t="s">
        <v>87</v>
      </c>
      <c r="AY7" t="s">
        <v>59</v>
      </c>
      <c r="AZ7" t="s">
        <v>104</v>
      </c>
      <c r="BB7" s="3" t="s">
        <v>101</v>
      </c>
      <c r="BC7" t="s">
        <v>103</v>
      </c>
      <c r="BE7" s="2" t="s">
        <v>62</v>
      </c>
      <c r="BH7" t="s">
        <v>87</v>
      </c>
      <c r="BK7" t="s">
        <v>63</v>
      </c>
      <c r="BL7" s="2" t="s">
        <v>95</v>
      </c>
      <c r="BN7" s="2" t="s">
        <v>96</v>
      </c>
      <c r="BO7" t="s">
        <v>170</v>
      </c>
      <c r="BP7" s="115" t="s">
        <v>173</v>
      </c>
      <c r="BQ7" s="115"/>
    </row>
    <row r="8" spans="1:69" x14ac:dyDescent="0.25">
      <c r="S8" t="s">
        <v>287</v>
      </c>
      <c r="AI8" t="s">
        <v>60</v>
      </c>
      <c r="AY8" t="s">
        <v>60</v>
      </c>
      <c r="BN8" s="2" t="s">
        <v>172</v>
      </c>
      <c r="BO8" t="s">
        <v>171</v>
      </c>
      <c r="BP8" s="2" t="s">
        <v>172</v>
      </c>
      <c r="BQ8" t="s">
        <v>171</v>
      </c>
    </row>
    <row r="9" spans="1:69" x14ac:dyDescent="0.25">
      <c r="AH9">
        <v>2022</v>
      </c>
      <c r="AI9" t="s">
        <v>47</v>
      </c>
      <c r="AK9" s="3">
        <v>13138791</v>
      </c>
      <c r="AL9" s="3"/>
      <c r="AM9" s="3"/>
      <c r="AN9" s="3"/>
      <c r="AO9" s="2">
        <v>2.36</v>
      </c>
      <c r="AP9" s="2"/>
      <c r="AQ9" s="5">
        <f t="shared" ref="AQ9:AQ14" si="0">+AK9*AO9/1000</f>
        <v>31007.546759999997</v>
      </c>
      <c r="AR9" s="3"/>
      <c r="AS9" s="3"/>
      <c r="AT9" s="3"/>
      <c r="AU9" s="3"/>
      <c r="AV9" s="3"/>
      <c r="AW9" s="3"/>
      <c r="AX9">
        <v>2022</v>
      </c>
      <c r="AY9" t="s">
        <v>47</v>
      </c>
      <c r="AZ9" s="3">
        <v>5450000</v>
      </c>
      <c r="BB9" s="3">
        <v>227751</v>
      </c>
      <c r="BC9" s="4">
        <f>AZ9-BB9</f>
        <v>5222249</v>
      </c>
      <c r="BD9" s="2">
        <v>2.36</v>
      </c>
      <c r="BE9" s="2">
        <f>+BC9*BD9/1000</f>
        <v>12324.507639999998</v>
      </c>
    </row>
    <row r="10" spans="1:69" x14ac:dyDescent="0.25">
      <c r="Z10" s="76"/>
      <c r="AI10" t="s">
        <v>48</v>
      </c>
      <c r="AK10" s="3">
        <v>13889721</v>
      </c>
      <c r="AL10" s="3"/>
      <c r="AM10" s="3"/>
      <c r="AN10" s="3"/>
      <c r="AO10" s="2">
        <v>2.36</v>
      </c>
      <c r="AP10" s="2"/>
      <c r="AQ10" s="3">
        <f t="shared" si="0"/>
        <v>32779.741560000002</v>
      </c>
      <c r="AR10" s="3"/>
      <c r="AS10" s="3"/>
      <c r="AT10" s="3"/>
      <c r="AU10" s="3"/>
      <c r="AV10" s="3"/>
      <c r="AW10" s="3"/>
      <c r="AY10" t="s">
        <v>48</v>
      </c>
      <c r="AZ10" s="3">
        <v>5501000</v>
      </c>
      <c r="BB10" s="3">
        <v>231085</v>
      </c>
      <c r="BC10" s="4">
        <f t="shared" ref="BC10:BC38" si="1">AZ10-BB10</f>
        <v>5269915</v>
      </c>
      <c r="BD10" s="2">
        <v>2.36</v>
      </c>
      <c r="BE10" s="2">
        <f t="shared" ref="BE10:BE40" si="2">+BC10*BD10/1000</f>
        <v>12436.999399999999</v>
      </c>
    </row>
    <row r="11" spans="1:69" x14ac:dyDescent="0.25">
      <c r="P11" t="s">
        <v>250</v>
      </c>
      <c r="W11" s="113" t="s">
        <v>174</v>
      </c>
      <c r="X11" s="113"/>
      <c r="Y11" s="113"/>
      <c r="Z11" s="113"/>
      <c r="AA11" s="113"/>
      <c r="AB11" s="113"/>
      <c r="AC11" s="113"/>
      <c r="AD11" s="113"/>
      <c r="AI11" t="s">
        <v>49</v>
      </c>
      <c r="AK11" s="3">
        <v>14049668</v>
      </c>
      <c r="AL11" s="3"/>
      <c r="AM11" s="3"/>
      <c r="AN11" s="3"/>
      <c r="AO11" s="2">
        <v>2.36</v>
      </c>
      <c r="AP11" s="2"/>
      <c r="AQ11" s="3">
        <f t="shared" si="0"/>
        <v>33157.216479999995</v>
      </c>
      <c r="AR11" s="3"/>
      <c r="AS11" s="3"/>
      <c r="AT11" s="3"/>
      <c r="AU11" s="3"/>
      <c r="AV11" s="3"/>
      <c r="AW11" s="3"/>
      <c r="AY11" t="s">
        <v>49</v>
      </c>
      <c r="AZ11" s="3">
        <v>5615000</v>
      </c>
      <c r="BB11" s="3">
        <v>282371</v>
      </c>
      <c r="BC11" s="4">
        <f t="shared" si="1"/>
        <v>5332629</v>
      </c>
      <c r="BD11" s="2">
        <v>2.36</v>
      </c>
      <c r="BE11" s="2">
        <f t="shared" si="2"/>
        <v>12585.004439999999</v>
      </c>
    </row>
    <row r="12" spans="1:69" x14ac:dyDescent="0.25">
      <c r="A12" s="113" t="s">
        <v>169</v>
      </c>
      <c r="B12" s="113"/>
      <c r="C12" s="113"/>
      <c r="D12" s="113"/>
      <c r="E12" s="113"/>
      <c r="F12" s="113"/>
      <c r="H12" s="113" t="s">
        <v>292</v>
      </c>
      <c r="I12" s="113"/>
      <c r="J12" s="113"/>
      <c r="K12" s="113"/>
      <c r="L12" s="113"/>
      <c r="M12" s="113"/>
      <c r="X12" s="76"/>
      <c r="Y12" s="25" t="s">
        <v>247</v>
      </c>
      <c r="Z12" s="25"/>
      <c r="AA12" s="25" t="s">
        <v>173</v>
      </c>
      <c r="AB12" s="25"/>
      <c r="AC12" s="25" t="s">
        <v>166</v>
      </c>
      <c r="AD12" s="25" t="s">
        <v>173</v>
      </c>
      <c r="AI12" t="s">
        <v>50</v>
      </c>
      <c r="AK12" s="3">
        <v>13019745</v>
      </c>
      <c r="AL12" s="3"/>
      <c r="AM12" s="3"/>
      <c r="AN12" s="3"/>
      <c r="AO12" s="2">
        <v>2.36</v>
      </c>
      <c r="AP12" s="2"/>
      <c r="AQ12" s="3">
        <f t="shared" si="0"/>
        <v>30726.5982</v>
      </c>
      <c r="AR12" s="3"/>
      <c r="AS12" s="3"/>
      <c r="AT12" s="3"/>
      <c r="AU12" s="3"/>
      <c r="AV12" s="3"/>
      <c r="AW12" s="3"/>
      <c r="AY12" t="s">
        <v>50</v>
      </c>
      <c r="AZ12" s="3">
        <v>5250000</v>
      </c>
      <c r="BB12" s="3">
        <v>211696</v>
      </c>
      <c r="BC12" s="4">
        <f t="shared" si="1"/>
        <v>5038304</v>
      </c>
      <c r="BD12" s="2">
        <v>2.36</v>
      </c>
      <c r="BE12" s="2">
        <f t="shared" si="2"/>
        <v>11890.397439999999</v>
      </c>
    </row>
    <row r="13" spans="1:69" x14ac:dyDescent="0.25">
      <c r="B13" s="25" t="s">
        <v>59</v>
      </c>
      <c r="C13" s="25" t="s">
        <v>103</v>
      </c>
      <c r="D13" s="25" t="s">
        <v>37</v>
      </c>
      <c r="E13" s="25" t="s">
        <v>103</v>
      </c>
      <c r="F13" s="25" t="s">
        <v>37</v>
      </c>
      <c r="I13" s="25" t="s">
        <v>59</v>
      </c>
      <c r="J13" s="25" t="s">
        <v>103</v>
      </c>
      <c r="K13" s="25" t="s">
        <v>37</v>
      </c>
      <c r="L13" s="25" t="s">
        <v>103</v>
      </c>
      <c r="M13" s="25" t="s">
        <v>37</v>
      </c>
      <c r="Q13" s="25" t="s">
        <v>16</v>
      </c>
      <c r="R13" s="25" t="s">
        <v>95</v>
      </c>
      <c r="S13" s="25" t="s">
        <v>94</v>
      </c>
      <c r="AI13" t="s">
        <v>51</v>
      </c>
      <c r="AK13" s="3">
        <v>15123655</v>
      </c>
      <c r="AL13" s="3"/>
      <c r="AM13" s="3"/>
      <c r="AN13" s="3"/>
      <c r="AO13" s="2">
        <v>2.36</v>
      </c>
      <c r="AP13" s="2"/>
      <c r="AQ13" s="3">
        <f t="shared" si="0"/>
        <v>35691.825799999999</v>
      </c>
      <c r="AR13" s="3"/>
      <c r="AS13" s="3"/>
      <c r="AT13" s="3"/>
      <c r="AU13" s="3"/>
      <c r="AV13" s="3"/>
      <c r="AW13" s="3"/>
      <c r="AY13" t="s">
        <v>51</v>
      </c>
      <c r="AZ13" s="3">
        <v>5323000</v>
      </c>
      <c r="BB13" s="3">
        <v>252798</v>
      </c>
      <c r="BC13" s="4">
        <f t="shared" si="1"/>
        <v>5070202</v>
      </c>
      <c r="BD13" s="2">
        <v>2.36</v>
      </c>
      <c r="BE13" s="2">
        <f t="shared" si="2"/>
        <v>11965.676719999999</v>
      </c>
    </row>
    <row r="14" spans="1:69" x14ac:dyDescent="0.25">
      <c r="B14" s="53" t="s">
        <v>60</v>
      </c>
      <c r="C14" s="53" t="s">
        <v>99</v>
      </c>
      <c r="D14" s="53" t="s">
        <v>99</v>
      </c>
      <c r="E14" s="53" t="s">
        <v>14</v>
      </c>
      <c r="F14" s="53" t="s">
        <v>14</v>
      </c>
      <c r="I14" s="53" t="s">
        <v>60</v>
      </c>
      <c r="J14" s="53" t="s">
        <v>99</v>
      </c>
      <c r="K14" s="53" t="s">
        <v>99</v>
      </c>
      <c r="L14" s="53" t="s">
        <v>14</v>
      </c>
      <c r="M14" s="53" t="s">
        <v>14</v>
      </c>
      <c r="Q14" s="53" t="s">
        <v>244</v>
      </c>
      <c r="R14" s="53" t="s">
        <v>246</v>
      </c>
      <c r="S14" s="53" t="s">
        <v>61</v>
      </c>
      <c r="T14" s="53" t="s">
        <v>173</v>
      </c>
      <c r="U14" s="53"/>
      <c r="V14" s="53"/>
      <c r="X14" s="78" t="s">
        <v>245</v>
      </c>
      <c r="Y14" s="5">
        <v>8881.24</v>
      </c>
      <c r="Z14" s="5"/>
      <c r="AA14" s="44"/>
      <c r="AB14" s="44"/>
      <c r="AC14" s="44">
        <v>761</v>
      </c>
      <c r="AI14" t="s">
        <v>52</v>
      </c>
      <c r="AK14" s="3">
        <v>15534426</v>
      </c>
      <c r="AL14" s="3"/>
      <c r="AM14" s="3"/>
      <c r="AN14" s="3"/>
      <c r="AO14" s="2">
        <v>2.36</v>
      </c>
      <c r="AP14" s="2"/>
      <c r="AQ14" s="3">
        <f t="shared" si="0"/>
        <v>36661.245360000001</v>
      </c>
      <c r="AR14" s="3"/>
      <c r="AS14" s="3" t="s">
        <v>53</v>
      </c>
      <c r="AT14" s="5">
        <v>27151</v>
      </c>
      <c r="AU14" s="35">
        <f>AQ14-AT14</f>
        <v>9510.2453600000008</v>
      </c>
      <c r="AV14" s="3"/>
      <c r="AW14" s="3"/>
      <c r="AY14" t="s">
        <v>52</v>
      </c>
      <c r="AZ14" s="3">
        <v>4693000</v>
      </c>
      <c r="BB14" s="3">
        <v>246638</v>
      </c>
      <c r="BC14" s="4">
        <f t="shared" si="1"/>
        <v>4446362</v>
      </c>
      <c r="BD14" s="2">
        <v>2.36</v>
      </c>
      <c r="BE14" s="2">
        <f t="shared" si="2"/>
        <v>10493.41432</v>
      </c>
      <c r="BG14" s="2">
        <v>10493.41</v>
      </c>
      <c r="BH14" s="27">
        <f>BE14-BG14</f>
        <v>4.3200000000069849E-3</v>
      </c>
      <c r="BO14" t="s">
        <v>170</v>
      </c>
    </row>
    <row r="15" spans="1:69" x14ac:dyDescent="0.25">
      <c r="W15" s="89" t="s">
        <v>84</v>
      </c>
      <c r="X15" s="88" t="s">
        <v>157</v>
      </c>
      <c r="Y15" s="82">
        <f t="shared" ref="Y15:Y26" si="3">BN16</f>
        <v>0</v>
      </c>
      <c r="Z15" s="82"/>
      <c r="AA15" s="82"/>
      <c r="AB15" s="82"/>
      <c r="AC15" s="82">
        <f>AD48</f>
        <v>8119.9908571428568</v>
      </c>
      <c r="AD15" s="83"/>
      <c r="AH15" t="s">
        <v>84</v>
      </c>
      <c r="AK15" s="3"/>
      <c r="AL15" s="3"/>
      <c r="AM15" s="3"/>
      <c r="AN15" s="3"/>
      <c r="AO15" s="2"/>
      <c r="AP15" s="2"/>
      <c r="AQ15" s="3"/>
      <c r="AR15" s="3"/>
      <c r="AS15" s="3"/>
      <c r="AT15" s="3"/>
      <c r="AU15" s="36"/>
      <c r="AV15" s="14"/>
      <c r="AW15" s="14"/>
      <c r="AX15" t="s">
        <v>84</v>
      </c>
      <c r="BB15" s="6"/>
      <c r="BC15" s="22"/>
      <c r="BD15" s="19"/>
      <c r="BE15" s="19"/>
      <c r="BG15" s="2"/>
      <c r="BH15" s="28"/>
      <c r="BO15" t="s">
        <v>212</v>
      </c>
    </row>
    <row r="16" spans="1:69" x14ac:dyDescent="0.25">
      <c r="A16" t="s">
        <v>84</v>
      </c>
      <c r="B16" s="42" t="s">
        <v>157</v>
      </c>
      <c r="C16" s="4">
        <f t="shared" ref="C16:C27" si="4">AK16</f>
        <v>15713214</v>
      </c>
      <c r="E16" s="5">
        <f t="shared" ref="E16:E27" si="5">C16*$C$2/1000</f>
        <v>37083.185039999997</v>
      </c>
      <c r="H16" t="s">
        <v>84</v>
      </c>
      <c r="I16" s="42" t="s">
        <v>157</v>
      </c>
      <c r="J16" s="4">
        <f>BC16</f>
        <v>4482456</v>
      </c>
      <c r="L16" s="5">
        <f t="shared" ref="L16:L27" si="6">J16*$C$2/1000</f>
        <v>10578.596160000001</v>
      </c>
      <c r="P16" s="89" t="s">
        <v>84</v>
      </c>
      <c r="Q16" s="88" t="s">
        <v>157</v>
      </c>
      <c r="R16" s="88" t="s">
        <v>245</v>
      </c>
      <c r="S16" s="98">
        <f>BL16</f>
        <v>7565.16</v>
      </c>
      <c r="T16" s="12"/>
      <c r="X16" s="13" t="s">
        <v>54</v>
      </c>
      <c r="Y16" s="84">
        <f t="shared" si="3"/>
        <v>3131</v>
      </c>
      <c r="Z16" s="4"/>
      <c r="AA16" s="4"/>
      <c r="AB16" s="4"/>
      <c r="AC16" s="4">
        <f>Y16</f>
        <v>3131</v>
      </c>
      <c r="AD16" s="85"/>
      <c r="AI16" s="8" t="s">
        <v>53</v>
      </c>
      <c r="AJ16" s="9"/>
      <c r="AK16" s="10">
        <v>15713214</v>
      </c>
      <c r="AL16" s="10"/>
      <c r="AM16" s="10"/>
      <c r="AN16" s="10"/>
      <c r="AO16" s="11">
        <v>2.36</v>
      </c>
      <c r="AP16" s="11"/>
      <c r="AQ16" s="10">
        <f t="shared" ref="AQ16:AQ27" si="7">+AK16*AO16/1000</f>
        <v>37083.185039999997</v>
      </c>
      <c r="AR16" s="10"/>
      <c r="AS16" s="10" t="s">
        <v>54</v>
      </c>
      <c r="AT16" s="10">
        <v>27572.95</v>
      </c>
      <c r="AU16" s="37">
        <f>AQ16-AT16</f>
        <v>9510.2350399999959</v>
      </c>
      <c r="AV16" s="40"/>
      <c r="AW16" s="14"/>
      <c r="AY16" s="8" t="s">
        <v>53</v>
      </c>
      <c r="AZ16" s="10">
        <v>4739000</v>
      </c>
      <c r="BA16" s="9"/>
      <c r="BB16" s="14">
        <v>256544</v>
      </c>
      <c r="BC16" s="4">
        <f t="shared" si="1"/>
        <v>4482456</v>
      </c>
      <c r="BD16" s="15">
        <v>2.36</v>
      </c>
      <c r="BE16" s="2">
        <f t="shared" si="2"/>
        <v>10578.596160000001</v>
      </c>
      <c r="BF16" s="9"/>
      <c r="BG16" s="11">
        <v>10578.58</v>
      </c>
      <c r="BH16" s="29">
        <f>BE16-BG16</f>
        <v>1.6160000001036678E-2</v>
      </c>
      <c r="BI16" s="12"/>
      <c r="BK16" t="s">
        <v>53</v>
      </c>
      <c r="BL16" s="2">
        <v>7565.16</v>
      </c>
    </row>
    <row r="17" spans="1:72" x14ac:dyDescent="0.25">
      <c r="A17" t="s">
        <v>166</v>
      </c>
      <c r="B17" t="s">
        <v>54</v>
      </c>
      <c r="C17" s="4">
        <f t="shared" si="4"/>
        <v>14410836</v>
      </c>
      <c r="E17" s="4">
        <f t="shared" si="5"/>
        <v>34009.572959999998</v>
      </c>
      <c r="H17" t="s">
        <v>166</v>
      </c>
      <c r="I17" t="s">
        <v>54</v>
      </c>
      <c r="J17" s="4">
        <f t="shared" ref="J17:J27" si="8">BC17</f>
        <v>4409160</v>
      </c>
      <c r="L17" s="4">
        <f t="shared" si="6"/>
        <v>10405.6176</v>
      </c>
      <c r="Q17" s="13" t="s">
        <v>54</v>
      </c>
      <c r="R17" s="42" t="s">
        <v>53</v>
      </c>
      <c r="S17" s="14">
        <f t="shared" ref="S17:S27" si="9">BL17</f>
        <v>7215.91</v>
      </c>
      <c r="T17" s="16"/>
      <c r="X17" s="13" t="s">
        <v>55</v>
      </c>
      <c r="Y17" s="4">
        <f t="shared" si="3"/>
        <v>0</v>
      </c>
      <c r="Z17" s="4"/>
      <c r="AA17" s="4"/>
      <c r="AB17" s="4"/>
      <c r="AC17" s="4">
        <f t="shared" ref="AC17:AC24" si="10">Y17</f>
        <v>0</v>
      </c>
      <c r="AD17" s="85"/>
      <c r="AI17" s="13" t="s">
        <v>54</v>
      </c>
      <c r="AK17" s="14">
        <v>14410836</v>
      </c>
      <c r="AL17" s="14"/>
      <c r="AM17" s="14"/>
      <c r="AN17" s="14"/>
      <c r="AO17" s="15">
        <v>2.36</v>
      </c>
      <c r="AP17" s="15"/>
      <c r="AQ17" s="14">
        <f t="shared" si="7"/>
        <v>34009.572959999998</v>
      </c>
      <c r="AR17" s="14"/>
      <c r="AS17" s="14" t="s">
        <v>55</v>
      </c>
      <c r="AT17" s="14">
        <v>24499.34</v>
      </c>
      <c r="AU17" s="38">
        <f>AQ17-AT17</f>
        <v>9510.2329599999975</v>
      </c>
      <c r="AV17" s="40"/>
      <c r="AW17" s="14"/>
      <c r="AY17" s="13" t="s">
        <v>54</v>
      </c>
      <c r="AZ17" s="14">
        <v>4648000</v>
      </c>
      <c r="BB17" s="14">
        <v>238840</v>
      </c>
      <c r="BC17" s="4">
        <f t="shared" si="1"/>
        <v>4409160</v>
      </c>
      <c r="BD17" s="15">
        <v>2.36</v>
      </c>
      <c r="BE17" s="2">
        <f t="shared" si="2"/>
        <v>10405.6176</v>
      </c>
      <c r="BG17" s="15">
        <v>10405.61</v>
      </c>
      <c r="BH17" s="27">
        <f>BE17-BG17</f>
        <v>7.5999999990017386E-3</v>
      </c>
      <c r="BI17" s="16"/>
      <c r="BK17" s="14" t="s">
        <v>54</v>
      </c>
      <c r="BL17" s="2">
        <v>7215.91</v>
      </c>
      <c r="BN17" s="2">
        <f>1190+1941</f>
        <v>3131</v>
      </c>
      <c r="BO17">
        <v>1206.6600000000001</v>
      </c>
    </row>
    <row r="18" spans="1:72" x14ac:dyDescent="0.25">
      <c r="A18" t="s">
        <v>167</v>
      </c>
      <c r="B18" t="s">
        <v>55</v>
      </c>
      <c r="C18" s="4">
        <f t="shared" si="4"/>
        <v>13833302</v>
      </c>
      <c r="E18" s="4">
        <f t="shared" si="5"/>
        <v>32646.592720000001</v>
      </c>
      <c r="H18" t="s">
        <v>168</v>
      </c>
      <c r="I18" t="s">
        <v>55</v>
      </c>
      <c r="J18" s="4">
        <f t="shared" si="8"/>
        <v>4004072</v>
      </c>
      <c r="L18" s="4">
        <f t="shared" si="6"/>
        <v>9449.6099200000008</v>
      </c>
      <c r="Q18" s="13" t="s">
        <v>55</v>
      </c>
      <c r="R18" t="s">
        <v>54</v>
      </c>
      <c r="S18" s="14">
        <f t="shared" si="9"/>
        <v>7363.23</v>
      </c>
      <c r="T18" s="16"/>
      <c r="X18" s="13" t="s">
        <v>56</v>
      </c>
      <c r="Y18" s="4">
        <f t="shared" si="3"/>
        <v>6548.02</v>
      </c>
      <c r="Z18" s="4"/>
      <c r="AA18" s="4"/>
      <c r="AB18" s="4"/>
      <c r="AC18" s="4">
        <f t="shared" si="10"/>
        <v>6548.02</v>
      </c>
      <c r="AD18" s="85"/>
      <c r="AI18" s="13" t="s">
        <v>55</v>
      </c>
      <c r="AK18" s="14">
        <v>13833302</v>
      </c>
      <c r="AL18" s="14"/>
      <c r="AM18" s="14"/>
      <c r="AN18" s="14"/>
      <c r="AO18" s="15">
        <v>2.36</v>
      </c>
      <c r="AP18" s="15"/>
      <c r="AQ18" s="14">
        <f t="shared" si="7"/>
        <v>32646.592720000001</v>
      </c>
      <c r="AR18" s="14"/>
      <c r="AS18" s="14" t="s">
        <v>56</v>
      </c>
      <c r="AT18" s="14">
        <v>23136.37</v>
      </c>
      <c r="AU18" s="38">
        <f t="shared" ref="AU18:AU27" si="11">AQ18-AT18</f>
        <v>9510.2227200000016</v>
      </c>
      <c r="AV18" s="40"/>
      <c r="AW18" s="14"/>
      <c r="AY18" s="13" t="s">
        <v>55</v>
      </c>
      <c r="AZ18" s="14">
        <v>4234000</v>
      </c>
      <c r="BB18" s="34">
        <v>229928</v>
      </c>
      <c r="BC18" s="4">
        <f t="shared" si="1"/>
        <v>4004072</v>
      </c>
      <c r="BD18" s="15">
        <v>2.36</v>
      </c>
      <c r="BE18" s="2">
        <f t="shared" si="2"/>
        <v>9449.6099200000008</v>
      </c>
      <c r="BG18" s="15">
        <v>9449.6</v>
      </c>
      <c r="BH18" s="27">
        <f>BE18-BG18</f>
        <v>9.9200000004202593E-3</v>
      </c>
      <c r="BI18" s="16"/>
      <c r="BK18" s="14" t="s">
        <v>55</v>
      </c>
      <c r="BL18" s="2">
        <v>7363.23</v>
      </c>
      <c r="BO18">
        <f>155.68+335.03+102.76+21.84</f>
        <v>615.31000000000006</v>
      </c>
    </row>
    <row r="19" spans="1:72" x14ac:dyDescent="0.25">
      <c r="B19" t="s">
        <v>56</v>
      </c>
      <c r="C19" s="4">
        <f t="shared" si="4"/>
        <v>14393328</v>
      </c>
      <c r="E19" s="4">
        <f t="shared" si="5"/>
        <v>33968.254079999999</v>
      </c>
      <c r="I19" t="s">
        <v>56</v>
      </c>
      <c r="J19" s="4">
        <f t="shared" si="8"/>
        <v>4798307</v>
      </c>
      <c r="L19" s="4">
        <f t="shared" si="6"/>
        <v>11324.00452</v>
      </c>
      <c r="Q19" s="13" t="s">
        <v>56</v>
      </c>
      <c r="R19" t="s">
        <v>55</v>
      </c>
      <c r="S19" s="14">
        <f t="shared" si="9"/>
        <v>7404.91</v>
      </c>
      <c r="T19" s="16"/>
      <c r="X19" s="13" t="s">
        <v>57</v>
      </c>
      <c r="Y19" s="4">
        <f t="shared" si="3"/>
        <v>1190</v>
      </c>
      <c r="Z19" s="4"/>
      <c r="AA19" s="4"/>
      <c r="AB19" s="4"/>
      <c r="AC19" s="4">
        <f t="shared" si="10"/>
        <v>1190</v>
      </c>
      <c r="AD19" s="85"/>
      <c r="AI19" s="13" t="s">
        <v>56</v>
      </c>
      <c r="AK19" s="14">
        <v>14393328</v>
      </c>
      <c r="AL19" s="14"/>
      <c r="AM19" s="14"/>
      <c r="AN19" s="14"/>
      <c r="AO19" s="15">
        <v>2.36</v>
      </c>
      <c r="AP19" s="15"/>
      <c r="AQ19" s="14">
        <f t="shared" si="7"/>
        <v>33968.254079999999</v>
      </c>
      <c r="AR19" s="14"/>
      <c r="AS19" s="14" t="s">
        <v>57</v>
      </c>
      <c r="AT19" s="14">
        <v>24458.01</v>
      </c>
      <c r="AU19" s="38">
        <f t="shared" si="11"/>
        <v>9510.2440800000004</v>
      </c>
      <c r="AV19" s="40"/>
      <c r="AW19" s="14"/>
      <c r="AY19" s="13" t="s">
        <v>56</v>
      </c>
      <c r="AZ19" s="14">
        <v>5030000</v>
      </c>
      <c r="BB19" s="34">
        <v>231693</v>
      </c>
      <c r="BC19" s="4">
        <f t="shared" si="1"/>
        <v>4798307</v>
      </c>
      <c r="BD19" s="15">
        <v>2.36</v>
      </c>
      <c r="BE19" s="2">
        <f t="shared" si="2"/>
        <v>11324.00452</v>
      </c>
      <c r="BG19" s="15">
        <v>11323.98</v>
      </c>
      <c r="BH19" s="27">
        <f t="shared" ref="BH19:BH38" si="12">BE19-BG19</f>
        <v>2.4520000000848086E-2</v>
      </c>
      <c r="BI19" s="16"/>
      <c r="BK19" s="14" t="s">
        <v>56</v>
      </c>
      <c r="BL19" s="2">
        <v>7404.91</v>
      </c>
      <c r="BN19" s="2">
        <v>6548.02</v>
      </c>
    </row>
    <row r="20" spans="1:72" x14ac:dyDescent="0.25">
      <c r="B20" t="s">
        <v>57</v>
      </c>
      <c r="C20" s="4">
        <f t="shared" si="4"/>
        <v>14490751</v>
      </c>
      <c r="E20" s="4">
        <f t="shared" si="5"/>
        <v>34198.172359999997</v>
      </c>
      <c r="I20" t="s">
        <v>57</v>
      </c>
      <c r="J20" s="4">
        <f t="shared" si="8"/>
        <v>5299703</v>
      </c>
      <c r="L20" s="4">
        <f t="shared" si="6"/>
        <v>12507.299080000001</v>
      </c>
      <c r="Q20" s="13" t="s">
        <v>57</v>
      </c>
      <c r="R20" t="s">
        <v>56</v>
      </c>
      <c r="S20" s="14">
        <f t="shared" si="9"/>
        <v>7040.71</v>
      </c>
      <c r="T20" s="16"/>
      <c r="X20" s="13" t="s">
        <v>58</v>
      </c>
      <c r="Y20" s="4">
        <f t="shared" si="3"/>
        <v>6566.9699999999993</v>
      </c>
      <c r="Z20" s="4"/>
      <c r="AA20" s="4"/>
      <c r="AB20" s="4"/>
      <c r="AC20" s="4">
        <f t="shared" si="10"/>
        <v>6566.9699999999993</v>
      </c>
      <c r="AD20" s="85"/>
      <c r="AI20" s="13" t="s">
        <v>57</v>
      </c>
      <c r="AK20" s="14">
        <v>14490751</v>
      </c>
      <c r="AL20" s="14"/>
      <c r="AM20" s="14"/>
      <c r="AN20" s="14"/>
      <c r="AO20" s="15">
        <v>2.36</v>
      </c>
      <c r="AP20" s="15"/>
      <c r="AQ20" s="14">
        <f t="shared" si="7"/>
        <v>34198.172359999997</v>
      </c>
      <c r="AR20" s="14"/>
      <c r="AS20" s="14" t="s">
        <v>58</v>
      </c>
      <c r="AT20" s="14">
        <v>34198.199999999997</v>
      </c>
      <c r="AU20" s="38">
        <f t="shared" si="11"/>
        <v>-2.76400000002468E-2</v>
      </c>
      <c r="AV20" s="40"/>
      <c r="AW20" s="14"/>
      <c r="AY20" s="13" t="s">
        <v>57</v>
      </c>
      <c r="AZ20" s="14">
        <v>5550000</v>
      </c>
      <c r="BB20" s="34">
        <v>250297</v>
      </c>
      <c r="BC20" s="4">
        <f t="shared" si="1"/>
        <v>5299703</v>
      </c>
      <c r="BD20" s="15">
        <v>2.36</v>
      </c>
      <c r="BE20" s="2">
        <f t="shared" si="2"/>
        <v>12507.299080000001</v>
      </c>
      <c r="BG20" s="15">
        <v>12507.29</v>
      </c>
      <c r="BH20" s="27">
        <f t="shared" si="12"/>
        <v>9.0799999998125713E-3</v>
      </c>
      <c r="BI20" s="16"/>
      <c r="BK20" s="14" t="s">
        <v>57</v>
      </c>
      <c r="BL20" s="2">
        <v>7040.71</v>
      </c>
      <c r="BN20" s="2">
        <v>1190</v>
      </c>
    </row>
    <row r="21" spans="1:72" x14ac:dyDescent="0.25">
      <c r="B21" t="s">
        <v>58</v>
      </c>
      <c r="C21" s="4">
        <f t="shared" si="4"/>
        <v>16333198</v>
      </c>
      <c r="E21" s="4">
        <f t="shared" si="5"/>
        <v>38546.347280000002</v>
      </c>
      <c r="I21" t="s">
        <v>58</v>
      </c>
      <c r="J21" s="4">
        <f t="shared" si="8"/>
        <v>8138245</v>
      </c>
      <c r="L21" s="4">
        <f t="shared" si="6"/>
        <v>19206.2582</v>
      </c>
      <c r="Q21" s="13" t="s">
        <v>58</v>
      </c>
      <c r="R21" t="s">
        <v>57</v>
      </c>
      <c r="S21" s="14">
        <f t="shared" si="9"/>
        <v>7215.44</v>
      </c>
      <c r="T21" s="16"/>
      <c r="X21" s="86" t="s">
        <v>156</v>
      </c>
      <c r="Y21" s="4">
        <f t="shared" si="3"/>
        <v>0</v>
      </c>
      <c r="Z21" s="4"/>
      <c r="AA21" s="4"/>
      <c r="AB21" s="4"/>
      <c r="AC21" s="4">
        <f t="shared" si="10"/>
        <v>0</v>
      </c>
      <c r="AD21" s="85"/>
      <c r="AI21" s="13" t="s">
        <v>58</v>
      </c>
      <c r="AK21" s="14">
        <v>16333198</v>
      </c>
      <c r="AL21" s="14"/>
      <c r="AM21" s="14">
        <f>SUM(AK9:AK21)</f>
        <v>173930635</v>
      </c>
      <c r="AN21" s="14"/>
      <c r="AO21" s="15">
        <v>2.36</v>
      </c>
      <c r="AP21" s="15"/>
      <c r="AQ21" s="14">
        <f t="shared" si="7"/>
        <v>38546.347280000002</v>
      </c>
      <c r="AR21" s="14"/>
      <c r="AS21" s="14" t="s">
        <v>47</v>
      </c>
      <c r="AT21" s="14">
        <v>38546.36</v>
      </c>
      <c r="AU21" s="38">
        <f t="shared" si="11"/>
        <v>-1.2719999998807907E-2</v>
      </c>
      <c r="AV21" s="40"/>
      <c r="AW21" s="14"/>
      <c r="AY21" s="13" t="s">
        <v>58</v>
      </c>
      <c r="AZ21" s="14">
        <v>8452000</v>
      </c>
      <c r="BA21" s="4">
        <f>SUM(AZ9:AZ21)</f>
        <v>64485000</v>
      </c>
      <c r="BB21" s="34">
        <v>313755</v>
      </c>
      <c r="BC21" s="4">
        <f t="shared" si="1"/>
        <v>8138245</v>
      </c>
      <c r="BD21" s="15">
        <v>2.36</v>
      </c>
      <c r="BE21" s="2">
        <f t="shared" si="2"/>
        <v>19206.2582</v>
      </c>
      <c r="BG21" s="15">
        <v>19206.240000000002</v>
      </c>
      <c r="BH21" s="27">
        <f t="shared" si="12"/>
        <v>1.8199999998614658E-2</v>
      </c>
      <c r="BI21" s="16"/>
      <c r="BK21" s="14" t="s">
        <v>58</v>
      </c>
      <c r="BL21" s="2">
        <v>7215.44</v>
      </c>
      <c r="BN21" s="2">
        <f>1810.78+4756.19</f>
        <v>6566.9699999999993</v>
      </c>
      <c r="BO21">
        <f>35.45+846.54</f>
        <v>881.99</v>
      </c>
    </row>
    <row r="22" spans="1:72" x14ac:dyDescent="0.25">
      <c r="B22" s="43" t="s">
        <v>156</v>
      </c>
      <c r="C22" s="4">
        <f t="shared" si="4"/>
        <v>14663912</v>
      </c>
      <c r="E22" s="4">
        <f t="shared" si="5"/>
        <v>34606.832320000001</v>
      </c>
      <c r="I22" s="43" t="s">
        <v>156</v>
      </c>
      <c r="J22" s="4">
        <f t="shared" si="8"/>
        <v>5813224</v>
      </c>
      <c r="L22" s="4">
        <f t="shared" si="6"/>
        <v>13719.208639999999</v>
      </c>
      <c r="Q22" s="86" t="s">
        <v>156</v>
      </c>
      <c r="R22" t="s">
        <v>58</v>
      </c>
      <c r="S22" s="14">
        <f t="shared" si="9"/>
        <v>7528.65</v>
      </c>
      <c r="T22" s="16"/>
      <c r="X22" s="13" t="s">
        <v>48</v>
      </c>
      <c r="Y22" s="4">
        <f t="shared" si="3"/>
        <v>8909.58</v>
      </c>
      <c r="Z22" s="4"/>
      <c r="AA22" s="4"/>
      <c r="AB22" s="4"/>
      <c r="AC22" s="4">
        <f t="shared" si="10"/>
        <v>8909.58</v>
      </c>
      <c r="AD22" s="85"/>
      <c r="AH22">
        <v>2023</v>
      </c>
      <c r="AI22" s="13" t="s">
        <v>47</v>
      </c>
      <c r="AK22" s="14">
        <v>14663912</v>
      </c>
      <c r="AL22" s="14"/>
      <c r="AM22" s="14"/>
      <c r="AN22" s="14"/>
      <c r="AO22" s="15">
        <v>2.36</v>
      </c>
      <c r="AP22" s="15"/>
      <c r="AQ22" s="14">
        <f t="shared" si="7"/>
        <v>34606.832320000001</v>
      </c>
      <c r="AR22" s="14"/>
      <c r="AS22" s="14" t="s">
        <v>48</v>
      </c>
      <c r="AT22" s="14">
        <v>34606.86</v>
      </c>
      <c r="AU22" s="38">
        <f t="shared" si="11"/>
        <v>-2.7679999999236315E-2</v>
      </c>
      <c r="AV22" s="40"/>
      <c r="AW22" s="14"/>
      <c r="AX22">
        <v>2023</v>
      </c>
      <c r="AY22" s="13" t="s">
        <v>47</v>
      </c>
      <c r="AZ22" s="14">
        <v>6063000</v>
      </c>
      <c r="BB22" s="3">
        <v>249776</v>
      </c>
      <c r="BC22" s="4">
        <f t="shared" si="1"/>
        <v>5813224</v>
      </c>
      <c r="BD22" s="15">
        <v>2.36</v>
      </c>
      <c r="BE22" s="2">
        <f t="shared" si="2"/>
        <v>13719.208639999999</v>
      </c>
      <c r="BG22" s="15">
        <v>13719.2</v>
      </c>
      <c r="BH22" s="27">
        <f t="shared" si="12"/>
        <v>8.6399999981949804E-3</v>
      </c>
      <c r="BI22" s="16"/>
      <c r="BK22" s="14" t="s">
        <v>47</v>
      </c>
      <c r="BL22" s="2">
        <v>7528.65</v>
      </c>
    </row>
    <row r="23" spans="1:72" x14ac:dyDescent="0.25">
      <c r="B23" t="s">
        <v>48</v>
      </c>
      <c r="C23" s="4">
        <f t="shared" si="4"/>
        <v>11663373</v>
      </c>
      <c r="E23" s="4">
        <f t="shared" si="5"/>
        <v>27525.560279999998</v>
      </c>
      <c r="I23" t="s">
        <v>48</v>
      </c>
      <c r="J23" s="4">
        <f t="shared" si="8"/>
        <v>2956951</v>
      </c>
      <c r="L23" s="4">
        <f t="shared" si="6"/>
        <v>6978.4043599999995</v>
      </c>
      <c r="Q23" s="13" t="s">
        <v>48</v>
      </c>
      <c r="R23" s="43" t="s">
        <v>156</v>
      </c>
      <c r="S23" s="14">
        <f t="shared" si="9"/>
        <v>8301.26</v>
      </c>
      <c r="T23" s="16"/>
      <c r="X23" s="13" t="s">
        <v>49</v>
      </c>
      <c r="Y23" s="4">
        <f t="shared" si="3"/>
        <v>0</v>
      </c>
      <c r="Z23" s="4"/>
      <c r="AA23" s="4"/>
      <c r="AB23" s="4"/>
      <c r="AC23" s="4">
        <f t="shared" si="10"/>
        <v>0</v>
      </c>
      <c r="AD23" s="85"/>
      <c r="AI23" s="13" t="s">
        <v>48</v>
      </c>
      <c r="AK23" s="14">
        <v>11663373</v>
      </c>
      <c r="AL23" s="14"/>
      <c r="AM23" s="14"/>
      <c r="AN23" s="14"/>
      <c r="AO23" s="15">
        <v>2.36</v>
      </c>
      <c r="AP23" s="15"/>
      <c r="AQ23" s="14">
        <f t="shared" si="7"/>
        <v>27525.560279999998</v>
      </c>
      <c r="AR23" s="14"/>
      <c r="AS23" t="s">
        <v>49</v>
      </c>
      <c r="AT23" s="14">
        <v>27525.58</v>
      </c>
      <c r="AU23" s="38">
        <f t="shared" si="11"/>
        <v>-1.9720000003871974E-2</v>
      </c>
      <c r="AV23" s="40"/>
      <c r="AW23" s="14"/>
      <c r="AY23" s="13" t="s">
        <v>48</v>
      </c>
      <c r="AZ23" s="14">
        <v>3117000</v>
      </c>
      <c r="BB23" s="3">
        <v>160049</v>
      </c>
      <c r="BC23" s="4">
        <f t="shared" si="1"/>
        <v>2956951</v>
      </c>
      <c r="BD23" s="15">
        <v>2.36</v>
      </c>
      <c r="BE23" s="2">
        <f t="shared" si="2"/>
        <v>6978.4043599999995</v>
      </c>
      <c r="BG23" s="15">
        <v>6978.4</v>
      </c>
      <c r="BH23" s="27">
        <f t="shared" si="12"/>
        <v>4.3599999999059946E-3</v>
      </c>
      <c r="BI23" s="16"/>
      <c r="BK23" s="14" t="s">
        <v>48</v>
      </c>
      <c r="BL23" s="2">
        <v>8301.26</v>
      </c>
      <c r="BN23" s="2">
        <f>1436.77+7472.81</f>
        <v>8909.58</v>
      </c>
      <c r="BO23">
        <v>1264.96</v>
      </c>
      <c r="BP23">
        <f>SUM(BO17:BO23)</f>
        <v>3968.92</v>
      </c>
      <c r="BQ23" t="s">
        <v>213</v>
      </c>
    </row>
    <row r="24" spans="1:72" x14ac:dyDescent="0.25">
      <c r="B24" t="s">
        <v>49</v>
      </c>
      <c r="C24" s="4">
        <f t="shared" si="4"/>
        <v>12041624</v>
      </c>
      <c r="E24" s="4">
        <f t="shared" si="5"/>
        <v>28418.232639999998</v>
      </c>
      <c r="I24" t="s">
        <v>49</v>
      </c>
      <c r="J24" s="4">
        <f t="shared" si="8"/>
        <v>3101463</v>
      </c>
      <c r="L24" s="4">
        <f t="shared" si="6"/>
        <v>7319.4526799999994</v>
      </c>
      <c r="Q24" s="13" t="s">
        <v>49</v>
      </c>
      <c r="R24" t="s">
        <v>48</v>
      </c>
      <c r="S24" s="14">
        <f t="shared" si="9"/>
        <v>6388.15</v>
      </c>
      <c r="T24" s="16"/>
      <c r="X24" s="13" t="s">
        <v>50</v>
      </c>
      <c r="Y24" s="4">
        <f t="shared" si="3"/>
        <v>0</v>
      </c>
      <c r="Z24" s="4"/>
      <c r="AA24" s="4"/>
      <c r="AB24" s="4"/>
      <c r="AC24" s="4">
        <f t="shared" si="10"/>
        <v>0</v>
      </c>
      <c r="AD24" s="85"/>
      <c r="AI24" s="13" t="s">
        <v>49</v>
      </c>
      <c r="AK24" s="14">
        <v>12041624</v>
      </c>
      <c r="AL24" s="14"/>
      <c r="AM24" s="14"/>
      <c r="AN24" s="14"/>
      <c r="AO24" s="15">
        <v>2.36</v>
      </c>
      <c r="AP24" s="15"/>
      <c r="AQ24" s="14">
        <f t="shared" si="7"/>
        <v>28418.232639999998</v>
      </c>
      <c r="AR24" s="14"/>
      <c r="AS24" t="s">
        <v>50</v>
      </c>
      <c r="AT24" s="14">
        <v>28418.25</v>
      </c>
      <c r="AU24" s="38">
        <f t="shared" si="11"/>
        <v>-1.7360000001644948E-2</v>
      </c>
      <c r="AV24" s="40"/>
      <c r="AW24" s="14"/>
      <c r="AY24" s="13" t="s">
        <v>49</v>
      </c>
      <c r="AZ24" s="14">
        <v>3276000</v>
      </c>
      <c r="BB24" s="3">
        <v>174537</v>
      </c>
      <c r="BC24" s="4">
        <f t="shared" si="1"/>
        <v>3101463</v>
      </c>
      <c r="BD24" s="15">
        <v>2.36</v>
      </c>
      <c r="BE24" s="2">
        <f t="shared" si="2"/>
        <v>7319.4526799999994</v>
      </c>
      <c r="BG24" s="15">
        <v>7319.44</v>
      </c>
      <c r="BH24" s="27">
        <f t="shared" si="12"/>
        <v>1.2679999999818392E-2</v>
      </c>
      <c r="BI24" s="16"/>
      <c r="BK24" t="s">
        <v>49</v>
      </c>
      <c r="BL24" s="2">
        <v>6388.15</v>
      </c>
    </row>
    <row r="25" spans="1:72" x14ac:dyDescent="0.25">
      <c r="B25" t="s">
        <v>50</v>
      </c>
      <c r="C25" s="4">
        <f t="shared" si="4"/>
        <v>13346270</v>
      </c>
      <c r="E25" s="4">
        <f t="shared" si="5"/>
        <v>31497.197199999999</v>
      </c>
      <c r="I25" t="s">
        <v>50</v>
      </c>
      <c r="J25" s="4">
        <f t="shared" si="8"/>
        <v>3054521</v>
      </c>
      <c r="L25" s="4">
        <f t="shared" si="6"/>
        <v>7208.6695599999994</v>
      </c>
      <c r="Q25" s="13" t="s">
        <v>50</v>
      </c>
      <c r="R25" t="s">
        <v>49</v>
      </c>
      <c r="S25" s="14">
        <f t="shared" si="9"/>
        <v>6339.83</v>
      </c>
      <c r="T25" s="16"/>
      <c r="W25" s="50" t="s">
        <v>98</v>
      </c>
      <c r="X25" s="87" t="s">
        <v>51</v>
      </c>
      <c r="Y25" s="51">
        <f t="shared" si="3"/>
        <v>4524.63</v>
      </c>
      <c r="Z25" s="51"/>
      <c r="AA25" s="51"/>
      <c r="AB25" s="51"/>
      <c r="AC25" s="51">
        <f>AD56*25</f>
        <v>1047.3680555555554</v>
      </c>
      <c r="AD25" s="85"/>
      <c r="AI25" s="13" t="s">
        <v>50</v>
      </c>
      <c r="AK25" s="14">
        <v>13346270</v>
      </c>
      <c r="AL25" s="14"/>
      <c r="AM25" s="14"/>
      <c r="AN25" s="14"/>
      <c r="AO25" s="15">
        <v>2.36</v>
      </c>
      <c r="AP25" s="15"/>
      <c r="AQ25" s="14">
        <f t="shared" si="7"/>
        <v>31497.197199999999</v>
      </c>
      <c r="AR25" s="14"/>
      <c r="AS25" t="s">
        <v>51</v>
      </c>
      <c r="AT25" s="14">
        <v>28418.25</v>
      </c>
      <c r="AU25" s="41">
        <f t="shared" si="11"/>
        <v>3078.9471999999987</v>
      </c>
      <c r="AV25" s="40"/>
      <c r="AW25" s="14"/>
      <c r="AY25" s="13" t="s">
        <v>50</v>
      </c>
      <c r="AZ25" s="14">
        <v>3237000</v>
      </c>
      <c r="BB25" s="3">
        <v>182479</v>
      </c>
      <c r="BC25" s="22">
        <f t="shared" si="1"/>
        <v>3054521</v>
      </c>
      <c r="BD25" s="19">
        <v>2.36</v>
      </c>
      <c r="BE25" s="19">
        <f t="shared" si="2"/>
        <v>7208.6695599999994</v>
      </c>
      <c r="BG25" s="15">
        <v>7208.66</v>
      </c>
      <c r="BH25" s="30">
        <f t="shared" si="12"/>
        <v>9.5599999995101825E-3</v>
      </c>
      <c r="BI25" s="16"/>
      <c r="BK25" t="s">
        <v>50</v>
      </c>
      <c r="BL25" s="2">
        <v>6339.83</v>
      </c>
    </row>
    <row r="26" spans="1:72" x14ac:dyDescent="0.25">
      <c r="A26" s="50" t="s">
        <v>98</v>
      </c>
      <c r="B26" s="50" t="s">
        <v>51</v>
      </c>
      <c r="C26" s="51">
        <f t="shared" si="4"/>
        <v>16704055</v>
      </c>
      <c r="E26" s="51">
        <f t="shared" si="5"/>
        <v>39421.569799999997</v>
      </c>
      <c r="H26" s="50" t="s">
        <v>98</v>
      </c>
      <c r="I26" s="50" t="s">
        <v>51</v>
      </c>
      <c r="J26" s="51">
        <f t="shared" si="8"/>
        <v>3165153</v>
      </c>
      <c r="L26" s="51">
        <f t="shared" si="6"/>
        <v>7469.7610799999993</v>
      </c>
      <c r="Q26" s="13" t="s">
        <v>51</v>
      </c>
      <c r="R26" t="s">
        <v>50</v>
      </c>
      <c r="S26" s="14">
        <f t="shared" si="9"/>
        <v>6763.01</v>
      </c>
      <c r="T26" s="99"/>
      <c r="U26" s="50"/>
      <c r="V26" s="50"/>
      <c r="W26" s="89" t="s">
        <v>248</v>
      </c>
      <c r="X26" s="80" t="s">
        <v>52</v>
      </c>
      <c r="Y26" s="54">
        <f t="shared" si="3"/>
        <v>0</v>
      </c>
      <c r="Z26" s="54"/>
      <c r="AA26" s="73">
        <f>SUM(Y15:Y26)</f>
        <v>30870.2</v>
      </c>
      <c r="AB26" s="73"/>
      <c r="AC26" s="54">
        <f>AD56*30</f>
        <v>1256.8416666666667</v>
      </c>
      <c r="AD26" s="90">
        <f>SUM(AC15:AC26)</f>
        <v>36769.770579365082</v>
      </c>
      <c r="AE26" s="50"/>
      <c r="AH26" t="s">
        <v>85</v>
      </c>
      <c r="AI26" s="8" t="s">
        <v>51</v>
      </c>
      <c r="AJ26" s="9"/>
      <c r="AK26" s="10">
        <v>16704055</v>
      </c>
      <c r="AL26" s="10"/>
      <c r="AM26" s="10"/>
      <c r="AN26" s="10"/>
      <c r="AO26" s="11">
        <v>2.36</v>
      </c>
      <c r="AP26" s="11"/>
      <c r="AQ26" s="10">
        <f t="shared" si="7"/>
        <v>39421.569799999997</v>
      </c>
      <c r="AR26" s="10"/>
      <c r="AS26" s="9" t="s">
        <v>52</v>
      </c>
      <c r="AT26" s="10">
        <v>42500.54</v>
      </c>
      <c r="AU26" s="38">
        <f t="shared" si="11"/>
        <v>-3078.9702000000034</v>
      </c>
      <c r="AV26" s="58">
        <f>SUM(AT14:AT26)</f>
        <v>361031.70999999996</v>
      </c>
      <c r="AW26" s="14"/>
      <c r="AX26" t="s">
        <v>85</v>
      </c>
      <c r="AY26" s="8" t="s">
        <v>51</v>
      </c>
      <c r="AZ26" s="10">
        <v>3392000</v>
      </c>
      <c r="BA26" s="9"/>
      <c r="BB26" s="10">
        <v>226847</v>
      </c>
      <c r="BC26" s="4">
        <f t="shared" si="1"/>
        <v>3165153</v>
      </c>
      <c r="BD26" s="15">
        <v>2.36</v>
      </c>
      <c r="BE26" s="2">
        <f t="shared" si="2"/>
        <v>7469.7610799999993</v>
      </c>
      <c r="BF26" s="9"/>
      <c r="BG26" s="11">
        <v>7469.75</v>
      </c>
      <c r="BH26" s="27">
        <f t="shared" si="12"/>
        <v>1.107999999931053E-2</v>
      </c>
      <c r="BI26" s="12"/>
      <c r="BJ26" s="59">
        <f>SUM(BG14:BG26)</f>
        <v>126660.15999999999</v>
      </c>
      <c r="BK26" t="s">
        <v>51</v>
      </c>
      <c r="BL26" s="31">
        <v>6763.01</v>
      </c>
      <c r="BN26" s="67">
        <f>1190+3334.63</f>
        <v>4524.63</v>
      </c>
      <c r="BO26" s="12"/>
    </row>
    <row r="27" spans="1:72" x14ac:dyDescent="0.25">
      <c r="A27" s="18" t="s">
        <v>248</v>
      </c>
      <c r="B27" s="80" t="s">
        <v>52</v>
      </c>
      <c r="C27" s="54">
        <f t="shared" si="4"/>
        <v>15569117</v>
      </c>
      <c r="D27" s="22">
        <f>SUM(C16:C27)</f>
        <v>173162980</v>
      </c>
      <c r="E27" s="54">
        <f t="shared" si="5"/>
        <v>36743.116119999999</v>
      </c>
      <c r="F27" s="69">
        <f>SUM(E16:E27)</f>
        <v>408664.63279999996</v>
      </c>
      <c r="H27" s="18" t="s">
        <v>248</v>
      </c>
      <c r="I27" s="80" t="s">
        <v>52</v>
      </c>
      <c r="J27" s="54">
        <f t="shared" si="8"/>
        <v>3316189</v>
      </c>
      <c r="K27" s="22">
        <f>SUM(J16:J27)</f>
        <v>52539444</v>
      </c>
      <c r="L27" s="54">
        <f t="shared" si="6"/>
        <v>7826.20604</v>
      </c>
      <c r="M27" s="69">
        <f>SUM(L16:L27)</f>
        <v>123993.08783999999</v>
      </c>
      <c r="P27" s="50" t="s">
        <v>98</v>
      </c>
      <c r="Q27" s="100" t="s">
        <v>52</v>
      </c>
      <c r="R27" s="80" t="s">
        <v>51</v>
      </c>
      <c r="S27" s="74">
        <f t="shared" si="9"/>
        <v>8286.52</v>
      </c>
      <c r="T27" s="90">
        <f>SUM(S16:S27)</f>
        <v>87412.78</v>
      </c>
      <c r="U27" s="61"/>
      <c r="V27" s="5"/>
      <c r="X27" s="50" t="s">
        <v>53</v>
      </c>
      <c r="Y27" s="51">
        <f>BN29</f>
        <v>0</v>
      </c>
      <c r="Z27" s="51"/>
      <c r="AA27" s="51"/>
      <c r="AB27" s="51"/>
      <c r="AC27" s="51">
        <f>AD56*31</f>
        <v>1298.7363888888888</v>
      </c>
      <c r="AD27" s="4"/>
      <c r="AE27" s="7"/>
      <c r="AI27" s="17" t="s">
        <v>52</v>
      </c>
      <c r="AJ27" s="18"/>
      <c r="AK27" s="6">
        <v>15569117</v>
      </c>
      <c r="AL27" s="6"/>
      <c r="AM27" s="6">
        <f>SUM(AK16:AK27)</f>
        <v>173162980</v>
      </c>
      <c r="AN27" s="6"/>
      <c r="AO27" s="19">
        <v>2.36</v>
      </c>
      <c r="AP27" s="19"/>
      <c r="AQ27" s="6">
        <f t="shared" si="7"/>
        <v>36743.116119999999</v>
      </c>
      <c r="AR27" s="6"/>
      <c r="AS27" s="6" t="s">
        <v>53</v>
      </c>
      <c r="AT27" s="6">
        <v>36743.129999999997</v>
      </c>
      <c r="AU27" s="39">
        <f t="shared" si="11"/>
        <v>-1.3879999998607673E-2</v>
      </c>
      <c r="AV27" s="58">
        <f>SUM(AT16:AT27)</f>
        <v>370623.83999999997</v>
      </c>
      <c r="AW27" s="14"/>
      <c r="AY27" s="17" t="s">
        <v>52</v>
      </c>
      <c r="AZ27" s="6">
        <v>3529000</v>
      </c>
      <c r="BA27" s="22">
        <f>SUM(AZ16:AZ27)</f>
        <v>55267000</v>
      </c>
      <c r="BB27" s="6">
        <v>212811</v>
      </c>
      <c r="BC27" s="22">
        <f t="shared" si="1"/>
        <v>3316189</v>
      </c>
      <c r="BD27" s="19">
        <v>2.36</v>
      </c>
      <c r="BE27" s="19">
        <f t="shared" si="2"/>
        <v>7826.20604</v>
      </c>
      <c r="BF27" s="18"/>
      <c r="BG27" s="19">
        <v>7826.18</v>
      </c>
      <c r="BH27" s="30">
        <f t="shared" si="12"/>
        <v>2.6039999999738939E-2</v>
      </c>
      <c r="BI27" s="20"/>
      <c r="BJ27" s="59">
        <f>SUM(BG16:BG27)</f>
        <v>123992.93</v>
      </c>
      <c r="BK27" t="s">
        <v>52</v>
      </c>
      <c r="BL27" s="32">
        <v>8286.52</v>
      </c>
      <c r="BM27" s="33">
        <f>SUM(BL16:BL27)</f>
        <v>87412.78</v>
      </c>
      <c r="BN27" s="65"/>
      <c r="BO27" s="16">
        <v>1830.63</v>
      </c>
      <c r="BP27" s="7">
        <f>SUM(BN17:BN27)</f>
        <v>30870.2</v>
      </c>
      <c r="BQ27" s="7">
        <f>SUM(BO17:BO27)</f>
        <v>5799.55</v>
      </c>
      <c r="BS27" s="63">
        <f>SUM(BN14:BO27)</f>
        <v>36669.749999999993</v>
      </c>
      <c r="BT27" s="33" t="s">
        <v>97</v>
      </c>
    </row>
    <row r="28" spans="1:72" x14ac:dyDescent="0.25">
      <c r="B28" s="50" t="s">
        <v>53</v>
      </c>
      <c r="C28" s="51">
        <f t="shared" ref="C28:C37" si="13">AK29</f>
        <v>13862081</v>
      </c>
      <c r="E28" s="51">
        <f t="shared" ref="E28:E37" si="14">C28*$C$2/1000</f>
        <v>32714.511159999998</v>
      </c>
      <c r="I28" s="50" t="s">
        <v>53</v>
      </c>
      <c r="J28" s="51">
        <f t="shared" ref="J28:J37" si="15">BC29</f>
        <v>3022622</v>
      </c>
      <c r="L28" s="51">
        <f t="shared" ref="L28:L35" si="16">J28*$C$2/1000</f>
        <v>7133.3879200000001</v>
      </c>
      <c r="Q28" s="50" t="s">
        <v>53</v>
      </c>
      <c r="R28" s="50" t="s">
        <v>52</v>
      </c>
      <c r="S28" s="79">
        <f t="shared" ref="S28:S37" si="17">BL29</f>
        <v>8052.24</v>
      </c>
      <c r="T28" s="50"/>
      <c r="U28" s="50"/>
      <c r="V28" s="50"/>
      <c r="X28" s="50" t="s">
        <v>260</v>
      </c>
      <c r="Z28" s="51"/>
      <c r="AA28" s="51"/>
      <c r="AB28" s="51"/>
      <c r="AC28" s="51">
        <f>AD56*22</f>
        <v>921.68388888888887</v>
      </c>
      <c r="AD28" s="51"/>
      <c r="AE28" s="50"/>
      <c r="AF28" s="4">
        <f>SUM(AC25:AC28)</f>
        <v>4524.6299999999992</v>
      </c>
      <c r="AI28" s="13"/>
      <c r="AK28" s="14"/>
      <c r="AL28" s="14"/>
      <c r="AM28" s="14"/>
      <c r="AN28" s="14"/>
      <c r="AO28" s="15"/>
      <c r="AP28" s="15"/>
      <c r="AQ28" s="14"/>
      <c r="AR28" s="14"/>
      <c r="AS28" s="14"/>
      <c r="AT28" s="14"/>
      <c r="AU28" s="38"/>
      <c r="AV28" s="40"/>
      <c r="AW28" s="14"/>
      <c r="AY28" s="13"/>
      <c r="BC28" s="4"/>
      <c r="BD28" s="15"/>
      <c r="BE28" s="2">
        <f t="shared" si="2"/>
        <v>0</v>
      </c>
      <c r="BH28" s="27"/>
      <c r="BI28" s="16"/>
      <c r="BL28" s="32"/>
      <c r="BN28" s="65"/>
      <c r="BO28" s="16"/>
      <c r="BS28" s="7">
        <f>BP27+BQ27</f>
        <v>36669.75</v>
      </c>
    </row>
    <row r="29" spans="1:72" x14ac:dyDescent="0.25">
      <c r="B29" s="50" t="s">
        <v>54</v>
      </c>
      <c r="C29" s="51">
        <f t="shared" si="13"/>
        <v>14039725</v>
      </c>
      <c r="E29" s="51">
        <f t="shared" si="14"/>
        <v>33133.750999999997</v>
      </c>
      <c r="I29" s="50" t="s">
        <v>54</v>
      </c>
      <c r="J29" s="51">
        <f t="shared" si="15"/>
        <v>3211697</v>
      </c>
      <c r="L29" s="51">
        <f t="shared" si="16"/>
        <v>7579.6049199999998</v>
      </c>
      <c r="Q29" s="50" t="s">
        <v>54</v>
      </c>
      <c r="R29" s="50" t="s">
        <v>53</v>
      </c>
      <c r="S29" s="79">
        <f t="shared" si="17"/>
        <v>7519.04</v>
      </c>
      <c r="T29" s="50"/>
      <c r="U29" s="50"/>
      <c r="V29" s="50"/>
      <c r="X29" s="50" t="s">
        <v>261</v>
      </c>
      <c r="Y29" s="51">
        <f t="shared" ref="Y29:Y37" si="18">BN30</f>
        <v>8303.52</v>
      </c>
      <c r="AC29" s="51">
        <f>Y29</f>
        <v>8303.52</v>
      </c>
      <c r="AE29" s="50"/>
      <c r="AI29" s="13" t="s">
        <v>53</v>
      </c>
      <c r="AK29" s="14">
        <v>13862081</v>
      </c>
      <c r="AL29" s="14"/>
      <c r="AM29" s="14"/>
      <c r="AN29" s="14"/>
      <c r="AO29" s="15">
        <v>2.36</v>
      </c>
      <c r="AP29" s="15"/>
      <c r="AQ29" s="14">
        <f t="shared" ref="AQ29:AQ34" si="19">+AK29*AO29/1000</f>
        <v>32714.511159999998</v>
      </c>
      <c r="AR29" s="14"/>
      <c r="AS29" s="14" t="s">
        <v>54</v>
      </c>
      <c r="AT29" s="14">
        <v>32714.54</v>
      </c>
      <c r="AU29" s="38">
        <f>AQ29-AT29</f>
        <v>-2.884000000267406E-2</v>
      </c>
      <c r="AV29" s="40"/>
      <c r="AW29" s="14"/>
      <c r="AY29" s="13" t="s">
        <v>53</v>
      </c>
      <c r="AZ29" s="14">
        <v>3229000</v>
      </c>
      <c r="BB29" s="3">
        <v>206378</v>
      </c>
      <c r="BC29" s="4">
        <f t="shared" si="1"/>
        <v>3022622</v>
      </c>
      <c r="BD29" s="15">
        <v>2.36</v>
      </c>
      <c r="BE29" s="2">
        <f t="shared" si="2"/>
        <v>7133.3879200000001</v>
      </c>
      <c r="BG29" s="21">
        <v>7133.38</v>
      </c>
      <c r="BH29" s="27">
        <f t="shared" si="12"/>
        <v>7.9200000000128057E-3</v>
      </c>
      <c r="BI29" s="16"/>
      <c r="BJ29" s="7">
        <f>BJ27-BJ26</f>
        <v>-2667.2299999999959</v>
      </c>
      <c r="BK29" s="14" t="s">
        <v>53</v>
      </c>
      <c r="BL29" s="32">
        <v>8052.24</v>
      </c>
      <c r="BN29" s="65"/>
      <c r="BO29" s="16"/>
    </row>
    <row r="30" spans="1:72" x14ac:dyDescent="0.25">
      <c r="B30" s="50" t="s">
        <v>55</v>
      </c>
      <c r="C30" s="51">
        <f t="shared" si="13"/>
        <v>12900334</v>
      </c>
      <c r="E30" s="51">
        <f t="shared" si="14"/>
        <v>30444.788239999998</v>
      </c>
      <c r="I30" s="50" t="s">
        <v>55</v>
      </c>
      <c r="J30" s="51">
        <f t="shared" si="15"/>
        <v>2909823</v>
      </c>
      <c r="L30" s="51">
        <f t="shared" si="16"/>
        <v>6867.1822799999991</v>
      </c>
      <c r="Q30" s="50" t="s">
        <v>55</v>
      </c>
      <c r="R30" s="50" t="s">
        <v>54</v>
      </c>
      <c r="S30" s="79">
        <f t="shared" si="17"/>
        <v>6654.15</v>
      </c>
      <c r="T30" s="50"/>
      <c r="U30" s="50"/>
      <c r="V30" s="50"/>
      <c r="X30" s="50" t="s">
        <v>55</v>
      </c>
      <c r="Y30" s="51">
        <f t="shared" si="18"/>
        <v>1954.02</v>
      </c>
      <c r="Z30" s="51"/>
      <c r="AA30" s="51"/>
      <c r="AB30" s="51"/>
      <c r="AC30" s="51">
        <f t="shared" ref="AC30:AC35" si="20">Y30</f>
        <v>1954.02</v>
      </c>
      <c r="AD30" s="51"/>
      <c r="AE30" s="50"/>
      <c r="AI30" s="13" t="s">
        <v>54</v>
      </c>
      <c r="AK30" s="14">
        <v>14039725</v>
      </c>
      <c r="AL30" s="14"/>
      <c r="AM30" s="14"/>
      <c r="AN30" s="14"/>
      <c r="AO30" s="15">
        <v>2.36</v>
      </c>
      <c r="AP30" s="15"/>
      <c r="AQ30" s="14">
        <f t="shared" si="19"/>
        <v>33133.750999999997</v>
      </c>
      <c r="AR30" s="14"/>
      <c r="AS30" s="14" t="s">
        <v>88</v>
      </c>
      <c r="AT30" s="14">
        <v>33133.769999999997</v>
      </c>
      <c r="AU30" s="38">
        <f t="shared" ref="AU30:AU38" si="21">AQ30-AT30</f>
        <v>-1.9000000000232831E-2</v>
      </c>
      <c r="AV30" s="40"/>
      <c r="AW30" s="14"/>
      <c r="AY30" s="13" t="s">
        <v>54</v>
      </c>
      <c r="AZ30" s="14">
        <v>3415000</v>
      </c>
      <c r="BB30" s="3">
        <v>203303</v>
      </c>
      <c r="BC30" s="4">
        <f t="shared" si="1"/>
        <v>3211697</v>
      </c>
      <c r="BD30" s="15">
        <v>2.36</v>
      </c>
      <c r="BE30" s="2">
        <f t="shared" si="2"/>
        <v>7579.6049199999998</v>
      </c>
      <c r="BG30" s="21">
        <v>7579.58</v>
      </c>
      <c r="BH30" s="27">
        <f t="shared" si="12"/>
        <v>2.4919999999838183E-2</v>
      </c>
      <c r="BI30" s="16"/>
      <c r="BK30" s="14" t="s">
        <v>54</v>
      </c>
      <c r="BL30" s="32">
        <v>7519.04</v>
      </c>
      <c r="BN30" s="65">
        <f>280.99+8022.53</f>
        <v>8303.52</v>
      </c>
      <c r="BO30" s="16"/>
    </row>
    <row r="31" spans="1:72" x14ac:dyDescent="0.25">
      <c r="B31" s="50" t="s">
        <v>56</v>
      </c>
      <c r="C31" s="51">
        <f t="shared" si="13"/>
        <v>11730678</v>
      </c>
      <c r="E31" s="51">
        <f t="shared" si="14"/>
        <v>27684.400079999999</v>
      </c>
      <c r="I31" s="50" t="s">
        <v>56</v>
      </c>
      <c r="J31" s="51">
        <f t="shared" si="15"/>
        <v>3039053</v>
      </c>
      <c r="L31" s="51">
        <f t="shared" si="16"/>
        <v>7172.1650799999998</v>
      </c>
      <c r="Q31" s="50" t="s">
        <v>56</v>
      </c>
      <c r="R31" s="50" t="s">
        <v>55</v>
      </c>
      <c r="S31" s="79">
        <f t="shared" si="17"/>
        <v>6376.82</v>
      </c>
      <c r="T31" s="50"/>
      <c r="U31" s="50"/>
      <c r="V31" s="50"/>
      <c r="X31" s="50" t="s">
        <v>56</v>
      </c>
      <c r="Y31" s="51">
        <f t="shared" si="18"/>
        <v>0</v>
      </c>
      <c r="Z31" s="51"/>
      <c r="AA31" s="51"/>
      <c r="AB31" s="51"/>
      <c r="AC31" s="51">
        <f t="shared" si="20"/>
        <v>0</v>
      </c>
      <c r="AD31" s="51"/>
      <c r="AE31" s="50"/>
      <c r="AI31" s="13" t="s">
        <v>55</v>
      </c>
      <c r="AK31" s="14">
        <v>12900334</v>
      </c>
      <c r="AL31" s="14"/>
      <c r="AM31" s="14"/>
      <c r="AN31" s="14"/>
      <c r="AO31" s="15">
        <v>2.36</v>
      </c>
      <c r="AP31" s="15"/>
      <c r="AQ31" s="14">
        <f t="shared" si="19"/>
        <v>30444.788239999998</v>
      </c>
      <c r="AR31" s="14"/>
      <c r="AS31" s="14" t="s">
        <v>89</v>
      </c>
      <c r="AT31" s="14">
        <v>30444.81</v>
      </c>
      <c r="AU31" s="38">
        <f t="shared" si="21"/>
        <v>-2.1760000003268942E-2</v>
      </c>
      <c r="AV31" s="40"/>
      <c r="AW31" s="14"/>
      <c r="AY31" s="13" t="s">
        <v>55</v>
      </c>
      <c r="AZ31" s="14">
        <v>3096000</v>
      </c>
      <c r="BB31" s="3">
        <v>186177</v>
      </c>
      <c r="BC31" s="4">
        <f t="shared" si="1"/>
        <v>2909823</v>
      </c>
      <c r="BD31" s="15">
        <v>2.36</v>
      </c>
      <c r="BE31" s="2">
        <f t="shared" si="2"/>
        <v>6867.1822799999991</v>
      </c>
      <c r="BG31" s="21">
        <v>6867.19</v>
      </c>
      <c r="BH31" s="27">
        <f t="shared" si="12"/>
        <v>-7.7200000005177571E-3</v>
      </c>
      <c r="BI31" s="16"/>
      <c r="BK31" s="14" t="s">
        <v>88</v>
      </c>
      <c r="BL31" s="32">
        <v>6654.15</v>
      </c>
      <c r="BN31" s="65">
        <f>1300+654.02</f>
        <v>1954.02</v>
      </c>
      <c r="BO31" s="16"/>
    </row>
    <row r="32" spans="1:72" x14ac:dyDescent="0.25">
      <c r="B32" s="50" t="s">
        <v>57</v>
      </c>
      <c r="C32" s="51">
        <f t="shared" si="13"/>
        <v>11613079</v>
      </c>
      <c r="E32" s="51">
        <f t="shared" si="14"/>
        <v>27406.866439999998</v>
      </c>
      <c r="I32" s="50" t="s">
        <v>57</v>
      </c>
      <c r="J32" s="51">
        <f t="shared" si="15"/>
        <v>2703775</v>
      </c>
      <c r="L32" s="51">
        <f t="shared" si="16"/>
        <v>6380.9089999999997</v>
      </c>
      <c r="Q32" s="50" t="s">
        <v>57</v>
      </c>
      <c r="R32" s="50" t="s">
        <v>56</v>
      </c>
      <c r="S32" s="79">
        <f t="shared" si="17"/>
        <v>5731.04</v>
      </c>
      <c r="T32" s="50"/>
      <c r="U32" s="50"/>
      <c r="V32" s="50"/>
      <c r="X32" s="50" t="s">
        <v>57</v>
      </c>
      <c r="Y32" s="51">
        <f t="shared" si="18"/>
        <v>0</v>
      </c>
      <c r="Z32" s="51"/>
      <c r="AA32" s="51"/>
      <c r="AB32" s="51"/>
      <c r="AC32" s="51">
        <f t="shared" si="20"/>
        <v>0</v>
      </c>
      <c r="AD32" s="51"/>
      <c r="AE32" s="50"/>
      <c r="AI32" s="13" t="s">
        <v>56</v>
      </c>
      <c r="AK32" s="14">
        <v>11730678</v>
      </c>
      <c r="AL32" s="14"/>
      <c r="AM32" s="14"/>
      <c r="AN32" s="14"/>
      <c r="AO32" s="15">
        <v>2.36</v>
      </c>
      <c r="AP32" s="15"/>
      <c r="AQ32" s="14">
        <f t="shared" si="19"/>
        <v>27684.400079999999</v>
      </c>
      <c r="AR32" s="14"/>
      <c r="AS32" s="14" t="s">
        <v>90</v>
      </c>
      <c r="AT32" s="14">
        <v>27684.41</v>
      </c>
      <c r="AU32" s="38">
        <f t="shared" si="21"/>
        <v>-9.9200000004202593E-3</v>
      </c>
      <c r="AV32" s="40"/>
      <c r="AW32" s="14"/>
      <c r="AY32" s="13" t="s">
        <v>56</v>
      </c>
      <c r="AZ32" s="14">
        <v>3213000</v>
      </c>
      <c r="BB32" s="3">
        <v>173947</v>
      </c>
      <c r="BC32" s="4">
        <f t="shared" si="1"/>
        <v>3039053</v>
      </c>
      <c r="BD32" s="15">
        <v>2.36</v>
      </c>
      <c r="BE32" s="2">
        <f t="shared" si="2"/>
        <v>7172.1650799999998</v>
      </c>
      <c r="BG32" s="21">
        <v>7172.15</v>
      </c>
      <c r="BH32" s="27">
        <f t="shared" si="12"/>
        <v>1.5080000000125438E-2</v>
      </c>
      <c r="BI32" s="16"/>
      <c r="BK32" s="14" t="s">
        <v>89</v>
      </c>
      <c r="BL32" s="32">
        <v>6376.82</v>
      </c>
      <c r="BN32" s="65"/>
      <c r="BO32" s="16">
        <v>832.99</v>
      </c>
    </row>
    <row r="33" spans="1:72" x14ac:dyDescent="0.25">
      <c r="B33" s="50" t="s">
        <v>58</v>
      </c>
      <c r="C33" s="51">
        <f t="shared" si="13"/>
        <v>12102538</v>
      </c>
      <c r="E33" s="51">
        <f t="shared" si="14"/>
        <v>28561.989679999999</v>
      </c>
      <c r="I33" s="50" t="s">
        <v>58</v>
      </c>
      <c r="J33" s="51">
        <f t="shared" si="15"/>
        <v>3409054</v>
      </c>
      <c r="L33" s="51">
        <f t="shared" si="16"/>
        <v>8045.3674399999991</v>
      </c>
      <c r="Q33" s="50" t="s">
        <v>58</v>
      </c>
      <c r="R33" s="50" t="s">
        <v>57</v>
      </c>
      <c r="S33" s="79">
        <f t="shared" si="17"/>
        <v>5865.91</v>
      </c>
      <c r="T33" s="50"/>
      <c r="U33" s="50"/>
      <c r="V33" s="50"/>
      <c r="X33" s="50" t="s">
        <v>58</v>
      </c>
      <c r="Y33" s="51">
        <f t="shared" si="18"/>
        <v>9965.73</v>
      </c>
      <c r="Z33" s="51"/>
      <c r="AA33" s="51"/>
      <c r="AB33" s="51"/>
      <c r="AC33" s="51">
        <f t="shared" si="20"/>
        <v>9965.73</v>
      </c>
      <c r="AD33" s="51"/>
      <c r="AE33" s="50"/>
      <c r="AI33" s="13" t="s">
        <v>57</v>
      </c>
      <c r="AK33" s="14">
        <v>11613079</v>
      </c>
      <c r="AL33" s="14"/>
      <c r="AM33" s="14"/>
      <c r="AN33" s="14"/>
      <c r="AO33" s="15">
        <v>2.36</v>
      </c>
      <c r="AP33" s="15"/>
      <c r="AQ33" s="14">
        <f t="shared" si="19"/>
        <v>27406.866439999998</v>
      </c>
      <c r="AR33" s="14"/>
      <c r="AS33" s="14" t="s">
        <v>91</v>
      </c>
      <c r="AT33" s="14">
        <v>27406.87</v>
      </c>
      <c r="AU33" s="38">
        <f t="shared" si="21"/>
        <v>-3.5600000010163058E-3</v>
      </c>
      <c r="AV33" s="40"/>
      <c r="AW33" s="14"/>
      <c r="AY33" s="13" t="s">
        <v>57</v>
      </c>
      <c r="AZ33" s="14">
        <v>2872000</v>
      </c>
      <c r="BB33" s="3">
        <v>168225</v>
      </c>
      <c r="BC33" s="4">
        <f t="shared" si="1"/>
        <v>2703775</v>
      </c>
      <c r="BD33" s="15">
        <v>2.36</v>
      </c>
      <c r="BE33" s="2">
        <f t="shared" si="2"/>
        <v>6380.9089999999997</v>
      </c>
      <c r="BG33" s="21">
        <v>6380.89</v>
      </c>
      <c r="BH33" s="27">
        <f t="shared" si="12"/>
        <v>1.8999999999323336E-2</v>
      </c>
      <c r="BI33" s="16"/>
      <c r="BK33" s="14" t="s">
        <v>90</v>
      </c>
      <c r="BL33" s="32">
        <v>5731.04</v>
      </c>
      <c r="BN33" s="65"/>
      <c r="BO33" s="16"/>
    </row>
    <row r="34" spans="1:72" x14ac:dyDescent="0.25">
      <c r="B34" s="52" t="s">
        <v>158</v>
      </c>
      <c r="C34" s="51">
        <f t="shared" si="13"/>
        <v>12975798</v>
      </c>
      <c r="E34" s="51">
        <f t="shared" si="14"/>
        <v>30622.883279999998</v>
      </c>
      <c r="I34" s="52" t="s">
        <v>158</v>
      </c>
      <c r="J34" s="51">
        <f t="shared" si="15"/>
        <v>4100305</v>
      </c>
      <c r="L34" s="51">
        <f t="shared" si="16"/>
        <v>9676.7197999999989</v>
      </c>
      <c r="Q34" s="52" t="s">
        <v>158</v>
      </c>
      <c r="R34" s="50" t="s">
        <v>58</v>
      </c>
      <c r="S34" s="79">
        <f t="shared" si="17"/>
        <v>6493.36</v>
      </c>
      <c r="T34" s="50"/>
      <c r="U34" s="50"/>
      <c r="V34" s="50"/>
      <c r="X34" s="52" t="s">
        <v>158</v>
      </c>
      <c r="Y34" s="51">
        <f t="shared" si="18"/>
        <v>670.75</v>
      </c>
      <c r="Z34" s="51"/>
      <c r="AA34" s="51"/>
      <c r="AB34" s="51"/>
      <c r="AC34" s="51">
        <f t="shared" si="20"/>
        <v>670.75</v>
      </c>
      <c r="AD34" s="51"/>
      <c r="AE34" s="50"/>
      <c r="AI34" s="13" t="s">
        <v>58</v>
      </c>
      <c r="AK34" s="14">
        <v>12102538</v>
      </c>
      <c r="AL34" s="14"/>
      <c r="AM34" s="14">
        <f>SUM(AK22:AK34)</f>
        <v>160236786</v>
      </c>
      <c r="AN34" s="14"/>
      <c r="AO34" s="15">
        <v>2.36</v>
      </c>
      <c r="AP34" s="15"/>
      <c r="AQ34" s="14">
        <f t="shared" si="19"/>
        <v>28561.989679999999</v>
      </c>
      <c r="AR34" s="14"/>
      <c r="AS34" s="14" t="s">
        <v>92</v>
      </c>
      <c r="AT34" s="14">
        <v>28562</v>
      </c>
      <c r="AU34" s="38">
        <f t="shared" si="21"/>
        <v>-1.0320000001229346E-2</v>
      </c>
      <c r="AV34" s="40"/>
      <c r="AW34" s="14"/>
      <c r="AY34" s="13" t="s">
        <v>58</v>
      </c>
      <c r="AZ34" s="14">
        <v>3582000</v>
      </c>
      <c r="BA34" s="4">
        <f>SUM(AZ22:AZ34)</f>
        <v>42021000</v>
      </c>
      <c r="BB34" s="3">
        <v>172946</v>
      </c>
      <c r="BC34" s="4">
        <f t="shared" si="1"/>
        <v>3409054</v>
      </c>
      <c r="BD34" s="15">
        <v>2.36</v>
      </c>
      <c r="BE34" s="2">
        <f t="shared" si="2"/>
        <v>8045.3674399999991</v>
      </c>
      <c r="BG34" s="21">
        <v>8045.35</v>
      </c>
      <c r="BH34" s="27">
        <f t="shared" si="12"/>
        <v>1.7439999998714484E-2</v>
      </c>
      <c r="BI34" s="16"/>
      <c r="BK34" s="14" t="s">
        <v>91</v>
      </c>
      <c r="BL34" s="32">
        <v>5865.91</v>
      </c>
      <c r="BN34" s="65">
        <f>9346+619.73</f>
        <v>9965.73</v>
      </c>
      <c r="BO34" s="16"/>
    </row>
    <row r="35" spans="1:72" x14ac:dyDescent="0.25">
      <c r="B35" s="50" t="s">
        <v>48</v>
      </c>
      <c r="C35" s="51">
        <f t="shared" si="13"/>
        <v>11551364</v>
      </c>
      <c r="E35" s="51">
        <f t="shared" si="14"/>
        <v>27261.21904</v>
      </c>
      <c r="I35" s="50" t="s">
        <v>48</v>
      </c>
      <c r="J35" s="51">
        <f t="shared" si="15"/>
        <v>4502633</v>
      </c>
      <c r="L35" s="51">
        <f t="shared" si="16"/>
        <v>10626.213879999999</v>
      </c>
      <c r="Q35" s="50" t="s">
        <v>48</v>
      </c>
      <c r="R35" s="52" t="s">
        <v>158</v>
      </c>
      <c r="S35" s="79">
        <f t="shared" si="17"/>
        <v>3103.56</v>
      </c>
      <c r="T35" s="50"/>
      <c r="U35" s="50"/>
      <c r="V35" s="50"/>
      <c r="X35" s="50" t="s">
        <v>48</v>
      </c>
      <c r="Y35" s="51">
        <f t="shared" si="18"/>
        <v>0</v>
      </c>
      <c r="Z35" s="51"/>
      <c r="AA35" s="51"/>
      <c r="AB35" s="51"/>
      <c r="AC35" s="51">
        <f t="shared" si="20"/>
        <v>0</v>
      </c>
      <c r="AD35" s="51"/>
      <c r="AE35" s="50"/>
      <c r="AH35">
        <v>2024</v>
      </c>
      <c r="AI35" s="13" t="s">
        <v>47</v>
      </c>
      <c r="AK35" s="14">
        <v>12975798</v>
      </c>
      <c r="AL35" s="14"/>
      <c r="AM35" s="14"/>
      <c r="AN35" s="14"/>
      <c r="AO35" s="15">
        <v>2.36</v>
      </c>
      <c r="AP35" s="15"/>
      <c r="AQ35" s="14">
        <f t="shared" ref="AQ35:AQ40" si="22">+AK35*AO35/1000</f>
        <v>30622.883279999998</v>
      </c>
      <c r="AR35" s="14"/>
      <c r="AS35" s="14" t="s">
        <v>93</v>
      </c>
      <c r="AT35" s="14">
        <v>30622.89</v>
      </c>
      <c r="AU35" s="38">
        <f t="shared" si="21"/>
        <v>-6.720000001223525E-3</v>
      </c>
      <c r="AV35" s="40"/>
      <c r="AW35" s="14"/>
      <c r="AX35">
        <v>2024</v>
      </c>
      <c r="AY35" s="13" t="s">
        <v>47</v>
      </c>
      <c r="AZ35" s="14">
        <v>4296000</v>
      </c>
      <c r="BB35" s="3">
        <v>195695</v>
      </c>
      <c r="BC35" s="4">
        <f t="shared" si="1"/>
        <v>4100305</v>
      </c>
      <c r="BD35" s="15">
        <v>2.36</v>
      </c>
      <c r="BE35" s="2">
        <f t="shared" si="2"/>
        <v>9676.7197999999989</v>
      </c>
      <c r="BG35" s="21">
        <v>9676.7000000000007</v>
      </c>
      <c r="BH35" s="27">
        <f t="shared" si="12"/>
        <v>1.9799999998213025E-2</v>
      </c>
      <c r="BI35" s="16"/>
      <c r="BK35" s="14" t="s">
        <v>92</v>
      </c>
      <c r="BL35" s="32">
        <v>6493.36</v>
      </c>
      <c r="BN35" s="65">
        <v>670.75</v>
      </c>
      <c r="BO35" s="16">
        <v>1906.05</v>
      </c>
    </row>
    <row r="36" spans="1:72" x14ac:dyDescent="0.25">
      <c r="B36" s="50" t="s">
        <v>49</v>
      </c>
      <c r="C36" s="51">
        <f t="shared" si="13"/>
        <v>11290404</v>
      </c>
      <c r="E36" s="51">
        <f t="shared" si="14"/>
        <v>26645.353439999999</v>
      </c>
      <c r="I36" s="50" t="s">
        <v>49</v>
      </c>
      <c r="J36" s="51">
        <f t="shared" si="15"/>
        <v>4553181</v>
      </c>
      <c r="L36" s="51">
        <f>J36*$C$2/1000</f>
        <v>10745.507160000001</v>
      </c>
      <c r="Q36" s="50" t="s">
        <v>49</v>
      </c>
      <c r="R36" s="50" t="s">
        <v>48</v>
      </c>
      <c r="S36" s="79">
        <f t="shared" si="17"/>
        <v>10039.51</v>
      </c>
      <c r="T36" s="50"/>
      <c r="U36" s="50"/>
      <c r="V36" s="50"/>
      <c r="X36" s="50" t="s">
        <v>49</v>
      </c>
      <c r="Y36" s="51">
        <f t="shared" si="18"/>
        <v>5151.3999999999996</v>
      </c>
      <c r="Z36" s="51"/>
      <c r="AA36" s="51"/>
      <c r="AB36" s="51"/>
      <c r="AC36" s="51">
        <f>Y67</f>
        <v>2060.56</v>
      </c>
      <c r="AD36" s="51"/>
      <c r="AE36" s="50"/>
      <c r="AI36" s="13" t="s">
        <v>48</v>
      </c>
      <c r="AK36" s="14">
        <v>11551364</v>
      </c>
      <c r="AL36" s="14"/>
      <c r="AM36" s="14"/>
      <c r="AN36" s="14"/>
      <c r="AO36" s="15">
        <v>2.36</v>
      </c>
      <c r="AP36" s="15"/>
      <c r="AQ36" s="14">
        <f t="shared" si="22"/>
        <v>27261.21904</v>
      </c>
      <c r="AR36" s="14"/>
      <c r="AS36" s="14" t="s">
        <v>49</v>
      </c>
      <c r="AT36" s="14">
        <v>27261.24</v>
      </c>
      <c r="AU36" s="38">
        <f t="shared" si="21"/>
        <v>-2.0960000001650769E-2</v>
      </c>
      <c r="AV36" s="40"/>
      <c r="AW36" s="14"/>
      <c r="AY36" s="13" t="s">
        <v>48</v>
      </c>
      <c r="AZ36" s="14">
        <v>4689000</v>
      </c>
      <c r="BB36" s="3">
        <v>186367</v>
      </c>
      <c r="BC36" s="4">
        <f t="shared" si="1"/>
        <v>4502633</v>
      </c>
      <c r="BD36" s="15">
        <v>2.36</v>
      </c>
      <c r="BE36" s="2">
        <f t="shared" si="2"/>
        <v>10626.213879999999</v>
      </c>
      <c r="BG36" s="21">
        <v>10626.2</v>
      </c>
      <c r="BH36" s="27">
        <f t="shared" si="12"/>
        <v>1.3879999998607673E-2</v>
      </c>
      <c r="BI36" s="16"/>
      <c r="BK36" s="14" t="s">
        <v>93</v>
      </c>
      <c r="BL36" s="32">
        <v>3103.56</v>
      </c>
      <c r="BN36" s="65"/>
      <c r="BO36" s="16"/>
    </row>
    <row r="37" spans="1:72" x14ac:dyDescent="0.25">
      <c r="A37" s="50" t="s">
        <v>249</v>
      </c>
      <c r="B37" s="50" t="s">
        <v>50</v>
      </c>
      <c r="C37" s="51">
        <f t="shared" si="13"/>
        <v>10149945</v>
      </c>
      <c r="D37" s="54">
        <f>SUM(C26:C37)</f>
        <v>154489118</v>
      </c>
      <c r="E37" s="51">
        <f t="shared" si="14"/>
        <v>23953.870199999998</v>
      </c>
      <c r="F37" s="54">
        <f>SUM(E26:E37)</f>
        <v>364594.31847999996</v>
      </c>
      <c r="H37" s="50" t="s">
        <v>249</v>
      </c>
      <c r="I37" s="50" t="s">
        <v>50</v>
      </c>
      <c r="J37" s="51">
        <f t="shared" si="15"/>
        <v>4500023</v>
      </c>
      <c r="K37" s="54">
        <f>SUM(J26:J37)</f>
        <v>42433508</v>
      </c>
      <c r="L37" s="51">
        <f>J37*$C$2/1000</f>
        <v>10620.054279999998</v>
      </c>
      <c r="M37" s="54">
        <f>SUM(L26:L37)</f>
        <v>100143.07888</v>
      </c>
      <c r="Q37" s="50" t="s">
        <v>50</v>
      </c>
      <c r="R37" s="50" t="s">
        <v>49</v>
      </c>
      <c r="S37" s="79">
        <f t="shared" si="17"/>
        <v>6704.27</v>
      </c>
      <c r="V37" s="50"/>
      <c r="W37" s="50" t="s">
        <v>249</v>
      </c>
      <c r="X37" s="50" t="s">
        <v>50</v>
      </c>
      <c r="Y37" s="51">
        <f t="shared" si="18"/>
        <v>1336.2</v>
      </c>
      <c r="Z37" s="51"/>
      <c r="AA37" s="51">
        <f>SUM(Y25:Y37)</f>
        <v>31906.250000000004</v>
      </c>
      <c r="AB37" s="51"/>
      <c r="AC37" s="51">
        <f>AA67</f>
        <v>267.24</v>
      </c>
      <c r="AD37" s="54">
        <f>SUM(AC25:AC37)</f>
        <v>27746.450000000004</v>
      </c>
      <c r="AF37" s="4">
        <f>AA37-AD37</f>
        <v>4159.7999999999993</v>
      </c>
      <c r="AI37" s="13" t="s">
        <v>49</v>
      </c>
      <c r="AK37" s="14">
        <v>11290404</v>
      </c>
      <c r="AL37" s="14"/>
      <c r="AM37" s="14"/>
      <c r="AN37" s="14"/>
      <c r="AO37" s="15">
        <v>2.36</v>
      </c>
      <c r="AP37" s="15"/>
      <c r="AQ37" s="14">
        <f t="shared" si="22"/>
        <v>26645.353439999999</v>
      </c>
      <c r="AR37" s="14"/>
      <c r="AS37" s="14" t="s">
        <v>50</v>
      </c>
      <c r="AT37" s="14">
        <v>26645.37</v>
      </c>
      <c r="AU37" s="38">
        <f t="shared" si="21"/>
        <v>-1.6560000000026776E-2</v>
      </c>
      <c r="AV37" s="40"/>
      <c r="AW37" s="14"/>
      <c r="AY37" s="13" t="s">
        <v>49</v>
      </c>
      <c r="AZ37" s="14">
        <v>4738000</v>
      </c>
      <c r="BB37" s="3">
        <v>184819</v>
      </c>
      <c r="BC37" s="4">
        <f t="shared" si="1"/>
        <v>4553181</v>
      </c>
      <c r="BD37" s="15">
        <v>2.36</v>
      </c>
      <c r="BE37" s="2">
        <f t="shared" si="2"/>
        <v>10745.507160000001</v>
      </c>
      <c r="BG37" s="21">
        <v>10745.5</v>
      </c>
      <c r="BH37" s="27">
        <f t="shared" si="12"/>
        <v>7.1600000010221265E-3</v>
      </c>
      <c r="BI37" s="16"/>
      <c r="BK37" s="14" t="s">
        <v>49</v>
      </c>
      <c r="BL37" s="32">
        <v>10039.51</v>
      </c>
      <c r="BN37" s="65">
        <v>5151.3999999999996</v>
      </c>
      <c r="BO37" s="16"/>
    </row>
    <row r="38" spans="1:72" x14ac:dyDescent="0.25">
      <c r="C38" s="4"/>
      <c r="J38" s="4"/>
      <c r="Q38" s="50" t="s">
        <v>51</v>
      </c>
      <c r="R38" s="75" t="s">
        <v>242</v>
      </c>
      <c r="S38" s="79">
        <v>6137.09</v>
      </c>
      <c r="T38" s="74">
        <f>SUM(S27:S38)</f>
        <v>80963.509999999995</v>
      </c>
      <c r="U38" s="77"/>
      <c r="X38" s="50"/>
      <c r="Y38" s="4"/>
      <c r="Z38" s="4"/>
      <c r="AA38" s="4"/>
      <c r="AB38" s="4"/>
      <c r="AC38" s="51"/>
      <c r="AD38" s="51"/>
      <c r="AE38" s="64"/>
      <c r="AI38" s="13" t="s">
        <v>50</v>
      </c>
      <c r="AK38" s="14">
        <v>10149945</v>
      </c>
      <c r="AL38" s="14"/>
      <c r="AM38" s="14">
        <f>SUM(AK26:AK38)</f>
        <v>154489118</v>
      </c>
      <c r="AN38" s="14"/>
      <c r="AO38" s="15">
        <v>2.36</v>
      </c>
      <c r="AP38" s="15"/>
      <c r="AQ38" s="14">
        <f t="shared" si="22"/>
        <v>23953.870199999998</v>
      </c>
      <c r="AR38" s="14"/>
      <c r="AS38" s="34" t="s">
        <v>51</v>
      </c>
      <c r="AT38" s="34">
        <v>23953.89</v>
      </c>
      <c r="AU38" s="34">
        <f t="shared" si="21"/>
        <v>-1.9800000001851004E-2</v>
      </c>
      <c r="AV38" s="40">
        <f>SUM(AT26:AT38)</f>
        <v>367673.45999999996</v>
      </c>
      <c r="AW38" s="14"/>
      <c r="AY38" s="13" t="s">
        <v>50</v>
      </c>
      <c r="AZ38" s="14">
        <v>4676000</v>
      </c>
      <c r="BA38" s="4">
        <f>SUM(AZ26:AZ38)</f>
        <v>44727000</v>
      </c>
      <c r="BB38" s="3">
        <v>175977</v>
      </c>
      <c r="BC38" s="4">
        <f t="shared" si="1"/>
        <v>4500023</v>
      </c>
      <c r="BD38" s="15">
        <v>2.36</v>
      </c>
      <c r="BE38" s="2">
        <f t="shared" si="2"/>
        <v>10620.054279999998</v>
      </c>
      <c r="BG38" s="62">
        <v>10620.04</v>
      </c>
      <c r="BH38" s="7">
        <f t="shared" si="12"/>
        <v>1.427999999759777E-2</v>
      </c>
      <c r="BI38" s="16"/>
      <c r="BK38" s="14" t="s">
        <v>50</v>
      </c>
      <c r="BL38" s="66">
        <v>6704.27</v>
      </c>
      <c r="BM38" s="7">
        <f>SUM(BL26:BL38)</f>
        <v>81589.429999999993</v>
      </c>
      <c r="BN38" s="68">
        <v>1336.2</v>
      </c>
      <c r="BO38" s="20"/>
      <c r="BP38" s="7">
        <f>SUM(BN26:BN38)</f>
        <v>31906.250000000004</v>
      </c>
      <c r="BQ38">
        <f>SUM(BO26:BO38)</f>
        <v>4569.67</v>
      </c>
      <c r="BS38" s="63">
        <f>SUM(BN26:BO38)</f>
        <v>36475.919999999998</v>
      </c>
      <c r="BT38" s="33" t="s">
        <v>98</v>
      </c>
    </row>
    <row r="39" spans="1:72" ht="15.75" thickBot="1" x14ac:dyDescent="0.3">
      <c r="A39" t="s">
        <v>159</v>
      </c>
      <c r="C39" s="4"/>
      <c r="D39" s="56">
        <f>D37-D27</f>
        <v>-18673862</v>
      </c>
      <c r="F39" s="49">
        <f>F37-F27</f>
        <v>-44070.314320000005</v>
      </c>
      <c r="H39" t="s">
        <v>159</v>
      </c>
      <c r="J39" s="4"/>
      <c r="K39" s="56">
        <f>K37-K27</f>
        <v>-10105936</v>
      </c>
      <c r="M39" s="49">
        <f>M37-M27</f>
        <v>-23850.008959999992</v>
      </c>
      <c r="V39" s="77"/>
      <c r="W39" t="s">
        <v>243</v>
      </c>
      <c r="AD39" s="92">
        <f>AD37-AD26</f>
        <v>-9023.3205793650777</v>
      </c>
      <c r="AI39" s="13" t="s">
        <v>51</v>
      </c>
      <c r="AK39" s="14"/>
      <c r="AL39" s="14"/>
      <c r="AM39" s="14"/>
      <c r="AN39" s="14"/>
      <c r="AO39" s="15">
        <v>2.36</v>
      </c>
      <c r="AP39" s="15"/>
      <c r="AQ39" s="14">
        <f t="shared" si="22"/>
        <v>0</v>
      </c>
      <c r="AR39" s="14"/>
      <c r="AS39" s="14"/>
      <c r="AT39" s="14"/>
      <c r="AU39" s="14"/>
      <c r="AV39" s="40"/>
      <c r="AW39" s="14"/>
      <c r="AY39" s="13" t="s">
        <v>51</v>
      </c>
      <c r="AZ39" s="14"/>
      <c r="BD39" s="15">
        <v>2.36</v>
      </c>
      <c r="BE39" s="2">
        <f t="shared" si="2"/>
        <v>0</v>
      </c>
      <c r="BH39" s="7"/>
      <c r="BI39" s="16"/>
      <c r="BK39" s="34" t="s">
        <v>51</v>
      </c>
      <c r="BL39" s="21">
        <v>6137.09</v>
      </c>
      <c r="BN39" s="21"/>
      <c r="BO39">
        <v>1939.73</v>
      </c>
      <c r="BP39" s="7"/>
      <c r="BQ39" s="7"/>
    </row>
    <row r="40" spans="1:72" ht="16.5" thickTop="1" thickBot="1" x14ac:dyDescent="0.3">
      <c r="A40" t="s">
        <v>160</v>
      </c>
      <c r="D40" s="57">
        <f>D39/D27</f>
        <v>-0.10783980502068052</v>
      </c>
      <c r="E40" s="55"/>
      <c r="F40" s="57">
        <f>F39/F27</f>
        <v>-0.10783980502068054</v>
      </c>
      <c r="H40" t="s">
        <v>160</v>
      </c>
      <c r="K40" s="57">
        <f>K39/K27</f>
        <v>-0.19234950411732565</v>
      </c>
      <c r="L40" s="55"/>
      <c r="M40" s="57">
        <f>M39/M27</f>
        <v>-0.1923495041173256</v>
      </c>
      <c r="P40" t="s">
        <v>243</v>
      </c>
      <c r="T40" s="49">
        <f>T38-T27</f>
        <v>-6449.2700000000041</v>
      </c>
      <c r="U40" s="61"/>
      <c r="AI40" s="17" t="s">
        <v>52</v>
      </c>
      <c r="AJ40" s="18"/>
      <c r="AK40" s="6"/>
      <c r="AL40" s="6"/>
      <c r="AM40" s="6"/>
      <c r="AN40" s="6"/>
      <c r="AO40" s="19">
        <v>2.36</v>
      </c>
      <c r="AP40" s="19"/>
      <c r="AQ40" s="6">
        <f t="shared" si="22"/>
        <v>0</v>
      </c>
      <c r="AR40" s="6"/>
      <c r="AS40" s="6"/>
      <c r="AT40" s="6"/>
      <c r="AU40" s="6"/>
      <c r="AV40" s="40"/>
      <c r="AW40" s="14"/>
      <c r="AY40" s="17" t="s">
        <v>52</v>
      </c>
      <c r="AZ40" s="6"/>
      <c r="BA40" s="18"/>
      <c r="BB40" s="6"/>
      <c r="BC40" s="18"/>
      <c r="BD40" s="19">
        <v>2.36</v>
      </c>
      <c r="BE40" s="19">
        <f t="shared" si="2"/>
        <v>0</v>
      </c>
      <c r="BF40" s="18"/>
      <c r="BG40" s="18"/>
      <c r="BH40" s="26"/>
      <c r="BI40" s="20"/>
      <c r="BM40" s="7"/>
      <c r="BS40" s="7">
        <f>BP39+BQ39</f>
        <v>0</v>
      </c>
    </row>
    <row r="41" spans="1:72" ht="15.75" thickTop="1" x14ac:dyDescent="0.25">
      <c r="V41" s="61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14"/>
      <c r="AW41" s="14"/>
      <c r="AZ41" s="3">
        <f>SUM(AZ26:AZ40)</f>
        <v>44727000</v>
      </c>
    </row>
    <row r="42" spans="1:72" x14ac:dyDescent="0.25">
      <c r="AK42" s="4">
        <f>SUM(AK26:AK41)</f>
        <v>154489118</v>
      </c>
      <c r="AM42" s="4">
        <f>AM27-AM38</f>
        <v>18673862</v>
      </c>
      <c r="AN42" s="4"/>
      <c r="AQ42" t="s">
        <v>145</v>
      </c>
      <c r="AV42" s="60" t="s">
        <v>165</v>
      </c>
      <c r="AW42" s="60"/>
      <c r="AX42" s="60"/>
      <c r="AY42" s="60"/>
      <c r="AZ42" s="60"/>
      <c r="BA42" s="60"/>
      <c r="BC42" s="4">
        <f>SUM(BC26:BC40)</f>
        <v>42433508</v>
      </c>
    </row>
    <row r="43" spans="1:72" x14ac:dyDescent="0.25">
      <c r="AM43">
        <f>AM42/AM38</f>
        <v>0.12087493437563673</v>
      </c>
      <c r="BA43" s="4">
        <f>BA27-BA38</f>
        <v>10540000</v>
      </c>
      <c r="BC43" s="4"/>
    </row>
    <row r="44" spans="1:72" x14ac:dyDescent="0.25">
      <c r="Y44" s="53" t="s">
        <v>251</v>
      </c>
      <c r="Z44" s="53"/>
      <c r="AA44" s="53" t="s">
        <v>84</v>
      </c>
      <c r="AB44" s="53"/>
      <c r="AD44" s="45">
        <v>8881.24</v>
      </c>
      <c r="BA44">
        <f>BA43/BA38</f>
        <v>0.23565184340554923</v>
      </c>
    </row>
    <row r="45" spans="1:72" x14ac:dyDescent="0.25">
      <c r="W45" t="s">
        <v>253</v>
      </c>
      <c r="Y45" s="3">
        <v>9</v>
      </c>
      <c r="Z45" s="3"/>
      <c r="AA45" s="3">
        <v>96</v>
      </c>
      <c r="AB45" s="3"/>
      <c r="AD45">
        <v>105</v>
      </c>
    </row>
    <row r="46" spans="1:72" x14ac:dyDescent="0.25">
      <c r="W46" t="s">
        <v>252</v>
      </c>
      <c r="Y46" s="81">
        <f>AD46</f>
        <v>84.583238095238087</v>
      </c>
      <c r="Z46" s="24"/>
      <c r="AA46" s="81">
        <f>Y46</f>
        <v>84.583238095238087</v>
      </c>
      <c r="AB46" s="101"/>
      <c r="AD46" s="45">
        <f>AD44/AD45</f>
        <v>84.583238095238087</v>
      </c>
      <c r="AI46" t="s">
        <v>146</v>
      </c>
      <c r="AZ46" s="4"/>
    </row>
    <row r="47" spans="1:72" x14ac:dyDescent="0.25">
      <c r="Y47" s="24"/>
      <c r="Z47" s="24"/>
      <c r="AA47" s="24"/>
      <c r="AB47" s="24"/>
      <c r="AD47">
        <f>AD45-9</f>
        <v>96</v>
      </c>
      <c r="AY47" t="s">
        <v>286</v>
      </c>
      <c r="BD47" t="s">
        <v>286</v>
      </c>
      <c r="BE47"/>
      <c r="BG47" s="3"/>
    </row>
    <row r="48" spans="1:72" ht="15.75" thickBot="1" x14ac:dyDescent="0.3">
      <c r="W48" t="s">
        <v>138</v>
      </c>
      <c r="Y48" s="49">
        <f>Y45*Y46</f>
        <v>761.24914285714283</v>
      </c>
      <c r="Z48" s="5"/>
      <c r="AA48" s="49">
        <f>AA45*AA46</f>
        <v>8119.9908571428568</v>
      </c>
      <c r="AB48" s="61"/>
      <c r="AD48" s="45">
        <f>AD46*AD47</f>
        <v>8119.9908571428568</v>
      </c>
      <c r="AY48" t="s">
        <v>284</v>
      </c>
      <c r="BA48" s="4">
        <f>AK42</f>
        <v>154489118</v>
      </c>
      <c r="BB48" s="71">
        <f>BA48/BA51</f>
        <v>0.78451684876475292</v>
      </c>
      <c r="BD48" t="s">
        <v>284</v>
      </c>
      <c r="BE48"/>
      <c r="BF48" s="4">
        <f>AM27</f>
        <v>173162980</v>
      </c>
      <c r="BG48" s="71">
        <f>BF48/BF51</f>
        <v>0.75805715169261056</v>
      </c>
    </row>
    <row r="49" spans="23:59" ht="15.75" thickTop="1" x14ac:dyDescent="0.25">
      <c r="AD49" s="45">
        <f>AD44-AD48</f>
        <v>761.24914285714294</v>
      </c>
      <c r="AM49" s="25" t="s">
        <v>152</v>
      </c>
      <c r="AN49" s="25"/>
      <c r="AO49" s="25"/>
      <c r="AP49" s="25"/>
      <c r="AQ49" s="25" t="s">
        <v>155</v>
      </c>
      <c r="AY49" t="s">
        <v>285</v>
      </c>
      <c r="BA49" s="4">
        <f>BC42</f>
        <v>42433508</v>
      </c>
      <c r="BB49" s="71">
        <f>BA49/BA51</f>
        <v>0.21548315123524708</v>
      </c>
      <c r="BD49" t="s">
        <v>285</v>
      </c>
      <c r="BE49"/>
      <c r="BF49" s="4">
        <f>BA27</f>
        <v>55267000</v>
      </c>
      <c r="BG49" s="71">
        <f>BF49/BF51</f>
        <v>0.24194284830738944</v>
      </c>
    </row>
    <row r="50" spans="23:59" x14ac:dyDescent="0.25">
      <c r="AK50" t="s">
        <v>148</v>
      </c>
      <c r="AM50" s="25" t="s">
        <v>150</v>
      </c>
      <c r="AN50" s="25"/>
      <c r="AO50" s="25" t="s">
        <v>153</v>
      </c>
      <c r="AP50" s="25"/>
      <c r="AQ50" s="25" t="s">
        <v>140</v>
      </c>
      <c r="BE50"/>
      <c r="BG50" s="3"/>
    </row>
    <row r="51" spans="23:59" x14ac:dyDescent="0.25">
      <c r="AH51" s="113" t="s">
        <v>84</v>
      </c>
      <c r="AI51" s="113"/>
      <c r="AJ51" s="25"/>
      <c r="AK51" s="18" t="s">
        <v>149</v>
      </c>
      <c r="AM51" s="47" t="s">
        <v>151</v>
      </c>
      <c r="AN51" s="46"/>
      <c r="AO51" s="23" t="s">
        <v>154</v>
      </c>
      <c r="AP51" s="25"/>
      <c r="AQ51" s="23" t="s">
        <v>14</v>
      </c>
      <c r="BA51" s="4">
        <f>SUM(BA48:BA50)</f>
        <v>196922626</v>
      </c>
      <c r="BE51"/>
      <c r="BF51" s="4">
        <f>SUM(BF48:BF50)</f>
        <v>228429980</v>
      </c>
      <c r="BG51" s="3"/>
    </row>
    <row r="52" spans="23:59" x14ac:dyDescent="0.25">
      <c r="AM52" s="46"/>
      <c r="AN52" s="46"/>
    </row>
    <row r="53" spans="23:59" x14ac:dyDescent="0.25">
      <c r="Y53" s="53" t="s">
        <v>84</v>
      </c>
      <c r="Z53" s="53"/>
      <c r="AA53" s="53" t="s">
        <v>258</v>
      </c>
      <c r="AB53" s="53"/>
      <c r="AD53" s="4">
        <f>Y25</f>
        <v>4524.63</v>
      </c>
      <c r="AH53">
        <v>2022</v>
      </c>
      <c r="AI53" t="str">
        <f t="shared" ref="AI53:AI64" si="23">AI16</f>
        <v>July</v>
      </c>
      <c r="AK53" s="4">
        <f t="shared" ref="AK53:AK64" si="24">AK16</f>
        <v>15713214</v>
      </c>
      <c r="AL53" s="4"/>
      <c r="AM53" s="5">
        <f t="shared" ref="AM53:AM64" si="25">AK53*$C$2/1000</f>
        <v>37083.185039999997</v>
      </c>
      <c r="AN53" s="5"/>
      <c r="AO53" s="5">
        <f>-AU16</f>
        <v>-9510.2350399999959</v>
      </c>
      <c r="AP53" s="4"/>
      <c r="AQ53" s="44">
        <f>AM53+AO53</f>
        <v>27572.95</v>
      </c>
    </row>
    <row r="54" spans="23:59" x14ac:dyDescent="0.25">
      <c r="W54" t="s">
        <v>253</v>
      </c>
      <c r="Y54" s="3">
        <v>55</v>
      </c>
      <c r="Z54" s="3"/>
      <c r="AA54" s="3">
        <v>53</v>
      </c>
      <c r="AB54" s="3"/>
      <c r="AD54">
        <v>108</v>
      </c>
      <c r="AI54" t="str">
        <f t="shared" si="23"/>
        <v>August</v>
      </c>
      <c r="AK54" s="4">
        <f t="shared" si="24"/>
        <v>14410836</v>
      </c>
      <c r="AL54" s="4"/>
      <c r="AM54" s="3">
        <f t="shared" si="25"/>
        <v>34009.572959999998</v>
      </c>
      <c r="AN54" s="3"/>
      <c r="AO54" s="4">
        <f>-AU17</f>
        <v>-9510.2329599999975</v>
      </c>
      <c r="AP54" s="4"/>
      <c r="AQ54" s="3">
        <f t="shared" ref="AQ54:AQ64" si="26">AM54+AO54</f>
        <v>24499.34</v>
      </c>
    </row>
    <row r="55" spans="23:59" x14ac:dyDescent="0.25">
      <c r="W55" t="s">
        <v>252</v>
      </c>
      <c r="Y55" s="81">
        <f>AD56</f>
        <v>41.894722222222221</v>
      </c>
      <c r="Z55" s="24"/>
      <c r="AA55" s="81">
        <f>Y55</f>
        <v>41.894722222222221</v>
      </c>
      <c r="AB55" s="101"/>
      <c r="AI55" t="str">
        <f t="shared" si="23"/>
        <v>September</v>
      </c>
      <c r="AK55" s="4">
        <f t="shared" si="24"/>
        <v>13833302</v>
      </c>
      <c r="AL55" s="4"/>
      <c r="AM55" s="3">
        <f t="shared" si="25"/>
        <v>32646.592720000001</v>
      </c>
      <c r="AN55" s="3"/>
      <c r="AO55" s="4">
        <f>-AU18</f>
        <v>-9510.2227200000016</v>
      </c>
      <c r="AP55" s="4"/>
      <c r="AQ55" s="3">
        <f t="shared" si="26"/>
        <v>23136.37</v>
      </c>
    </row>
    <row r="56" spans="23:59" x14ac:dyDescent="0.25">
      <c r="Y56" s="24"/>
      <c r="Z56" s="24"/>
      <c r="AA56" s="24"/>
      <c r="AB56" s="24"/>
      <c r="AD56" s="7">
        <f>AD53/AD54</f>
        <v>41.894722222222221</v>
      </c>
      <c r="AI56" t="str">
        <f t="shared" si="23"/>
        <v>October</v>
      </c>
      <c r="AK56" s="4">
        <f t="shared" si="24"/>
        <v>14393328</v>
      </c>
      <c r="AL56" s="4"/>
      <c r="AM56" s="3">
        <f t="shared" si="25"/>
        <v>33968.254079999999</v>
      </c>
      <c r="AN56" s="3"/>
      <c r="AO56" s="4">
        <f>-AU19</f>
        <v>-9510.2440800000004</v>
      </c>
      <c r="AP56" s="4"/>
      <c r="AQ56" s="3">
        <f t="shared" si="26"/>
        <v>24458.01</v>
      </c>
    </row>
    <row r="57" spans="23:59" ht="15.75" thickBot="1" x14ac:dyDescent="0.3">
      <c r="W57" t="s">
        <v>138</v>
      </c>
      <c r="Y57" s="49">
        <f>Y54*Y55</f>
        <v>2304.2097222222224</v>
      </c>
      <c r="Z57" s="5"/>
      <c r="AA57" s="49">
        <f>AA54*AA55</f>
        <v>2220.4202777777778</v>
      </c>
      <c r="AB57" s="61"/>
      <c r="AI57" t="str">
        <f t="shared" si="23"/>
        <v>November</v>
      </c>
      <c r="AK57" s="4">
        <f t="shared" si="24"/>
        <v>14490751</v>
      </c>
      <c r="AL57" s="4"/>
      <c r="AM57" s="3">
        <f t="shared" si="25"/>
        <v>34198.172359999997</v>
      </c>
      <c r="AN57" s="3"/>
      <c r="AQ57" s="3">
        <f t="shared" si="26"/>
        <v>34198.172359999997</v>
      </c>
    </row>
    <row r="58" spans="23:59" ht="15.75" thickTop="1" x14ac:dyDescent="0.25">
      <c r="AI58" t="str">
        <f t="shared" si="23"/>
        <v>December</v>
      </c>
      <c r="AK58" s="4">
        <f t="shared" si="24"/>
        <v>16333198</v>
      </c>
      <c r="AL58" s="4"/>
      <c r="AM58" s="3">
        <f t="shared" si="25"/>
        <v>38546.347280000002</v>
      </c>
      <c r="AN58" s="3"/>
      <c r="AQ58" s="3">
        <f t="shared" si="26"/>
        <v>38546.347280000002</v>
      </c>
    </row>
    <row r="59" spans="23:59" x14ac:dyDescent="0.25">
      <c r="AH59">
        <v>2023</v>
      </c>
      <c r="AI59" t="str">
        <f t="shared" si="23"/>
        <v>January</v>
      </c>
      <c r="AK59" s="4">
        <f t="shared" si="24"/>
        <v>14663912</v>
      </c>
      <c r="AL59" s="4"/>
      <c r="AM59" s="3">
        <f t="shared" si="25"/>
        <v>34606.832320000001</v>
      </c>
      <c r="AN59" s="3"/>
      <c r="AQ59" s="3">
        <f t="shared" si="26"/>
        <v>34606.832320000001</v>
      </c>
    </row>
    <row r="60" spans="23:59" x14ac:dyDescent="0.25">
      <c r="Y60" s="91">
        <v>45371</v>
      </c>
      <c r="AA60" s="91">
        <v>45392</v>
      </c>
      <c r="AB60" s="91"/>
      <c r="AC60" s="53" t="s">
        <v>37</v>
      </c>
      <c r="AI60" t="str">
        <f t="shared" si="23"/>
        <v>February</v>
      </c>
      <c r="AK60" s="4">
        <f t="shared" si="24"/>
        <v>11663373</v>
      </c>
      <c r="AL60" s="4"/>
      <c r="AM60" s="3">
        <f t="shared" si="25"/>
        <v>27525.560279999998</v>
      </c>
      <c r="AN60" s="3"/>
      <c r="AQ60" s="3">
        <f t="shared" si="26"/>
        <v>27525.560279999998</v>
      </c>
    </row>
    <row r="61" spans="23:59" x14ac:dyDescent="0.25">
      <c r="W61" t="s">
        <v>178</v>
      </c>
      <c r="Y61" s="24">
        <f>Y36</f>
        <v>5151.3999999999996</v>
      </c>
      <c r="AA61" s="24">
        <f>Y37</f>
        <v>1336.2</v>
      </c>
      <c r="AB61" s="24"/>
      <c r="AC61" s="45">
        <f>Y61+AA61</f>
        <v>6487.5999999999995</v>
      </c>
      <c r="AI61" t="str">
        <f t="shared" si="23"/>
        <v>March</v>
      </c>
      <c r="AK61" s="4">
        <f t="shared" si="24"/>
        <v>12041624</v>
      </c>
      <c r="AL61" s="4"/>
      <c r="AM61" s="3">
        <f t="shared" si="25"/>
        <v>28418.232639999998</v>
      </c>
      <c r="AN61" s="3"/>
      <c r="AQ61" s="3">
        <f t="shared" si="26"/>
        <v>28418.232639999998</v>
      </c>
    </row>
    <row r="62" spans="23:59" x14ac:dyDescent="0.25">
      <c r="W62" t="s">
        <v>262</v>
      </c>
      <c r="Y62" s="6">
        <v>105</v>
      </c>
      <c r="AA62" s="6">
        <v>105</v>
      </c>
      <c r="AB62" s="14"/>
      <c r="AC62" s="18"/>
      <c r="AI62" t="str">
        <f t="shared" si="23"/>
        <v>April</v>
      </c>
      <c r="AK62" s="4">
        <f t="shared" si="24"/>
        <v>13346270</v>
      </c>
      <c r="AL62" s="4"/>
      <c r="AM62" s="3">
        <f t="shared" si="25"/>
        <v>31497.197199999999</v>
      </c>
      <c r="AN62" s="3"/>
      <c r="AQ62" s="3">
        <f t="shared" si="26"/>
        <v>31497.197199999999</v>
      </c>
    </row>
    <row r="63" spans="23:59" x14ac:dyDescent="0.25">
      <c r="AI63" t="str">
        <f t="shared" si="23"/>
        <v>May</v>
      </c>
      <c r="AK63" s="4">
        <f t="shared" si="24"/>
        <v>16704055</v>
      </c>
      <c r="AL63" s="4"/>
      <c r="AM63" s="3">
        <f t="shared" si="25"/>
        <v>39421.569799999997</v>
      </c>
      <c r="AN63" s="3"/>
      <c r="AQ63" s="3">
        <f t="shared" si="26"/>
        <v>39421.569799999997</v>
      </c>
    </row>
    <row r="64" spans="23:59" x14ac:dyDescent="0.25">
      <c r="W64" t="s">
        <v>267</v>
      </c>
      <c r="Y64" s="24">
        <f>Y61/Y62</f>
        <v>49.060952380952379</v>
      </c>
      <c r="AA64" s="24">
        <f>AA61/AA62</f>
        <v>12.725714285714286</v>
      </c>
      <c r="AB64" s="24"/>
      <c r="AI64" t="str">
        <f t="shared" si="23"/>
        <v>June</v>
      </c>
      <c r="AK64" s="4">
        <f t="shared" si="24"/>
        <v>15569117</v>
      </c>
      <c r="AL64" s="4"/>
      <c r="AM64" s="6">
        <f t="shared" si="25"/>
        <v>36743.116119999999</v>
      </c>
      <c r="AN64" s="3"/>
      <c r="AO64" s="18"/>
      <c r="AQ64" s="6">
        <f t="shared" si="26"/>
        <v>36743.116119999999</v>
      </c>
    </row>
    <row r="65" spans="23:43" x14ac:dyDescent="0.25">
      <c r="W65" t="s">
        <v>266</v>
      </c>
      <c r="Y65" s="6">
        <v>42</v>
      </c>
      <c r="Z65" s="3"/>
      <c r="AA65" s="6">
        <v>21</v>
      </c>
      <c r="AB65" s="14"/>
    </row>
    <row r="66" spans="23:43" ht="15.75" thickBot="1" x14ac:dyDescent="0.3">
      <c r="AM66" s="48">
        <f>SUM(AM53:AM65)</f>
        <v>408664.63279999996</v>
      </c>
      <c r="AN66" s="44"/>
      <c r="AO66" s="49">
        <f>SUM(AO53:AO65)</f>
        <v>-38040.934799999995</v>
      </c>
      <c r="AP66" s="4"/>
      <c r="AQ66" s="48">
        <f>SUM(AQ53:AQ65)</f>
        <v>370623.69799999997</v>
      </c>
    </row>
    <row r="67" spans="23:43" ht="15.75" thickTop="1" x14ac:dyDescent="0.25">
      <c r="W67" t="s">
        <v>263</v>
      </c>
      <c r="Y67" s="5">
        <f>Y64*Y65</f>
        <v>2060.56</v>
      </c>
      <c r="Z67" s="5"/>
      <c r="AA67" s="5">
        <f>AA64*AA65</f>
        <v>267.24</v>
      </c>
      <c r="AB67" s="5"/>
      <c r="AC67" s="44">
        <f>Y67+AA67</f>
        <v>2327.8000000000002</v>
      </c>
    </row>
    <row r="68" spans="23:43" x14ac:dyDescent="0.25">
      <c r="W68" t="s">
        <v>264</v>
      </c>
      <c r="Y68" s="22">
        <f>-Y36</f>
        <v>-5151.3999999999996</v>
      </c>
      <c r="AA68" s="22">
        <f>-Y37</f>
        <v>-1336.2</v>
      </c>
      <c r="AB68" s="4"/>
      <c r="AC68" s="22">
        <f>Y68+AA68</f>
        <v>-6487.5999999999995</v>
      </c>
    </row>
    <row r="70" spans="23:43" ht="15.75" thickBot="1" x14ac:dyDescent="0.3">
      <c r="W70" t="s">
        <v>265</v>
      </c>
      <c r="Y70" s="48">
        <f>Y67+Y68</f>
        <v>-3090.8399999999997</v>
      </c>
      <c r="AA70" s="48">
        <f>AA67+AA68</f>
        <v>-1068.96</v>
      </c>
      <c r="AB70" s="44"/>
      <c r="AC70" s="48">
        <f>Y70+AA70</f>
        <v>-4159.7999999999993</v>
      </c>
    </row>
    <row r="71" spans="23:43" ht="15.75" thickTop="1" x14ac:dyDescent="0.25">
      <c r="AA71" s="102"/>
      <c r="AB71" s="44"/>
    </row>
  </sheetData>
  <mergeCells count="9">
    <mergeCell ref="AZ5:BH5"/>
    <mergeCell ref="AK5:AU5"/>
    <mergeCell ref="AH51:AI51"/>
    <mergeCell ref="W11:AD11"/>
    <mergeCell ref="A12:F12"/>
    <mergeCell ref="H12:M12"/>
    <mergeCell ref="BF6:BG6"/>
    <mergeCell ref="BP7:BQ7"/>
    <mergeCell ref="AS7:AT7"/>
  </mergeCells>
  <pageMargins left="0.7" right="0.7" top="0.75" bottom="0.75" header="0.3" footer="0.3"/>
  <ignoredErrors>
    <ignoredError sqref="E27 L27 L37 E3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C166E-208C-447D-85E4-03F4885AB9A6}">
  <dimension ref="A2:L40"/>
  <sheetViews>
    <sheetView showGridLines="0" tabSelected="1" workbookViewId="0">
      <selection activeCell="A23" sqref="A23"/>
    </sheetView>
  </sheetViews>
  <sheetFormatPr defaultRowHeight="15" x14ac:dyDescent="0.25"/>
  <cols>
    <col min="1" max="1" width="27.42578125" customWidth="1"/>
    <col min="2" max="2" width="13.85546875" customWidth="1"/>
    <col min="3" max="3" width="12.85546875" customWidth="1"/>
    <col min="4" max="8" width="11.140625" bestFit="1" customWidth="1"/>
    <col min="9" max="9" width="12.140625" bestFit="1" customWidth="1"/>
    <col min="10" max="10" width="14.85546875" bestFit="1" customWidth="1"/>
    <col min="11" max="12" width="11.140625" bestFit="1" customWidth="1"/>
    <col min="13" max="13" width="10.140625" bestFit="1" customWidth="1"/>
    <col min="14" max="14" width="12.42578125" bestFit="1" customWidth="1"/>
    <col min="16" max="16" width="10.140625" bestFit="1" customWidth="1"/>
    <col min="19" max="19" width="11.140625" bestFit="1" customWidth="1"/>
    <col min="21" max="21" width="11.140625" bestFit="1" customWidth="1"/>
    <col min="23" max="23" width="11.140625" bestFit="1" customWidth="1"/>
  </cols>
  <sheetData>
    <row r="2" spans="3:9" x14ac:dyDescent="0.25">
      <c r="H2" s="25" t="s">
        <v>279</v>
      </c>
    </row>
    <row r="3" spans="3:9" x14ac:dyDescent="0.25">
      <c r="D3" s="113" t="s">
        <v>274</v>
      </c>
      <c r="E3" s="113"/>
      <c r="H3" s="25" t="s">
        <v>172</v>
      </c>
      <c r="I3" s="25" t="s">
        <v>85</v>
      </c>
    </row>
    <row r="4" spans="3:9" x14ac:dyDescent="0.25">
      <c r="C4" s="95" t="s">
        <v>273</v>
      </c>
      <c r="D4" s="53" t="s">
        <v>276</v>
      </c>
      <c r="E4" s="53" t="s">
        <v>277</v>
      </c>
      <c r="F4" s="53" t="s">
        <v>278</v>
      </c>
      <c r="G4" s="53" t="s">
        <v>37</v>
      </c>
      <c r="H4" s="53" t="s">
        <v>280</v>
      </c>
      <c r="I4" s="53" t="s">
        <v>0</v>
      </c>
    </row>
    <row r="6" spans="3:9" x14ac:dyDescent="0.25">
      <c r="C6" s="25">
        <v>1</v>
      </c>
      <c r="D6" s="2">
        <v>2080</v>
      </c>
      <c r="E6" s="2">
        <v>270.75</v>
      </c>
      <c r="F6" s="24">
        <v>18.72</v>
      </c>
      <c r="G6" s="5">
        <f>(D6*F6)+(E6*F6*1.5)</f>
        <v>46540.259999999995</v>
      </c>
      <c r="H6" s="71">
        <v>1</v>
      </c>
      <c r="I6" s="5">
        <f>G6*H6</f>
        <v>46540.259999999995</v>
      </c>
    </row>
    <row r="7" spans="3:9" x14ac:dyDescent="0.25">
      <c r="C7" s="25">
        <v>2</v>
      </c>
      <c r="D7" s="2">
        <v>2071.5</v>
      </c>
      <c r="E7" s="2">
        <v>303.75</v>
      </c>
      <c r="F7" s="2">
        <v>20.39</v>
      </c>
      <c r="G7" s="3">
        <f t="shared" ref="G7:G10" si="0">(D7*F7)+(E7*F7*1.5)</f>
        <v>51528.078750000001</v>
      </c>
      <c r="H7" s="71">
        <v>1</v>
      </c>
      <c r="I7" s="3">
        <f t="shared" ref="I7:I10" si="1">G7*H7</f>
        <v>51528.078750000001</v>
      </c>
    </row>
    <row r="8" spans="3:9" x14ac:dyDescent="0.25">
      <c r="C8" s="25">
        <v>3</v>
      </c>
      <c r="D8" s="2">
        <v>2045</v>
      </c>
      <c r="E8" s="2">
        <v>176.75</v>
      </c>
      <c r="F8" s="2">
        <v>24.18</v>
      </c>
      <c r="G8" s="3">
        <f t="shared" si="0"/>
        <v>55858.822499999995</v>
      </c>
      <c r="H8" s="71">
        <v>1</v>
      </c>
      <c r="I8" s="3">
        <f t="shared" si="1"/>
        <v>55858.822499999995</v>
      </c>
    </row>
    <row r="9" spans="3:9" x14ac:dyDescent="0.25">
      <c r="C9" s="25">
        <v>4</v>
      </c>
      <c r="D9" s="2">
        <v>2080</v>
      </c>
      <c r="E9" s="2">
        <v>5</v>
      </c>
      <c r="F9" s="2">
        <v>31.77</v>
      </c>
      <c r="G9" s="3">
        <f t="shared" si="0"/>
        <v>66319.875</v>
      </c>
      <c r="H9" s="71">
        <v>0.25</v>
      </c>
      <c r="I9" s="3">
        <f t="shared" si="1"/>
        <v>16579.96875</v>
      </c>
    </row>
    <row r="10" spans="3:9" x14ac:dyDescent="0.25">
      <c r="C10" s="25">
        <v>5</v>
      </c>
      <c r="D10" s="2">
        <v>1483.5</v>
      </c>
      <c r="F10" s="2">
        <v>31.87</v>
      </c>
      <c r="G10" s="3">
        <f t="shared" si="0"/>
        <v>47279.145000000004</v>
      </c>
      <c r="H10" s="71">
        <v>0.5</v>
      </c>
      <c r="I10" s="14">
        <f t="shared" si="1"/>
        <v>23639.572500000002</v>
      </c>
    </row>
    <row r="11" spans="3:9" x14ac:dyDescent="0.25">
      <c r="C11" t="s">
        <v>336</v>
      </c>
      <c r="I11" s="94">
        <f>8*50*3</f>
        <v>1200</v>
      </c>
    </row>
    <row r="13" spans="3:9" x14ac:dyDescent="0.25">
      <c r="C13" t="s">
        <v>275</v>
      </c>
      <c r="I13" s="3">
        <f>SUM(I6:I12)</f>
        <v>195346.70250000001</v>
      </c>
    </row>
    <row r="14" spans="3:9" x14ac:dyDescent="0.25">
      <c r="C14" t="s">
        <v>194</v>
      </c>
      <c r="I14" s="22">
        <v>-185276.65582907569</v>
      </c>
    </row>
    <row r="16" spans="3:9" ht="15.75" thickBot="1" x14ac:dyDescent="0.3">
      <c r="C16" t="s">
        <v>271</v>
      </c>
      <c r="I16" s="48">
        <f>I13+I14</f>
        <v>10070.046670924319</v>
      </c>
    </row>
    <row r="17" spans="2:12" ht="15.75" thickTop="1" x14ac:dyDescent="0.25">
      <c r="K17" s="45"/>
    </row>
    <row r="19" spans="2:12" x14ac:dyDescent="0.25">
      <c r="F19" t="s">
        <v>272</v>
      </c>
      <c r="I19" s="5">
        <f>I13</f>
        <v>195346.70250000001</v>
      </c>
      <c r="L19" s="44"/>
    </row>
    <row r="20" spans="2:12" x14ac:dyDescent="0.25">
      <c r="F20" t="s">
        <v>281</v>
      </c>
      <c r="I20" s="97">
        <v>7.6499999999999999E-2</v>
      </c>
    </row>
    <row r="22" spans="2:12" x14ac:dyDescent="0.25">
      <c r="F22" t="s">
        <v>282</v>
      </c>
      <c r="I22" s="4">
        <f>I19*I20</f>
        <v>14944.022741250001</v>
      </c>
      <c r="L22" s="44"/>
    </row>
    <row r="23" spans="2:12" x14ac:dyDescent="0.25">
      <c r="F23" t="s">
        <v>194</v>
      </c>
      <c r="I23" s="6">
        <f>-'Pro forma'!F46</f>
        <v>-14004</v>
      </c>
    </row>
    <row r="24" spans="2:12" x14ac:dyDescent="0.25">
      <c r="L24" s="45"/>
    </row>
    <row r="25" spans="2:12" ht="15.75" thickBot="1" x14ac:dyDescent="0.3">
      <c r="F25" t="s">
        <v>271</v>
      </c>
      <c r="I25" s="49">
        <f>I22+I23</f>
        <v>940.02274125000076</v>
      </c>
    </row>
    <row r="26" spans="2:12" ht="15.75" thickTop="1" x14ac:dyDescent="0.25"/>
    <row r="28" spans="2:12" x14ac:dyDescent="0.25">
      <c r="D28" s="25"/>
      <c r="F28" s="25" t="s">
        <v>226</v>
      </c>
    </row>
    <row r="29" spans="2:12" x14ac:dyDescent="0.25">
      <c r="B29" s="25" t="s">
        <v>223</v>
      </c>
      <c r="C29" s="25"/>
      <c r="D29" s="25" t="s">
        <v>21</v>
      </c>
      <c r="E29" s="25"/>
      <c r="F29" s="25" t="s">
        <v>219</v>
      </c>
      <c r="G29" s="25"/>
    </row>
    <row r="30" spans="2:12" x14ac:dyDescent="0.25">
      <c r="B30" s="25" t="s">
        <v>224</v>
      </c>
      <c r="C30" s="25" t="s">
        <v>218</v>
      </c>
      <c r="D30" s="25" t="s">
        <v>192</v>
      </c>
      <c r="E30" s="25"/>
      <c r="F30" s="25" t="s">
        <v>220</v>
      </c>
      <c r="G30" s="25"/>
    </row>
    <row r="31" spans="2:12" x14ac:dyDescent="0.25">
      <c r="B31" s="53" t="s">
        <v>216</v>
      </c>
      <c r="C31" s="53" t="s">
        <v>183</v>
      </c>
      <c r="D31" s="53" t="s">
        <v>193</v>
      </c>
      <c r="E31" s="53" t="s">
        <v>225</v>
      </c>
      <c r="F31" s="53" t="s">
        <v>221</v>
      </c>
      <c r="G31" s="53" t="s">
        <v>98</v>
      </c>
    </row>
    <row r="33" spans="1:7" x14ac:dyDescent="0.25">
      <c r="A33" t="s">
        <v>217</v>
      </c>
      <c r="B33" s="44">
        <v>2404.62</v>
      </c>
      <c r="C33" s="44">
        <v>28855.439999999999</v>
      </c>
      <c r="D33" s="72">
        <v>-4592.6400000000003</v>
      </c>
      <c r="E33" s="44">
        <f>C33+D33</f>
        <v>24262.799999999999</v>
      </c>
      <c r="F33" s="71">
        <v>1</v>
      </c>
      <c r="G33" s="44">
        <f>E33*F33</f>
        <v>24262.799999999999</v>
      </c>
    </row>
    <row r="34" spans="1:7" x14ac:dyDescent="0.25">
      <c r="A34" t="s">
        <v>229</v>
      </c>
      <c r="B34" s="3">
        <v>1431.84</v>
      </c>
      <c r="C34" s="3">
        <v>17182.079999999998</v>
      </c>
      <c r="D34" s="71"/>
      <c r="E34" s="3">
        <f>C34</f>
        <v>17182.079999999998</v>
      </c>
      <c r="F34" s="71">
        <v>0.25</v>
      </c>
      <c r="G34" s="6">
        <f>E34*F34</f>
        <v>4295.5199999999995</v>
      </c>
    </row>
    <row r="36" spans="1:7" x14ac:dyDescent="0.25">
      <c r="A36" t="s">
        <v>98</v>
      </c>
      <c r="G36" s="3">
        <f>SUM(G33:G35)</f>
        <v>28558.32</v>
      </c>
    </row>
    <row r="37" spans="1:7" x14ac:dyDescent="0.25">
      <c r="A37" t="s">
        <v>194</v>
      </c>
      <c r="G37" s="6">
        <f>-'Pro forma'!F19</f>
        <v>-19003.100000000002</v>
      </c>
    </row>
    <row r="39" spans="1:7" ht="15.75" thickBot="1" x14ac:dyDescent="0.3">
      <c r="A39" t="s">
        <v>222</v>
      </c>
      <c r="G39" s="48">
        <f>G36+G37</f>
        <v>9555.2199999999975</v>
      </c>
    </row>
    <row r="40" spans="1:7" ht="15.75" thickTop="1" x14ac:dyDescent="0.25"/>
  </sheetData>
  <mergeCells count="1">
    <mergeCell ref="D3:E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22DB2-2C96-4513-AC0B-28F8F481F9F2}">
  <dimension ref="A3:R38"/>
  <sheetViews>
    <sheetView topLeftCell="A28" workbookViewId="0">
      <selection activeCell="F19" sqref="F19:F20"/>
    </sheetView>
  </sheetViews>
  <sheetFormatPr defaultRowHeight="15" x14ac:dyDescent="0.25"/>
  <cols>
    <col min="6" max="6" width="15.28515625" customWidth="1"/>
    <col min="7" max="7" width="14.140625" bestFit="1" customWidth="1"/>
    <col min="9" max="9" width="11" bestFit="1" customWidth="1"/>
    <col min="14" max="14" width="10.140625" bestFit="1" customWidth="1"/>
    <col min="15" max="15" width="10.28515625" bestFit="1" customWidth="1"/>
    <col min="16" max="16" width="11" bestFit="1" customWidth="1"/>
  </cols>
  <sheetData>
    <row r="3" spans="1:16" x14ac:dyDescent="0.25">
      <c r="A3" t="s">
        <v>185</v>
      </c>
    </row>
    <row r="7" spans="1:16" x14ac:dyDescent="0.25">
      <c r="A7" s="43" t="s">
        <v>186</v>
      </c>
      <c r="G7" t="s">
        <v>184</v>
      </c>
      <c r="N7" s="1">
        <v>45412</v>
      </c>
    </row>
    <row r="9" spans="1:16" x14ac:dyDescent="0.25">
      <c r="G9" t="s">
        <v>138</v>
      </c>
      <c r="I9">
        <v>53270.28</v>
      </c>
      <c r="N9" t="s">
        <v>138</v>
      </c>
      <c r="P9" t="e">
        <f>#REF!</f>
        <v>#REF!</v>
      </c>
    </row>
    <row r="10" spans="1:16" x14ac:dyDescent="0.25">
      <c r="G10" t="s">
        <v>189</v>
      </c>
      <c r="I10" s="7">
        <f>-G27</f>
        <v>-25000</v>
      </c>
      <c r="N10" t="s">
        <v>190</v>
      </c>
      <c r="P10" s="7">
        <f>-N22-N24-N25-N26-N29</f>
        <v>-76295</v>
      </c>
    </row>
    <row r="12" spans="1:16" x14ac:dyDescent="0.25">
      <c r="I12" s="7">
        <f>I9+I10</f>
        <v>28270.28</v>
      </c>
      <c r="P12" s="7" t="e">
        <f>P9+P10</f>
        <v>#REF!</v>
      </c>
    </row>
    <row r="19" spans="6:18" x14ac:dyDescent="0.25">
      <c r="F19" t="s">
        <v>191</v>
      </c>
      <c r="G19" s="2">
        <v>1971.7</v>
      </c>
      <c r="I19" s="1">
        <v>44756</v>
      </c>
      <c r="J19" t="s">
        <v>7</v>
      </c>
      <c r="N19" s="2">
        <v>514</v>
      </c>
      <c r="O19" s="1">
        <v>45154</v>
      </c>
      <c r="P19" t="s">
        <v>22</v>
      </c>
    </row>
    <row r="20" spans="6:18" x14ac:dyDescent="0.25">
      <c r="F20" t="s">
        <v>191</v>
      </c>
      <c r="G20" s="2">
        <v>1228.5999999999999</v>
      </c>
      <c r="I20" s="1">
        <v>44763</v>
      </c>
      <c r="J20" t="s">
        <v>7</v>
      </c>
      <c r="N20" s="2">
        <v>420</v>
      </c>
      <c r="O20" s="1">
        <v>45154</v>
      </c>
      <c r="P20" t="s">
        <v>22</v>
      </c>
    </row>
    <row r="21" spans="6:18" x14ac:dyDescent="0.25">
      <c r="G21" s="2">
        <v>2093</v>
      </c>
      <c r="I21" s="1">
        <v>44795</v>
      </c>
      <c r="J21" t="s">
        <v>7</v>
      </c>
      <c r="N21" s="2">
        <v>540</v>
      </c>
      <c r="O21" s="1">
        <v>45154</v>
      </c>
      <c r="P21" t="s">
        <v>23</v>
      </c>
    </row>
    <row r="22" spans="6:18" x14ac:dyDescent="0.25">
      <c r="G22" s="2">
        <v>3720.7</v>
      </c>
      <c r="I22" s="1">
        <v>44789</v>
      </c>
      <c r="J22" t="s">
        <v>7</v>
      </c>
      <c r="N22" s="2">
        <v>23380</v>
      </c>
      <c r="O22" s="1">
        <v>45162</v>
      </c>
      <c r="P22" t="s">
        <v>24</v>
      </c>
    </row>
    <row r="23" spans="6:18" x14ac:dyDescent="0.25">
      <c r="G23" s="2">
        <v>536.55999999999995</v>
      </c>
      <c r="I23" s="1">
        <v>44795</v>
      </c>
      <c r="J23" t="s">
        <v>7</v>
      </c>
      <c r="N23" s="2">
        <v>807.09</v>
      </c>
      <c r="O23" s="1">
        <v>45168</v>
      </c>
      <c r="P23" t="s">
        <v>25</v>
      </c>
    </row>
    <row r="24" spans="6:18" x14ac:dyDescent="0.25">
      <c r="G24" s="2">
        <v>1206.6600000000001</v>
      </c>
      <c r="I24" s="1">
        <v>44796</v>
      </c>
      <c r="J24" t="s">
        <v>5</v>
      </c>
      <c r="N24" s="2">
        <v>21496</v>
      </c>
      <c r="O24" s="1">
        <v>45190</v>
      </c>
      <c r="P24" t="s">
        <v>24</v>
      </c>
    </row>
    <row r="25" spans="6:18" x14ac:dyDescent="0.25">
      <c r="G25" s="2">
        <v>3720.7</v>
      </c>
      <c r="I25" s="1">
        <v>44789</v>
      </c>
      <c r="J25" t="s">
        <v>18</v>
      </c>
      <c r="N25" s="2">
        <v>8964</v>
      </c>
      <c r="O25" s="1">
        <v>45190</v>
      </c>
      <c r="P25" t="s">
        <v>24</v>
      </c>
    </row>
    <row r="26" spans="6:18" x14ac:dyDescent="0.25">
      <c r="G26" s="2">
        <v>4365.5200000000004</v>
      </c>
      <c r="I26" s="1">
        <v>44819</v>
      </c>
      <c r="J26" t="s">
        <v>18</v>
      </c>
      <c r="N26" s="2">
        <v>13000</v>
      </c>
      <c r="O26" s="1">
        <v>45190</v>
      </c>
      <c r="P26" t="s">
        <v>24</v>
      </c>
    </row>
    <row r="27" spans="6:18" x14ac:dyDescent="0.25">
      <c r="G27" s="2">
        <v>25000</v>
      </c>
      <c r="I27" s="1">
        <v>44839</v>
      </c>
      <c r="J27" t="s">
        <v>19</v>
      </c>
      <c r="N27" s="2">
        <v>907.18</v>
      </c>
      <c r="O27" s="1">
        <v>45244</v>
      </c>
      <c r="P27" t="s">
        <v>26</v>
      </c>
    </row>
    <row r="28" spans="6:18" x14ac:dyDescent="0.25">
      <c r="G28" s="2">
        <v>797.05</v>
      </c>
      <c r="I28" s="1">
        <v>44845</v>
      </c>
      <c r="J28" t="s">
        <v>187</v>
      </c>
      <c r="N28" s="2">
        <v>580</v>
      </c>
      <c r="O28" s="1">
        <v>45244</v>
      </c>
      <c r="P28" t="s">
        <v>27</v>
      </c>
    </row>
    <row r="29" spans="6:18" x14ac:dyDescent="0.25">
      <c r="G29" s="2">
        <v>3021.69</v>
      </c>
      <c r="I29" s="1">
        <v>44858</v>
      </c>
      <c r="J29" t="s">
        <v>4</v>
      </c>
      <c r="N29" s="2">
        <v>9455</v>
      </c>
      <c r="O29" s="1">
        <v>45259</v>
      </c>
      <c r="P29" t="s">
        <v>28</v>
      </c>
      <c r="R29" t="s">
        <v>44</v>
      </c>
    </row>
    <row r="30" spans="6:18" x14ac:dyDescent="0.25">
      <c r="G30" s="2">
        <v>685.92</v>
      </c>
      <c r="I30" s="1">
        <v>44866</v>
      </c>
      <c r="J30" t="s">
        <v>20</v>
      </c>
      <c r="N30" s="2">
        <v>1000</v>
      </c>
      <c r="O30" s="1">
        <v>45272</v>
      </c>
      <c r="P30" t="s">
        <v>29</v>
      </c>
    </row>
    <row r="31" spans="6:18" x14ac:dyDescent="0.25">
      <c r="G31" s="2">
        <v>846.54</v>
      </c>
      <c r="I31" s="1">
        <v>44896</v>
      </c>
      <c r="J31" t="s">
        <v>5</v>
      </c>
      <c r="N31" s="2">
        <v>939.6</v>
      </c>
      <c r="O31" s="1">
        <v>45310</v>
      </c>
      <c r="P31" t="s">
        <v>30</v>
      </c>
    </row>
    <row r="32" spans="6:18" x14ac:dyDescent="0.25">
      <c r="G32" s="2">
        <v>876.8</v>
      </c>
      <c r="I32" s="1">
        <v>44917</v>
      </c>
      <c r="J32" t="s">
        <v>5</v>
      </c>
      <c r="N32" s="2">
        <v>606</v>
      </c>
      <c r="O32" s="1">
        <v>45375</v>
      </c>
      <c r="P32" t="s">
        <v>22</v>
      </c>
    </row>
    <row r="33" spans="7:16" x14ac:dyDescent="0.25">
      <c r="G33" s="2">
        <v>5591.18</v>
      </c>
      <c r="I33" s="1">
        <v>44971</v>
      </c>
      <c r="J33" t="s">
        <v>6</v>
      </c>
      <c r="N33" s="2">
        <v>545.55999999999995</v>
      </c>
      <c r="O33" s="1">
        <v>45378</v>
      </c>
      <c r="P33" t="s">
        <v>7</v>
      </c>
    </row>
    <row r="34" spans="7:16" x14ac:dyDescent="0.25">
      <c r="G34" s="2">
        <v>1264.96</v>
      </c>
      <c r="I34" s="1">
        <v>44971</v>
      </c>
      <c r="J34" t="s">
        <v>5</v>
      </c>
      <c r="N34" s="2">
        <v>1635.59</v>
      </c>
      <c r="O34" s="1">
        <v>45379</v>
      </c>
      <c r="P34" t="s">
        <v>31</v>
      </c>
    </row>
    <row r="35" spans="7:16" x14ac:dyDescent="0.25">
      <c r="G35" s="2">
        <v>512.22</v>
      </c>
      <c r="I35" s="1">
        <v>44981</v>
      </c>
      <c r="J35" t="s">
        <v>7</v>
      </c>
      <c r="N35" s="2">
        <v>1021.25</v>
      </c>
      <c r="O35" s="1">
        <v>45392</v>
      </c>
      <c r="P35" t="s">
        <v>32</v>
      </c>
    </row>
    <row r="36" spans="7:16" x14ac:dyDescent="0.25">
      <c r="G36" s="2">
        <v>764.56</v>
      </c>
      <c r="I36" s="1">
        <v>45014</v>
      </c>
      <c r="J36" t="s">
        <v>8</v>
      </c>
      <c r="N36" s="2">
        <v>900</v>
      </c>
      <c r="O36" s="1">
        <v>45404</v>
      </c>
      <c r="P36" t="s">
        <v>33</v>
      </c>
    </row>
    <row r="37" spans="7:16" x14ac:dyDescent="0.25">
      <c r="G37" s="2">
        <v>1135</v>
      </c>
      <c r="I37" s="1">
        <v>45069</v>
      </c>
      <c r="J37" t="s">
        <v>9</v>
      </c>
      <c r="N37" s="2">
        <v>1253.1300000000001</v>
      </c>
      <c r="O37" s="1">
        <v>45406</v>
      </c>
      <c r="P37" t="s">
        <v>9</v>
      </c>
    </row>
    <row r="38" spans="7:16" x14ac:dyDescent="0.25">
      <c r="G38" s="2">
        <v>606.38</v>
      </c>
      <c r="I38" s="1">
        <v>45091</v>
      </c>
      <c r="J38" t="s">
        <v>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7828D-3AAC-481F-A1F6-236398C84B3E}">
  <dimension ref="A3:AA92"/>
  <sheetViews>
    <sheetView showGridLines="0" workbookViewId="0">
      <selection activeCell="K17" sqref="K17"/>
    </sheetView>
  </sheetViews>
  <sheetFormatPr defaultRowHeight="15" x14ac:dyDescent="0.25"/>
  <cols>
    <col min="1" max="1" width="10.140625" bestFit="1" customWidth="1"/>
    <col min="4" max="4" width="10.140625" bestFit="1" customWidth="1"/>
    <col min="5" max="5" width="9.140625" customWidth="1"/>
    <col min="6" max="6" width="13.85546875" bestFit="1" customWidth="1"/>
    <col min="7" max="7" width="13.85546875" customWidth="1"/>
    <col min="8" max="8" width="11.7109375" bestFit="1" customWidth="1"/>
    <col min="9" max="9" width="12.140625" bestFit="1" customWidth="1"/>
    <col min="10" max="10" width="12.85546875" customWidth="1"/>
    <col min="11" max="11" width="11.85546875" customWidth="1"/>
    <col min="18" max="18" width="12.140625" bestFit="1" customWidth="1"/>
    <col min="19" max="19" width="13.85546875" bestFit="1" customWidth="1"/>
    <col min="20" max="20" width="11.85546875" bestFit="1" customWidth="1"/>
    <col min="21" max="21" width="13.85546875" bestFit="1" customWidth="1"/>
    <col min="22" max="23" width="11.140625" bestFit="1" customWidth="1"/>
    <col min="25" max="25" width="13.5703125" bestFit="1" customWidth="1"/>
    <col min="27" max="27" width="13.5703125" bestFit="1" customWidth="1"/>
  </cols>
  <sheetData>
    <row r="3" spans="2:27" x14ac:dyDescent="0.25">
      <c r="G3" s="25" t="s">
        <v>144</v>
      </c>
    </row>
    <row r="4" spans="2:27" x14ac:dyDescent="0.25">
      <c r="G4" s="25" t="s">
        <v>293</v>
      </c>
      <c r="H4" s="25" t="s">
        <v>296</v>
      </c>
    </row>
    <row r="5" spans="2:27" x14ac:dyDescent="0.25">
      <c r="F5" s="25" t="s">
        <v>132</v>
      </c>
      <c r="G5" s="25" t="s">
        <v>294</v>
      </c>
      <c r="H5" s="25" t="s">
        <v>132</v>
      </c>
    </row>
    <row r="6" spans="2:27" x14ac:dyDescent="0.25">
      <c r="F6" s="25" t="s">
        <v>133</v>
      </c>
      <c r="G6" s="25" t="s">
        <v>295</v>
      </c>
      <c r="H6" s="25" t="s">
        <v>302</v>
      </c>
      <c r="I6" s="25" t="s">
        <v>134</v>
      </c>
      <c r="K6" s="25" t="s">
        <v>85</v>
      </c>
      <c r="R6" t="s">
        <v>139</v>
      </c>
      <c r="S6" t="s">
        <v>134</v>
      </c>
      <c r="T6" t="s">
        <v>2</v>
      </c>
      <c r="U6" t="s">
        <v>134</v>
      </c>
    </row>
    <row r="7" spans="2:27" x14ac:dyDescent="0.25">
      <c r="E7" s="25" t="s">
        <v>299</v>
      </c>
      <c r="F7" s="25" t="s">
        <v>142</v>
      </c>
      <c r="G7" s="25" t="s">
        <v>298</v>
      </c>
      <c r="H7" s="25" t="s">
        <v>303</v>
      </c>
      <c r="I7" s="25" t="s">
        <v>2</v>
      </c>
      <c r="J7" s="25" t="s">
        <v>141</v>
      </c>
      <c r="K7" s="25" t="s">
        <v>2</v>
      </c>
      <c r="R7" t="s">
        <v>140</v>
      </c>
      <c r="S7" t="s">
        <v>2</v>
      </c>
      <c r="T7" t="s">
        <v>138</v>
      </c>
      <c r="U7" t="s">
        <v>2</v>
      </c>
      <c r="Y7" t="s">
        <v>137</v>
      </c>
      <c r="AA7" t="s">
        <v>137</v>
      </c>
    </row>
    <row r="8" spans="2:27" x14ac:dyDescent="0.25">
      <c r="B8" s="95" t="s">
        <v>108</v>
      </c>
      <c r="E8" s="53" t="s">
        <v>300</v>
      </c>
      <c r="F8" s="53" t="s">
        <v>143</v>
      </c>
      <c r="G8" s="53" t="s">
        <v>297</v>
      </c>
      <c r="H8" s="53" t="s">
        <v>143</v>
      </c>
      <c r="I8" s="53" t="s">
        <v>135</v>
      </c>
      <c r="J8" s="53" t="s">
        <v>135</v>
      </c>
      <c r="K8" s="53" t="s">
        <v>138</v>
      </c>
      <c r="R8" t="s">
        <v>138</v>
      </c>
      <c r="S8" t="s">
        <v>136</v>
      </c>
      <c r="T8" s="1">
        <v>45473</v>
      </c>
      <c r="U8" t="s">
        <v>135</v>
      </c>
      <c r="Y8" t="s">
        <v>136</v>
      </c>
      <c r="AA8" t="s">
        <v>135</v>
      </c>
    </row>
    <row r="9" spans="2:27" x14ac:dyDescent="0.25">
      <c r="F9" s="25"/>
      <c r="G9" s="25"/>
      <c r="H9" s="25"/>
      <c r="I9" s="25"/>
      <c r="J9" s="25"/>
      <c r="K9" s="25"/>
      <c r="T9" s="1"/>
    </row>
    <row r="10" spans="2:27" x14ac:dyDescent="0.25">
      <c r="B10">
        <v>1996</v>
      </c>
      <c r="C10" t="s">
        <v>109</v>
      </c>
      <c r="E10">
        <v>38</v>
      </c>
      <c r="F10" s="5">
        <v>2882702.04</v>
      </c>
      <c r="G10" s="5">
        <v>-1500000</v>
      </c>
      <c r="H10" s="5">
        <f>F10+G10</f>
        <v>1382702.04</v>
      </c>
      <c r="I10" s="44">
        <f>U10</f>
        <v>2092272.58</v>
      </c>
      <c r="J10" s="44">
        <f>F10-I10</f>
        <v>790429.46</v>
      </c>
      <c r="K10" s="44">
        <f>H10/E10</f>
        <v>36386.895789473689</v>
      </c>
      <c r="R10" s="45">
        <f>F10/E10</f>
        <v>75860.58</v>
      </c>
      <c r="S10" s="5">
        <v>2016412</v>
      </c>
      <c r="T10" s="44">
        <f>F10/E10</f>
        <v>75860.58</v>
      </c>
      <c r="U10" s="44">
        <f>S10+T10</f>
        <v>2092272.58</v>
      </c>
      <c r="Y10" s="44">
        <f t="shared" ref="Y10:Y33" si="0">F10-S10</f>
        <v>866290.04</v>
      </c>
      <c r="AA10" s="44">
        <f>Y10-T10</f>
        <v>790429.46000000008</v>
      </c>
    </row>
    <row r="11" spans="2:27" x14ac:dyDescent="0.25">
      <c r="B11">
        <v>1998</v>
      </c>
      <c r="C11" t="s">
        <v>110</v>
      </c>
      <c r="E11">
        <v>38</v>
      </c>
      <c r="F11" s="3">
        <v>89511.62</v>
      </c>
      <c r="G11" s="3"/>
      <c r="H11" s="3">
        <f t="shared" ref="H11:H33" si="1">F11+G11</f>
        <v>89511.62</v>
      </c>
      <c r="I11" s="3">
        <f t="shared" ref="I11:I33" si="2">U11</f>
        <v>63599.568947368418</v>
      </c>
      <c r="J11" s="3">
        <f t="shared" ref="J11:J33" si="3">F11-I11</f>
        <v>25912.051052631577</v>
      </c>
      <c r="K11" s="3">
        <f>H11/E11</f>
        <v>2355.568947368421</v>
      </c>
      <c r="R11" s="2">
        <f>F11/E11</f>
        <v>2355.568947368421</v>
      </c>
      <c r="S11" s="3">
        <v>61244</v>
      </c>
      <c r="T11" s="3">
        <f>F11/E11</f>
        <v>2355.568947368421</v>
      </c>
      <c r="U11" s="3">
        <f t="shared" ref="U11:U33" si="4">S11+T11</f>
        <v>63599.568947368418</v>
      </c>
      <c r="Y11" s="3">
        <f t="shared" si="0"/>
        <v>28267.619999999995</v>
      </c>
      <c r="AA11" s="3">
        <f>Y11-T11</f>
        <v>25912.051052631574</v>
      </c>
    </row>
    <row r="12" spans="2:27" x14ac:dyDescent="0.25">
      <c r="B12">
        <v>2002</v>
      </c>
      <c r="C12" t="s">
        <v>111</v>
      </c>
      <c r="E12">
        <v>38</v>
      </c>
      <c r="F12" s="3">
        <v>32000</v>
      </c>
      <c r="G12" s="3"/>
      <c r="H12" s="3">
        <f t="shared" si="1"/>
        <v>32000</v>
      </c>
      <c r="I12" s="3">
        <f t="shared" si="2"/>
        <v>18526.105263157893</v>
      </c>
      <c r="J12" s="3">
        <f t="shared" si="3"/>
        <v>13473.894736842107</v>
      </c>
      <c r="K12" s="3">
        <f t="shared" ref="K12:K15" si="5">H12/E12</f>
        <v>842.10526315789468</v>
      </c>
      <c r="R12" s="2">
        <f>F12/E12</f>
        <v>842.10526315789468</v>
      </c>
      <c r="S12" s="3">
        <v>17684</v>
      </c>
      <c r="T12" s="3">
        <f>F12/E12</f>
        <v>842.10526315789468</v>
      </c>
      <c r="U12" s="3">
        <f t="shared" si="4"/>
        <v>18526.105263157893</v>
      </c>
      <c r="Y12" s="3">
        <f t="shared" si="0"/>
        <v>14316</v>
      </c>
      <c r="AA12" s="3">
        <f>Y12-T12</f>
        <v>13473.894736842105</v>
      </c>
    </row>
    <row r="13" spans="2:27" x14ac:dyDescent="0.25">
      <c r="B13">
        <v>2005</v>
      </c>
      <c r="C13" t="s">
        <v>112</v>
      </c>
      <c r="E13">
        <v>38</v>
      </c>
      <c r="F13" s="3">
        <v>487854.72</v>
      </c>
      <c r="G13" s="3">
        <v>-100000</v>
      </c>
      <c r="H13" s="3">
        <f t="shared" si="1"/>
        <v>387854.72</v>
      </c>
      <c r="I13" s="3">
        <f t="shared" si="2"/>
        <v>244996.28210526315</v>
      </c>
      <c r="J13" s="3">
        <f t="shared" si="3"/>
        <v>242858.43789473682</v>
      </c>
      <c r="K13" s="3">
        <f>H13/E13</f>
        <v>10206.703157894735</v>
      </c>
      <c r="R13" s="2">
        <f>F13/E13</f>
        <v>12838.282105263157</v>
      </c>
      <c r="S13" s="3">
        <v>232158</v>
      </c>
      <c r="T13" s="3">
        <f>F13/E13</f>
        <v>12838.282105263157</v>
      </c>
      <c r="U13" s="3">
        <f t="shared" si="4"/>
        <v>244996.28210526315</v>
      </c>
      <c r="Y13" s="3">
        <f t="shared" si="0"/>
        <v>255696.71999999997</v>
      </c>
      <c r="AA13" s="3">
        <f>Y13-T13</f>
        <v>242858.43789473682</v>
      </c>
    </row>
    <row r="14" spans="2:27" x14ac:dyDescent="0.25">
      <c r="B14">
        <v>2006</v>
      </c>
      <c r="C14" t="s">
        <v>113</v>
      </c>
      <c r="E14">
        <v>38</v>
      </c>
      <c r="F14" s="3">
        <v>209847.39</v>
      </c>
      <c r="G14" s="3"/>
      <c r="H14" s="3">
        <f t="shared" si="1"/>
        <v>209847.39</v>
      </c>
      <c r="I14" s="3">
        <f t="shared" si="2"/>
        <v>100317.29973684211</v>
      </c>
      <c r="J14" s="3">
        <f t="shared" si="3"/>
        <v>109530.09026315791</v>
      </c>
      <c r="K14" s="3">
        <f>H14/E14</f>
        <v>5522.2997368421056</v>
      </c>
      <c r="R14" s="2">
        <f>F14/E14</f>
        <v>5522.2997368421056</v>
      </c>
      <c r="S14" s="3">
        <v>94795</v>
      </c>
      <c r="T14" s="3">
        <f>F14/E14</f>
        <v>5522.2997368421056</v>
      </c>
      <c r="U14" s="3">
        <f t="shared" si="4"/>
        <v>100317.29973684211</v>
      </c>
      <c r="Y14" s="3">
        <f t="shared" si="0"/>
        <v>115052.39000000001</v>
      </c>
      <c r="AA14" s="3">
        <f>Y14-T14</f>
        <v>109530.09026315791</v>
      </c>
    </row>
    <row r="15" spans="2:27" x14ac:dyDescent="0.25">
      <c r="B15">
        <v>2006</v>
      </c>
      <c r="C15" t="s">
        <v>114</v>
      </c>
      <c r="E15">
        <v>10</v>
      </c>
      <c r="F15" s="3">
        <v>7824.69</v>
      </c>
      <c r="G15" s="3"/>
      <c r="H15" s="3">
        <f t="shared" si="1"/>
        <v>7824.69</v>
      </c>
      <c r="I15" s="3">
        <f t="shared" si="2"/>
        <v>7825</v>
      </c>
      <c r="J15" s="3">
        <f t="shared" si="3"/>
        <v>-0.31000000000040018</v>
      </c>
      <c r="K15" s="3">
        <f t="shared" si="5"/>
        <v>782.46899999999994</v>
      </c>
      <c r="R15" s="2"/>
      <c r="S15" s="3">
        <v>7825</v>
      </c>
      <c r="T15" s="3"/>
      <c r="U15" s="3">
        <f t="shared" si="4"/>
        <v>7825</v>
      </c>
      <c r="Y15" s="3">
        <f t="shared" si="0"/>
        <v>-0.31000000000040018</v>
      </c>
      <c r="AA15" s="3"/>
    </row>
    <row r="16" spans="2:27" x14ac:dyDescent="0.25">
      <c r="B16">
        <v>2010</v>
      </c>
      <c r="C16" t="s">
        <v>115</v>
      </c>
      <c r="E16">
        <v>15</v>
      </c>
      <c r="F16" s="3">
        <v>14115</v>
      </c>
      <c r="G16" s="3"/>
      <c r="H16" s="3">
        <f t="shared" si="1"/>
        <v>14115</v>
      </c>
      <c r="I16" s="3">
        <f t="shared" si="2"/>
        <v>13409</v>
      </c>
      <c r="J16" s="3">
        <f t="shared" si="3"/>
        <v>706</v>
      </c>
      <c r="K16" s="3">
        <f>J16</f>
        <v>706</v>
      </c>
      <c r="R16" s="2">
        <f>F16/E16</f>
        <v>941</v>
      </c>
      <c r="S16" s="3">
        <v>12468</v>
      </c>
      <c r="T16" s="3">
        <f>F16/E16</f>
        <v>941</v>
      </c>
      <c r="U16" s="3">
        <f t="shared" si="4"/>
        <v>13409</v>
      </c>
      <c r="Y16" s="3">
        <f t="shared" si="0"/>
        <v>1647</v>
      </c>
      <c r="AA16" s="3">
        <f t="shared" ref="AA16:AA33" si="6">Y16-T16</f>
        <v>706</v>
      </c>
    </row>
    <row r="17" spans="2:27" x14ac:dyDescent="0.25">
      <c r="B17">
        <v>2011</v>
      </c>
      <c r="C17" t="s">
        <v>116</v>
      </c>
      <c r="E17">
        <v>10</v>
      </c>
      <c r="F17" s="3">
        <v>1668.86</v>
      </c>
      <c r="G17" s="3"/>
      <c r="H17" s="3">
        <f t="shared" si="1"/>
        <v>1668.86</v>
      </c>
      <c r="I17" s="3">
        <f t="shared" si="2"/>
        <v>1669</v>
      </c>
      <c r="J17" s="3">
        <f t="shared" si="3"/>
        <v>-0.14000000000010004</v>
      </c>
      <c r="K17" s="3"/>
      <c r="R17" s="2"/>
      <c r="S17" s="3">
        <v>1669</v>
      </c>
      <c r="T17" s="3"/>
      <c r="U17" s="3">
        <f t="shared" si="4"/>
        <v>1669</v>
      </c>
      <c r="Y17" s="3">
        <f t="shared" si="0"/>
        <v>-0.14000000000010004</v>
      </c>
      <c r="AA17" s="3">
        <f t="shared" si="6"/>
        <v>-0.14000000000010004</v>
      </c>
    </row>
    <row r="18" spans="2:27" x14ac:dyDescent="0.25">
      <c r="B18">
        <v>2012</v>
      </c>
      <c r="C18" t="s">
        <v>117</v>
      </c>
      <c r="E18">
        <v>10</v>
      </c>
      <c r="F18" s="3">
        <v>56249</v>
      </c>
      <c r="G18" s="3"/>
      <c r="H18" s="3">
        <f t="shared" si="1"/>
        <v>56249</v>
      </c>
      <c r="I18" s="3">
        <f t="shared" si="2"/>
        <v>56249</v>
      </c>
      <c r="J18" s="3">
        <f t="shared" si="3"/>
        <v>0</v>
      </c>
      <c r="K18" s="3"/>
      <c r="R18" s="2"/>
      <c r="S18" s="3">
        <v>56249</v>
      </c>
      <c r="T18" s="3"/>
      <c r="U18" s="3">
        <f t="shared" si="4"/>
        <v>56249</v>
      </c>
      <c r="Y18" s="3">
        <f t="shared" si="0"/>
        <v>0</v>
      </c>
      <c r="AA18" s="3">
        <f t="shared" si="6"/>
        <v>0</v>
      </c>
    </row>
    <row r="19" spans="2:27" x14ac:dyDescent="0.25">
      <c r="B19">
        <v>2013</v>
      </c>
      <c r="C19" t="s">
        <v>118</v>
      </c>
      <c r="E19">
        <v>10</v>
      </c>
      <c r="F19" s="3">
        <v>6866.65</v>
      </c>
      <c r="G19" s="3"/>
      <c r="H19" s="3">
        <f t="shared" si="1"/>
        <v>6866.65</v>
      </c>
      <c r="I19" s="3">
        <f t="shared" si="2"/>
        <v>6867</v>
      </c>
      <c r="J19" s="3">
        <f t="shared" si="3"/>
        <v>-0.3500000000003638</v>
      </c>
      <c r="K19" s="3"/>
      <c r="R19" s="2">
        <v>400.49</v>
      </c>
      <c r="S19" s="3">
        <v>6867</v>
      </c>
      <c r="T19" s="3"/>
      <c r="U19" s="3">
        <f t="shared" si="4"/>
        <v>6867</v>
      </c>
      <c r="Y19" s="3">
        <f t="shared" si="0"/>
        <v>-0.3500000000003638</v>
      </c>
      <c r="AA19" s="3">
        <f t="shared" si="6"/>
        <v>-0.3500000000003638</v>
      </c>
    </row>
    <row r="20" spans="2:27" x14ac:dyDescent="0.25">
      <c r="B20">
        <v>2014</v>
      </c>
      <c r="C20" t="s">
        <v>116</v>
      </c>
      <c r="E20">
        <v>10</v>
      </c>
      <c r="F20" s="3">
        <v>1650</v>
      </c>
      <c r="G20" s="3"/>
      <c r="H20" s="3">
        <f t="shared" si="1"/>
        <v>1650</v>
      </c>
      <c r="I20" s="3">
        <f t="shared" si="2"/>
        <v>1650</v>
      </c>
      <c r="J20" s="3">
        <f t="shared" si="3"/>
        <v>0</v>
      </c>
      <c r="K20" s="3"/>
      <c r="R20" s="2">
        <f t="shared" ref="R20:R32" si="7">F20/E20</f>
        <v>165</v>
      </c>
      <c r="S20" s="3">
        <v>1554</v>
      </c>
      <c r="T20" s="3">
        <f>Y20</f>
        <v>96</v>
      </c>
      <c r="U20" s="3">
        <f t="shared" si="4"/>
        <v>1650</v>
      </c>
      <c r="Y20" s="3">
        <f t="shared" si="0"/>
        <v>96</v>
      </c>
      <c r="AA20" s="3">
        <f t="shared" si="6"/>
        <v>0</v>
      </c>
    </row>
    <row r="21" spans="2:27" x14ac:dyDescent="0.25">
      <c r="B21">
        <v>2013</v>
      </c>
      <c r="C21" t="s">
        <v>119</v>
      </c>
      <c r="E21">
        <v>10</v>
      </c>
      <c r="F21" s="3">
        <v>7984.54</v>
      </c>
      <c r="G21" s="3"/>
      <c r="H21" s="3">
        <f t="shared" si="1"/>
        <v>7984.54</v>
      </c>
      <c r="I21" s="3">
        <f t="shared" si="2"/>
        <v>7784.4539999999997</v>
      </c>
      <c r="J21" s="3">
        <f t="shared" si="3"/>
        <v>200.08600000000024</v>
      </c>
      <c r="K21" s="3">
        <f>J21</f>
        <v>200.08600000000024</v>
      </c>
      <c r="R21" s="2">
        <f t="shared" si="7"/>
        <v>798.45399999999995</v>
      </c>
      <c r="S21" s="3">
        <v>6986</v>
      </c>
      <c r="T21" s="3">
        <f>F21/E21</f>
        <v>798.45399999999995</v>
      </c>
      <c r="U21" s="3">
        <f t="shared" si="4"/>
        <v>7784.4539999999997</v>
      </c>
      <c r="Y21" s="3">
        <f t="shared" si="0"/>
        <v>998.54</v>
      </c>
      <c r="AA21" s="3">
        <f t="shared" si="6"/>
        <v>200.08600000000001</v>
      </c>
    </row>
    <row r="22" spans="2:27" x14ac:dyDescent="0.25">
      <c r="B22">
        <v>2014</v>
      </c>
      <c r="C22" t="s">
        <v>120</v>
      </c>
      <c r="E22">
        <v>10</v>
      </c>
      <c r="F22" s="3">
        <v>6369.6</v>
      </c>
      <c r="G22" s="3"/>
      <c r="H22" s="3">
        <f t="shared" si="1"/>
        <v>6369.6</v>
      </c>
      <c r="I22" s="3">
        <f t="shared" si="2"/>
        <v>6370</v>
      </c>
      <c r="J22" s="3">
        <f t="shared" si="3"/>
        <v>-0.3999999999996362</v>
      </c>
      <c r="K22" s="3"/>
      <c r="R22" s="2">
        <f t="shared" si="7"/>
        <v>636.96</v>
      </c>
      <c r="S22" s="3">
        <v>5839</v>
      </c>
      <c r="T22" s="3">
        <v>531</v>
      </c>
      <c r="U22" s="3">
        <f t="shared" si="4"/>
        <v>6370</v>
      </c>
      <c r="Y22" s="3">
        <f t="shared" si="0"/>
        <v>530.60000000000036</v>
      </c>
      <c r="AA22" s="3">
        <f t="shared" si="6"/>
        <v>-0.3999999999996362</v>
      </c>
    </row>
    <row r="23" spans="2:27" x14ac:dyDescent="0.25">
      <c r="B23">
        <v>2014</v>
      </c>
      <c r="C23" t="s">
        <v>121</v>
      </c>
      <c r="E23">
        <v>10</v>
      </c>
      <c r="F23" s="3">
        <v>1829.41</v>
      </c>
      <c r="G23" s="3"/>
      <c r="H23" s="3">
        <f t="shared" si="1"/>
        <v>1829.41</v>
      </c>
      <c r="I23" s="3">
        <f t="shared" si="2"/>
        <v>1798.941</v>
      </c>
      <c r="J23" s="3">
        <f t="shared" si="3"/>
        <v>30.469000000000051</v>
      </c>
      <c r="K23" s="3">
        <f>J23</f>
        <v>30.469000000000051</v>
      </c>
      <c r="R23" s="2">
        <f t="shared" si="7"/>
        <v>182.941</v>
      </c>
      <c r="S23" s="3">
        <v>1616</v>
      </c>
      <c r="T23" s="3">
        <f t="shared" ref="T23:T33" si="8">F23/E23</f>
        <v>182.941</v>
      </c>
      <c r="U23" s="3">
        <f t="shared" si="4"/>
        <v>1798.941</v>
      </c>
      <c r="Y23" s="3">
        <f t="shared" si="0"/>
        <v>213.41000000000008</v>
      </c>
      <c r="AA23" s="3">
        <f t="shared" si="6"/>
        <v>30.469000000000079</v>
      </c>
    </row>
    <row r="24" spans="2:27" x14ac:dyDescent="0.25">
      <c r="B24">
        <v>2014</v>
      </c>
      <c r="C24" t="s">
        <v>122</v>
      </c>
      <c r="E24">
        <v>10</v>
      </c>
      <c r="F24" s="3">
        <v>1098.42</v>
      </c>
      <c r="G24" s="3"/>
      <c r="H24" s="3">
        <f t="shared" si="1"/>
        <v>1098.42</v>
      </c>
      <c r="I24" s="3">
        <f t="shared" si="2"/>
        <v>1052.8420000000001</v>
      </c>
      <c r="J24" s="3">
        <f t="shared" si="3"/>
        <v>45.577999999999975</v>
      </c>
      <c r="K24" s="3">
        <f>J24</f>
        <v>45.577999999999975</v>
      </c>
      <c r="R24" s="2">
        <f t="shared" si="7"/>
        <v>109.84200000000001</v>
      </c>
      <c r="S24" s="3">
        <v>943</v>
      </c>
      <c r="T24" s="3">
        <f t="shared" si="8"/>
        <v>109.84200000000001</v>
      </c>
      <c r="U24" s="3">
        <f t="shared" si="4"/>
        <v>1052.8420000000001</v>
      </c>
      <c r="Y24" s="3">
        <f t="shared" si="0"/>
        <v>155.42000000000007</v>
      </c>
      <c r="AA24" s="3">
        <f t="shared" si="6"/>
        <v>45.57800000000006</v>
      </c>
    </row>
    <row r="25" spans="2:27" x14ac:dyDescent="0.25">
      <c r="B25">
        <v>2014</v>
      </c>
      <c r="C25" t="s">
        <v>123</v>
      </c>
      <c r="E25">
        <v>10</v>
      </c>
      <c r="F25" s="3">
        <v>3955</v>
      </c>
      <c r="G25" s="3"/>
      <c r="H25" s="3">
        <f t="shared" si="1"/>
        <v>3955</v>
      </c>
      <c r="I25" s="3">
        <f t="shared" si="2"/>
        <v>3790.5</v>
      </c>
      <c r="J25" s="3">
        <f t="shared" si="3"/>
        <v>164.5</v>
      </c>
      <c r="K25" s="3">
        <f>J25</f>
        <v>164.5</v>
      </c>
      <c r="R25" s="2">
        <f t="shared" si="7"/>
        <v>395.5</v>
      </c>
      <c r="S25" s="3">
        <v>3395</v>
      </c>
      <c r="T25" s="3">
        <f t="shared" si="8"/>
        <v>395.5</v>
      </c>
      <c r="U25" s="3">
        <f t="shared" si="4"/>
        <v>3790.5</v>
      </c>
      <c r="Y25" s="3">
        <f t="shared" si="0"/>
        <v>560</v>
      </c>
      <c r="AA25" s="3">
        <f t="shared" si="6"/>
        <v>164.5</v>
      </c>
    </row>
    <row r="26" spans="2:27" x14ac:dyDescent="0.25">
      <c r="B26">
        <v>2015</v>
      </c>
      <c r="C26" t="s">
        <v>124</v>
      </c>
      <c r="E26">
        <v>10</v>
      </c>
      <c r="F26" s="3">
        <v>6124</v>
      </c>
      <c r="G26" s="3"/>
      <c r="H26" s="3">
        <f t="shared" si="1"/>
        <v>6124</v>
      </c>
      <c r="I26" s="3">
        <f t="shared" si="2"/>
        <v>5511.4</v>
      </c>
      <c r="J26" s="3">
        <f t="shared" si="3"/>
        <v>612.60000000000036</v>
      </c>
      <c r="K26" s="3">
        <f>J26</f>
        <v>612.60000000000036</v>
      </c>
      <c r="R26" s="2">
        <f t="shared" si="7"/>
        <v>612.4</v>
      </c>
      <c r="S26" s="3">
        <v>4899</v>
      </c>
      <c r="T26" s="3">
        <f t="shared" si="8"/>
        <v>612.4</v>
      </c>
      <c r="U26" s="3">
        <f t="shared" si="4"/>
        <v>5511.4</v>
      </c>
      <c r="Y26" s="3">
        <f t="shared" si="0"/>
        <v>1225</v>
      </c>
      <c r="AA26" s="3">
        <f t="shared" si="6"/>
        <v>612.6</v>
      </c>
    </row>
    <row r="27" spans="2:27" x14ac:dyDescent="0.25">
      <c r="B27">
        <v>2014</v>
      </c>
      <c r="C27" t="s">
        <v>125</v>
      </c>
      <c r="E27">
        <v>10</v>
      </c>
      <c r="F27" s="3">
        <v>5800</v>
      </c>
      <c r="G27" s="3"/>
      <c r="H27" s="3">
        <f t="shared" si="1"/>
        <v>5800</v>
      </c>
      <c r="I27" s="3">
        <f t="shared" si="2"/>
        <v>5510</v>
      </c>
      <c r="J27" s="3">
        <f t="shared" si="3"/>
        <v>290</v>
      </c>
      <c r="K27" s="3">
        <v>290</v>
      </c>
      <c r="R27" s="2">
        <f t="shared" si="7"/>
        <v>580</v>
      </c>
      <c r="S27" s="3">
        <v>4930</v>
      </c>
      <c r="T27" s="3">
        <f t="shared" si="8"/>
        <v>580</v>
      </c>
      <c r="U27" s="3">
        <f t="shared" si="4"/>
        <v>5510</v>
      </c>
      <c r="Y27" s="3">
        <f t="shared" si="0"/>
        <v>870</v>
      </c>
      <c r="AA27" s="3">
        <f t="shared" si="6"/>
        <v>290</v>
      </c>
    </row>
    <row r="28" spans="2:27" x14ac:dyDescent="0.25">
      <c r="B28">
        <v>2019</v>
      </c>
      <c r="C28" t="s">
        <v>126</v>
      </c>
      <c r="E28">
        <v>10</v>
      </c>
      <c r="F28" s="3">
        <v>3312.78</v>
      </c>
      <c r="G28" s="3"/>
      <c r="H28" s="3">
        <f t="shared" si="1"/>
        <v>3312.78</v>
      </c>
      <c r="I28" s="3">
        <f t="shared" si="2"/>
        <v>1739.278</v>
      </c>
      <c r="J28" s="3">
        <f t="shared" si="3"/>
        <v>1573.5020000000002</v>
      </c>
      <c r="K28" s="3">
        <f t="shared" ref="K28:K33" si="9">F28/E28</f>
        <v>331.27800000000002</v>
      </c>
      <c r="R28" s="2">
        <f t="shared" si="7"/>
        <v>331.27800000000002</v>
      </c>
      <c r="S28" s="3">
        <v>1408</v>
      </c>
      <c r="T28" s="3">
        <f t="shared" si="8"/>
        <v>331.27800000000002</v>
      </c>
      <c r="U28" s="3">
        <f t="shared" si="4"/>
        <v>1739.278</v>
      </c>
      <c r="Y28" s="3">
        <f t="shared" si="0"/>
        <v>1904.7800000000002</v>
      </c>
      <c r="AA28" s="3">
        <f t="shared" si="6"/>
        <v>1573.5020000000002</v>
      </c>
    </row>
    <row r="29" spans="2:27" x14ac:dyDescent="0.25">
      <c r="B29">
        <v>2018</v>
      </c>
      <c r="C29" t="s">
        <v>127</v>
      </c>
      <c r="E29">
        <v>10</v>
      </c>
      <c r="F29" s="3">
        <v>2797.31</v>
      </c>
      <c r="G29" s="3"/>
      <c r="H29" s="3">
        <f t="shared" si="1"/>
        <v>2797.31</v>
      </c>
      <c r="I29" s="3">
        <f t="shared" si="2"/>
        <v>1608.731</v>
      </c>
      <c r="J29" s="3">
        <f t="shared" si="3"/>
        <v>1188.579</v>
      </c>
      <c r="K29" s="3">
        <f t="shared" si="9"/>
        <v>279.73099999999999</v>
      </c>
      <c r="R29" s="2">
        <f t="shared" si="7"/>
        <v>279.73099999999999</v>
      </c>
      <c r="S29" s="3">
        <v>1329</v>
      </c>
      <c r="T29" s="3">
        <f t="shared" si="8"/>
        <v>279.73099999999999</v>
      </c>
      <c r="U29" s="3">
        <f t="shared" si="4"/>
        <v>1608.731</v>
      </c>
      <c r="Y29" s="3">
        <f t="shared" si="0"/>
        <v>1468.31</v>
      </c>
      <c r="AA29" s="3">
        <f t="shared" si="6"/>
        <v>1188.579</v>
      </c>
    </row>
    <row r="30" spans="2:27" x14ac:dyDescent="0.25">
      <c r="B30">
        <v>2020</v>
      </c>
      <c r="C30" t="s">
        <v>128</v>
      </c>
      <c r="E30">
        <v>10</v>
      </c>
      <c r="F30" s="3">
        <v>2906.64</v>
      </c>
      <c r="G30" s="3"/>
      <c r="H30" s="3">
        <f t="shared" si="1"/>
        <v>2906.64</v>
      </c>
      <c r="I30" s="3">
        <f t="shared" si="2"/>
        <v>1259.664</v>
      </c>
      <c r="J30" s="3">
        <f t="shared" si="3"/>
        <v>1646.9759999999999</v>
      </c>
      <c r="K30" s="3">
        <f t="shared" si="9"/>
        <v>290.66399999999999</v>
      </c>
      <c r="R30" s="2">
        <f t="shared" si="7"/>
        <v>290.66399999999999</v>
      </c>
      <c r="S30" s="3">
        <v>969</v>
      </c>
      <c r="T30" s="3">
        <f t="shared" si="8"/>
        <v>290.66399999999999</v>
      </c>
      <c r="U30" s="3">
        <f t="shared" si="4"/>
        <v>1259.664</v>
      </c>
      <c r="Y30" s="3">
        <f t="shared" si="0"/>
        <v>1937.6399999999999</v>
      </c>
      <c r="AA30" s="3">
        <f t="shared" si="6"/>
        <v>1646.9759999999999</v>
      </c>
    </row>
    <row r="31" spans="2:27" x14ac:dyDescent="0.25">
      <c r="B31">
        <v>2020</v>
      </c>
      <c r="C31" t="s">
        <v>129</v>
      </c>
      <c r="E31">
        <v>10</v>
      </c>
      <c r="F31" s="3">
        <v>8946.25</v>
      </c>
      <c r="G31" s="3"/>
      <c r="H31" s="3">
        <f t="shared" si="1"/>
        <v>8946.25</v>
      </c>
      <c r="I31" s="3">
        <f t="shared" si="2"/>
        <v>3652.625</v>
      </c>
      <c r="J31" s="3">
        <f t="shared" si="3"/>
        <v>5293.625</v>
      </c>
      <c r="K31" s="3">
        <f t="shared" si="9"/>
        <v>894.625</v>
      </c>
      <c r="R31" s="2">
        <f t="shared" si="7"/>
        <v>894.625</v>
      </c>
      <c r="S31" s="3">
        <v>2758</v>
      </c>
      <c r="T31" s="3">
        <f t="shared" si="8"/>
        <v>894.625</v>
      </c>
      <c r="U31" s="3">
        <f t="shared" si="4"/>
        <v>3652.625</v>
      </c>
      <c r="Y31" s="3">
        <f t="shared" si="0"/>
        <v>6188.25</v>
      </c>
      <c r="AA31" s="3">
        <f t="shared" si="6"/>
        <v>5293.625</v>
      </c>
    </row>
    <row r="32" spans="2:27" x14ac:dyDescent="0.25">
      <c r="B32">
        <v>2022</v>
      </c>
      <c r="C32" t="s">
        <v>130</v>
      </c>
      <c r="E32">
        <v>10</v>
      </c>
      <c r="F32" s="3">
        <v>4189</v>
      </c>
      <c r="G32" s="3"/>
      <c r="H32" s="3">
        <f t="shared" si="1"/>
        <v>4189</v>
      </c>
      <c r="I32" s="3">
        <f t="shared" si="2"/>
        <v>872.9</v>
      </c>
      <c r="J32" s="3">
        <f t="shared" si="3"/>
        <v>3316.1</v>
      </c>
      <c r="K32" s="3">
        <f t="shared" si="9"/>
        <v>418.9</v>
      </c>
      <c r="R32" s="2">
        <f t="shared" si="7"/>
        <v>418.9</v>
      </c>
      <c r="S32" s="3">
        <v>454</v>
      </c>
      <c r="T32" s="3">
        <f t="shared" si="8"/>
        <v>418.9</v>
      </c>
      <c r="U32" s="3">
        <f t="shared" si="4"/>
        <v>872.9</v>
      </c>
      <c r="Y32" s="3">
        <f t="shared" si="0"/>
        <v>3735</v>
      </c>
      <c r="AA32" s="3">
        <f t="shared" si="6"/>
        <v>3316.1</v>
      </c>
    </row>
    <row r="33" spans="1:27" x14ac:dyDescent="0.25">
      <c r="B33">
        <v>2023</v>
      </c>
      <c r="C33" t="s">
        <v>131</v>
      </c>
      <c r="E33">
        <v>5</v>
      </c>
      <c r="F33" s="6">
        <v>8500</v>
      </c>
      <c r="G33" s="3"/>
      <c r="H33" s="3">
        <f t="shared" si="1"/>
        <v>8500</v>
      </c>
      <c r="I33" s="3">
        <f t="shared" si="2"/>
        <v>2125</v>
      </c>
      <c r="J33" s="3">
        <f t="shared" si="3"/>
        <v>6375</v>
      </c>
      <c r="K33" s="6">
        <f t="shared" si="9"/>
        <v>1700</v>
      </c>
      <c r="R33" s="2">
        <v>425</v>
      </c>
      <c r="S33" s="3">
        <v>425</v>
      </c>
      <c r="T33" s="3">
        <f t="shared" si="8"/>
        <v>1700</v>
      </c>
      <c r="U33" s="3">
        <f t="shared" si="4"/>
        <v>2125</v>
      </c>
      <c r="Y33" s="3">
        <f t="shared" si="0"/>
        <v>8075</v>
      </c>
      <c r="AA33" s="3">
        <f t="shared" si="6"/>
        <v>6375</v>
      </c>
    </row>
    <row r="34" spans="1:27" x14ac:dyDescent="0.25">
      <c r="F34" s="3"/>
      <c r="G34" s="3"/>
      <c r="H34" s="3"/>
      <c r="S34" s="3"/>
    </row>
    <row r="35" spans="1:27" ht="15.75" thickBot="1" x14ac:dyDescent="0.3">
      <c r="B35" t="s">
        <v>37</v>
      </c>
      <c r="F35" s="49">
        <f>SUM(F10:F34)</f>
        <v>3854102.92</v>
      </c>
      <c r="G35" s="24"/>
      <c r="H35" s="24"/>
      <c r="K35" s="14">
        <f>SUM(K10:K34)</f>
        <v>62060.472894736835</v>
      </c>
      <c r="R35" s="45">
        <f>SUM(R10:R34)</f>
        <v>104881.6210526316</v>
      </c>
      <c r="S35" s="5">
        <f>SUM(S10:S34)</f>
        <v>2544876</v>
      </c>
    </row>
    <row r="36" spans="1:27" ht="15.75" thickTop="1" x14ac:dyDescent="0.25">
      <c r="B36" t="s">
        <v>301</v>
      </c>
      <c r="K36" s="6">
        <f>-'Pro forma'!F43</f>
        <v>-104882</v>
      </c>
    </row>
    <row r="38" spans="1:27" ht="15.75" thickBot="1" x14ac:dyDescent="0.3">
      <c r="B38" t="s">
        <v>243</v>
      </c>
      <c r="K38" s="48">
        <f>K35+K36</f>
        <v>-42821.527105263165</v>
      </c>
    </row>
    <row r="39" spans="1:27" ht="15.75" thickTop="1" x14ac:dyDescent="0.25"/>
    <row r="44" spans="1:27" x14ac:dyDescent="0.25">
      <c r="A44" s="113" t="s">
        <v>181</v>
      </c>
      <c r="B44" s="113"/>
      <c r="C44" s="113"/>
      <c r="D44" s="113"/>
      <c r="E44" s="113"/>
    </row>
    <row r="45" spans="1:27" x14ac:dyDescent="0.25">
      <c r="A45" s="53" t="s">
        <v>38</v>
      </c>
      <c r="B45" s="116" t="s">
        <v>182</v>
      </c>
      <c r="C45" s="116"/>
      <c r="D45" s="25"/>
      <c r="E45" s="53" t="s">
        <v>183</v>
      </c>
    </row>
    <row r="46" spans="1:27" x14ac:dyDescent="0.25">
      <c r="A46" s="1">
        <f>Repairs!O22</f>
        <v>45162</v>
      </c>
      <c r="B46" t="s">
        <v>177</v>
      </c>
      <c r="E46" s="5">
        <f>Repairs!N22</f>
        <v>23380</v>
      </c>
      <c r="F46" s="7"/>
      <c r="I46" s="7"/>
      <c r="J46" s="7"/>
    </row>
    <row r="47" spans="1:27" x14ac:dyDescent="0.25">
      <c r="A47" s="1">
        <f>Repairs!O24</f>
        <v>45190</v>
      </c>
      <c r="B47" t="s">
        <v>177</v>
      </c>
      <c r="E47" s="4">
        <f>Repairs!N24</f>
        <v>21496</v>
      </c>
      <c r="F47" s="7"/>
      <c r="I47" s="7"/>
      <c r="J47" s="7"/>
    </row>
    <row r="48" spans="1:27" x14ac:dyDescent="0.25">
      <c r="A48" s="1">
        <f>Repairs!O25</f>
        <v>45190</v>
      </c>
      <c r="B48" t="s">
        <v>177</v>
      </c>
      <c r="E48" s="4">
        <f>Repairs!N25</f>
        <v>8964</v>
      </c>
      <c r="F48" s="7"/>
      <c r="I48" s="7"/>
      <c r="J48" s="7"/>
    </row>
    <row r="49" spans="1:10" x14ac:dyDescent="0.25">
      <c r="A49" s="1">
        <f>Repairs!O26</f>
        <v>45190</v>
      </c>
      <c r="B49" t="s">
        <v>177</v>
      </c>
      <c r="E49" s="4">
        <f>Repairs!N26</f>
        <v>13000</v>
      </c>
      <c r="F49" s="7"/>
      <c r="I49" s="7"/>
      <c r="J49" s="7"/>
    </row>
    <row r="50" spans="1:10" x14ac:dyDescent="0.25">
      <c r="A50" s="1">
        <f>Repairs!O29</f>
        <v>45259</v>
      </c>
      <c r="B50" t="s">
        <v>28</v>
      </c>
      <c r="E50" s="22">
        <f>Repairs!N29</f>
        <v>9455</v>
      </c>
      <c r="F50" s="7"/>
      <c r="I50" s="7"/>
      <c r="J50" s="7"/>
    </row>
    <row r="51" spans="1:10" x14ac:dyDescent="0.25">
      <c r="E51" s="4"/>
    </row>
    <row r="52" spans="1:10" x14ac:dyDescent="0.25">
      <c r="A52" t="s">
        <v>178</v>
      </c>
      <c r="E52" s="4">
        <f>SUM(E46:E51)</f>
        <v>76295</v>
      </c>
    </row>
    <row r="53" spans="1:10" x14ac:dyDescent="0.25">
      <c r="A53" t="s">
        <v>179</v>
      </c>
      <c r="E53" s="6">
        <v>30</v>
      </c>
    </row>
    <row r="55" spans="1:10" ht="15.75" thickBot="1" x14ac:dyDescent="0.3">
      <c r="A55" t="s">
        <v>180</v>
      </c>
      <c r="E55" s="49">
        <f>E52/E53</f>
        <v>2543.1666666666665</v>
      </c>
    </row>
    <row r="56" spans="1:10" ht="15.75" thickTop="1" x14ac:dyDescent="0.25"/>
    <row r="59" spans="1:10" x14ac:dyDescent="0.25">
      <c r="J59" t="s">
        <v>195</v>
      </c>
    </row>
    <row r="92" spans="10:10" x14ac:dyDescent="0.25">
      <c r="J92" t="s">
        <v>196</v>
      </c>
    </row>
  </sheetData>
  <mergeCells count="2">
    <mergeCell ref="A44:E44"/>
    <mergeCell ref="B45:C4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Rate Calculation</vt:lpstr>
      <vt:lpstr>Debt</vt:lpstr>
      <vt:lpstr>Pro forma</vt:lpstr>
      <vt:lpstr>Revenue Power Chemicals</vt:lpstr>
      <vt:lpstr>Wages Benefits</vt:lpstr>
      <vt:lpstr>Repairs</vt:lpstr>
      <vt:lpstr>Depreciation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lawless</dc:creator>
  <cp:lastModifiedBy>doug padgett</cp:lastModifiedBy>
  <dcterms:created xsi:type="dcterms:W3CDTF">2024-06-17T01:34:04Z</dcterms:created>
  <dcterms:modified xsi:type="dcterms:W3CDTF">2025-01-16T12:27:35Z</dcterms:modified>
</cp:coreProperties>
</file>