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Kentucky\Delta 12 2024\Draft Testimony\"/>
    </mc:Choice>
  </mc:AlternateContent>
  <xr:revisionPtr revIDLastSave="0" documentId="8_{1933DE07-A95A-47AB-93D9-B73F7690701A}" xr6:coauthVersionLast="47" xr6:coauthVersionMax="47" xr10:uidLastSave="{00000000-0000-0000-0000-000000000000}"/>
  <bookViews>
    <workbookView xWindow="-120" yWindow="-120" windowWidth="29040" windowHeight="15720" activeTab="5" xr2:uid="{62E0FE69-ED8F-4F10-A670-E2919EFB3208}"/>
  </bookViews>
  <sheets>
    <sheet name="Directory" sheetId="15" r:id="rId1"/>
    <sheet name="Exhibit DND-2.0 Rev Req" sheetId="1" r:id="rId2"/>
    <sheet name="DND-3 Cap Structure" sheetId="5" r:id="rId3"/>
    <sheet name="DND-4 CWC" sheetId="14" r:id="rId4"/>
    <sheet name="DND 4.1 Interest Sync" sheetId="2" r:id="rId5"/>
    <sheet name="DND-5 Inc Comp" sheetId="7" r:id="rId6"/>
    <sheet name="DND-6 Emp Benefits" sheetId="10" r:id="rId7"/>
    <sheet name="DND-7 Lobbying" sheetId="11" r:id="rId8"/>
    <sheet name="DND-8 Lobbying OH" sheetId="13" r:id="rId9"/>
    <sheet name="DND-9 AGA Dues" sheetId="12" r:id="rId10"/>
    <sheet name="DND-10 GRCF" sheetId="8" r:id="rId11"/>
  </sheets>
  <externalReferences>
    <externalReference r:id="rId12"/>
  </externalReferences>
  <definedNames>
    <definedName name="_xlnm.Print_Area" localSheetId="2">'DND-3 Cap Structure'!$A$2:$M$34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2" l="1"/>
  <c r="G25" i="1"/>
  <c r="G16" i="13"/>
  <c r="G24" i="1" s="1"/>
  <c r="G16" i="11"/>
  <c r="G23" i="1" s="1"/>
  <c r="B52" i="7" l="1"/>
  <c r="B53" i="7" s="1"/>
  <c r="B54" i="7" s="1"/>
  <c r="B55" i="7" s="1"/>
  <c r="B56" i="7" s="1"/>
  <c r="B57" i="7" s="1"/>
  <c r="B51" i="7"/>
  <c r="L38" i="7"/>
  <c r="L37" i="7"/>
  <c r="L36" i="7"/>
  <c r="L35" i="7"/>
  <c r="L39" i="7" s="1"/>
  <c r="J11" i="7" s="1"/>
  <c r="L11" i="7" s="1"/>
  <c r="L34" i="7"/>
  <c r="I14" i="1" l="1"/>
  <c r="J35" i="14" l="1"/>
  <c r="I17" i="1" l="1"/>
  <c r="I20" i="1"/>
  <c r="K41" i="14" l="1"/>
  <c r="O41" i="14" s="1"/>
  <c r="K39" i="14"/>
  <c r="O39" i="14" s="1"/>
  <c r="K37" i="14"/>
  <c r="O37" i="14" s="1"/>
  <c r="O35" i="14"/>
  <c r="K33" i="14"/>
  <c r="K32" i="14"/>
  <c r="O32" i="14" s="1"/>
  <c r="K31" i="14"/>
  <c r="O31" i="14" s="1"/>
  <c r="I27" i="14"/>
  <c r="K27" i="14" s="1"/>
  <c r="O27" i="14" s="1"/>
  <c r="I26" i="14"/>
  <c r="K26" i="14" s="1"/>
  <c r="O26" i="14" s="1"/>
  <c r="K21" i="14"/>
  <c r="O21" i="14" s="1"/>
  <c r="K20" i="14"/>
  <c r="L20" i="14" s="1"/>
  <c r="K19" i="14"/>
  <c r="O19" i="14" s="1"/>
  <c r="K17" i="14"/>
  <c r="O17" i="14" s="1"/>
  <c r="K15" i="14"/>
  <c r="O15" i="14" s="1"/>
  <c r="O20" i="14" l="1"/>
  <c r="L15" i="14"/>
  <c r="L17" i="14"/>
  <c r="L19" i="14"/>
  <c r="O28" i="14"/>
  <c r="L21" i="14"/>
  <c r="E14" i="13" l="1"/>
  <c r="H22" i="14" l="1"/>
  <c r="G16" i="14"/>
  <c r="K16" i="14" s="1"/>
  <c r="G16" i="10"/>
  <c r="L16" i="14" l="1"/>
  <c r="O16" i="14"/>
  <c r="G22" i="1"/>
  <c r="F22" i="14"/>
  <c r="G22" i="14" l="1"/>
  <c r="K22" i="14" s="1"/>
  <c r="E31" i="5"/>
  <c r="O22" i="14" l="1"/>
  <c r="L22" i="14"/>
  <c r="I21" i="1"/>
  <c r="I22" i="1" s="1"/>
  <c r="I23" i="1" l="1"/>
  <c r="K22" i="1"/>
  <c r="I24" i="1" l="1"/>
  <c r="K23" i="1"/>
  <c r="E31" i="8"/>
  <c r="E29" i="8"/>
  <c r="E27" i="8"/>
  <c r="E25" i="8"/>
  <c r="E23" i="8"/>
  <c r="E21" i="8"/>
  <c r="E17" i="8"/>
  <c r="E16" i="8"/>
  <c r="L19" i="7"/>
  <c r="L18" i="7"/>
  <c r="L12" i="7"/>
  <c r="L30" i="7"/>
  <c r="L29" i="7"/>
  <c r="L28" i="7"/>
  <c r="L27" i="7"/>
  <c r="L20" i="7"/>
  <c r="L45" i="7"/>
  <c r="L44" i="7"/>
  <c r="L43" i="7"/>
  <c r="L10" i="7"/>
  <c r="E14" i="7"/>
  <c r="E22" i="7"/>
  <c r="G21" i="1" s="1"/>
  <c r="K21" i="1" s="1"/>
  <c r="I11" i="7"/>
  <c r="L22" i="7" l="1"/>
  <c r="L14" i="7"/>
  <c r="K24" i="1"/>
  <c r="I25" i="1"/>
  <c r="K25" i="1" s="1"/>
  <c r="L46" i="7"/>
  <c r="L48" i="7" s="1"/>
  <c r="G20" i="1" l="1"/>
  <c r="K20" i="1" s="1"/>
  <c r="E18" i="14"/>
  <c r="K18" i="14" s="1"/>
  <c r="I25" i="5"/>
  <c r="M25" i="5" s="1"/>
  <c r="E17" i="2" s="1"/>
  <c r="I24" i="5"/>
  <c r="M24" i="5" s="1"/>
  <c r="I14" i="5"/>
  <c r="M14" i="5" s="1"/>
  <c r="I13" i="5"/>
  <c r="I16" i="5" s="1"/>
  <c r="K23" i="14" l="1"/>
  <c r="K43" i="14" s="1"/>
  <c r="K45" i="14" s="1"/>
  <c r="D48" i="14" s="1"/>
  <c r="L18" i="14"/>
  <c r="O18" i="14"/>
  <c r="O23" i="14" s="1"/>
  <c r="O43" i="14" s="1"/>
  <c r="M13" i="5"/>
  <c r="M16" i="5" s="1"/>
  <c r="M27" i="5"/>
  <c r="I27" i="5"/>
  <c r="K44" i="14" l="1"/>
  <c r="D44" i="14" s="1"/>
  <c r="D46" i="14" s="1"/>
  <c r="D50" i="14" s="1"/>
  <c r="D52" i="14" s="1"/>
  <c r="E13" i="2" s="1"/>
  <c r="E15" i="2" s="1"/>
  <c r="E19" i="2" s="1"/>
  <c r="M29" i="5"/>
  <c r="E32" i="5" s="1"/>
  <c r="E33" i="5" s="1"/>
  <c r="D54" i="14"/>
  <c r="D56" i="14" l="1"/>
  <c r="G17" i="1" s="1"/>
  <c r="K17" i="1" s="1"/>
  <c r="G14" i="1"/>
  <c r="K14" i="1" s="1"/>
  <c r="K27" i="1" l="1"/>
</calcChain>
</file>

<file path=xl/sharedStrings.xml><?xml version="1.0" encoding="utf-8"?>
<sst xmlns="http://schemas.openxmlformats.org/spreadsheetml/2006/main" count="335" uniqueCount="227">
  <si>
    <t>Delta Natural Gas Company Inc.</t>
  </si>
  <si>
    <t>Case No. 2024-00346</t>
  </si>
  <si>
    <t xml:space="preserve">For the Forecasted Period Ended June 30, 2026 </t>
  </si>
  <si>
    <t>Base Rate Increase Requested by the Company</t>
  </si>
  <si>
    <t>Exhibit No.</t>
  </si>
  <si>
    <t>Revenue</t>
  </si>
  <si>
    <t>Requirement</t>
  </si>
  <si>
    <t>Change</t>
  </si>
  <si>
    <t>($ Millions)</t>
  </si>
  <si>
    <t>AG Operating Income Adjustments</t>
  </si>
  <si>
    <t>AG ROE and Capital Structure Changes</t>
  </si>
  <si>
    <t>Component</t>
  </si>
  <si>
    <t>Capital</t>
  </si>
  <si>
    <t>Ratio</t>
  </si>
  <si>
    <t>Costs</t>
  </si>
  <si>
    <t>Weighted Avg</t>
  </si>
  <si>
    <t>Cost</t>
  </si>
  <si>
    <t>Gross of Tax</t>
  </si>
  <si>
    <t>Gross-Up</t>
  </si>
  <si>
    <t>Factor</t>
  </si>
  <si>
    <t>Delta Proposed Capital Structure</t>
  </si>
  <si>
    <t>Equity</t>
  </si>
  <si>
    <t>Long Term Debt</t>
  </si>
  <si>
    <t>Total</t>
  </si>
  <si>
    <t>Incentive Compensation Adjustment</t>
  </si>
  <si>
    <t>I. Short Term Incentive Compensation Charged to O&amp;M</t>
  </si>
  <si>
    <t>O&amp;M %</t>
  </si>
  <si>
    <t>Gross/2</t>
  </si>
  <si>
    <t>3/ Response OAG 1-28</t>
  </si>
  <si>
    <t>II Long Term Incentive Compensation Charged to O&amp;M</t>
  </si>
  <si>
    <t>Total Long-Term Incentive Compensation</t>
  </si>
  <si>
    <t>Total Short Term Incentive Compensation</t>
  </si>
  <si>
    <t>Exclusion %</t>
  </si>
  <si>
    <t>O&amp;M Adjustment</t>
  </si>
  <si>
    <t>Net O&amp;M</t>
  </si>
  <si>
    <t>Development of Exclusion Percentages</t>
  </si>
  <si>
    <t>Weight</t>
  </si>
  <si>
    <t>Total Stockholder Return</t>
  </si>
  <si>
    <t>Rate Base Growth</t>
  </si>
  <si>
    <t>Maintain O&amp;M Expenses</t>
  </si>
  <si>
    <t>Total Exclusion Essential Utilities Performance Units</t>
  </si>
  <si>
    <t>Essential Restricted Units</t>
  </si>
  <si>
    <t>Average Exclusion Essential Utilities</t>
  </si>
  <si>
    <t>Individual Goals</t>
  </si>
  <si>
    <t>Safety Metrics</t>
  </si>
  <si>
    <t>Customer Satisfaction</t>
  </si>
  <si>
    <t>Environmental Stewardship</t>
  </si>
  <si>
    <t>To eliminate Short Term Incentive Compensation</t>
  </si>
  <si>
    <t>Nominal</t>
  </si>
  <si>
    <t>Adjustment</t>
  </si>
  <si>
    <t>Amount</t>
  </si>
  <si>
    <t xml:space="preserve">Revenue </t>
  </si>
  <si>
    <t>Source: Delta Minimum Filing Requirements Tab 61</t>
  </si>
  <si>
    <t>Gross Income From Revenue</t>
  </si>
  <si>
    <t>Less: Bad Debt Rate/Uncollectible Expense</t>
  </si>
  <si>
    <t>Less: PSC/Utility Reg Assessment Fee</t>
  </si>
  <si>
    <t>Net Income After Uncollectibles and Regulatory Assessment Fee</t>
  </si>
  <si>
    <t>Gross-Up Factor (Reciprocal of Line 5</t>
  </si>
  <si>
    <t>Line No</t>
  </si>
  <si>
    <t>Item</t>
  </si>
  <si>
    <t>Pre-Tax Income</t>
  </si>
  <si>
    <t>State Income Tax Rate</t>
  </si>
  <si>
    <t>Taxable Income for Federal Income Tax Computation</t>
  </si>
  <si>
    <t>Federal Income Tax Rate</t>
  </si>
  <si>
    <t>Effective Federal Income Tax</t>
  </si>
  <si>
    <t>Plus: State Income Tax Rate</t>
  </si>
  <si>
    <t>Total State and Federal Income Tax Rate</t>
  </si>
  <si>
    <t>Conversion Factor - Taxes Only = 1/(1-Composite Tax Rate</t>
  </si>
  <si>
    <t>Gross Revenue Conversion Factor applied to Rate Base</t>
  </si>
  <si>
    <t>Line No.</t>
  </si>
  <si>
    <t>To eliminate Long-Term Incentive Compensation</t>
  </si>
  <si>
    <t>Reduction in Pre-Tax Rate of Return</t>
  </si>
  <si>
    <t xml:space="preserve">Revenue Requirement Reduction </t>
  </si>
  <si>
    <t>OAG Recommended Rate Increase</t>
  </si>
  <si>
    <t>To Correct Employee Medical Benefits Forecast</t>
  </si>
  <si>
    <t>Summary of OAG Adjustment to Remove Lobbying Costs</t>
  </si>
  <si>
    <t>Additional Lobbying Costs Identifed in Response to PSC DR 1-13</t>
  </si>
  <si>
    <t>Total Lobbying Adjustment</t>
  </si>
  <si>
    <t>To Eliminate External and Allocated Lobbying Charges</t>
  </si>
  <si>
    <t>Summary of OAG Adjustment to Correct the Employee Benefit Forecast</t>
  </si>
  <si>
    <t>Employee Benefit Cost Forecast</t>
  </si>
  <si>
    <t>Revised Employee Benefits Pro-Forma Projection OAG 1-66</t>
  </si>
  <si>
    <t>Future Pro-Forma Future Test Year O&amp;M - Response to PSC 1-54, Tab 57 D-2.2</t>
  </si>
  <si>
    <t>Adjustment to correct Medical Premiums Forecast</t>
  </si>
  <si>
    <t>Summary of OAG Adjustment to Remove Delta Overhead Lobbying Costs</t>
  </si>
  <si>
    <t>Capital Link Services Lobbying - per Response to PSC 1-13</t>
  </si>
  <si>
    <t>Plus:  1% inflation increase</t>
  </si>
  <si>
    <t>Total Lobbying Charges Removed from Revenue Requirement</t>
  </si>
  <si>
    <t>Assumed Internal Delta Labor Costs incurred in Supervising/Managing Capital Link Services Lobbying Efforts</t>
  </si>
  <si>
    <t>To Eliminate Overhead Labor Associated with Lobbying</t>
  </si>
  <si>
    <t>To Eliminate AGA Dues</t>
  </si>
  <si>
    <t>Adjustment Amount</t>
  </si>
  <si>
    <t>Less: Lobbying Cost portion of AGA Due Excluded by Delta and OAG Adjustment; Response to PSC Request 1-13.</t>
  </si>
  <si>
    <t xml:space="preserve">Remaining Balance of AGA Dues </t>
  </si>
  <si>
    <t>O&amp;M Expense</t>
  </si>
  <si>
    <t xml:space="preserve">Purchased Gas </t>
  </si>
  <si>
    <t>Payroll Expense</t>
  </si>
  <si>
    <t>Pension Expense</t>
  </si>
  <si>
    <t>Incentive Compensation</t>
  </si>
  <si>
    <t>401k Match Expense</t>
  </si>
  <si>
    <t>Uncollectible Expense</t>
  </si>
  <si>
    <t>Charges from Affiliates</t>
  </si>
  <si>
    <t>Other O&amp;M</t>
  </si>
  <si>
    <t>Total O&amp;M Expenses</t>
  </si>
  <si>
    <t>Income Tax Expense</t>
  </si>
  <si>
    <t>Current:  Federal and State</t>
  </si>
  <si>
    <t>Deferred:  Federal and State (EDIT Amort.)</t>
  </si>
  <si>
    <t>Total Income Tax Expense</t>
  </si>
  <si>
    <t>Taxes Other Than Income</t>
  </si>
  <si>
    <t>Property Tax Expense</t>
  </si>
  <si>
    <t>Payroll Tax Expense</t>
  </si>
  <si>
    <t>Other Taxes</t>
  </si>
  <si>
    <t>Interest Expense</t>
  </si>
  <si>
    <t>Sales Taxes</t>
  </si>
  <si>
    <t>School Taxes</t>
  </si>
  <si>
    <t>Franchise Fees</t>
  </si>
  <si>
    <t>Adjustments</t>
  </si>
  <si>
    <t>Incentive Comp.</t>
  </si>
  <si>
    <t>Emp. Benefits</t>
  </si>
  <si>
    <t>Lobbying</t>
  </si>
  <si>
    <t>AGA Dues</t>
  </si>
  <si>
    <t>Adjusted O&amp;M</t>
  </si>
  <si>
    <t>Avg. Daily</t>
  </si>
  <si>
    <t>Expense</t>
  </si>
  <si>
    <t>(Lead)/Lag</t>
  </si>
  <si>
    <t>Days</t>
  </si>
  <si>
    <t>Dollar</t>
  </si>
  <si>
    <t>To Remove</t>
  </si>
  <si>
    <t>Non-Cash Taxes</t>
  </si>
  <si>
    <t>Expenses Subject to Lead Lag Results</t>
  </si>
  <si>
    <t>Weighted Days - Lead Days for Operating Expenses</t>
  </si>
  <si>
    <t>Recap:</t>
  </si>
  <si>
    <t>Expense Lead Days</t>
  </si>
  <si>
    <t>Net Lead Days</t>
  </si>
  <si>
    <t>Revenue Lag Days PSA 1-54, Tab 55 p6</t>
  </si>
  <si>
    <t>Average Daily Operating Expenses</t>
  </si>
  <si>
    <t>Average Daily Expense Subject to Lag</t>
  </si>
  <si>
    <t>Cash Working Capital Provided</t>
  </si>
  <si>
    <t>Less:  Delta Cash Working Capital Requested</t>
  </si>
  <si>
    <t>Adjustment to Reduce Cash Working Capital</t>
  </si>
  <si>
    <t>Delta - Pro Forma</t>
  </si>
  <si>
    <t>Amounts</t>
  </si>
  <si>
    <t>To Correct Cash Working Capital Calculation</t>
  </si>
  <si>
    <t>Rate Base Adjustments</t>
  </si>
  <si>
    <t>OAG Sponsored Pre-Tax Return</t>
  </si>
  <si>
    <t>Nominal Revenue Requirement Adjustment - before GRCF</t>
  </si>
  <si>
    <t>Rate Base Proposed by Delta</t>
  </si>
  <si>
    <t>Less: OAG Cash Working Capital Adjustment</t>
  </si>
  <si>
    <t>Rate Base Proposed by OAG</t>
  </si>
  <si>
    <t>Weighte Cost of Debt</t>
  </si>
  <si>
    <t>Source</t>
  </si>
  <si>
    <t>PSC 1-54 Tab 55 page 1</t>
  </si>
  <si>
    <t>Pro-Forma Interest Expense</t>
  </si>
  <si>
    <t xml:space="preserve"> Interest</t>
  </si>
  <si>
    <t>Synchronization</t>
  </si>
  <si>
    <t>Exhibit DND-2</t>
  </si>
  <si>
    <t>DND-3</t>
  </si>
  <si>
    <t>Summary of OAG Pro-Forma Revenue Requirement</t>
  </si>
  <si>
    <t>OAG Cost of Capital</t>
  </si>
  <si>
    <t>DND-4</t>
  </si>
  <si>
    <t>Exhibit DND-4</t>
  </si>
  <si>
    <t>Exhibit DND-5</t>
  </si>
  <si>
    <t>DND-5</t>
  </si>
  <si>
    <t>DND-6</t>
  </si>
  <si>
    <t>Exhibit DND-6</t>
  </si>
  <si>
    <t>Exhibit DND-7</t>
  </si>
  <si>
    <t>Exhibit DND-8</t>
  </si>
  <si>
    <t>DND-7</t>
  </si>
  <si>
    <t>DND-8</t>
  </si>
  <si>
    <t>DND-9</t>
  </si>
  <si>
    <t>Summary of OAG Rate Base and Interest Synchronization</t>
  </si>
  <si>
    <t>Gross Revenue Conversion Factor (GRCF)</t>
  </si>
  <si>
    <t>Description</t>
  </si>
  <si>
    <t xml:space="preserve">Exhibit No. </t>
  </si>
  <si>
    <t>DND-1</t>
  </si>
  <si>
    <t>Summary of Qualifications</t>
  </si>
  <si>
    <t>DND-2</t>
  </si>
  <si>
    <t>Calculation of Revenue Requirement  Impact of OAG Rate of Return Recommendation</t>
  </si>
  <si>
    <t>Summary of OAG Revenue Requirement Recommendation</t>
  </si>
  <si>
    <t>Calculation of OAG Cash Working Capital Recommendation</t>
  </si>
  <si>
    <t>Summary of Short and Long Term Incentive Compensation Adjustment</t>
  </si>
  <si>
    <t>Identification of Employee Medical Expense Adjustment</t>
  </si>
  <si>
    <t>Elimation of External Lobbying Costs</t>
  </si>
  <si>
    <t>Elimination of Indirect Lobbying Costs</t>
  </si>
  <si>
    <t>Elimination of AGA Dues</t>
  </si>
  <si>
    <t xml:space="preserve">OAG Proposed Capital Structure </t>
  </si>
  <si>
    <t>DND-4.1</t>
  </si>
  <si>
    <t>Calculation of Pro-Forma Interest Expense</t>
  </si>
  <si>
    <t>DND-10</t>
  </si>
  <si>
    <t>Calculation of Gross Revenue Converstion Factor</t>
  </si>
  <si>
    <t>Exhibit DND-3</t>
  </si>
  <si>
    <t xml:space="preserve">Line No. </t>
  </si>
  <si>
    <t>Gross</t>
  </si>
  <si>
    <t>Conversion</t>
  </si>
  <si>
    <t>Exhibit DND-10</t>
  </si>
  <si>
    <t>Exhibit DND-4.1</t>
  </si>
  <si>
    <t>1/ Response OAG 1-26</t>
  </si>
  <si>
    <t>2/ Response OAG 2-10</t>
  </si>
  <si>
    <t>1/</t>
  </si>
  <si>
    <t>2/</t>
  </si>
  <si>
    <t>3/</t>
  </si>
  <si>
    <t>4/</t>
  </si>
  <si>
    <t>5/</t>
  </si>
  <si>
    <t>6/</t>
  </si>
  <si>
    <t xml:space="preserve">Delta </t>
  </si>
  <si>
    <t xml:space="preserve">PNG </t>
  </si>
  <si>
    <t xml:space="preserve">Essential </t>
  </si>
  <si>
    <t>8/ Response OAG 2-13</t>
  </si>
  <si>
    <t>4/ Response OAG 1-29</t>
  </si>
  <si>
    <t xml:space="preserve">5/ Response OAG 1-30 </t>
  </si>
  <si>
    <t>6/ Response OAG 1-31</t>
  </si>
  <si>
    <t>7/ Response OAG 1-35</t>
  </si>
  <si>
    <t>Financial</t>
  </si>
  <si>
    <t>Safety</t>
  </si>
  <si>
    <t xml:space="preserve">Environmental </t>
  </si>
  <si>
    <t xml:space="preserve">Individual </t>
  </si>
  <si>
    <t>Delta/Peoples/Essential - Performance Units</t>
  </si>
  <si>
    <t>Additional Lobbying Costs Identified in Response to OAG 1-70, related to Indirect Labor costs allocated to Delta.</t>
  </si>
  <si>
    <t>AGA Dues Included in Gross Operating Expenses - Response to PSC Request 1-13</t>
  </si>
  <si>
    <t>Exhibit Listing</t>
  </si>
  <si>
    <t>Cash Working Capital Calculation</t>
  </si>
  <si>
    <t>Summary of OAG Adjustment to Remove AGA Dues</t>
  </si>
  <si>
    <t>Exhibit DND-9</t>
  </si>
  <si>
    <t xml:space="preserve">Delta Short Term Incentive </t>
  </si>
  <si>
    <t>7/</t>
  </si>
  <si>
    <t xml:space="preserve">PNG Short Term Incentive  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</si>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</sst>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.000000_);_(* \(#,##0.000000\);_(* &quot;-&quot;??_);_(@_)"/>
    <numFmt numFmtId="167" formatCode="_(* #,##0_);_(* \(#,##0\);_(* &quot;-&quot;??_);_(@_)"/>
    <numFmt numFmtId="168" formatCode="@*."/>
    <numFmt numFmtId="169" formatCode="_(&quot;$&quot;* #,##0.000_);_(&quot;$&quot;* \(#,##0.000\);_(&quot;$&quot;* &quot;-&quot;??_);_(@_)"/>
    <numFmt numFmtId="170" formatCode="0.000"/>
    <numFmt numFmtId="171" formatCode="#,##0.000"/>
    <numFmt numFmtId="174" formatCode="_(&quot;$&quot;* #,##0.000000_);_(&quot;$&quot;* \(#,##0.000000\);_(&quot;$&quot;* &quot;-&quot;??_);_(@_)"/>
    <numFmt numFmtId="177" formatCode="#,##0.000000"/>
    <numFmt numFmtId="180" formatCode="0.000000"/>
  </numFmts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u val="singleAccounting"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10" fontId="2" fillId="0" borderId="0" xfId="2" applyNumberFormat="1" applyFont="1"/>
    <xf numFmtId="10" fontId="2" fillId="0" borderId="1" xfId="2" applyNumberFormat="1" applyFont="1" applyBorder="1"/>
    <xf numFmtId="10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0" fontId="2" fillId="0" borderId="1" xfId="0" applyNumberFormat="1" applyFont="1" applyBorder="1"/>
    <xf numFmtId="164" fontId="2" fillId="0" borderId="0" xfId="1" applyNumberFormat="1" applyFont="1" applyBorder="1" applyAlignment="1">
      <alignment horizontal="center"/>
    </xf>
    <xf numFmtId="44" fontId="2" fillId="0" borderId="0" xfId="0" applyNumberFormat="1" applyFont="1"/>
    <xf numFmtId="164" fontId="2" fillId="0" borderId="1" xfId="1" applyNumberFormat="1" applyFont="1" applyBorder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1" applyNumberFormat="1" applyFont="1"/>
    <xf numFmtId="0" fontId="2" fillId="0" borderId="1" xfId="0" applyFont="1" applyBorder="1"/>
    <xf numFmtId="44" fontId="2" fillId="0" borderId="0" xfId="1" applyFont="1"/>
    <xf numFmtId="164" fontId="1" fillId="0" borderId="0" xfId="1" applyNumberFormat="1" applyFont="1" applyAlignment="1">
      <alignment horizontal="center"/>
    </xf>
    <xf numFmtId="9" fontId="2" fillId="0" borderId="0" xfId="2" applyFont="1"/>
    <xf numFmtId="0" fontId="1" fillId="0" borderId="0" xfId="0" applyFont="1" applyAlignment="1">
      <alignment horizontal="left" indent="1"/>
    </xf>
    <xf numFmtId="9" fontId="2" fillId="0" borderId="1" xfId="2" applyFont="1" applyBorder="1"/>
    <xf numFmtId="164" fontId="1" fillId="0" borderId="0" xfId="1" applyNumberFormat="1" applyFont="1"/>
    <xf numFmtId="164" fontId="1" fillId="0" borderId="0" xfId="0" applyNumberFormat="1" applyFont="1"/>
    <xf numFmtId="9" fontId="1" fillId="0" borderId="0" xfId="2" applyFont="1" applyAlignment="1">
      <alignment horizontal="center"/>
    </xf>
    <xf numFmtId="165" fontId="2" fillId="0" borderId="0" xfId="2" applyNumberFormat="1" applyFont="1"/>
    <xf numFmtId="165" fontId="1" fillId="0" borderId="0" xfId="2" applyNumberFormat="1" applyFont="1" applyAlignment="1">
      <alignment horizontal="center"/>
    </xf>
    <xf numFmtId="165" fontId="1" fillId="0" borderId="0" xfId="2" applyNumberFormat="1" applyFont="1"/>
    <xf numFmtId="165" fontId="1" fillId="0" borderId="1" xfId="2" applyNumberFormat="1" applyFont="1" applyBorder="1" applyAlignment="1">
      <alignment horizontal="center"/>
    </xf>
    <xf numFmtId="165" fontId="2" fillId="0" borderId="1" xfId="2" applyNumberFormat="1" applyFont="1" applyBorder="1"/>
    <xf numFmtId="0" fontId="2" fillId="0" borderId="0" xfId="0" applyFont="1" applyAlignment="1">
      <alignment wrapText="1"/>
    </xf>
    <xf numFmtId="9" fontId="2" fillId="0" borderId="0" xfId="2" applyFont="1" applyBorder="1"/>
    <xf numFmtId="9" fontId="1" fillId="0" borderId="0" xfId="2" applyFont="1" applyBorder="1" applyAlignment="1">
      <alignment horizontal="center"/>
    </xf>
    <xf numFmtId="166" fontId="2" fillId="0" borderId="2" xfId="3" applyNumberFormat="1" applyFont="1" applyBorder="1"/>
    <xf numFmtId="165" fontId="2" fillId="0" borderId="2" xfId="2" applyNumberFormat="1" applyFont="1" applyBorder="1"/>
    <xf numFmtId="164" fontId="2" fillId="0" borderId="0" xfId="1" applyNumberFormat="1" applyFont="1" applyBorder="1"/>
    <xf numFmtId="0" fontId="1" fillId="0" borderId="0" xfId="0" applyFont="1" applyAlignment="1">
      <alignment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 wrapText="1"/>
    </xf>
    <xf numFmtId="44" fontId="2" fillId="0" borderId="0" xfId="1" applyFont="1" applyBorder="1"/>
    <xf numFmtId="0" fontId="1" fillId="0" borderId="1" xfId="0" applyFont="1" applyBorder="1" applyAlignment="1">
      <alignment horizontal="center" wrapText="1"/>
    </xf>
    <xf numFmtId="0" fontId="1" fillId="0" borderId="0" xfId="4" applyFont="1"/>
    <xf numFmtId="0" fontId="2" fillId="0" borderId="0" xfId="4" applyFont="1"/>
    <xf numFmtId="168" fontId="2" fillId="0" borderId="0" xfId="4" applyNumberFormat="1" applyFont="1" applyAlignment="1">
      <alignment horizontal="left" indent="1"/>
    </xf>
    <xf numFmtId="0" fontId="7" fillId="0" borderId="0" xfId="4" applyFont="1" applyAlignment="1">
      <alignment horizontal="center"/>
    </xf>
    <xf numFmtId="0" fontId="2" fillId="0" borderId="0" xfId="8" applyFont="1" applyAlignment="1">
      <alignment horizontal="left" indent="2"/>
    </xf>
    <xf numFmtId="43" fontId="2" fillId="0" borderId="0" xfId="6" applyFont="1" applyFill="1" applyBorder="1" applyAlignment="1" applyProtection="1">
      <alignment horizontal="right"/>
    </xf>
    <xf numFmtId="168" fontId="2" fillId="0" borderId="0" xfId="4" applyNumberFormat="1" applyFont="1" applyAlignment="1">
      <alignment horizontal="left"/>
    </xf>
    <xf numFmtId="168" fontId="1" fillId="0" borderId="0" xfId="4" applyNumberFormat="1" applyFont="1" applyAlignment="1">
      <alignment horizontal="left"/>
    </xf>
    <xf numFmtId="164" fontId="2" fillId="0" borderId="0" xfId="5" applyNumberFormat="1" applyFont="1" applyFill="1" applyAlignment="1">
      <alignment horizontal="right"/>
    </xf>
    <xf numFmtId="167" fontId="2" fillId="0" borderId="0" xfId="6" applyNumberFormat="1" applyFont="1" applyFill="1" applyBorder="1" applyAlignment="1" applyProtection="1">
      <alignment horizontal="right"/>
    </xf>
    <xf numFmtId="164" fontId="2" fillId="0" borderId="0" xfId="7" applyNumberFormat="1" applyFont="1" applyFill="1" applyAlignment="1">
      <alignment horizontal="right"/>
    </xf>
    <xf numFmtId="164" fontId="2" fillId="0" borderId="1" xfId="5" applyNumberFormat="1" applyFont="1" applyFill="1" applyBorder="1" applyAlignment="1">
      <alignment horizontal="right"/>
    </xf>
    <xf numFmtId="164" fontId="8" fillId="0" borderId="0" xfId="5" applyNumberFormat="1" applyFont="1" applyFill="1" applyAlignment="1">
      <alignment horizontal="right"/>
    </xf>
    <xf numFmtId="167" fontId="2" fillId="0" borderId="1" xfId="6" applyNumberFormat="1" applyFont="1" applyFill="1" applyBorder="1" applyAlignment="1" applyProtection="1">
      <alignment horizontal="right"/>
    </xf>
    <xf numFmtId="164" fontId="2" fillId="0" borderId="0" xfId="4" applyNumberFormat="1" applyFont="1" applyAlignment="1">
      <alignment horizontal="right"/>
    </xf>
    <xf numFmtId="0" fontId="7" fillId="0" borderId="0" xfId="4" applyFont="1" applyAlignment="1">
      <alignment horizontal="right"/>
    </xf>
    <xf numFmtId="0" fontId="2" fillId="0" borderId="0" xfId="4" applyFont="1" applyAlignment="1">
      <alignment horizontal="right"/>
    </xf>
    <xf numFmtId="164" fontId="2" fillId="0" borderId="0" xfId="5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2" fontId="2" fillId="0" borderId="0" xfId="0" applyNumberFormat="1" applyFont="1"/>
    <xf numFmtId="169" fontId="2" fillId="0" borderId="0" xfId="1" applyNumberFormat="1" applyFont="1"/>
    <xf numFmtId="0" fontId="1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4" fontId="2" fillId="0" borderId="5" xfId="1" applyNumberFormat="1" applyFont="1" applyBorder="1"/>
    <xf numFmtId="0" fontId="2" fillId="0" borderId="6" xfId="0" applyFont="1" applyBorder="1"/>
    <xf numFmtId="10" fontId="2" fillId="0" borderId="7" xfId="0" applyNumberFormat="1" applyFont="1" applyBorder="1"/>
    <xf numFmtId="0" fontId="2" fillId="0" borderId="8" xfId="0" applyFont="1" applyBorder="1"/>
    <xf numFmtId="164" fontId="2" fillId="0" borderId="7" xfId="0" applyNumberFormat="1" applyFont="1" applyBorder="1"/>
    <xf numFmtId="170" fontId="2" fillId="0" borderId="0" xfId="0" applyNumberFormat="1" applyFont="1"/>
    <xf numFmtId="170" fontId="2" fillId="0" borderId="0" xfId="1" applyNumberFormat="1" applyFont="1"/>
    <xf numFmtId="170" fontId="2" fillId="0" borderId="1" xfId="1" applyNumberFormat="1" applyFont="1" applyBorder="1"/>
    <xf numFmtId="0" fontId="2" fillId="0" borderId="4" xfId="0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164" fontId="1" fillId="0" borderId="1" xfId="0" applyNumberFormat="1" applyFont="1" applyBorder="1" applyAlignment="1">
      <alignment horizontal="center"/>
    </xf>
    <xf numFmtId="171" fontId="2" fillId="0" borderId="0" xfId="1" applyNumberFormat="1" applyFont="1" applyBorder="1"/>
    <xf numFmtId="171" fontId="2" fillId="0" borderId="0" xfId="0" applyNumberFormat="1" applyFont="1"/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1" xfId="0" applyFont="1" applyBorder="1"/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4" xfId="0" applyFont="1" applyBorder="1"/>
    <xf numFmtId="10" fontId="2" fillId="0" borderId="0" xfId="2" applyNumberFormat="1" applyFont="1" applyBorder="1"/>
    <xf numFmtId="10" fontId="2" fillId="0" borderId="14" xfId="2" applyNumberFormat="1" applyFont="1" applyBorder="1"/>
    <xf numFmtId="10" fontId="2" fillId="0" borderId="15" xfId="2" applyNumberFormat="1" applyFont="1" applyBorder="1"/>
    <xf numFmtId="10" fontId="2" fillId="0" borderId="16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horizontal="right"/>
    </xf>
    <xf numFmtId="10" fontId="2" fillId="0" borderId="18" xfId="0" applyNumberFormat="1" applyFont="1" applyBorder="1"/>
    <xf numFmtId="10" fontId="2" fillId="0" borderId="19" xfId="0" applyNumberFormat="1" applyFont="1" applyBorder="1"/>
    <xf numFmtId="0" fontId="1" fillId="0" borderId="18" xfId="0" applyFont="1" applyBorder="1"/>
    <xf numFmtId="164" fontId="1" fillId="0" borderId="2" xfId="1" applyNumberFormat="1" applyFont="1" applyBorder="1"/>
    <xf numFmtId="164" fontId="1" fillId="0" borderId="2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4" fontId="2" fillId="0" borderId="2" xfId="0" applyNumberFormat="1" applyFont="1" applyBorder="1"/>
    <xf numFmtId="177" fontId="2" fillId="0" borderId="0" xfId="0" applyNumberFormat="1" applyFont="1"/>
    <xf numFmtId="180" fontId="2" fillId="0" borderId="0" xfId="0" applyNumberFormat="1" applyFont="1"/>
  </cellXfs>
  <cellStyles count="9">
    <cellStyle name="Comma" xfId="3" builtinId="3"/>
    <cellStyle name="Comma 14" xfId="6" xr:uid="{062CD278-A37C-45A8-AF50-604C05BF6E3F}"/>
    <cellStyle name="Currency" xfId="1" builtinId="4"/>
    <cellStyle name="Currency 164 2" xfId="7" xr:uid="{E8616A32-B271-4A6F-81AE-0DDE81DD7315}"/>
    <cellStyle name="Currency 2" xfId="5" xr:uid="{29B1363E-F75C-4CA1-B4F9-29C0D3E079B1}"/>
    <cellStyle name="Normal" xfId="0" builtinId="0"/>
    <cellStyle name="Normal 49" xfId="4" xr:uid="{2F936C1C-69F8-46EA-8C2C-BC6C491D49E4}"/>
    <cellStyle name="Normal 74 2" xfId="8" xr:uid="{8B42CC45-9794-4A05-B87E-D688038C47E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Kentucky\Delta%2012%202024\Working\Rate%20Base%20DELTA_R_PSCDR1_NUM054_120924_Tab%2055_PUBLIC.xlsx" TargetMode="External"/><Relationship Id="rId1" Type="http://schemas.openxmlformats.org/officeDocument/2006/relationships/externalLinkPath" Target="/Kentucky/Delta%2012%202024/Working/Rate%20Base%20DELTA_R_PSCDR1_NUM054_120924_Tab%2055_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 55 p1"/>
      <sheetName val="Tab 55 p2"/>
      <sheetName val="Tab 55 p3"/>
      <sheetName val="Tab 55 p4"/>
      <sheetName val="Tab 55 p5"/>
      <sheetName val="Tab 55 p6"/>
      <sheetName val="Tab 55 p7"/>
      <sheetName val="Tab 55 p8"/>
      <sheetName val="Tab 55 p9"/>
      <sheetName val="Tab 55 p10"/>
      <sheetName val="Tab 55 p11"/>
      <sheetName val="Tab 55 p12"/>
      <sheetName val="Tab 55 p13"/>
      <sheetName val="Tab 55 p14"/>
    </sheetNames>
    <sheetDataSet>
      <sheetData sheetId="0">
        <row r="34">
          <cell r="H34">
            <v>180570376.43981192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CE55-D6C7-4F36-9F70-6C9232CED94B}">
  <sheetPr>
    <pageSetUpPr fitToPage="1"/>
  </sheetPr>
  <dimension ref="B2:D21"/>
  <sheetViews>
    <sheetView workbookViewId="0">
      <selection activeCell="D4" sqref="D4"/>
    </sheetView>
  </sheetViews>
  <sheetFormatPr defaultRowHeight="15.75" x14ac:dyDescent="0.25"/>
  <cols>
    <col min="1" max="1" width="9.140625" style="2"/>
    <col min="2" max="2" width="9.140625" style="9"/>
    <col min="3" max="3" width="18.5703125" style="9" customWidth="1"/>
    <col min="4" max="4" width="78.140625" style="2" bestFit="1" customWidth="1"/>
    <col min="5" max="5" width="17.85546875" style="2" customWidth="1"/>
    <col min="6" max="16384" width="9.140625" style="2"/>
  </cols>
  <sheetData>
    <row r="2" spans="2:4" x14ac:dyDescent="0.25">
      <c r="D2" s="1" t="s">
        <v>0</v>
      </c>
    </row>
    <row r="3" spans="2:4" x14ac:dyDescent="0.25">
      <c r="D3" s="1" t="s">
        <v>219</v>
      </c>
    </row>
    <row r="4" spans="2:4" x14ac:dyDescent="0.25">
      <c r="D4" s="1" t="s">
        <v>1</v>
      </c>
    </row>
    <row r="5" spans="2:4" x14ac:dyDescent="0.25">
      <c r="D5" s="1" t="s">
        <v>2</v>
      </c>
    </row>
    <row r="9" spans="2:4" x14ac:dyDescent="0.25">
      <c r="B9" s="4" t="s">
        <v>191</v>
      </c>
      <c r="C9" s="4" t="s">
        <v>173</v>
      </c>
      <c r="D9" s="4" t="s">
        <v>172</v>
      </c>
    </row>
    <row r="11" spans="2:4" x14ac:dyDescent="0.25">
      <c r="B11" s="9">
        <v>1</v>
      </c>
      <c r="C11" s="9" t="s">
        <v>174</v>
      </c>
      <c r="D11" s="2" t="s">
        <v>175</v>
      </c>
    </row>
    <row r="12" spans="2:4" x14ac:dyDescent="0.25">
      <c r="B12" s="9">
        <v>2</v>
      </c>
      <c r="C12" s="9" t="s">
        <v>176</v>
      </c>
      <c r="D12" s="2" t="s">
        <v>178</v>
      </c>
    </row>
    <row r="13" spans="2:4" x14ac:dyDescent="0.25">
      <c r="B13" s="9">
        <v>3</v>
      </c>
      <c r="C13" s="9" t="s">
        <v>156</v>
      </c>
      <c r="D13" s="2" t="s">
        <v>177</v>
      </c>
    </row>
    <row r="14" spans="2:4" x14ac:dyDescent="0.25">
      <c r="B14" s="9">
        <v>4</v>
      </c>
      <c r="C14" s="9" t="s">
        <v>159</v>
      </c>
      <c r="D14" s="2" t="s">
        <v>179</v>
      </c>
    </row>
    <row r="15" spans="2:4" x14ac:dyDescent="0.25">
      <c r="B15" s="9">
        <v>5</v>
      </c>
      <c r="C15" s="9" t="s">
        <v>186</v>
      </c>
      <c r="D15" s="2" t="s">
        <v>187</v>
      </c>
    </row>
    <row r="16" spans="2:4" x14ac:dyDescent="0.25">
      <c r="B16" s="9">
        <v>6</v>
      </c>
      <c r="C16" s="9" t="s">
        <v>162</v>
      </c>
      <c r="D16" s="2" t="s">
        <v>180</v>
      </c>
    </row>
    <row r="17" spans="2:4" x14ac:dyDescent="0.25">
      <c r="B17" s="9">
        <v>7</v>
      </c>
      <c r="C17" s="9" t="s">
        <v>163</v>
      </c>
      <c r="D17" s="2" t="s">
        <v>181</v>
      </c>
    </row>
    <row r="18" spans="2:4" x14ac:dyDescent="0.25">
      <c r="B18" s="9">
        <v>8</v>
      </c>
      <c r="C18" s="9" t="s">
        <v>167</v>
      </c>
      <c r="D18" s="2" t="s">
        <v>182</v>
      </c>
    </row>
    <row r="19" spans="2:4" x14ac:dyDescent="0.25">
      <c r="B19" s="9">
        <v>9</v>
      </c>
      <c r="C19" s="9" t="s">
        <v>168</v>
      </c>
      <c r="D19" s="2" t="s">
        <v>183</v>
      </c>
    </row>
    <row r="20" spans="2:4" x14ac:dyDescent="0.25">
      <c r="B20" s="9">
        <v>10</v>
      </c>
      <c r="C20" s="9" t="s">
        <v>169</v>
      </c>
      <c r="D20" s="2" t="s">
        <v>184</v>
      </c>
    </row>
    <row r="21" spans="2:4" x14ac:dyDescent="0.25">
      <c r="B21" s="9">
        <v>11</v>
      </c>
      <c r="C21" s="9" t="s">
        <v>188</v>
      </c>
      <c r="D21" s="2" t="s">
        <v>189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D890-6B2A-4D2A-96CF-9DDD60661A64}">
  <sheetPr>
    <pageSetUpPr fitToPage="1"/>
  </sheetPr>
  <dimension ref="B2:K30"/>
  <sheetViews>
    <sheetView workbookViewId="0">
      <selection activeCell="K25" sqref="K25"/>
    </sheetView>
  </sheetViews>
  <sheetFormatPr defaultRowHeight="15.75" x14ac:dyDescent="0.25"/>
  <cols>
    <col min="1" max="1" width="9.140625" style="2"/>
    <col min="2" max="2" width="11.140625" style="9" customWidth="1"/>
    <col min="3" max="3" width="50.5703125" style="33" bestFit="1" customWidth="1"/>
    <col min="4" max="4" width="4.5703125" style="2" customWidth="1"/>
    <col min="5" max="5" width="15.7109375" style="2" customWidth="1"/>
    <col min="6" max="6" width="4" style="2" customWidth="1"/>
    <col min="7" max="7" width="15.7109375" style="2" customWidth="1"/>
    <col min="8" max="8" width="4.7109375" style="2" customWidth="1"/>
    <col min="9" max="9" width="17" style="2" customWidth="1"/>
    <col min="10" max="10" width="6.7109375" style="2" customWidth="1"/>
    <col min="11" max="11" width="13.85546875" style="2" customWidth="1"/>
    <col min="12" max="16384" width="9.140625" style="2"/>
  </cols>
  <sheetData>
    <row r="2" spans="2:11" x14ac:dyDescent="0.25">
      <c r="C2" s="41" t="s">
        <v>0</v>
      </c>
    </row>
    <row r="3" spans="2:11" ht="31.5" x14ac:dyDescent="0.25">
      <c r="C3" s="41" t="s">
        <v>221</v>
      </c>
    </row>
    <row r="4" spans="2:11" x14ac:dyDescent="0.25">
      <c r="C4" s="41" t="s">
        <v>1</v>
      </c>
    </row>
    <row r="5" spans="2:11" x14ac:dyDescent="0.25">
      <c r="C5" s="41" t="s">
        <v>2</v>
      </c>
      <c r="G5" s="3" t="s">
        <v>222</v>
      </c>
    </row>
    <row r="6" spans="2:11" x14ac:dyDescent="0.25">
      <c r="C6" s="41" t="s">
        <v>8</v>
      </c>
    </row>
    <row r="8" spans="2:11" x14ac:dyDescent="0.25">
      <c r="E8" s="1"/>
      <c r="F8" s="1"/>
      <c r="G8" s="1"/>
      <c r="I8" s="1"/>
      <c r="K8" s="1"/>
    </row>
    <row r="9" spans="2:11" x14ac:dyDescent="0.25">
      <c r="E9" s="3"/>
      <c r="F9" s="1"/>
      <c r="G9" s="1"/>
      <c r="I9" s="1"/>
      <c r="K9" s="1"/>
    </row>
    <row r="10" spans="2:11" ht="31.5" x14ac:dyDescent="0.25">
      <c r="B10" s="4" t="s">
        <v>191</v>
      </c>
      <c r="C10" s="43" t="s">
        <v>59</v>
      </c>
      <c r="E10" s="4" t="s">
        <v>50</v>
      </c>
      <c r="F10" s="1"/>
      <c r="G10" s="43" t="s">
        <v>91</v>
      </c>
      <c r="I10" s="1"/>
      <c r="K10" s="1"/>
    </row>
    <row r="12" spans="2:11" ht="31.5" x14ac:dyDescent="0.25">
      <c r="B12" s="9">
        <v>1</v>
      </c>
      <c r="C12" s="33" t="s">
        <v>218</v>
      </c>
      <c r="E12" s="18">
        <v>24075</v>
      </c>
      <c r="K12" s="38"/>
    </row>
    <row r="13" spans="2:11" x14ac:dyDescent="0.25">
      <c r="C13" s="39"/>
      <c r="K13" s="38"/>
    </row>
    <row r="14" spans="2:11" ht="47.25" x14ac:dyDescent="0.25">
      <c r="B14" s="9">
        <v>2</v>
      </c>
      <c r="C14" s="33" t="s">
        <v>92</v>
      </c>
      <c r="E14" s="14">
        <v>-1493</v>
      </c>
    </row>
    <row r="15" spans="2:11" x14ac:dyDescent="0.25">
      <c r="G15" s="18"/>
      <c r="K15" s="13"/>
    </row>
    <row r="16" spans="2:11" ht="16.5" thickBot="1" x14ac:dyDescent="0.3">
      <c r="B16" s="9">
        <v>3</v>
      </c>
      <c r="C16" s="33" t="s">
        <v>93</v>
      </c>
      <c r="G16" s="40">
        <f>(E12+E14)*-1</f>
        <v>-22582</v>
      </c>
    </row>
    <row r="17" spans="11:11" ht="16.5" thickTop="1" x14ac:dyDescent="0.25"/>
    <row r="22" spans="11:11" x14ac:dyDescent="0.25">
      <c r="K22" s="42"/>
    </row>
    <row r="23" spans="11:11" x14ac:dyDescent="0.25">
      <c r="K23" s="42"/>
    </row>
    <row r="24" spans="11:11" x14ac:dyDescent="0.25">
      <c r="K24" s="42"/>
    </row>
    <row r="28" spans="11:11" x14ac:dyDescent="0.25">
      <c r="K28" s="42"/>
    </row>
    <row r="30" spans="11:11" x14ac:dyDescent="0.25">
      <c r="K30" s="15"/>
    </row>
  </sheetData>
  <pageMargins left="0.7" right="0.7" top="0.75" bottom="0.75" header="0.3" footer="0.3"/>
  <pageSetup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A399-F1F8-47BD-8313-D2ECDDD0A488}">
  <dimension ref="B2:K32"/>
  <sheetViews>
    <sheetView workbookViewId="0">
      <selection activeCell="G10" sqref="G10"/>
    </sheetView>
  </sheetViews>
  <sheetFormatPr defaultRowHeight="15.75" x14ac:dyDescent="0.25"/>
  <cols>
    <col min="1" max="1" width="4.85546875" style="2" customWidth="1"/>
    <col min="2" max="2" width="9.5703125" style="9" customWidth="1"/>
    <col min="3" max="3" width="50.5703125" style="2" bestFit="1" customWidth="1"/>
    <col min="4" max="4" width="4.5703125" style="2" customWidth="1"/>
    <col min="5" max="5" width="15.7109375" style="28" customWidth="1"/>
    <col min="6" max="6" width="4" style="22" customWidth="1"/>
    <col min="7" max="7" width="15.7109375" style="34" customWidth="1"/>
    <col min="8" max="8" width="4.7109375" style="2" customWidth="1"/>
    <col min="9" max="9" width="17" style="2" customWidth="1"/>
    <col min="10" max="10" width="6.7109375" style="2" customWidth="1"/>
    <col min="11" max="11" width="13.85546875" style="2" customWidth="1"/>
    <col min="12" max="16384" width="9.140625" style="2"/>
  </cols>
  <sheetData>
    <row r="2" spans="2:11" x14ac:dyDescent="0.25">
      <c r="C2" s="1" t="s">
        <v>0</v>
      </c>
    </row>
    <row r="3" spans="2:11" x14ac:dyDescent="0.25">
      <c r="C3" s="1" t="s">
        <v>171</v>
      </c>
    </row>
    <row r="4" spans="2:11" x14ac:dyDescent="0.25">
      <c r="C4" s="1" t="s">
        <v>1</v>
      </c>
      <c r="E4" s="30" t="s">
        <v>194</v>
      </c>
    </row>
    <row r="5" spans="2:11" x14ac:dyDescent="0.25">
      <c r="C5" s="1" t="s">
        <v>2</v>
      </c>
    </row>
    <row r="6" spans="2:11" x14ac:dyDescent="0.25">
      <c r="C6" s="1"/>
    </row>
    <row r="7" spans="2:11" x14ac:dyDescent="0.25">
      <c r="C7" s="2" t="s">
        <v>52</v>
      </c>
    </row>
    <row r="8" spans="2:11" x14ac:dyDescent="0.25">
      <c r="E8" s="29"/>
      <c r="F8" s="27"/>
      <c r="G8" s="35"/>
      <c r="I8" s="1"/>
      <c r="K8" s="1"/>
    </row>
    <row r="9" spans="2:11" x14ac:dyDescent="0.25">
      <c r="E9" s="30"/>
      <c r="F9" s="27"/>
      <c r="G9" s="35"/>
      <c r="I9" s="1"/>
      <c r="K9" s="1"/>
    </row>
    <row r="10" spans="2:11" x14ac:dyDescent="0.25">
      <c r="B10" s="4" t="s">
        <v>58</v>
      </c>
      <c r="C10" s="4" t="s">
        <v>59</v>
      </c>
      <c r="D10" s="1"/>
      <c r="E10" s="31" t="s">
        <v>50</v>
      </c>
      <c r="F10" s="27"/>
      <c r="G10" s="35"/>
      <c r="I10" s="1"/>
      <c r="K10" s="1"/>
    </row>
    <row r="12" spans="2:11" x14ac:dyDescent="0.25">
      <c r="B12" s="9">
        <v>1</v>
      </c>
      <c r="C12" s="3" t="s">
        <v>53</v>
      </c>
      <c r="E12" s="28">
        <v>1</v>
      </c>
    </row>
    <row r="13" spans="2:11" x14ac:dyDescent="0.25">
      <c r="B13" s="9">
        <v>2</v>
      </c>
      <c r="C13" s="2" t="s">
        <v>54</v>
      </c>
      <c r="E13" s="28">
        <v>4.4939999999999997E-3</v>
      </c>
    </row>
    <row r="14" spans="2:11" x14ac:dyDescent="0.25">
      <c r="B14" s="9">
        <v>3</v>
      </c>
      <c r="C14" s="2" t="s">
        <v>55</v>
      </c>
      <c r="E14" s="32">
        <v>1.6000000000000001E-3</v>
      </c>
    </row>
    <row r="15" spans="2:11" ht="9" customHeight="1" x14ac:dyDescent="0.25"/>
    <row r="16" spans="2:11" ht="31.5" x14ac:dyDescent="0.25">
      <c r="B16" s="9">
        <v>4</v>
      </c>
      <c r="C16" s="33" t="s">
        <v>56</v>
      </c>
      <c r="E16" s="28">
        <f>E12-E13-E14</f>
        <v>0.99390599999999996</v>
      </c>
    </row>
    <row r="17" spans="2:5" ht="16.5" thickBot="1" x14ac:dyDescent="0.3">
      <c r="B17" s="9">
        <v>5</v>
      </c>
      <c r="C17" s="2" t="s">
        <v>57</v>
      </c>
      <c r="E17" s="37">
        <f>1/E16</f>
        <v>1.0061313645354792</v>
      </c>
    </row>
    <row r="18" spans="2:5" ht="16.5" thickTop="1" x14ac:dyDescent="0.25"/>
    <row r="19" spans="2:5" x14ac:dyDescent="0.25">
      <c r="B19" s="9">
        <v>6</v>
      </c>
      <c r="C19" s="2" t="s">
        <v>60</v>
      </c>
      <c r="E19" s="22">
        <v>1</v>
      </c>
    </row>
    <row r="20" spans="2:5" x14ac:dyDescent="0.25">
      <c r="B20" s="9">
        <v>7</v>
      </c>
      <c r="C20" s="2" t="s">
        <v>61</v>
      </c>
      <c r="E20" s="24">
        <v>0.05</v>
      </c>
    </row>
    <row r="21" spans="2:5" x14ac:dyDescent="0.25">
      <c r="B21" s="9">
        <v>8</v>
      </c>
      <c r="C21" s="2" t="s">
        <v>61</v>
      </c>
      <c r="E21" s="22">
        <f>E19*E20</f>
        <v>0.05</v>
      </c>
    </row>
    <row r="23" spans="2:5" x14ac:dyDescent="0.25">
      <c r="B23" s="9">
        <v>9</v>
      </c>
      <c r="C23" s="2" t="s">
        <v>62</v>
      </c>
      <c r="E23" s="28">
        <f>E19-E21</f>
        <v>0.95</v>
      </c>
    </row>
    <row r="24" spans="2:5" x14ac:dyDescent="0.25">
      <c r="B24" s="9">
        <v>10</v>
      </c>
      <c r="C24" s="2" t="s">
        <v>63</v>
      </c>
      <c r="E24" s="32">
        <v>0.21</v>
      </c>
    </row>
    <row r="25" spans="2:5" x14ac:dyDescent="0.25">
      <c r="B25" s="9">
        <v>11</v>
      </c>
      <c r="C25" s="2" t="s">
        <v>64</v>
      </c>
      <c r="E25" s="28">
        <f>E23*E24</f>
        <v>0.19949999999999998</v>
      </c>
    </row>
    <row r="26" spans="2:5" x14ac:dyDescent="0.25">
      <c r="B26" s="9">
        <v>12</v>
      </c>
      <c r="C26" s="2" t="s">
        <v>65</v>
      </c>
      <c r="E26" s="32">
        <v>0.05</v>
      </c>
    </row>
    <row r="27" spans="2:5" x14ac:dyDescent="0.25">
      <c r="B27" s="9">
        <v>13</v>
      </c>
      <c r="C27" s="2" t="s">
        <v>66</v>
      </c>
      <c r="E27" s="28">
        <f>E25+E26</f>
        <v>0.2495</v>
      </c>
    </row>
    <row r="29" spans="2:5" ht="32.25" thickBot="1" x14ac:dyDescent="0.3">
      <c r="B29" s="9">
        <v>14</v>
      </c>
      <c r="C29" s="33" t="s">
        <v>67</v>
      </c>
      <c r="E29" s="36">
        <f>1/(1-E27)</f>
        <v>1.3324450366422387</v>
      </c>
    </row>
    <row r="30" spans="2:5" ht="16.5" thickTop="1" x14ac:dyDescent="0.25"/>
    <row r="31" spans="2:5" ht="16.5" thickBot="1" x14ac:dyDescent="0.3">
      <c r="B31" s="9">
        <v>15</v>
      </c>
      <c r="C31" s="2" t="s">
        <v>68</v>
      </c>
      <c r="E31" s="36">
        <f>E17*E29</f>
        <v>1.3406147428853823</v>
      </c>
    </row>
    <row r="32" spans="2:5" ht="16.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6943-810D-4F61-8918-137FC2ED5CE1}">
  <sheetPr>
    <pageSetUpPr fitToPage="1"/>
  </sheetPr>
  <dimension ref="B2:K28"/>
  <sheetViews>
    <sheetView workbookViewId="0">
      <selection activeCell="K17" sqref="K17"/>
    </sheetView>
  </sheetViews>
  <sheetFormatPr defaultRowHeight="15.75" x14ac:dyDescent="0.25"/>
  <cols>
    <col min="1" max="1" width="9.140625" style="2"/>
    <col min="2" max="2" width="9" style="9" customWidth="1"/>
    <col min="3" max="3" width="50.5703125" style="2" bestFit="1" customWidth="1"/>
    <col min="4" max="4" width="4.5703125" style="2" customWidth="1"/>
    <col min="5" max="5" width="15.7109375" style="2" customWidth="1"/>
    <col min="6" max="6" width="4" style="2" customWidth="1"/>
    <col min="7" max="7" width="12" style="2" customWidth="1"/>
    <col min="8" max="8" width="4.7109375" style="2" customWidth="1"/>
    <col min="9" max="9" width="10.85546875" style="2" customWidth="1"/>
    <col min="10" max="10" width="4" style="2" customWidth="1"/>
    <col min="11" max="11" width="13.85546875" style="2" customWidth="1"/>
    <col min="12" max="16384" width="9.140625" style="2"/>
  </cols>
  <sheetData>
    <row r="2" spans="2:11" x14ac:dyDescent="0.25">
      <c r="C2" s="1" t="s">
        <v>0</v>
      </c>
    </row>
    <row r="3" spans="2:11" x14ac:dyDescent="0.25">
      <c r="C3" s="1" t="s">
        <v>157</v>
      </c>
      <c r="I3" s="3" t="s">
        <v>155</v>
      </c>
    </row>
    <row r="4" spans="2:11" x14ac:dyDescent="0.25">
      <c r="C4" s="1" t="s">
        <v>1</v>
      </c>
    </row>
    <row r="5" spans="2:11" x14ac:dyDescent="0.25">
      <c r="C5" s="1" t="s">
        <v>2</v>
      </c>
    </row>
    <row r="6" spans="2:11" x14ac:dyDescent="0.25">
      <c r="C6" s="1" t="s">
        <v>8</v>
      </c>
    </row>
    <row r="7" spans="2:11" x14ac:dyDescent="0.25">
      <c r="I7" s="1" t="s">
        <v>192</v>
      </c>
    </row>
    <row r="8" spans="2:11" x14ac:dyDescent="0.25">
      <c r="E8" s="1"/>
      <c r="F8" s="1"/>
      <c r="G8" s="1" t="s">
        <v>48</v>
      </c>
      <c r="I8" s="1" t="s">
        <v>51</v>
      </c>
      <c r="K8" s="1" t="s">
        <v>5</v>
      </c>
    </row>
    <row r="9" spans="2:11" x14ac:dyDescent="0.25">
      <c r="E9" s="3"/>
      <c r="F9" s="1"/>
      <c r="G9" s="1" t="s">
        <v>49</v>
      </c>
      <c r="I9" s="1" t="s">
        <v>193</v>
      </c>
      <c r="K9" s="1" t="s">
        <v>6</v>
      </c>
    </row>
    <row r="10" spans="2:11" x14ac:dyDescent="0.25">
      <c r="B10" s="4" t="s">
        <v>69</v>
      </c>
      <c r="C10" s="4" t="s">
        <v>59</v>
      </c>
      <c r="E10" s="4" t="s">
        <v>4</v>
      </c>
      <c r="F10" s="1"/>
      <c r="G10" s="4" t="s">
        <v>50</v>
      </c>
      <c r="I10" s="4" t="s">
        <v>19</v>
      </c>
      <c r="K10" s="4" t="s">
        <v>7</v>
      </c>
    </row>
    <row r="12" spans="2:11" x14ac:dyDescent="0.25">
      <c r="B12" s="9">
        <v>1</v>
      </c>
      <c r="C12" s="3" t="s">
        <v>3</v>
      </c>
      <c r="K12" s="69">
        <v>10.880655000000001</v>
      </c>
    </row>
    <row r="13" spans="2:11" x14ac:dyDescent="0.25">
      <c r="C13" s="3"/>
      <c r="K13" s="18"/>
    </row>
    <row r="14" spans="2:11" x14ac:dyDescent="0.25">
      <c r="B14" s="9">
        <v>2</v>
      </c>
      <c r="C14" s="3" t="s">
        <v>10</v>
      </c>
      <c r="E14" s="9" t="s">
        <v>156</v>
      </c>
      <c r="G14" s="90">
        <f>'DND-3 Cap Structure'!E33/1000000</f>
        <v>-2.186575492690455</v>
      </c>
      <c r="I14" s="2">
        <f>'DND-10 GRCF'!$E$17</f>
        <v>1.0061313645354792</v>
      </c>
      <c r="K14" s="78">
        <f>G14*I14</f>
        <v>-2.1999821841204854</v>
      </c>
    </row>
    <row r="15" spans="2:11" ht="6.75" customHeight="1" x14ac:dyDescent="0.25">
      <c r="C15" s="3"/>
      <c r="E15" s="9"/>
      <c r="G15" s="91"/>
      <c r="K15" s="18"/>
    </row>
    <row r="16" spans="2:11" x14ac:dyDescent="0.25">
      <c r="B16" s="9">
        <v>3</v>
      </c>
      <c r="C16" s="3" t="s">
        <v>143</v>
      </c>
      <c r="E16" s="9"/>
      <c r="G16" s="91"/>
      <c r="K16" s="18"/>
    </row>
    <row r="17" spans="2:11" x14ac:dyDescent="0.25">
      <c r="B17" s="9">
        <v>4</v>
      </c>
      <c r="C17" s="17" t="s">
        <v>142</v>
      </c>
      <c r="E17" s="9" t="s">
        <v>159</v>
      </c>
      <c r="G17" s="116">
        <f>'DND-4 CWC'!D56/1000000</f>
        <v>-0.19673844781990291</v>
      </c>
      <c r="I17" s="2">
        <f>'DND-10 GRCF'!$E$17</f>
        <v>1.0061313645354792</v>
      </c>
      <c r="K17" s="117">
        <f>G17*I17</f>
        <v>-0.1979447229616311</v>
      </c>
    </row>
    <row r="18" spans="2:11" ht="6.75" customHeight="1" x14ac:dyDescent="0.25">
      <c r="E18" s="9"/>
      <c r="G18" s="91"/>
      <c r="K18" s="68"/>
    </row>
    <row r="19" spans="2:11" x14ac:dyDescent="0.25">
      <c r="B19" s="9">
        <v>5</v>
      </c>
      <c r="C19" s="3" t="s">
        <v>9</v>
      </c>
      <c r="E19" s="9"/>
      <c r="G19" s="91"/>
      <c r="K19" s="68"/>
    </row>
    <row r="20" spans="2:11" x14ac:dyDescent="0.25">
      <c r="B20" s="9">
        <v>6</v>
      </c>
      <c r="C20" s="17" t="s">
        <v>47</v>
      </c>
      <c r="E20" s="9" t="s">
        <v>162</v>
      </c>
      <c r="G20" s="91">
        <f>-'DND-5 Inc Comp'!L14/1000000</f>
        <v>-0.203459</v>
      </c>
      <c r="I20" s="2">
        <f>'DND-10 GRCF'!$E$17</f>
        <v>1.0061313645354792</v>
      </c>
      <c r="K20" s="79">
        <f t="shared" ref="K20:K25" si="0">G20*I20</f>
        <v>-0.20470648129702407</v>
      </c>
    </row>
    <row r="21" spans="2:11" x14ac:dyDescent="0.25">
      <c r="B21" s="9">
        <v>7</v>
      </c>
      <c r="C21" s="17" t="s">
        <v>70</v>
      </c>
      <c r="E21" s="9" t="s">
        <v>162</v>
      </c>
      <c r="G21" s="91">
        <f>-'DND-5 Inc Comp'!E22/1000000</f>
        <v>-0.25491200000000003</v>
      </c>
      <c r="I21" s="2">
        <f>I20</f>
        <v>1.0061313645354792</v>
      </c>
      <c r="K21" s="79">
        <f t="shared" si="0"/>
        <v>-0.25647495839646811</v>
      </c>
    </row>
    <row r="22" spans="2:11" x14ac:dyDescent="0.25">
      <c r="B22" s="9">
        <v>8</v>
      </c>
      <c r="C22" s="17" t="s">
        <v>74</v>
      </c>
      <c r="E22" s="9" t="s">
        <v>163</v>
      </c>
      <c r="G22" s="91">
        <f>'DND-6 Emp Benefits'!G16/1000000</f>
        <v>-1.152293</v>
      </c>
      <c r="I22" s="2">
        <f>I21</f>
        <v>1.0061313645354792</v>
      </c>
      <c r="K22" s="79">
        <f t="shared" si="0"/>
        <v>-1.159358128434681</v>
      </c>
    </row>
    <row r="23" spans="2:11" x14ac:dyDescent="0.25">
      <c r="B23" s="9">
        <v>9</v>
      </c>
      <c r="C23" s="17" t="s">
        <v>78</v>
      </c>
      <c r="E23" s="9" t="s">
        <v>167</v>
      </c>
      <c r="G23" s="91">
        <f>'DND-7 Lobbying'!G16/1000000</f>
        <v>-7.8709999999999995E-3</v>
      </c>
      <c r="I23" s="2">
        <f>I22</f>
        <v>1.0061313645354792</v>
      </c>
      <c r="K23" s="79">
        <f t="shared" si="0"/>
        <v>-7.9192599702587567E-3</v>
      </c>
    </row>
    <row r="24" spans="2:11" x14ac:dyDescent="0.25">
      <c r="B24" s="9">
        <v>10</v>
      </c>
      <c r="C24" s="17" t="s">
        <v>89</v>
      </c>
      <c r="E24" s="9" t="s">
        <v>168</v>
      </c>
      <c r="G24" s="91">
        <f>'DND-8 Lobbying OH'!G16/1000000</f>
        <v>-2.333E-2</v>
      </c>
      <c r="I24" s="2">
        <f>I23</f>
        <v>1.0061313645354792</v>
      </c>
      <c r="K24" s="79">
        <f t="shared" si="0"/>
        <v>-2.347304473461273E-2</v>
      </c>
    </row>
    <row r="25" spans="2:11" x14ac:dyDescent="0.25">
      <c r="B25" s="9">
        <v>11</v>
      </c>
      <c r="C25" s="17" t="s">
        <v>90</v>
      </c>
      <c r="E25" s="9" t="s">
        <v>169</v>
      </c>
      <c r="G25" s="91">
        <f>'DND-9 AGA Dues'!G16/1000000</f>
        <v>-2.2582000000000001E-2</v>
      </c>
      <c r="I25" s="2">
        <f>I24</f>
        <v>1.0061313645354792</v>
      </c>
      <c r="K25" s="80">
        <f t="shared" si="0"/>
        <v>-2.2720458473940195E-2</v>
      </c>
    </row>
    <row r="26" spans="2:11" ht="6.75" customHeight="1" x14ac:dyDescent="0.25"/>
    <row r="27" spans="2:11" ht="16.5" thickBot="1" x14ac:dyDescent="0.3">
      <c r="B27" s="9">
        <v>12</v>
      </c>
      <c r="C27" s="3" t="s">
        <v>73</v>
      </c>
      <c r="K27" s="115">
        <f>SUM(K12:K25)</f>
        <v>6.8080757616108984</v>
      </c>
    </row>
    <row r="28" spans="2:11" ht="16.5" thickTop="1" x14ac:dyDescent="0.25"/>
  </sheetData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D5EC-D12A-47F9-96B5-35EDC9504B92}">
  <sheetPr>
    <pageSetUpPr fitToPage="1"/>
  </sheetPr>
  <dimension ref="B2:P33"/>
  <sheetViews>
    <sheetView workbookViewId="0">
      <selection activeCell="G32" sqref="G32"/>
    </sheetView>
  </sheetViews>
  <sheetFormatPr defaultRowHeight="15.75" x14ac:dyDescent="0.25"/>
  <cols>
    <col min="1" max="1" width="9.140625" style="2"/>
    <col min="2" max="2" width="8.42578125" style="9" customWidth="1"/>
    <col min="3" max="3" width="28.42578125" style="2" customWidth="1"/>
    <col min="4" max="4" width="4.7109375" style="2" customWidth="1"/>
    <col min="5" max="5" width="20.7109375" style="2" customWidth="1"/>
    <col min="6" max="6" width="4.7109375" style="2" customWidth="1"/>
    <col min="7" max="7" width="20.7109375" style="2" customWidth="1"/>
    <col min="8" max="8" width="4.7109375" style="2" customWidth="1"/>
    <col min="9" max="9" width="20.7109375" style="2" customWidth="1"/>
    <col min="10" max="10" width="4.7109375" style="2" customWidth="1"/>
    <col min="11" max="11" width="10.140625" style="2" customWidth="1"/>
    <col min="12" max="12" width="4.5703125" style="2" customWidth="1"/>
    <col min="13" max="13" width="20.7109375" style="2" customWidth="1"/>
    <col min="14" max="15" width="9.140625" style="2"/>
    <col min="16" max="16" width="20.140625" style="2" customWidth="1"/>
    <col min="17" max="16384" width="9.140625" style="2"/>
  </cols>
  <sheetData>
    <row r="2" spans="2:16" x14ac:dyDescent="0.25">
      <c r="D2" s="1" t="s">
        <v>0</v>
      </c>
    </row>
    <row r="3" spans="2:16" x14ac:dyDescent="0.25">
      <c r="D3" s="1" t="s">
        <v>158</v>
      </c>
    </row>
    <row r="4" spans="2:16" x14ac:dyDescent="0.25">
      <c r="D4" s="1" t="s">
        <v>1</v>
      </c>
      <c r="K4" s="1" t="s">
        <v>190</v>
      </c>
    </row>
    <row r="5" spans="2:16" x14ac:dyDescent="0.25">
      <c r="D5" s="1" t="s">
        <v>2</v>
      </c>
    </row>
    <row r="6" spans="2:16" x14ac:dyDescent="0.25">
      <c r="D6" s="1" t="s">
        <v>8</v>
      </c>
    </row>
    <row r="7" spans="2:16" x14ac:dyDescent="0.25">
      <c r="D7" s="1"/>
    </row>
    <row r="8" spans="2:16" x14ac:dyDescent="0.25">
      <c r="B8" s="4" t="s">
        <v>191</v>
      </c>
      <c r="C8" s="4" t="s">
        <v>59</v>
      </c>
      <c r="D8" s="1"/>
      <c r="E8" s="111" t="s">
        <v>20</v>
      </c>
      <c r="F8" s="112"/>
      <c r="G8" s="112"/>
      <c r="H8" s="112"/>
      <c r="I8" s="112"/>
    </row>
    <row r="9" spans="2:16" ht="16.5" thickBot="1" x14ac:dyDescent="0.3"/>
    <row r="10" spans="2:16" x14ac:dyDescent="0.25">
      <c r="B10" s="92"/>
      <c r="C10" s="93"/>
      <c r="D10" s="93"/>
      <c r="E10" s="93" t="s">
        <v>12</v>
      </c>
      <c r="F10" s="93"/>
      <c r="G10" s="93" t="s">
        <v>11</v>
      </c>
      <c r="H10" s="93"/>
      <c r="I10" s="93" t="s">
        <v>15</v>
      </c>
      <c r="J10" s="93"/>
      <c r="K10" s="93" t="s">
        <v>18</v>
      </c>
      <c r="L10" s="94"/>
      <c r="M10" s="95" t="s">
        <v>17</v>
      </c>
    </row>
    <row r="11" spans="2:16" x14ac:dyDescent="0.25">
      <c r="B11" s="96"/>
      <c r="C11" s="1" t="s">
        <v>11</v>
      </c>
      <c r="D11" s="1"/>
      <c r="E11" s="1" t="s">
        <v>13</v>
      </c>
      <c r="F11" s="1"/>
      <c r="G11" s="1" t="s">
        <v>14</v>
      </c>
      <c r="H11" s="1"/>
      <c r="I11" s="1" t="s">
        <v>16</v>
      </c>
      <c r="J11" s="1"/>
      <c r="K11" s="1" t="s">
        <v>19</v>
      </c>
      <c r="M11" s="97" t="s">
        <v>16</v>
      </c>
    </row>
    <row r="12" spans="2:16" x14ac:dyDescent="0.25">
      <c r="B12" s="96"/>
      <c r="E12" s="1"/>
      <c r="M12" s="98"/>
      <c r="P12" s="18"/>
    </row>
    <row r="13" spans="2:16" x14ac:dyDescent="0.25">
      <c r="B13" s="96">
        <v>1</v>
      </c>
      <c r="C13" s="2" t="s">
        <v>21</v>
      </c>
      <c r="E13" s="99">
        <v>0.52759999999999996</v>
      </c>
      <c r="F13" s="99"/>
      <c r="G13" s="99">
        <v>0.1095</v>
      </c>
      <c r="H13" s="99"/>
      <c r="I13" s="99">
        <f>E13*G13</f>
        <v>5.7772199999999996E-2</v>
      </c>
      <c r="K13" s="2">
        <v>1.3324450000000001</v>
      </c>
      <c r="M13" s="100">
        <f>I13*K13</f>
        <v>7.6978279028999994E-2</v>
      </c>
      <c r="O13" s="7"/>
    </row>
    <row r="14" spans="2:16" x14ac:dyDescent="0.25">
      <c r="B14" s="96">
        <v>2</v>
      </c>
      <c r="C14" s="2" t="s">
        <v>22</v>
      </c>
      <c r="E14" s="99">
        <v>0.47239999999999999</v>
      </c>
      <c r="F14" s="99"/>
      <c r="G14" s="99">
        <v>4.5100000000000001E-2</v>
      </c>
      <c r="I14" s="6">
        <f>E14*G14</f>
        <v>2.130524E-2</v>
      </c>
      <c r="K14" s="2">
        <v>1</v>
      </c>
      <c r="M14" s="101">
        <f>I14*K14</f>
        <v>2.130524E-2</v>
      </c>
      <c r="P14" s="18"/>
    </row>
    <row r="15" spans="2:16" x14ac:dyDescent="0.25">
      <c r="B15" s="96"/>
      <c r="M15" s="98"/>
    </row>
    <row r="16" spans="2:16" ht="16.5" thickBot="1" x14ac:dyDescent="0.3">
      <c r="B16" s="103">
        <v>3</v>
      </c>
      <c r="C16" s="105" t="s">
        <v>23</v>
      </c>
      <c r="D16" s="104"/>
      <c r="E16" s="104"/>
      <c r="F16" s="104"/>
      <c r="G16" s="104"/>
      <c r="H16" s="104"/>
      <c r="I16" s="106">
        <f>I13+I14</f>
        <v>7.9077439999999999E-2</v>
      </c>
      <c r="J16" s="104"/>
      <c r="K16" s="104"/>
      <c r="L16" s="104"/>
      <c r="M16" s="107">
        <f>M13+M14</f>
        <v>9.8283519028999997E-2</v>
      </c>
      <c r="P16" s="20"/>
    </row>
    <row r="17" spans="2:16" x14ac:dyDescent="0.25">
      <c r="P17" s="20"/>
    </row>
    <row r="19" spans="2:16" x14ac:dyDescent="0.25">
      <c r="B19" s="4" t="s">
        <v>69</v>
      </c>
      <c r="C19" s="4" t="s">
        <v>59</v>
      </c>
      <c r="E19" s="111" t="s">
        <v>185</v>
      </c>
      <c r="F19" s="112"/>
      <c r="G19" s="112"/>
      <c r="H19" s="112"/>
      <c r="I19" s="112"/>
      <c r="P19" s="13"/>
    </row>
    <row r="20" spans="2:16" ht="16.5" thickBot="1" x14ac:dyDescent="0.3">
      <c r="P20" s="15"/>
    </row>
    <row r="21" spans="2:16" x14ac:dyDescent="0.25">
      <c r="B21" s="92"/>
      <c r="C21" s="93"/>
      <c r="D21" s="93"/>
      <c r="E21" s="93" t="s">
        <v>12</v>
      </c>
      <c r="F21" s="93"/>
      <c r="G21" s="93" t="s">
        <v>11</v>
      </c>
      <c r="H21" s="93"/>
      <c r="I21" s="93" t="s">
        <v>15</v>
      </c>
      <c r="J21" s="93"/>
      <c r="K21" s="93" t="s">
        <v>18</v>
      </c>
      <c r="L21" s="94"/>
      <c r="M21" s="95" t="s">
        <v>17</v>
      </c>
    </row>
    <row r="22" spans="2:16" x14ac:dyDescent="0.25">
      <c r="B22" s="96"/>
      <c r="C22" s="1" t="s">
        <v>11</v>
      </c>
      <c r="D22" s="1"/>
      <c r="E22" s="1" t="s">
        <v>13</v>
      </c>
      <c r="F22" s="1"/>
      <c r="G22" s="1" t="s">
        <v>14</v>
      </c>
      <c r="H22" s="1"/>
      <c r="I22" s="1" t="s">
        <v>16</v>
      </c>
      <c r="J22" s="1"/>
      <c r="K22" s="1" t="s">
        <v>19</v>
      </c>
      <c r="M22" s="97" t="s">
        <v>16</v>
      </c>
    </row>
    <row r="23" spans="2:16" x14ac:dyDescent="0.25">
      <c r="B23" s="96"/>
      <c r="M23" s="98"/>
    </row>
    <row r="24" spans="2:16" x14ac:dyDescent="0.25">
      <c r="B24" s="96">
        <v>4</v>
      </c>
      <c r="C24" s="2" t="s">
        <v>21</v>
      </c>
      <c r="E24" s="99">
        <v>0.5</v>
      </c>
      <c r="F24" s="99"/>
      <c r="G24" s="99">
        <v>9.5500000000000002E-2</v>
      </c>
      <c r="H24" s="99"/>
      <c r="I24" s="99">
        <f>E24*G24</f>
        <v>4.7750000000000001E-2</v>
      </c>
      <c r="K24" s="2">
        <v>1.3324450000000001</v>
      </c>
      <c r="M24" s="100">
        <f t="shared" ref="M24:M25" si="0">I24*K24</f>
        <v>6.3624248750000001E-2</v>
      </c>
    </row>
    <row r="25" spans="2:16" x14ac:dyDescent="0.25">
      <c r="B25" s="96">
        <v>5</v>
      </c>
      <c r="C25" s="2" t="s">
        <v>22</v>
      </c>
      <c r="E25" s="99">
        <v>0.5</v>
      </c>
      <c r="F25" s="99"/>
      <c r="G25" s="99">
        <v>4.5100000000000001E-2</v>
      </c>
      <c r="I25" s="6">
        <f>E25*G25</f>
        <v>2.2550000000000001E-2</v>
      </c>
      <c r="K25" s="2">
        <v>1</v>
      </c>
      <c r="M25" s="101">
        <f t="shared" si="0"/>
        <v>2.2550000000000001E-2</v>
      </c>
    </row>
    <row r="26" spans="2:16" x14ac:dyDescent="0.25">
      <c r="B26" s="96"/>
      <c r="M26" s="98"/>
    </row>
    <row r="27" spans="2:16" ht="16.5" thickBot="1" x14ac:dyDescent="0.3">
      <c r="B27" s="96">
        <v>6</v>
      </c>
      <c r="C27" s="8" t="s">
        <v>23</v>
      </c>
      <c r="I27" s="7">
        <f>I24+I25</f>
        <v>7.0300000000000001E-2</v>
      </c>
      <c r="M27" s="102">
        <f>M24+M25</f>
        <v>8.6174248750000002E-2</v>
      </c>
    </row>
    <row r="28" spans="2:16" ht="16.5" thickTop="1" x14ac:dyDescent="0.25">
      <c r="B28" s="96"/>
      <c r="M28" s="98"/>
    </row>
    <row r="29" spans="2:16" ht="16.5" thickBot="1" x14ac:dyDescent="0.3">
      <c r="B29" s="103">
        <v>7</v>
      </c>
      <c r="C29" s="104"/>
      <c r="D29" s="104"/>
      <c r="E29" s="104"/>
      <c r="F29" s="104"/>
      <c r="G29" s="104"/>
      <c r="H29" s="104"/>
      <c r="I29" s="108" t="s">
        <v>71</v>
      </c>
      <c r="J29" s="104"/>
      <c r="K29" s="104"/>
      <c r="L29" s="104"/>
      <c r="M29" s="107">
        <f>M27-M16</f>
        <v>-1.2109270278999995E-2</v>
      </c>
    </row>
    <row r="31" spans="2:16" x14ac:dyDescent="0.25">
      <c r="B31" s="9">
        <v>8</v>
      </c>
      <c r="C31" s="71" t="s">
        <v>146</v>
      </c>
      <c r="D31" s="72"/>
      <c r="E31" s="73">
        <f>'[1]Tab 55 p1'!$H$34</f>
        <v>180570376.43981192</v>
      </c>
    </row>
    <row r="32" spans="2:16" x14ac:dyDescent="0.25">
      <c r="B32" s="9">
        <v>9</v>
      </c>
      <c r="C32" s="74" t="s">
        <v>71</v>
      </c>
      <c r="E32" s="75">
        <f>M29</f>
        <v>-1.2109270278999995E-2</v>
      </c>
    </row>
    <row r="33" spans="2:9" x14ac:dyDescent="0.25">
      <c r="B33" s="9">
        <v>10</v>
      </c>
      <c r="C33" s="76" t="s">
        <v>72</v>
      </c>
      <c r="D33" s="19"/>
      <c r="E33" s="77">
        <f>E31*E32</f>
        <v>-2186575.4926904552</v>
      </c>
      <c r="I33" s="13"/>
    </row>
  </sheetData>
  <mergeCells count="2">
    <mergeCell ref="E8:I8"/>
    <mergeCell ref="E19:I19"/>
  </mergeCells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B635-C75B-4ECC-A123-3872A1BB8EC9}">
  <sheetPr>
    <pageSetUpPr fitToPage="1"/>
  </sheetPr>
  <dimension ref="A2:O57"/>
  <sheetViews>
    <sheetView topLeftCell="A31" workbookViewId="0">
      <selection activeCell="D59" sqref="D59"/>
    </sheetView>
  </sheetViews>
  <sheetFormatPr defaultRowHeight="15.75" x14ac:dyDescent="0.25"/>
  <cols>
    <col min="1" max="1" width="9.140625" style="9"/>
    <col min="2" max="2" width="47.28515625" style="2" bestFit="1" customWidth="1"/>
    <col min="3" max="3" width="9.140625" style="2"/>
    <col min="4" max="4" width="17.28515625" style="2" bestFit="1" customWidth="1"/>
    <col min="5" max="11" width="15.5703125" style="2" customWidth="1"/>
    <col min="12" max="12" width="13" style="2" hidden="1" customWidth="1"/>
    <col min="13" max="13" width="10.42578125" style="2" bestFit="1" customWidth="1"/>
    <col min="14" max="14" width="9.140625" style="2"/>
    <col min="15" max="15" width="17.7109375" style="2" bestFit="1" customWidth="1"/>
    <col min="16" max="16384" width="9.140625" style="2"/>
  </cols>
  <sheetData>
    <row r="2" spans="1:15" x14ac:dyDescent="0.25">
      <c r="C2" s="1" t="s">
        <v>0</v>
      </c>
    </row>
    <row r="3" spans="1:15" x14ac:dyDescent="0.25">
      <c r="C3" s="1" t="s">
        <v>220</v>
      </c>
    </row>
    <row r="4" spans="1:15" x14ac:dyDescent="0.25">
      <c r="C4" s="1" t="s">
        <v>1</v>
      </c>
    </row>
    <row r="5" spans="1:15" x14ac:dyDescent="0.25">
      <c r="C5" s="1" t="s">
        <v>2</v>
      </c>
    </row>
    <row r="6" spans="1:15" x14ac:dyDescent="0.25">
      <c r="C6" s="1" t="s">
        <v>8</v>
      </c>
    </row>
    <row r="7" spans="1:15" x14ac:dyDescent="0.25">
      <c r="K7" s="3" t="s">
        <v>160</v>
      </c>
    </row>
    <row r="9" spans="1:15" x14ac:dyDescent="0.25">
      <c r="G9" s="9"/>
    </row>
    <row r="10" spans="1:15" x14ac:dyDescent="0.25">
      <c r="A10" s="4" t="s">
        <v>69</v>
      </c>
      <c r="B10" s="4" t="s">
        <v>59</v>
      </c>
      <c r="D10" s="9" t="s">
        <v>50</v>
      </c>
      <c r="E10" s="113" t="s">
        <v>116</v>
      </c>
      <c r="F10" s="114"/>
      <c r="G10" s="114"/>
      <c r="H10" s="114"/>
      <c r="I10" s="114"/>
      <c r="J10" s="114"/>
      <c r="K10" s="114"/>
      <c r="L10" s="19"/>
    </row>
    <row r="11" spans="1:15" x14ac:dyDescent="0.25">
      <c r="G11" s="9"/>
    </row>
    <row r="12" spans="1:15" x14ac:dyDescent="0.25">
      <c r="D12" s="9" t="s">
        <v>140</v>
      </c>
      <c r="I12" s="9" t="s">
        <v>127</v>
      </c>
      <c r="J12" s="9" t="s">
        <v>153</v>
      </c>
      <c r="L12" s="9" t="s">
        <v>122</v>
      </c>
      <c r="M12" s="9" t="s">
        <v>124</v>
      </c>
      <c r="O12" s="9" t="s">
        <v>126</v>
      </c>
    </row>
    <row r="13" spans="1:15" x14ac:dyDescent="0.25">
      <c r="D13" s="9" t="s">
        <v>141</v>
      </c>
      <c r="E13" s="9" t="s">
        <v>117</v>
      </c>
      <c r="F13" s="9" t="s">
        <v>118</v>
      </c>
      <c r="G13" s="9" t="s">
        <v>119</v>
      </c>
      <c r="H13" s="9" t="s">
        <v>120</v>
      </c>
      <c r="I13" s="9" t="s">
        <v>128</v>
      </c>
      <c r="J13" s="9" t="s">
        <v>154</v>
      </c>
      <c r="K13" s="9" t="s">
        <v>121</v>
      </c>
      <c r="L13" s="9" t="s">
        <v>123</v>
      </c>
      <c r="M13" s="9" t="s">
        <v>125</v>
      </c>
      <c r="O13" s="9" t="s">
        <v>125</v>
      </c>
    </row>
    <row r="14" spans="1:15" x14ac:dyDescent="0.25">
      <c r="A14" s="9">
        <v>1</v>
      </c>
      <c r="B14" s="44" t="s">
        <v>94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ht="20.25" x14ac:dyDescent="0.55000000000000004">
      <c r="A15" s="9">
        <v>2</v>
      </c>
      <c r="B15" s="46" t="s">
        <v>95</v>
      </c>
      <c r="C15" s="47"/>
      <c r="D15" s="52">
        <v>16227683</v>
      </c>
      <c r="E15" s="52"/>
      <c r="F15" s="52"/>
      <c r="G15" s="52"/>
      <c r="H15" s="52"/>
      <c r="I15" s="52"/>
      <c r="J15" s="52"/>
      <c r="K15" s="52">
        <f>SUM(D15:H15)</f>
        <v>16227683</v>
      </c>
      <c r="L15" s="52">
        <f>K15/365.25</f>
        <v>44428.974674880221</v>
      </c>
      <c r="M15" s="49">
        <v>-41.761698889112701</v>
      </c>
      <c r="N15" s="49"/>
      <c r="O15" s="53">
        <f>K15*M15</f>
        <v>-677695611.11397302</v>
      </c>
    </row>
    <row r="16" spans="1:15" ht="20.25" x14ac:dyDescent="0.55000000000000004">
      <c r="A16" s="9">
        <v>3</v>
      </c>
      <c r="B16" s="46" t="s">
        <v>96</v>
      </c>
      <c r="C16" s="47"/>
      <c r="D16" s="52">
        <v>12054194.757050002</v>
      </c>
      <c r="E16" s="52"/>
      <c r="F16" s="52"/>
      <c r="G16" s="52">
        <f>-'DND-8 Lobbying OH'!G16</f>
        <v>23330</v>
      </c>
      <c r="H16" s="52"/>
      <c r="I16" s="52"/>
      <c r="J16" s="52"/>
      <c r="K16" s="52">
        <f t="shared" ref="K16:K22" si="0">SUM(D16:H16)</f>
        <v>12077524.757050002</v>
      </c>
      <c r="L16" s="52">
        <f t="shared" ref="L16:L22" si="1">K16/365.25</f>
        <v>33066.460662696787</v>
      </c>
      <c r="M16" s="49">
        <v>-11.0086099824962</v>
      </c>
      <c r="N16" s="49"/>
      <c r="O16" s="53">
        <f t="shared" ref="O16:O22" si="2">K16*M16</f>
        <v>-132956759.60430564</v>
      </c>
    </row>
    <row r="17" spans="1:15" ht="20.25" x14ac:dyDescent="0.55000000000000004">
      <c r="A17" s="9">
        <v>4</v>
      </c>
      <c r="B17" s="46" t="s">
        <v>97</v>
      </c>
      <c r="C17" s="47"/>
      <c r="D17" s="54">
        <v>143115</v>
      </c>
      <c r="E17" s="54"/>
      <c r="F17" s="54"/>
      <c r="G17" s="54"/>
      <c r="H17" s="54"/>
      <c r="I17" s="54"/>
      <c r="J17" s="54"/>
      <c r="K17" s="52">
        <f t="shared" si="0"/>
        <v>143115</v>
      </c>
      <c r="L17" s="52">
        <f t="shared" si="1"/>
        <v>391.82751540041068</v>
      </c>
      <c r="M17" s="49">
        <v>-11.0086099824962</v>
      </c>
      <c r="N17" s="49"/>
      <c r="O17" s="53">
        <f t="shared" si="2"/>
        <v>-1575497.2176449436</v>
      </c>
    </row>
    <row r="18" spans="1:15" ht="20.25" x14ac:dyDescent="0.55000000000000004">
      <c r="A18" s="9">
        <v>5</v>
      </c>
      <c r="B18" s="46" t="s">
        <v>98</v>
      </c>
      <c r="C18" s="47"/>
      <c r="D18" s="54">
        <v>712104</v>
      </c>
      <c r="E18" s="54">
        <f>('DND-5 Inc Comp'!L14+'DND-5 Inc Comp'!L22)*-1</f>
        <v>-458371</v>
      </c>
      <c r="F18" s="54"/>
      <c r="G18" s="54"/>
      <c r="H18" s="54"/>
      <c r="I18" s="54"/>
      <c r="J18" s="54"/>
      <c r="K18" s="52">
        <f t="shared" si="0"/>
        <v>253733</v>
      </c>
      <c r="L18" s="52">
        <f t="shared" si="1"/>
        <v>694.68309377138951</v>
      </c>
      <c r="M18" s="49">
        <v>-256.70441189593203</v>
      </c>
      <c r="N18" s="49"/>
      <c r="O18" s="53">
        <f t="shared" si="2"/>
        <v>-65134380.543590523</v>
      </c>
    </row>
    <row r="19" spans="1:15" ht="20.25" x14ac:dyDescent="0.55000000000000004">
      <c r="A19" s="9">
        <v>6</v>
      </c>
      <c r="B19" s="46" t="s">
        <v>99</v>
      </c>
      <c r="C19" s="47"/>
      <c r="D19" s="54">
        <v>616109</v>
      </c>
      <c r="E19" s="54"/>
      <c r="F19" s="54"/>
      <c r="G19" s="54"/>
      <c r="H19" s="54"/>
      <c r="I19" s="54"/>
      <c r="J19" s="54"/>
      <c r="K19" s="52">
        <f t="shared" si="0"/>
        <v>616109</v>
      </c>
      <c r="L19" s="52">
        <f t="shared" si="1"/>
        <v>1686.8145106091717</v>
      </c>
      <c r="M19" s="49">
        <v>-11.0086099824962</v>
      </c>
      <c r="N19" s="49"/>
      <c r="O19" s="53">
        <f t="shared" si="2"/>
        <v>-6782503.6877057515</v>
      </c>
    </row>
    <row r="20" spans="1:15" ht="20.25" x14ac:dyDescent="0.55000000000000004">
      <c r="A20" s="9">
        <v>7</v>
      </c>
      <c r="B20" s="46" t="s">
        <v>100</v>
      </c>
      <c r="C20" s="47"/>
      <c r="D20" s="54">
        <v>614533</v>
      </c>
      <c r="E20" s="54"/>
      <c r="F20" s="54"/>
      <c r="G20" s="54"/>
      <c r="H20" s="54"/>
      <c r="I20" s="54"/>
      <c r="J20" s="54"/>
      <c r="K20" s="52">
        <f t="shared" si="0"/>
        <v>614533</v>
      </c>
      <c r="L20" s="52">
        <f t="shared" si="1"/>
        <v>1682.4996577686516</v>
      </c>
      <c r="M20" s="49">
        <v>-6.6230069200049204</v>
      </c>
      <c r="N20" s="49"/>
      <c r="O20" s="53">
        <f t="shared" si="2"/>
        <v>-4070056.3115713838</v>
      </c>
    </row>
    <row r="21" spans="1:15" ht="20.25" x14ac:dyDescent="0.55000000000000004">
      <c r="A21" s="9">
        <v>8</v>
      </c>
      <c r="B21" s="46" t="s">
        <v>101</v>
      </c>
      <c r="C21" s="47"/>
      <c r="D21" s="54">
        <v>3186443</v>
      </c>
      <c r="E21" s="54"/>
      <c r="F21" s="54"/>
      <c r="G21" s="54"/>
      <c r="H21" s="54"/>
      <c r="I21" s="54"/>
      <c r="J21" s="54"/>
      <c r="K21" s="52">
        <f t="shared" si="0"/>
        <v>3186443</v>
      </c>
      <c r="L21" s="52">
        <f t="shared" si="1"/>
        <v>8724.0054757015751</v>
      </c>
      <c r="M21" s="49">
        <v>-36.750243176831503</v>
      </c>
      <c r="N21" s="49"/>
      <c r="O21" s="53">
        <f t="shared" si="2"/>
        <v>-117102555.11911251</v>
      </c>
    </row>
    <row r="22" spans="1:15" ht="20.25" x14ac:dyDescent="0.55000000000000004">
      <c r="A22" s="9">
        <v>9</v>
      </c>
      <c r="B22" s="46" t="s">
        <v>102</v>
      </c>
      <c r="C22" s="47"/>
      <c r="D22" s="55">
        <v>2809671.2832999863</v>
      </c>
      <c r="E22" s="56"/>
      <c r="F22" s="52">
        <f>'DND-6 Emp Benefits'!G16</f>
        <v>-1152293</v>
      </c>
      <c r="G22" s="52">
        <f>-'DND-7 Lobbying'!G16</f>
        <v>7871</v>
      </c>
      <c r="H22" s="52">
        <f>'DND-9 AGA Dues'!G16</f>
        <v>-22582</v>
      </c>
      <c r="I22" s="52"/>
      <c r="J22" s="52"/>
      <c r="K22" s="55">
        <f t="shared" si="0"/>
        <v>1642667.2832999863</v>
      </c>
      <c r="L22" s="52">
        <f t="shared" si="1"/>
        <v>4497.3779145790177</v>
      </c>
      <c r="M22" s="49">
        <v>-16.566859413087599</v>
      </c>
      <c r="N22" s="49"/>
      <c r="O22" s="57">
        <f t="shared" si="2"/>
        <v>-27213837.944909412</v>
      </c>
    </row>
    <row r="23" spans="1:15" ht="20.25" x14ac:dyDescent="0.55000000000000004">
      <c r="A23" s="9">
        <v>10</v>
      </c>
      <c r="B23" s="48" t="s">
        <v>103</v>
      </c>
      <c r="C23" s="47"/>
      <c r="D23" s="58">
        <v>36363853.04034999</v>
      </c>
      <c r="E23" s="58"/>
      <c r="F23" s="58"/>
      <c r="G23" s="58"/>
      <c r="H23" s="58"/>
      <c r="I23" s="58"/>
      <c r="J23" s="58"/>
      <c r="K23" s="58">
        <f>SUM(K15:K22)</f>
        <v>34761808.04034999</v>
      </c>
      <c r="L23" s="52"/>
      <c r="M23" s="49"/>
      <c r="N23" s="49"/>
      <c r="O23" s="58">
        <f>SUM(O15:O22)</f>
        <v>-1032531201.5428132</v>
      </c>
    </row>
    <row r="24" spans="1:15" ht="20.25" x14ac:dyDescent="0.55000000000000004">
      <c r="B24" s="46"/>
      <c r="C24" s="47"/>
      <c r="D24" s="59"/>
      <c r="E24" s="59"/>
      <c r="F24" s="59"/>
      <c r="G24" s="59"/>
      <c r="H24" s="59"/>
      <c r="I24" s="59"/>
      <c r="J24" s="59"/>
      <c r="K24" s="59"/>
      <c r="L24" s="59"/>
      <c r="M24" s="60"/>
      <c r="N24" s="60"/>
      <c r="O24" s="60"/>
    </row>
    <row r="25" spans="1:15" ht="20.25" x14ac:dyDescent="0.55000000000000004">
      <c r="A25" s="9">
        <v>11</v>
      </c>
      <c r="B25" s="44" t="s">
        <v>104</v>
      </c>
      <c r="C25" s="47"/>
      <c r="D25" s="59"/>
      <c r="E25" s="59"/>
      <c r="F25" s="59"/>
      <c r="G25" s="59"/>
      <c r="H25" s="59"/>
      <c r="I25" s="59"/>
      <c r="J25" s="59"/>
      <c r="K25" s="59"/>
      <c r="L25" s="59"/>
      <c r="M25" s="60"/>
      <c r="N25" s="60"/>
      <c r="O25" s="60"/>
    </row>
    <row r="26" spans="1:15" ht="20.25" x14ac:dyDescent="0.55000000000000004">
      <c r="A26" s="9">
        <v>12</v>
      </c>
      <c r="B26" s="46" t="s">
        <v>105</v>
      </c>
      <c r="C26" s="47"/>
      <c r="D26" s="52">
        <v>3233709.8168628267</v>
      </c>
      <c r="E26" s="52"/>
      <c r="F26" s="52"/>
      <c r="G26" s="52"/>
      <c r="H26" s="52"/>
      <c r="I26" s="52">
        <f>-D26</f>
        <v>-3233709.8168628267</v>
      </c>
      <c r="J26" s="52"/>
      <c r="K26" s="52">
        <f>SUM(D26:I26)</f>
        <v>0</v>
      </c>
      <c r="L26" s="52">
        <v>8835.2727236689261</v>
      </c>
      <c r="M26" s="49">
        <v>0</v>
      </c>
      <c r="N26" s="49"/>
      <c r="O26" s="53">
        <f t="shared" ref="O26:O27" si="3">K26*M26</f>
        <v>0</v>
      </c>
    </row>
    <row r="27" spans="1:15" ht="20.25" x14ac:dyDescent="0.55000000000000004">
      <c r="A27" s="9">
        <v>13</v>
      </c>
      <c r="B27" s="46" t="s">
        <v>106</v>
      </c>
      <c r="C27" s="47"/>
      <c r="D27" s="55">
        <v>-752651.505</v>
      </c>
      <c r="E27" s="56"/>
      <c r="F27" s="56"/>
      <c r="G27" s="56"/>
      <c r="H27" s="56"/>
      <c r="I27" s="52">
        <f>-D27</f>
        <v>752651.505</v>
      </c>
      <c r="J27" s="52"/>
      <c r="K27" s="55">
        <f>SUM(D27:I27)</f>
        <v>0</v>
      </c>
      <c r="L27" s="56">
        <v>-2056.4248770491804</v>
      </c>
      <c r="M27" s="49">
        <v>0</v>
      </c>
      <c r="N27" s="49"/>
      <c r="O27" s="53">
        <f t="shared" si="3"/>
        <v>0</v>
      </c>
    </row>
    <row r="28" spans="1:15" ht="20.25" x14ac:dyDescent="0.55000000000000004">
      <c r="A28" s="9">
        <v>14</v>
      </c>
      <c r="B28" s="48" t="s">
        <v>107</v>
      </c>
      <c r="C28" s="47"/>
      <c r="D28" s="58">
        <v>2481058.3118628268</v>
      </c>
      <c r="E28" s="58"/>
      <c r="F28" s="58"/>
      <c r="G28" s="58"/>
      <c r="H28" s="58"/>
      <c r="I28" s="58"/>
      <c r="J28" s="58"/>
      <c r="K28" s="58"/>
      <c r="L28" s="58">
        <v>6778.8478466197457</v>
      </c>
      <c r="M28" s="49"/>
      <c r="N28" s="49"/>
      <c r="O28" s="58">
        <f>O26+O27</f>
        <v>0</v>
      </c>
    </row>
    <row r="29" spans="1:15" ht="20.25" x14ac:dyDescent="0.55000000000000004">
      <c r="B29" s="50"/>
      <c r="C29" s="47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60"/>
      <c r="O29" s="60"/>
    </row>
    <row r="30" spans="1:15" ht="20.25" x14ac:dyDescent="0.55000000000000004">
      <c r="A30" s="9">
        <v>15</v>
      </c>
      <c r="B30" s="44" t="s">
        <v>108</v>
      </c>
      <c r="C30" s="47"/>
      <c r="D30" s="59"/>
      <c r="E30" s="59"/>
      <c r="F30" s="59"/>
      <c r="G30" s="59"/>
      <c r="H30" s="59"/>
      <c r="I30" s="59"/>
      <c r="J30" s="59"/>
      <c r="K30" s="59"/>
      <c r="L30" s="59"/>
      <c r="M30" s="60"/>
      <c r="N30" s="60"/>
      <c r="O30" s="60"/>
    </row>
    <row r="31" spans="1:15" ht="20.25" x14ac:dyDescent="0.55000000000000004">
      <c r="A31" s="9">
        <v>16</v>
      </c>
      <c r="B31" s="46" t="s">
        <v>109</v>
      </c>
      <c r="C31" s="47"/>
      <c r="D31" s="52">
        <v>2491300</v>
      </c>
      <c r="E31" s="52"/>
      <c r="F31" s="52"/>
      <c r="G31" s="52"/>
      <c r="H31" s="52"/>
      <c r="I31" s="52"/>
      <c r="J31" s="52"/>
      <c r="K31" s="61">
        <f t="shared" ref="K31:K33" si="4">SUM(D31:H31)</f>
        <v>2491300</v>
      </c>
      <c r="L31" s="52">
        <v>6806.8306010928964</v>
      </c>
      <c r="M31" s="49">
        <v>-297.141796987764</v>
      </c>
      <c r="N31" s="49"/>
      <c r="O31" s="53">
        <f t="shared" ref="O31:O32" si="5">K31*M31</f>
        <v>-740269358.83561647</v>
      </c>
    </row>
    <row r="32" spans="1:15" ht="20.25" x14ac:dyDescent="0.55000000000000004">
      <c r="A32" s="9">
        <v>17</v>
      </c>
      <c r="B32" s="46" t="s">
        <v>110</v>
      </c>
      <c r="C32" s="47"/>
      <c r="D32" s="52">
        <v>853479.45400000003</v>
      </c>
      <c r="E32" s="52"/>
      <c r="F32" s="52"/>
      <c r="G32" s="52"/>
      <c r="H32" s="52"/>
      <c r="I32" s="52"/>
      <c r="J32" s="52"/>
      <c r="K32" s="61">
        <f t="shared" si="4"/>
        <v>853479.45400000003</v>
      </c>
      <c r="L32" s="52">
        <v>2331.9110765027322</v>
      </c>
      <c r="M32" s="49">
        <v>-11.0086099824962</v>
      </c>
      <c r="N32" s="49"/>
      <c r="O32" s="53">
        <f t="shared" si="5"/>
        <v>-9395622.4371598065</v>
      </c>
    </row>
    <row r="33" spans="1:15" ht="20.25" x14ac:dyDescent="0.55000000000000004">
      <c r="A33" s="9">
        <v>18</v>
      </c>
      <c r="B33" s="46" t="s">
        <v>111</v>
      </c>
      <c r="C33" s="47"/>
      <c r="D33" s="58">
        <v>0</v>
      </c>
      <c r="E33" s="58"/>
      <c r="F33" s="58"/>
      <c r="G33" s="58"/>
      <c r="H33" s="58"/>
      <c r="I33" s="58"/>
      <c r="J33" s="58"/>
      <c r="K33" s="61">
        <f t="shared" si="4"/>
        <v>0</v>
      </c>
      <c r="L33" s="52">
        <v>0</v>
      </c>
      <c r="M33" s="49"/>
      <c r="N33" s="49"/>
      <c r="O33" s="53">
        <v>0</v>
      </c>
    </row>
    <row r="34" spans="1:15" ht="20.25" x14ac:dyDescent="0.55000000000000004">
      <c r="B34" s="46"/>
      <c r="C34" s="47"/>
      <c r="D34" s="58"/>
      <c r="E34" s="58"/>
      <c r="F34" s="58"/>
      <c r="G34" s="58"/>
      <c r="H34" s="58"/>
      <c r="I34" s="58"/>
      <c r="J34" s="58"/>
      <c r="K34" s="61"/>
      <c r="L34" s="52"/>
      <c r="M34" s="49"/>
      <c r="N34" s="49"/>
      <c r="O34" s="53"/>
    </row>
    <row r="35" spans="1:15" ht="20.25" x14ac:dyDescent="0.55000000000000004">
      <c r="A35" s="9">
        <v>19</v>
      </c>
      <c r="B35" s="51" t="s">
        <v>112</v>
      </c>
      <c r="C35" s="47"/>
      <c r="D35" s="52">
        <v>3845087.2939617056</v>
      </c>
      <c r="E35" s="52"/>
      <c r="F35" s="52"/>
      <c r="G35" s="52"/>
      <c r="H35" s="52"/>
      <c r="I35" s="52"/>
      <c r="J35" s="52">
        <f>K35-D35</f>
        <v>174627.70603829436</v>
      </c>
      <c r="K35" s="61">
        <v>4019715</v>
      </c>
      <c r="L35" s="52">
        <v>10505.702988966408</v>
      </c>
      <c r="M35" s="49">
        <v>-27.99</v>
      </c>
      <c r="N35" s="49"/>
      <c r="O35" s="53">
        <f t="shared" ref="O35:O41" si="6">K35*M35</f>
        <v>-112511822.84999999</v>
      </c>
    </row>
    <row r="36" spans="1:15" ht="20.25" x14ac:dyDescent="0.55000000000000004">
      <c r="B36" s="50"/>
      <c r="C36" s="47"/>
      <c r="D36" s="59"/>
      <c r="E36" s="59"/>
      <c r="F36" s="59"/>
      <c r="G36" s="59"/>
      <c r="H36" s="59"/>
      <c r="I36" s="59"/>
      <c r="J36" s="59"/>
      <c r="K36" s="59"/>
      <c r="L36" s="59"/>
      <c r="M36" s="60"/>
      <c r="N36" s="60"/>
      <c r="O36" s="60"/>
    </row>
    <row r="37" spans="1:15" ht="20.25" x14ac:dyDescent="0.55000000000000004">
      <c r="A37" s="9">
        <v>20</v>
      </c>
      <c r="B37" s="51" t="s">
        <v>113</v>
      </c>
      <c r="C37" s="47"/>
      <c r="D37" s="52">
        <v>1347718</v>
      </c>
      <c r="E37" s="52"/>
      <c r="F37" s="52"/>
      <c r="G37" s="52"/>
      <c r="H37" s="52"/>
      <c r="I37" s="52"/>
      <c r="J37" s="52"/>
      <c r="K37" s="61">
        <f t="shared" ref="K37" si="7">SUM(D37:H37)</f>
        <v>1347718</v>
      </c>
      <c r="L37" s="52">
        <v>3682.289617486339</v>
      </c>
      <c r="M37" s="49">
        <v>-50.297254111550998</v>
      </c>
      <c r="N37" s="49"/>
      <c r="O37" s="53">
        <f t="shared" si="6"/>
        <v>-67786514.716711283</v>
      </c>
    </row>
    <row r="38" spans="1:15" ht="20.25" x14ac:dyDescent="0.55000000000000004">
      <c r="B38" s="50"/>
      <c r="C38" s="47"/>
      <c r="D38" s="59"/>
      <c r="E38" s="59"/>
      <c r="F38" s="59"/>
      <c r="G38" s="59"/>
      <c r="H38" s="59"/>
      <c r="I38" s="59"/>
      <c r="J38" s="59"/>
      <c r="K38" s="59"/>
      <c r="L38" s="59"/>
      <c r="M38" s="60"/>
      <c r="N38" s="60"/>
      <c r="O38" s="60"/>
    </row>
    <row r="39" spans="1:15" ht="20.25" x14ac:dyDescent="0.55000000000000004">
      <c r="A39" s="9">
        <v>21</v>
      </c>
      <c r="B39" s="51" t="s">
        <v>114</v>
      </c>
      <c r="C39" s="47"/>
      <c r="D39" s="52">
        <v>1695608</v>
      </c>
      <c r="E39" s="52"/>
      <c r="F39" s="52"/>
      <c r="G39" s="52"/>
      <c r="H39" s="52"/>
      <c r="I39" s="52"/>
      <c r="J39" s="52"/>
      <c r="K39" s="61">
        <f t="shared" ref="K39" si="8">SUM(D39:H39)</f>
        <v>1695608</v>
      </c>
      <c r="L39" s="52">
        <v>4632.8087431693993</v>
      </c>
      <c r="M39" s="49">
        <v>-34.5762406181071</v>
      </c>
      <c r="N39" s="49"/>
      <c r="O39" s="53">
        <f t="shared" si="6"/>
        <v>-58627750.201987341</v>
      </c>
    </row>
    <row r="40" spans="1:15" ht="20.25" x14ac:dyDescent="0.55000000000000004">
      <c r="B40" s="50"/>
      <c r="C40" s="47"/>
      <c r="D40" s="59"/>
      <c r="E40" s="59"/>
      <c r="F40" s="59"/>
      <c r="G40" s="59"/>
      <c r="H40" s="59"/>
      <c r="I40" s="59"/>
      <c r="J40" s="59"/>
      <c r="K40" s="59"/>
      <c r="L40" s="59"/>
      <c r="M40" s="60"/>
      <c r="N40" s="60"/>
      <c r="O40" s="60"/>
    </row>
    <row r="41" spans="1:15" ht="20.25" x14ac:dyDescent="0.55000000000000004">
      <c r="A41" s="9">
        <v>22</v>
      </c>
      <c r="B41" s="51" t="s">
        <v>115</v>
      </c>
      <c r="C41" s="47"/>
      <c r="D41" s="52">
        <v>714418</v>
      </c>
      <c r="E41" s="52"/>
      <c r="F41" s="52"/>
      <c r="G41" s="52"/>
      <c r="H41" s="52"/>
      <c r="I41" s="52"/>
      <c r="J41" s="52"/>
      <c r="K41" s="55">
        <f t="shared" ref="K41" si="9">SUM(D41:H41)</f>
        <v>714418</v>
      </c>
      <c r="L41" s="52">
        <v>1951.9617486338798</v>
      </c>
      <c r="M41" s="49">
        <v>-76.249862356526293</v>
      </c>
      <c r="N41" s="49"/>
      <c r="O41" s="57">
        <f t="shared" si="6"/>
        <v>-54474274.165024802</v>
      </c>
    </row>
    <row r="42" spans="1:15" x14ac:dyDescent="0.25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25">
      <c r="A43" s="9">
        <v>23</v>
      </c>
      <c r="B43" s="2" t="s">
        <v>131</v>
      </c>
      <c r="D43" s="8"/>
      <c r="E43" s="8"/>
      <c r="F43" s="8"/>
      <c r="G43" s="86" t="s">
        <v>129</v>
      </c>
      <c r="H43" s="81"/>
      <c r="I43" s="81"/>
      <c r="J43" s="81"/>
      <c r="K43" s="82">
        <f>K23+K31+K32+K35+K37+K39+K41</f>
        <v>45884046.494349994</v>
      </c>
      <c r="L43" s="81"/>
      <c r="M43" s="81"/>
      <c r="N43" s="81"/>
      <c r="O43" s="83">
        <f>O23+O31+O32+O35+O37+O39+O41</f>
        <v>-2075596544.7493126</v>
      </c>
    </row>
    <row r="44" spans="1:15" x14ac:dyDescent="0.25">
      <c r="A44" s="9">
        <v>24</v>
      </c>
      <c r="B44" s="2" t="s">
        <v>132</v>
      </c>
      <c r="D44" s="64">
        <f>K44</f>
        <v>-45.235690906313039</v>
      </c>
      <c r="E44" s="8"/>
      <c r="F44" s="8"/>
      <c r="G44" s="87" t="s">
        <v>130</v>
      </c>
      <c r="H44" s="8"/>
      <c r="I44" s="8"/>
      <c r="J44" s="8"/>
      <c r="K44" s="63">
        <f>O43/K43</f>
        <v>-45.235690906313039</v>
      </c>
      <c r="L44" s="8"/>
      <c r="M44" s="8"/>
      <c r="N44" s="8"/>
      <c r="O44" s="84"/>
    </row>
    <row r="45" spans="1:15" x14ac:dyDescent="0.25">
      <c r="A45" s="9">
        <v>25</v>
      </c>
      <c r="B45" s="2" t="s">
        <v>134</v>
      </c>
      <c r="D45" s="65">
        <v>38.21</v>
      </c>
      <c r="E45" s="8"/>
      <c r="F45" s="8"/>
      <c r="G45" s="88" t="s">
        <v>136</v>
      </c>
      <c r="H45" s="65"/>
      <c r="I45" s="65"/>
      <c r="J45" s="65"/>
      <c r="K45" s="67">
        <f>K43/365</f>
        <v>125709.71642287669</v>
      </c>
      <c r="L45" s="65"/>
      <c r="M45" s="65"/>
      <c r="N45" s="65"/>
      <c r="O45" s="85"/>
    </row>
    <row r="46" spans="1:15" x14ac:dyDescent="0.25">
      <c r="A46" s="9">
        <v>26</v>
      </c>
      <c r="B46" s="2" t="s">
        <v>133</v>
      </c>
      <c r="D46" s="64">
        <f>D44+D45</f>
        <v>-7.0256909063130379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25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25">
      <c r="A48" s="9">
        <v>27</v>
      </c>
      <c r="B48" s="2" t="s">
        <v>135</v>
      </c>
      <c r="D48" s="66">
        <f>K45</f>
        <v>125709.71642287669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s="9">
        <v>28</v>
      </c>
      <c r="B50" s="2" t="s">
        <v>137</v>
      </c>
      <c r="D50" s="62">
        <f>D46*D48</f>
        <v>-883197.61150739552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s="9">
        <v>29</v>
      </c>
      <c r="B51" s="2" t="s">
        <v>138</v>
      </c>
      <c r="D51" s="67">
        <v>1399833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25">
      <c r="A52" s="9">
        <v>30</v>
      </c>
      <c r="B52" s="2" t="s">
        <v>139</v>
      </c>
      <c r="D52" s="62">
        <f>D50-D51</f>
        <v>-2283030.6115073953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9">
        <v>31</v>
      </c>
      <c r="B54" s="2" t="s">
        <v>144</v>
      </c>
      <c r="D54" s="11">
        <f>'DND-3 Cap Structure'!M27</f>
        <v>8.6174248750000002E-2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32.25" thickBot="1" x14ac:dyDescent="0.3">
      <c r="A56" s="9">
        <v>32</v>
      </c>
      <c r="B56" s="33" t="s">
        <v>145</v>
      </c>
      <c r="D56" s="40">
        <f>D52*D54</f>
        <v>-196738.44781990291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6.5" thickTop="1" x14ac:dyDescent="0.25"/>
  </sheetData>
  <mergeCells count="1">
    <mergeCell ref="E10:K10"/>
  </mergeCells>
  <pageMargins left="0.7" right="0.7" top="0.75" bottom="0.75" header="0.3" footer="0.3"/>
  <pageSetup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C154-207D-425B-B0E2-146E939B453A}">
  <sheetPr>
    <pageSetUpPr fitToPage="1"/>
  </sheetPr>
  <dimension ref="B2:G20"/>
  <sheetViews>
    <sheetView workbookViewId="0">
      <selection activeCell="C21" sqref="C21"/>
    </sheetView>
  </sheetViews>
  <sheetFormatPr defaultRowHeight="15.75" x14ac:dyDescent="0.25"/>
  <cols>
    <col min="1" max="1" width="9.140625" style="2"/>
    <col min="2" max="2" width="10" style="9" customWidth="1"/>
    <col min="3" max="3" width="50.5703125" style="2" bestFit="1" customWidth="1"/>
    <col min="4" max="4" width="4.5703125" style="2" customWidth="1"/>
    <col min="5" max="5" width="15.7109375" style="2" customWidth="1"/>
    <col min="6" max="6" width="4" style="2" customWidth="1"/>
    <col min="7" max="7" width="28.7109375" style="2" customWidth="1"/>
    <col min="8" max="16384" width="9.140625" style="2"/>
  </cols>
  <sheetData>
    <row r="2" spans="2:7" x14ac:dyDescent="0.25">
      <c r="C2" s="1" t="s">
        <v>0</v>
      </c>
    </row>
    <row r="3" spans="2:7" x14ac:dyDescent="0.25">
      <c r="C3" s="1" t="s">
        <v>170</v>
      </c>
    </row>
    <row r="4" spans="2:7" x14ac:dyDescent="0.25">
      <c r="C4" s="1" t="s">
        <v>1</v>
      </c>
    </row>
    <row r="5" spans="2:7" x14ac:dyDescent="0.25">
      <c r="C5" s="1" t="s">
        <v>2</v>
      </c>
      <c r="G5" s="1" t="s">
        <v>195</v>
      </c>
    </row>
    <row r="6" spans="2:7" x14ac:dyDescent="0.25">
      <c r="C6" s="1" t="s">
        <v>8</v>
      </c>
    </row>
    <row r="8" spans="2:7" x14ac:dyDescent="0.25">
      <c r="E8" s="1"/>
      <c r="F8" s="1"/>
      <c r="G8" s="1"/>
    </row>
    <row r="9" spans="2:7" x14ac:dyDescent="0.25">
      <c r="E9" s="3"/>
      <c r="F9" s="1"/>
      <c r="G9" s="1"/>
    </row>
    <row r="10" spans="2:7" x14ac:dyDescent="0.25">
      <c r="B10" s="1" t="s">
        <v>191</v>
      </c>
      <c r="C10" s="4" t="s">
        <v>59</v>
      </c>
      <c r="E10" s="4" t="s">
        <v>50</v>
      </c>
      <c r="F10" s="1"/>
      <c r="G10" s="4" t="s">
        <v>150</v>
      </c>
    </row>
    <row r="12" spans="2:7" x14ac:dyDescent="0.25">
      <c r="B12" s="9">
        <v>1</v>
      </c>
      <c r="C12" s="2" t="s">
        <v>146</v>
      </c>
      <c r="E12" s="18">
        <v>180570376</v>
      </c>
      <c r="G12" s="2" t="s">
        <v>151</v>
      </c>
    </row>
    <row r="13" spans="2:7" x14ac:dyDescent="0.25">
      <c r="B13" s="9">
        <v>2</v>
      </c>
      <c r="C13" s="2" t="s">
        <v>147</v>
      </c>
      <c r="E13" s="14">
        <f>'DND-4 CWC'!D52</f>
        <v>-2283030.6115073953</v>
      </c>
      <c r="G13" s="2" t="s">
        <v>160</v>
      </c>
    </row>
    <row r="15" spans="2:7" x14ac:dyDescent="0.25">
      <c r="B15" s="9">
        <v>3</v>
      </c>
      <c r="C15" s="2" t="s">
        <v>148</v>
      </c>
      <c r="E15" s="15">
        <f>E12+E13</f>
        <v>178287345.38849261</v>
      </c>
    </row>
    <row r="17" spans="2:5" x14ac:dyDescent="0.25">
      <c r="B17" s="9">
        <v>4</v>
      </c>
      <c r="C17" s="2" t="s">
        <v>149</v>
      </c>
      <c r="E17" s="11">
        <f>'DND-3 Cap Structure'!M25</f>
        <v>2.2550000000000001E-2</v>
      </c>
    </row>
    <row r="19" spans="2:5" ht="16.5" thickBot="1" x14ac:dyDescent="0.3">
      <c r="B19" s="9">
        <v>5</v>
      </c>
      <c r="C19" s="2" t="s">
        <v>152</v>
      </c>
      <c r="E19" s="40">
        <f>E15*E17</f>
        <v>4020379.6385105085</v>
      </c>
    </row>
    <row r="20" spans="2:5" ht="16.5" thickTop="1" x14ac:dyDescent="0.25"/>
  </sheetData>
  <pageMargins left="0.7" right="0.7" top="0.75" bottom="0.75" header="0.3" footer="0.3"/>
  <pageSetup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CDAB-DEA9-441A-9EEE-5B1B4D369B37}">
  <sheetPr>
    <pageSetUpPr fitToPage="1"/>
  </sheetPr>
  <dimension ref="B2:L57"/>
  <sheetViews>
    <sheetView tabSelected="1" workbookViewId="0">
      <selection activeCell="Q31" sqref="Q31"/>
    </sheetView>
  </sheetViews>
  <sheetFormatPr defaultRowHeight="15.75" x14ac:dyDescent="0.25"/>
  <cols>
    <col min="1" max="1" width="9.140625" style="2"/>
    <col min="2" max="2" width="10.7109375" style="9" customWidth="1"/>
    <col min="3" max="3" width="56.5703125" style="2" bestFit="1" customWidth="1"/>
    <col min="4" max="4" width="4.5703125" style="9" customWidth="1"/>
    <col min="5" max="5" width="15.7109375" style="2" customWidth="1"/>
    <col min="6" max="6" width="4" style="2" customWidth="1"/>
    <col min="7" max="7" width="15.7109375" style="2" hidden="1" customWidth="1"/>
    <col min="8" max="8" width="4.7109375" style="2" hidden="1" customWidth="1"/>
    <col min="9" max="9" width="13.85546875" style="2" hidden="1" customWidth="1"/>
    <col min="10" max="10" width="15.7109375" style="2" customWidth="1"/>
    <col min="11" max="11" width="4.85546875" style="2" customWidth="1"/>
    <col min="12" max="12" width="17.28515625" style="2" customWidth="1"/>
    <col min="13" max="16384" width="9.140625" style="2"/>
  </cols>
  <sheetData>
    <row r="2" spans="2:12" x14ac:dyDescent="0.25">
      <c r="C2" s="1" t="s">
        <v>0</v>
      </c>
    </row>
    <row r="3" spans="2:12" x14ac:dyDescent="0.25">
      <c r="C3" s="1" t="s">
        <v>24</v>
      </c>
    </row>
    <row r="4" spans="2:12" x14ac:dyDescent="0.25">
      <c r="C4" s="1" t="s">
        <v>1</v>
      </c>
      <c r="L4" s="3" t="s">
        <v>161</v>
      </c>
    </row>
    <row r="5" spans="2:12" x14ac:dyDescent="0.25">
      <c r="C5" s="1" t="s">
        <v>2</v>
      </c>
    </row>
    <row r="6" spans="2:12" x14ac:dyDescent="0.25">
      <c r="C6" s="1"/>
    </row>
    <row r="7" spans="2:12" x14ac:dyDescent="0.25">
      <c r="B7" s="4" t="s">
        <v>191</v>
      </c>
      <c r="C7" s="4" t="s">
        <v>98</v>
      </c>
      <c r="E7" s="4" t="s">
        <v>34</v>
      </c>
      <c r="F7" s="1"/>
      <c r="G7" s="4" t="s">
        <v>27</v>
      </c>
      <c r="H7" s="1"/>
      <c r="I7" s="4" t="s">
        <v>26</v>
      </c>
      <c r="J7" s="4" t="s">
        <v>32</v>
      </c>
      <c r="K7" s="3"/>
      <c r="L7" s="70" t="s">
        <v>33</v>
      </c>
    </row>
    <row r="8" spans="2:12" x14ac:dyDescent="0.25">
      <c r="E8" s="1"/>
      <c r="F8" s="1"/>
      <c r="G8" s="1"/>
    </row>
    <row r="9" spans="2:12" x14ac:dyDescent="0.25">
      <c r="B9" s="9">
        <v>1</v>
      </c>
      <c r="C9" s="3" t="s">
        <v>25</v>
      </c>
      <c r="E9" s="3"/>
      <c r="F9" s="1"/>
      <c r="G9" s="1"/>
    </row>
    <row r="10" spans="2:12" x14ac:dyDescent="0.25">
      <c r="B10" s="9">
        <v>2</v>
      </c>
      <c r="C10" s="17" t="s">
        <v>204</v>
      </c>
      <c r="D10" s="9" t="s">
        <v>198</v>
      </c>
      <c r="E10" s="12">
        <v>255390</v>
      </c>
      <c r="F10" s="21"/>
      <c r="G10" s="10">
        <v>338713</v>
      </c>
      <c r="J10" s="22">
        <v>0</v>
      </c>
      <c r="L10" s="15">
        <f>E10*J10</f>
        <v>0</v>
      </c>
    </row>
    <row r="11" spans="2:12" x14ac:dyDescent="0.25">
      <c r="B11" s="9">
        <v>3</v>
      </c>
      <c r="C11" s="17" t="s">
        <v>205</v>
      </c>
      <c r="D11" s="9" t="s">
        <v>199</v>
      </c>
      <c r="E11" s="18">
        <v>92742</v>
      </c>
      <c r="F11" s="18"/>
      <c r="G11" s="18">
        <v>123000</v>
      </c>
      <c r="I11" s="5">
        <f>E11/G11</f>
        <v>0.754</v>
      </c>
      <c r="J11" s="22">
        <f>L39</f>
        <v>0.5</v>
      </c>
      <c r="L11" s="15">
        <f>E11*J11</f>
        <v>46371</v>
      </c>
    </row>
    <row r="12" spans="2:12" x14ac:dyDescent="0.25">
      <c r="B12" s="9">
        <v>4</v>
      </c>
      <c r="C12" s="17" t="s">
        <v>206</v>
      </c>
      <c r="D12" s="9" t="s">
        <v>200</v>
      </c>
      <c r="E12" s="14">
        <v>157088</v>
      </c>
      <c r="F12" s="18"/>
      <c r="G12" s="18"/>
      <c r="J12" s="22">
        <v>1</v>
      </c>
      <c r="L12" s="16">
        <f>E12*J12</f>
        <v>157088</v>
      </c>
    </row>
    <row r="13" spans="2:12" x14ac:dyDescent="0.25">
      <c r="E13" s="18"/>
      <c r="F13" s="18"/>
      <c r="G13" s="18"/>
    </row>
    <row r="14" spans="2:12" ht="16.5" thickBot="1" x14ac:dyDescent="0.3">
      <c r="B14" s="9">
        <v>5</v>
      </c>
      <c r="C14" s="2" t="s">
        <v>31</v>
      </c>
      <c r="E14" s="25">
        <f>SUM(E10:E12)</f>
        <v>505220</v>
      </c>
      <c r="F14" s="18"/>
      <c r="G14" s="18"/>
      <c r="L14" s="109">
        <f>SUM(L10:L12)</f>
        <v>203459</v>
      </c>
    </row>
    <row r="15" spans="2:12" ht="8.25" customHeight="1" thickTop="1" x14ac:dyDescent="0.25"/>
    <row r="16" spans="2:12" ht="10.5" customHeight="1" x14ac:dyDescent="0.25"/>
    <row r="17" spans="2:12" x14ac:dyDescent="0.25">
      <c r="B17" s="9">
        <v>6</v>
      </c>
      <c r="C17" s="3" t="s">
        <v>29</v>
      </c>
    </row>
    <row r="18" spans="2:12" x14ac:dyDescent="0.25">
      <c r="B18" s="9">
        <v>7</v>
      </c>
      <c r="C18" s="17" t="s">
        <v>204</v>
      </c>
      <c r="D18" s="9" t="s">
        <v>201</v>
      </c>
      <c r="E18" s="18">
        <v>104304</v>
      </c>
      <c r="J18" s="22">
        <v>1</v>
      </c>
      <c r="L18" s="15">
        <f>E18*J18</f>
        <v>104304</v>
      </c>
    </row>
    <row r="19" spans="2:12" x14ac:dyDescent="0.25">
      <c r="B19" s="9">
        <v>8</v>
      </c>
      <c r="C19" s="17" t="s">
        <v>205</v>
      </c>
      <c r="D19" s="9" t="s">
        <v>202</v>
      </c>
      <c r="E19" s="18">
        <v>34980</v>
      </c>
      <c r="J19" s="22">
        <v>1</v>
      </c>
      <c r="L19" s="15">
        <f>E19*J19</f>
        <v>34980</v>
      </c>
    </row>
    <row r="20" spans="2:12" x14ac:dyDescent="0.25">
      <c r="B20" s="9">
        <v>9</v>
      </c>
      <c r="C20" s="17" t="s">
        <v>206</v>
      </c>
      <c r="D20" s="9" t="s">
        <v>203</v>
      </c>
      <c r="E20" s="14">
        <v>115628</v>
      </c>
      <c r="J20" s="22">
        <v>1</v>
      </c>
      <c r="L20" s="16">
        <f>E20*J20</f>
        <v>115628</v>
      </c>
    </row>
    <row r="22" spans="2:12" ht="16.5" thickBot="1" x14ac:dyDescent="0.3">
      <c r="B22" s="9">
        <v>10</v>
      </c>
      <c r="C22" s="2" t="s">
        <v>30</v>
      </c>
      <c r="E22" s="26">
        <f>SUM(E18:E20)</f>
        <v>254912</v>
      </c>
      <c r="L22" s="110">
        <f>SUM(L18:L20)</f>
        <v>254912</v>
      </c>
    </row>
    <row r="23" spans="2:12" ht="16.5" thickTop="1" x14ac:dyDescent="0.25">
      <c r="E23" s="15"/>
      <c r="L23" s="15"/>
    </row>
    <row r="24" spans="2:12" x14ac:dyDescent="0.25">
      <c r="B24" s="9">
        <v>11</v>
      </c>
      <c r="C24" s="3" t="s">
        <v>35</v>
      </c>
      <c r="E24" s="15"/>
    </row>
    <row r="25" spans="2:12" x14ac:dyDescent="0.25">
      <c r="C25" s="3"/>
      <c r="E25" s="15"/>
    </row>
    <row r="26" spans="2:12" x14ac:dyDescent="0.25">
      <c r="B26" s="9">
        <v>12</v>
      </c>
      <c r="C26" s="23" t="s">
        <v>223</v>
      </c>
      <c r="D26" s="9" t="s">
        <v>224</v>
      </c>
      <c r="E26" s="89" t="s">
        <v>36</v>
      </c>
      <c r="F26" s="1"/>
      <c r="G26" s="1"/>
      <c r="H26" s="1"/>
      <c r="I26" s="1"/>
      <c r="J26" s="4" t="s">
        <v>32</v>
      </c>
      <c r="K26" s="1"/>
      <c r="L26" s="4" t="s">
        <v>32</v>
      </c>
    </row>
    <row r="27" spans="2:12" x14ac:dyDescent="0.25">
      <c r="B27" s="9">
        <v>13</v>
      </c>
      <c r="C27" s="2" t="s">
        <v>43</v>
      </c>
      <c r="E27" s="22">
        <v>0.6</v>
      </c>
      <c r="F27" s="22"/>
      <c r="G27" s="22"/>
      <c r="H27" s="22"/>
      <c r="I27" s="22"/>
      <c r="J27" s="22">
        <v>0</v>
      </c>
      <c r="K27" s="22"/>
      <c r="L27" s="22">
        <f>E27*J27</f>
        <v>0</v>
      </c>
    </row>
    <row r="28" spans="2:12" x14ac:dyDescent="0.25">
      <c r="B28" s="9">
        <v>14</v>
      </c>
      <c r="C28" s="2" t="s">
        <v>44</v>
      </c>
      <c r="E28" s="22">
        <v>0.15</v>
      </c>
      <c r="F28" s="22"/>
      <c r="G28" s="22"/>
      <c r="H28" s="22"/>
      <c r="I28" s="22"/>
      <c r="J28" s="22">
        <v>0</v>
      </c>
      <c r="K28" s="22"/>
      <c r="L28" s="22">
        <f t="shared" ref="L28:L30" si="0">E28*J28</f>
        <v>0</v>
      </c>
    </row>
    <row r="29" spans="2:12" x14ac:dyDescent="0.25">
      <c r="B29" s="9">
        <v>15</v>
      </c>
      <c r="C29" s="2" t="s">
        <v>45</v>
      </c>
      <c r="E29" s="22">
        <v>0.1</v>
      </c>
      <c r="F29" s="22"/>
      <c r="G29" s="22"/>
      <c r="H29" s="22"/>
      <c r="I29" s="22"/>
      <c r="J29" s="22">
        <v>0</v>
      </c>
      <c r="K29" s="22"/>
      <c r="L29" s="22">
        <f t="shared" si="0"/>
        <v>0</v>
      </c>
    </row>
    <row r="30" spans="2:12" x14ac:dyDescent="0.25">
      <c r="B30" s="9">
        <v>16</v>
      </c>
      <c r="C30" s="2" t="s">
        <v>46</v>
      </c>
      <c r="E30" s="22">
        <v>0.15</v>
      </c>
      <c r="F30" s="22"/>
      <c r="G30" s="22"/>
      <c r="H30" s="22"/>
      <c r="I30" s="22"/>
      <c r="J30" s="22">
        <v>0</v>
      </c>
      <c r="K30" s="22"/>
      <c r="L30" s="24">
        <f t="shared" si="0"/>
        <v>0</v>
      </c>
    </row>
    <row r="31" spans="2:12" x14ac:dyDescent="0.25">
      <c r="E31" s="22"/>
      <c r="F31" s="22"/>
      <c r="G31" s="22"/>
      <c r="H31" s="22"/>
      <c r="I31" s="22"/>
      <c r="J31" s="22"/>
      <c r="K31" s="22"/>
      <c r="L31" s="34">
        <v>0</v>
      </c>
    </row>
    <row r="32" spans="2:12" x14ac:dyDescent="0.25">
      <c r="E32" s="22"/>
      <c r="F32" s="22"/>
      <c r="G32" s="22"/>
      <c r="H32" s="22"/>
      <c r="I32" s="22"/>
      <c r="J32" s="22"/>
      <c r="K32" s="22"/>
      <c r="L32" s="34"/>
    </row>
    <row r="33" spans="2:12" x14ac:dyDescent="0.25">
      <c r="B33" s="9">
        <v>17</v>
      </c>
      <c r="C33" s="3" t="s">
        <v>225</v>
      </c>
      <c r="D33" s="9" t="s">
        <v>226</v>
      </c>
      <c r="E33" s="89" t="s">
        <v>36</v>
      </c>
      <c r="F33" s="1"/>
      <c r="G33" s="1"/>
      <c r="H33" s="1"/>
      <c r="I33" s="1"/>
      <c r="J33" s="4" t="s">
        <v>32</v>
      </c>
      <c r="K33" s="1"/>
      <c r="L33" s="4" t="s">
        <v>32</v>
      </c>
    </row>
    <row r="34" spans="2:12" x14ac:dyDescent="0.25">
      <c r="B34" s="9">
        <v>18</v>
      </c>
      <c r="C34" s="2" t="s">
        <v>212</v>
      </c>
      <c r="E34" s="22">
        <v>0.5</v>
      </c>
      <c r="F34" s="22"/>
      <c r="G34" s="22"/>
      <c r="H34" s="22"/>
      <c r="I34" s="22"/>
      <c r="J34" s="22">
        <v>1</v>
      </c>
      <c r="K34" s="22"/>
      <c r="L34" s="34">
        <f>E34*J34</f>
        <v>0.5</v>
      </c>
    </row>
    <row r="35" spans="2:12" x14ac:dyDescent="0.25">
      <c r="B35" s="9">
        <v>19</v>
      </c>
      <c r="C35" s="2" t="s">
        <v>213</v>
      </c>
      <c r="E35" s="22">
        <v>0.2</v>
      </c>
      <c r="F35" s="22"/>
      <c r="G35" s="22"/>
      <c r="H35" s="22"/>
      <c r="I35" s="22"/>
      <c r="J35" s="22">
        <v>0</v>
      </c>
      <c r="K35" s="22"/>
      <c r="L35" s="34">
        <f t="shared" ref="L35:L38" si="1">E35*J35</f>
        <v>0</v>
      </c>
    </row>
    <row r="36" spans="2:12" x14ac:dyDescent="0.25">
      <c r="B36" s="9">
        <v>20</v>
      </c>
      <c r="C36" s="2" t="s">
        <v>45</v>
      </c>
      <c r="E36" s="22">
        <v>0.1</v>
      </c>
      <c r="F36" s="22"/>
      <c r="G36" s="22"/>
      <c r="H36" s="22"/>
      <c r="I36" s="22"/>
      <c r="J36" s="22">
        <v>0</v>
      </c>
      <c r="K36" s="22"/>
      <c r="L36" s="34">
        <f t="shared" si="1"/>
        <v>0</v>
      </c>
    </row>
    <row r="37" spans="2:12" x14ac:dyDescent="0.25">
      <c r="B37" s="9">
        <v>21</v>
      </c>
      <c r="C37" s="2" t="s">
        <v>214</v>
      </c>
      <c r="E37" s="22">
        <v>0.1</v>
      </c>
      <c r="J37" s="22">
        <v>0</v>
      </c>
      <c r="L37" s="34">
        <f t="shared" si="1"/>
        <v>0</v>
      </c>
    </row>
    <row r="38" spans="2:12" x14ac:dyDescent="0.25">
      <c r="B38" s="9">
        <v>22</v>
      </c>
      <c r="C38" s="2" t="s">
        <v>215</v>
      </c>
      <c r="E38" s="22">
        <v>0.1</v>
      </c>
      <c r="J38" s="22">
        <v>0</v>
      </c>
      <c r="L38" s="24">
        <f t="shared" si="1"/>
        <v>0</v>
      </c>
    </row>
    <row r="39" spans="2:12" x14ac:dyDescent="0.25">
      <c r="E39" s="22"/>
      <c r="J39" s="22"/>
      <c r="L39" s="34">
        <f>SUM(L34:L38)</f>
        <v>0.5</v>
      </c>
    </row>
    <row r="40" spans="2:12" x14ac:dyDescent="0.25">
      <c r="E40" s="22"/>
      <c r="J40" s="22"/>
      <c r="L40" s="34"/>
    </row>
    <row r="41" spans="2:12" x14ac:dyDescent="0.25">
      <c r="E41" s="15"/>
    </row>
    <row r="42" spans="2:12" x14ac:dyDescent="0.25">
      <c r="B42" s="9">
        <v>23</v>
      </c>
      <c r="C42" s="23" t="s">
        <v>216</v>
      </c>
      <c r="E42" s="89" t="s">
        <v>36</v>
      </c>
      <c r="F42" s="1"/>
      <c r="G42" s="1"/>
      <c r="H42" s="1"/>
      <c r="I42" s="1"/>
      <c r="J42" s="4" t="s">
        <v>32</v>
      </c>
      <c r="K42" s="1"/>
      <c r="L42" s="4" t="s">
        <v>32</v>
      </c>
    </row>
    <row r="43" spans="2:12" x14ac:dyDescent="0.25">
      <c r="B43" s="9">
        <v>24</v>
      </c>
      <c r="C43" s="17" t="s">
        <v>37</v>
      </c>
      <c r="E43" s="5">
        <v>0.3846</v>
      </c>
      <c r="J43" s="22">
        <v>1</v>
      </c>
      <c r="L43" s="7">
        <f>E43*J43</f>
        <v>0.3846</v>
      </c>
    </row>
    <row r="44" spans="2:12" x14ac:dyDescent="0.25">
      <c r="B44" s="9">
        <v>25</v>
      </c>
      <c r="C44" s="17" t="s">
        <v>38</v>
      </c>
      <c r="E44" s="5">
        <v>0.30769999999999997</v>
      </c>
      <c r="J44" s="22">
        <v>1</v>
      </c>
      <c r="L44" s="7">
        <f t="shared" ref="L44:L45" si="2">E44*J44</f>
        <v>0.30769999999999997</v>
      </c>
    </row>
    <row r="45" spans="2:12" x14ac:dyDescent="0.25">
      <c r="B45" s="9">
        <v>26</v>
      </c>
      <c r="C45" s="17" t="s">
        <v>39</v>
      </c>
      <c r="E45" s="5">
        <v>0.30769999999999997</v>
      </c>
      <c r="J45" s="22">
        <v>1</v>
      </c>
      <c r="L45" s="11">
        <f t="shared" si="2"/>
        <v>0.30769999999999997</v>
      </c>
    </row>
    <row r="46" spans="2:12" x14ac:dyDescent="0.25">
      <c r="B46" s="9">
        <v>27</v>
      </c>
      <c r="C46" s="3" t="s">
        <v>40</v>
      </c>
      <c r="E46" s="15"/>
      <c r="L46" s="7">
        <f>SUM(L43:L45)</f>
        <v>0.99999999999999989</v>
      </c>
    </row>
    <row r="47" spans="2:12" x14ac:dyDescent="0.25">
      <c r="B47" s="9">
        <v>28</v>
      </c>
      <c r="C47" s="3" t="s">
        <v>41</v>
      </c>
      <c r="E47" s="22">
        <v>1</v>
      </c>
      <c r="F47" s="22"/>
      <c r="G47" s="22"/>
      <c r="H47" s="22"/>
      <c r="I47" s="22"/>
      <c r="J47" s="22">
        <v>1</v>
      </c>
      <c r="K47" s="22"/>
      <c r="L47" s="22">
        <v>1</v>
      </c>
    </row>
    <row r="48" spans="2:12" x14ac:dyDescent="0.25">
      <c r="B48" s="9">
        <v>29</v>
      </c>
      <c r="C48" s="3" t="s">
        <v>42</v>
      </c>
      <c r="E48" s="22"/>
      <c r="F48" s="22"/>
      <c r="G48" s="22"/>
      <c r="H48" s="22"/>
      <c r="I48" s="22"/>
      <c r="J48" s="22"/>
      <c r="K48" s="22"/>
      <c r="L48" s="22">
        <f>AVERAGE(L46:L47)</f>
        <v>1</v>
      </c>
    </row>
    <row r="49" spans="2:12" x14ac:dyDescent="0.25">
      <c r="E49" s="22"/>
      <c r="F49" s="22"/>
      <c r="G49" s="22"/>
      <c r="H49" s="22"/>
      <c r="I49" s="22"/>
      <c r="J49" s="22"/>
      <c r="K49" s="22"/>
      <c r="L49" s="22"/>
    </row>
    <row r="50" spans="2:12" x14ac:dyDescent="0.25">
      <c r="B50" s="9">
        <v>30</v>
      </c>
      <c r="C50" s="2" t="s">
        <v>196</v>
      </c>
      <c r="E50" s="15"/>
    </row>
    <row r="51" spans="2:12" x14ac:dyDescent="0.25">
      <c r="B51" s="9">
        <f>B50+1</f>
        <v>31</v>
      </c>
      <c r="C51" s="2" t="s">
        <v>197</v>
      </c>
      <c r="E51" s="15"/>
    </row>
    <row r="52" spans="2:12" x14ac:dyDescent="0.25">
      <c r="B52" s="9">
        <f t="shared" ref="B52:B57" si="3">B51+1</f>
        <v>32</v>
      </c>
      <c r="C52" s="2" t="s">
        <v>28</v>
      </c>
    </row>
    <row r="53" spans="2:12" x14ac:dyDescent="0.25">
      <c r="B53" s="9">
        <f t="shared" si="3"/>
        <v>33</v>
      </c>
      <c r="C53" s="2" t="s">
        <v>208</v>
      </c>
    </row>
    <row r="54" spans="2:12" x14ac:dyDescent="0.25">
      <c r="B54" s="9">
        <f t="shared" si="3"/>
        <v>34</v>
      </c>
      <c r="C54" s="2" t="s">
        <v>209</v>
      </c>
    </row>
    <row r="55" spans="2:12" x14ac:dyDescent="0.25">
      <c r="B55" s="9">
        <f t="shared" si="3"/>
        <v>35</v>
      </c>
      <c r="C55" s="2" t="s">
        <v>210</v>
      </c>
    </row>
    <row r="56" spans="2:12" x14ac:dyDescent="0.25">
      <c r="B56" s="9">
        <f t="shared" si="3"/>
        <v>36</v>
      </c>
      <c r="C56" s="2" t="s">
        <v>211</v>
      </c>
    </row>
    <row r="57" spans="2:12" x14ac:dyDescent="0.25">
      <c r="B57" s="9">
        <f t="shared" si="3"/>
        <v>37</v>
      </c>
      <c r="C57" s="2" t="s">
        <v>207</v>
      </c>
    </row>
  </sheetData>
  <pageMargins left="0.7" right="0.7" top="0.75" bottom="0.75" header="0.3" footer="0.3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3D9F0-C879-457F-839E-9D731A33AE62}">
  <sheetPr>
    <pageSetUpPr fitToPage="1"/>
  </sheetPr>
  <dimension ref="B2:K30"/>
  <sheetViews>
    <sheetView workbookViewId="0">
      <selection activeCell="C21" sqref="C21"/>
    </sheetView>
  </sheetViews>
  <sheetFormatPr defaultRowHeight="15.75" x14ac:dyDescent="0.25"/>
  <cols>
    <col min="1" max="1" width="9.140625" style="2"/>
    <col min="2" max="2" width="11.42578125" style="2" customWidth="1"/>
    <col min="3" max="3" width="50.5703125" style="2" bestFit="1" customWidth="1"/>
    <col min="4" max="4" width="4.5703125" style="2" customWidth="1"/>
    <col min="5" max="5" width="15.7109375" style="2" customWidth="1"/>
    <col min="6" max="6" width="4" style="2" customWidth="1"/>
    <col min="7" max="7" width="15.7109375" style="2" customWidth="1"/>
    <col min="8" max="8" width="4.7109375" style="2" customWidth="1"/>
    <col min="9" max="9" width="17" style="2" customWidth="1"/>
    <col min="10" max="10" width="6.7109375" style="2" customWidth="1"/>
    <col min="11" max="11" width="13.85546875" style="2" customWidth="1"/>
    <col min="12" max="16384" width="9.140625" style="2"/>
  </cols>
  <sheetData>
    <row r="2" spans="2:11" x14ac:dyDescent="0.25">
      <c r="C2" s="1" t="s">
        <v>0</v>
      </c>
    </row>
    <row r="3" spans="2:11" ht="31.5" x14ac:dyDescent="0.25">
      <c r="C3" s="41" t="s">
        <v>79</v>
      </c>
    </row>
    <row r="4" spans="2:11" x14ac:dyDescent="0.25">
      <c r="C4" s="1" t="s">
        <v>1</v>
      </c>
      <c r="G4" s="3" t="s">
        <v>164</v>
      </c>
    </row>
    <row r="5" spans="2:11" x14ac:dyDescent="0.25">
      <c r="C5" s="1" t="s">
        <v>2</v>
      </c>
    </row>
    <row r="6" spans="2:11" x14ac:dyDescent="0.25">
      <c r="C6" s="1" t="s">
        <v>8</v>
      </c>
    </row>
    <row r="8" spans="2:11" x14ac:dyDescent="0.25">
      <c r="C8" s="2" t="s">
        <v>80</v>
      </c>
      <c r="E8" s="1"/>
      <c r="F8" s="1"/>
      <c r="G8" s="1"/>
      <c r="I8" s="1"/>
      <c r="K8" s="1"/>
    </row>
    <row r="9" spans="2:11" x14ac:dyDescent="0.25">
      <c r="E9" s="3"/>
      <c r="F9" s="1"/>
      <c r="G9" s="1"/>
      <c r="I9" s="1"/>
      <c r="K9" s="1"/>
    </row>
    <row r="10" spans="2:11" s="3" customFormat="1" x14ac:dyDescent="0.25">
      <c r="B10" s="70" t="s">
        <v>69</v>
      </c>
      <c r="C10" s="4" t="s">
        <v>59</v>
      </c>
      <c r="E10" s="4" t="s">
        <v>50</v>
      </c>
      <c r="F10" s="1"/>
      <c r="G10" s="4" t="s">
        <v>50</v>
      </c>
      <c r="I10" s="1"/>
      <c r="K10" s="1"/>
    </row>
    <row r="12" spans="2:11" ht="31.5" x14ac:dyDescent="0.25">
      <c r="B12" s="9">
        <v>1</v>
      </c>
      <c r="C12" s="33" t="s">
        <v>81</v>
      </c>
      <c r="E12" s="18">
        <v>2422490</v>
      </c>
      <c r="K12" s="18"/>
    </row>
    <row r="13" spans="2:11" x14ac:dyDescent="0.25">
      <c r="B13" s="9"/>
      <c r="C13" s="39"/>
      <c r="K13" s="18"/>
    </row>
    <row r="14" spans="2:11" ht="31.5" x14ac:dyDescent="0.25">
      <c r="B14" s="9">
        <v>2</v>
      </c>
      <c r="C14" s="33" t="s">
        <v>82</v>
      </c>
      <c r="E14" s="14">
        <v>3574783</v>
      </c>
    </row>
    <row r="15" spans="2:11" x14ac:dyDescent="0.25">
      <c r="B15" s="9"/>
      <c r="C15" s="33"/>
      <c r="G15" s="18"/>
      <c r="K15" s="13"/>
    </row>
    <row r="16" spans="2:11" ht="16.5" thickBot="1" x14ac:dyDescent="0.3">
      <c r="B16" s="9">
        <v>3</v>
      </c>
      <c r="C16" s="33" t="s">
        <v>83</v>
      </c>
      <c r="G16" s="40">
        <f>E12-E14</f>
        <v>-1152293</v>
      </c>
    </row>
    <row r="17" spans="3:11" ht="16.5" thickTop="1" x14ac:dyDescent="0.25">
      <c r="C17" s="33"/>
    </row>
    <row r="18" spans="3:11" x14ac:dyDescent="0.25">
      <c r="C18" s="33"/>
    </row>
    <row r="19" spans="3:11" x14ac:dyDescent="0.25">
      <c r="C19" s="33"/>
    </row>
    <row r="20" spans="3:11" x14ac:dyDescent="0.25">
      <c r="C20" s="33"/>
    </row>
    <row r="21" spans="3:11" x14ac:dyDescent="0.25">
      <c r="C21" s="33"/>
    </row>
    <row r="22" spans="3:11" x14ac:dyDescent="0.25">
      <c r="C22" s="33"/>
      <c r="K22" s="20"/>
    </row>
    <row r="23" spans="3:11" x14ac:dyDescent="0.25">
      <c r="C23" s="33"/>
      <c r="K23" s="20"/>
    </row>
    <row r="24" spans="3:11" x14ac:dyDescent="0.25">
      <c r="C24" s="33"/>
      <c r="K24" s="20"/>
    </row>
    <row r="25" spans="3:11" x14ac:dyDescent="0.25">
      <c r="C25" s="33"/>
    </row>
    <row r="26" spans="3:11" x14ac:dyDescent="0.25">
      <c r="C26" s="33"/>
    </row>
    <row r="28" spans="3:11" x14ac:dyDescent="0.25">
      <c r="K28" s="42"/>
    </row>
    <row r="30" spans="3:11" x14ac:dyDescent="0.25">
      <c r="K30" s="15"/>
    </row>
  </sheetData>
  <pageMargins left="0.7" right="0.7" top="0.75" bottom="0.75" header="0.3" footer="0.3"/>
  <pageSetup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5751-1ADF-409A-8441-038F1976BBCA}">
  <sheetPr>
    <pageSetUpPr fitToPage="1"/>
  </sheetPr>
  <dimension ref="B2:K30"/>
  <sheetViews>
    <sheetView workbookViewId="0">
      <selection activeCell="I26" sqref="I26"/>
    </sheetView>
  </sheetViews>
  <sheetFormatPr defaultRowHeight="15.75" x14ac:dyDescent="0.25"/>
  <cols>
    <col min="1" max="1" width="9.140625" style="2"/>
    <col min="2" max="2" width="11.140625" style="9" customWidth="1"/>
    <col min="3" max="3" width="50.5703125" style="2" bestFit="1" customWidth="1"/>
    <col min="4" max="4" width="4.5703125" style="2" customWidth="1"/>
    <col min="5" max="5" width="15.7109375" style="2" customWidth="1"/>
    <col min="6" max="6" width="4" style="2" customWidth="1"/>
    <col min="7" max="7" width="15.7109375" style="2" customWidth="1"/>
    <col min="8" max="8" width="4.7109375" style="2" customWidth="1"/>
    <col min="9" max="9" width="17" style="2" customWidth="1"/>
    <col min="10" max="10" width="6.7109375" style="2" customWidth="1"/>
    <col min="11" max="11" width="13.85546875" style="2" customWidth="1"/>
    <col min="12" max="16384" width="9.140625" style="2"/>
  </cols>
  <sheetData>
    <row r="2" spans="2:11" x14ac:dyDescent="0.25">
      <c r="C2" s="1" t="s">
        <v>0</v>
      </c>
    </row>
    <row r="3" spans="2:11" x14ac:dyDescent="0.25">
      <c r="C3" s="1" t="s">
        <v>75</v>
      </c>
    </row>
    <row r="4" spans="2:11" x14ac:dyDescent="0.25">
      <c r="C4" s="1" t="s">
        <v>1</v>
      </c>
    </row>
    <row r="5" spans="2:11" x14ac:dyDescent="0.25">
      <c r="C5" s="1" t="s">
        <v>2</v>
      </c>
      <c r="G5" s="3" t="s">
        <v>165</v>
      </c>
    </row>
    <row r="6" spans="2:11" x14ac:dyDescent="0.25">
      <c r="C6" s="1" t="s">
        <v>8</v>
      </c>
    </row>
    <row r="8" spans="2:11" x14ac:dyDescent="0.25">
      <c r="E8" s="1"/>
      <c r="F8" s="1"/>
      <c r="G8" s="1"/>
      <c r="I8" s="1"/>
      <c r="K8" s="1"/>
    </row>
    <row r="9" spans="2:11" x14ac:dyDescent="0.25">
      <c r="E9" s="3"/>
      <c r="F9" s="1"/>
      <c r="G9" s="1"/>
      <c r="I9" s="1"/>
      <c r="K9" s="1"/>
    </row>
    <row r="10" spans="2:11" s="3" customFormat="1" x14ac:dyDescent="0.25">
      <c r="B10" s="4" t="s">
        <v>191</v>
      </c>
      <c r="C10" s="4" t="s">
        <v>59</v>
      </c>
      <c r="E10" s="4" t="s">
        <v>50</v>
      </c>
      <c r="F10" s="1"/>
      <c r="G10" s="4" t="s">
        <v>50</v>
      </c>
      <c r="I10" s="1"/>
      <c r="K10" s="1"/>
    </row>
    <row r="12" spans="2:11" ht="31.5" x14ac:dyDescent="0.25">
      <c r="B12" s="9">
        <v>1</v>
      </c>
      <c r="C12" s="33" t="s">
        <v>76</v>
      </c>
      <c r="E12" s="18">
        <v>3664</v>
      </c>
      <c r="K12" s="18"/>
    </row>
    <row r="13" spans="2:11" x14ac:dyDescent="0.25">
      <c r="C13" s="39"/>
      <c r="K13" s="18"/>
    </row>
    <row r="14" spans="2:11" ht="47.25" x14ac:dyDescent="0.25">
      <c r="B14" s="9">
        <v>2</v>
      </c>
      <c r="C14" s="33" t="s">
        <v>217</v>
      </c>
      <c r="E14" s="14">
        <v>4207</v>
      </c>
    </row>
    <row r="15" spans="2:11" x14ac:dyDescent="0.25">
      <c r="C15" s="33"/>
      <c r="G15" s="18"/>
      <c r="K15" s="13"/>
    </row>
    <row r="16" spans="2:11" ht="16.5" thickBot="1" x14ac:dyDescent="0.3">
      <c r="B16" s="9">
        <v>3</v>
      </c>
      <c r="C16" s="33" t="s">
        <v>77</v>
      </c>
      <c r="G16" s="40">
        <f>(E12+E14)*-1</f>
        <v>-7871</v>
      </c>
    </row>
    <row r="17" spans="3:11" ht="16.5" thickTop="1" x14ac:dyDescent="0.25">
      <c r="C17" s="33"/>
    </row>
    <row r="18" spans="3:11" x14ac:dyDescent="0.25">
      <c r="C18" s="33"/>
    </row>
    <row r="19" spans="3:11" x14ac:dyDescent="0.25">
      <c r="C19" s="33"/>
    </row>
    <row r="20" spans="3:11" x14ac:dyDescent="0.25">
      <c r="C20" s="33"/>
    </row>
    <row r="21" spans="3:11" x14ac:dyDescent="0.25">
      <c r="C21" s="33"/>
    </row>
    <row r="22" spans="3:11" x14ac:dyDescent="0.25">
      <c r="C22" s="33"/>
      <c r="K22" s="20"/>
    </row>
    <row r="23" spans="3:11" x14ac:dyDescent="0.25">
      <c r="C23" s="33"/>
      <c r="K23" s="20"/>
    </row>
    <row r="24" spans="3:11" x14ac:dyDescent="0.25">
      <c r="C24" s="33"/>
      <c r="K24" s="20"/>
    </row>
    <row r="25" spans="3:11" x14ac:dyDescent="0.25">
      <c r="C25" s="33"/>
    </row>
    <row r="26" spans="3:11" x14ac:dyDescent="0.25">
      <c r="C26" s="33"/>
    </row>
    <row r="28" spans="3:11" x14ac:dyDescent="0.25">
      <c r="K28" s="42"/>
    </row>
    <row r="30" spans="3:11" x14ac:dyDescent="0.25">
      <c r="K30" s="15"/>
    </row>
  </sheetData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9D45A-8187-4284-BE3C-43EC1D5B33FE}">
  <sheetPr>
    <pageSetUpPr fitToPage="1"/>
  </sheetPr>
  <dimension ref="B2:K30"/>
  <sheetViews>
    <sheetView workbookViewId="0">
      <selection activeCell="J26" sqref="J26"/>
    </sheetView>
  </sheetViews>
  <sheetFormatPr defaultRowHeight="15.75" x14ac:dyDescent="0.25"/>
  <cols>
    <col min="1" max="1" width="9.140625" style="2"/>
    <col min="2" max="2" width="10.85546875" style="2" customWidth="1"/>
    <col min="3" max="3" width="50.5703125" style="2" bestFit="1" customWidth="1"/>
    <col min="4" max="4" width="4.5703125" style="2" customWidth="1"/>
    <col min="5" max="5" width="15.7109375" style="2" customWidth="1"/>
    <col min="6" max="6" width="4" style="2" customWidth="1"/>
    <col min="7" max="7" width="15.7109375" style="2" customWidth="1"/>
    <col min="8" max="8" width="4.7109375" style="2" customWidth="1"/>
    <col min="9" max="9" width="17" style="2" customWidth="1"/>
    <col min="10" max="10" width="6.7109375" style="2" customWidth="1"/>
    <col min="11" max="11" width="13.85546875" style="2" customWidth="1"/>
    <col min="12" max="16384" width="9.140625" style="2"/>
  </cols>
  <sheetData>
    <row r="2" spans="2:11" x14ac:dyDescent="0.25">
      <c r="C2" s="1" t="s">
        <v>0</v>
      </c>
    </row>
    <row r="3" spans="2:11" ht="31.5" x14ac:dyDescent="0.25">
      <c r="C3" s="41" t="s">
        <v>84</v>
      </c>
    </row>
    <row r="4" spans="2:11" x14ac:dyDescent="0.25">
      <c r="C4" s="1" t="s">
        <v>1</v>
      </c>
      <c r="G4" s="3" t="s">
        <v>166</v>
      </c>
    </row>
    <row r="5" spans="2:11" x14ac:dyDescent="0.25">
      <c r="C5" s="1" t="s">
        <v>2</v>
      </c>
    </row>
    <row r="6" spans="2:11" x14ac:dyDescent="0.25">
      <c r="C6" s="1" t="s">
        <v>8</v>
      </c>
    </row>
    <row r="8" spans="2:11" x14ac:dyDescent="0.25">
      <c r="E8" s="1"/>
      <c r="F8" s="1"/>
      <c r="G8" s="1"/>
      <c r="I8" s="1"/>
      <c r="K8" s="1"/>
    </row>
    <row r="9" spans="2:11" x14ac:dyDescent="0.25">
      <c r="E9" s="3"/>
      <c r="F9" s="1"/>
      <c r="G9" s="1"/>
      <c r="I9" s="1"/>
      <c r="K9" s="1"/>
    </row>
    <row r="10" spans="2:11" s="3" customFormat="1" x14ac:dyDescent="0.25">
      <c r="B10" s="70" t="s">
        <v>69</v>
      </c>
      <c r="C10" s="4" t="s">
        <v>59</v>
      </c>
      <c r="E10" s="4" t="s">
        <v>50</v>
      </c>
      <c r="F10" s="1"/>
      <c r="G10" s="4" t="s">
        <v>50</v>
      </c>
      <c r="I10" s="1"/>
      <c r="K10" s="1"/>
    </row>
    <row r="12" spans="2:11" ht="31.5" x14ac:dyDescent="0.25">
      <c r="B12" s="9">
        <v>1</v>
      </c>
      <c r="C12" s="33" t="s">
        <v>85</v>
      </c>
      <c r="E12" s="18">
        <v>23100</v>
      </c>
      <c r="K12" s="18"/>
    </row>
    <row r="13" spans="2:11" x14ac:dyDescent="0.25">
      <c r="B13" s="9">
        <v>2</v>
      </c>
      <c r="C13" s="33" t="s">
        <v>86</v>
      </c>
      <c r="E13" s="19">
        <v>230</v>
      </c>
      <c r="K13" s="18"/>
    </row>
    <row r="14" spans="2:11" ht="31.5" x14ac:dyDescent="0.25">
      <c r="B14" s="9">
        <v>3</v>
      </c>
      <c r="C14" s="33" t="s">
        <v>87</v>
      </c>
      <c r="E14" s="38">
        <f>E12+E13</f>
        <v>23330</v>
      </c>
    </row>
    <row r="15" spans="2:11" x14ac:dyDescent="0.25">
      <c r="B15" s="9"/>
      <c r="C15" s="33"/>
      <c r="G15" s="18"/>
      <c r="K15" s="13"/>
    </row>
    <row r="16" spans="2:11" ht="48" thickBot="1" x14ac:dyDescent="0.3">
      <c r="B16" s="9">
        <v>4</v>
      </c>
      <c r="C16" s="33" t="s">
        <v>88</v>
      </c>
      <c r="G16" s="40">
        <f>-E14</f>
        <v>-23330</v>
      </c>
    </row>
    <row r="17" spans="3:11" ht="16.5" thickTop="1" x14ac:dyDescent="0.25">
      <c r="C17" s="33"/>
    </row>
    <row r="18" spans="3:11" x14ac:dyDescent="0.25">
      <c r="C18" s="33"/>
    </row>
    <row r="19" spans="3:11" x14ac:dyDescent="0.25">
      <c r="C19" s="33"/>
    </row>
    <row r="20" spans="3:11" x14ac:dyDescent="0.25">
      <c r="C20" s="33"/>
    </row>
    <row r="21" spans="3:11" x14ac:dyDescent="0.25">
      <c r="C21" s="33"/>
    </row>
    <row r="22" spans="3:11" x14ac:dyDescent="0.25">
      <c r="C22" s="33"/>
      <c r="K22" s="20"/>
    </row>
    <row r="23" spans="3:11" x14ac:dyDescent="0.25">
      <c r="C23" s="33"/>
      <c r="K23" s="20"/>
    </row>
    <row r="24" spans="3:11" x14ac:dyDescent="0.25">
      <c r="C24" s="33"/>
      <c r="K24" s="20"/>
    </row>
    <row r="25" spans="3:11" x14ac:dyDescent="0.25">
      <c r="C25" s="33"/>
    </row>
    <row r="26" spans="3:11" x14ac:dyDescent="0.25">
      <c r="C26" s="33"/>
    </row>
    <row r="28" spans="3:11" x14ac:dyDescent="0.25">
      <c r="K28" s="42"/>
    </row>
    <row r="30" spans="3:11" x14ac:dyDescent="0.25">
      <c r="K30" s="15"/>
    </row>
  </sheetData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Directory</vt:lpstr>
      <vt:lpstr>Exhibit DND-2.0 Rev Req</vt:lpstr>
      <vt:lpstr>DND-3 Cap Structure</vt:lpstr>
      <vt:lpstr>DND-4 CWC</vt:lpstr>
      <vt:lpstr>DND 4.1 Interest Sync</vt:lpstr>
      <vt:lpstr>DND-5 Inc Comp</vt:lpstr>
      <vt:lpstr>DND-6 Emp Benefits</vt:lpstr>
      <vt:lpstr>DND-7 Lobbying</vt:lpstr>
      <vt:lpstr>DND-8 Lobbying OH</vt:lpstr>
      <vt:lpstr>DND-9 AGA Dues</vt:lpstr>
      <vt:lpstr>DND-10 GRCF</vt:lpstr>
      <vt:lpstr>'DND-3 Cap Structure'!Print_Area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Dittemore</dc:creator>
  <cp:lastModifiedBy>David Dittemore</cp:lastModifiedBy>
  <cp:lastPrinted>2025-02-17T17:43:48Z</cp:lastPrinted>
  <dcterms:created xsi:type="dcterms:W3CDTF">2024-12-23T02:31:29Z</dcterms:created>
  <dcterms:modified xsi:type="dcterms:W3CDTF">2025-02-17T17:57:10Z</dcterms:modified>
</cp:coreProperties>
</file>