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lient Data\Delta Natural Gas - 2024 - 181843\MML Working File\Supplemental Data Requests\"/>
    </mc:Choice>
  </mc:AlternateContent>
  <xr:revisionPtr revIDLastSave="0" documentId="13_ncr:1_{EBE63055-5A29-4968-9DA1-71E73B2AFD12}" xr6:coauthVersionLast="47" xr6:coauthVersionMax="47" xr10:uidLastSave="{00000000-0000-0000-0000-000000000000}"/>
  <bookViews>
    <workbookView xWindow="28680" yWindow="-120" windowWidth="29040" windowHeight="15840" tabRatio="817" activeTab="6" xr2:uid="{00000000-000D-0000-FFFF-FFFF00000000}"/>
  </bookViews>
  <sheets>
    <sheet name="M 2.1" sheetId="73" r:id="rId1"/>
    <sheet name="M 2.3" sheetId="71" r:id="rId2"/>
    <sheet name="M 2.3 Res" sheetId="62" r:id="rId3"/>
    <sheet name="M 2.3 SM" sheetId="42" r:id="rId4"/>
    <sheet name="M 2.3 Large" sheetId="56" r:id="rId5"/>
    <sheet name="M 2.3 Int" sheetId="61" r:id="rId6"/>
    <sheet name="M 2.3 Special" sheetId="64" r:id="rId7"/>
    <sheet name="M 2.3 Farm Tap" sheetId="66" r:id="rId8"/>
    <sheet name="M 2.3 Off" sheetId="69" r:id="rId9"/>
  </sheets>
  <definedNames>
    <definedName name="_xlnm.Print_Area" localSheetId="0">'M 2.1'!$A$1:$I$26</definedName>
    <definedName name="_xlnm.Print_Area" localSheetId="1">'M 2.3'!$A$1:$J$27</definedName>
    <definedName name="_xlnm.Print_Area" localSheetId="7">'M 2.3 Farm Tap'!$A$1:$W$44</definedName>
    <definedName name="_xlnm.Print_Area" localSheetId="5">'M 2.3 Int'!$A$1:$W$45</definedName>
    <definedName name="_xlnm.Print_Area" localSheetId="4">'M 2.3 Large'!$A$1:$W$46</definedName>
    <definedName name="_xlnm.Print_Area" localSheetId="8">'M 2.3 Off'!$A$1:$O$43</definedName>
    <definedName name="_xlnm.Print_Area" localSheetId="2">'M 2.3 Res'!$A$1:$W$48</definedName>
    <definedName name="_xlnm.Print_Area" localSheetId="3">'M 2.3 SM'!$A$1:$W$48</definedName>
    <definedName name="_xlnm.Print_Area" localSheetId="6">'M 2.3 Special'!$A$1:$W$42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66" l="1"/>
  <c r="M39" i="61"/>
  <c r="M40" i="56"/>
  <c r="M42" i="42"/>
  <c r="M42" i="62"/>
  <c r="M25" i="69" l="1"/>
  <c r="D25" i="71" l="1"/>
  <c r="G25" i="71" s="1"/>
  <c r="F24" i="73"/>
  <c r="E24" i="73"/>
  <c r="I25" i="71" l="1"/>
  <c r="G24" i="73"/>
  <c r="H24" i="73" s="1"/>
  <c r="X25" i="42" l="1"/>
  <c r="X18" i="42"/>
  <c r="T34" i="66" l="1"/>
  <c r="U34" i="66"/>
  <c r="U24" i="66"/>
  <c r="U25" i="66"/>
  <c r="U18" i="66"/>
  <c r="T36" i="42"/>
  <c r="U36" i="42"/>
  <c r="U27" i="42"/>
  <c r="U26" i="42"/>
  <c r="U36" i="62"/>
  <c r="T36" i="62"/>
  <c r="U27" i="62"/>
  <c r="U26" i="62"/>
  <c r="O34" i="66" l="1"/>
  <c r="C85" i="42" l="1"/>
  <c r="C83" i="42"/>
  <c r="C82" i="42"/>
  <c r="C81" i="42"/>
  <c r="C80" i="42"/>
  <c r="C79" i="42"/>
  <c r="C95" i="62" l="1"/>
  <c r="C93" i="62"/>
  <c r="C92" i="62"/>
  <c r="C90" i="62"/>
  <c r="C89" i="62"/>
  <c r="G95" i="62"/>
  <c r="G144" i="61" l="1"/>
  <c r="G145" i="61"/>
  <c r="G146" i="61"/>
  <c r="G147" i="61"/>
  <c r="G148" i="61"/>
  <c r="G149" i="61"/>
  <c r="G150" i="61"/>
  <c r="G151" i="61"/>
  <c r="G152" i="61"/>
  <c r="G153" i="61"/>
  <c r="G154" i="61"/>
  <c r="G143" i="61"/>
  <c r="G120" i="61"/>
  <c r="G119" i="61"/>
  <c r="G118" i="61"/>
  <c r="G117" i="61"/>
  <c r="G116" i="61"/>
  <c r="G115" i="61"/>
  <c r="G114" i="61"/>
  <c r="G113" i="61"/>
  <c r="G112" i="61"/>
  <c r="G111" i="61"/>
  <c r="G110" i="61"/>
  <c r="G109" i="61"/>
  <c r="E155" i="61"/>
  <c r="D155" i="61"/>
  <c r="C173" i="61"/>
  <c r="C162" i="61"/>
  <c r="G75" i="61"/>
  <c r="K127" i="61" s="1"/>
  <c r="G76" i="61"/>
  <c r="G77" i="61"/>
  <c r="G78" i="61"/>
  <c r="G79" i="61"/>
  <c r="G80" i="61"/>
  <c r="G81" i="61"/>
  <c r="G82" i="61"/>
  <c r="G83" i="61"/>
  <c r="G84" i="61"/>
  <c r="G85" i="61"/>
  <c r="G74" i="61"/>
  <c r="J127" i="61"/>
  <c r="J128" i="61"/>
  <c r="J129" i="61"/>
  <c r="J130" i="61"/>
  <c r="J131" i="61"/>
  <c r="J132" i="61"/>
  <c r="J133" i="61"/>
  <c r="J134" i="61"/>
  <c r="J135" i="61"/>
  <c r="J136" i="61"/>
  <c r="J137" i="61"/>
  <c r="J126" i="61"/>
  <c r="K126" i="61" l="1"/>
  <c r="G155" i="61"/>
  <c r="G121" i="61"/>
  <c r="E162" i="56"/>
  <c r="D162" i="56" l="1"/>
  <c r="D104" i="42"/>
  <c r="E113" i="62" l="1"/>
  <c r="E78" i="62"/>
  <c r="D19" i="62" s="1"/>
  <c r="L19" i="62" s="1"/>
  <c r="T19" i="62" l="1"/>
  <c r="G68" i="69" l="1"/>
  <c r="W34" i="66"/>
  <c r="D18" i="69" l="1"/>
  <c r="W27" i="64"/>
  <c r="W28" i="61" l="1"/>
  <c r="T29" i="56"/>
  <c r="W36" i="42" l="1"/>
  <c r="W36" i="62" l="1"/>
  <c r="C163" i="61" l="1"/>
  <c r="C164" i="61"/>
  <c r="C165" i="61"/>
  <c r="C166" i="61"/>
  <c r="C167" i="61"/>
  <c r="C168" i="61"/>
  <c r="C169" i="61"/>
  <c r="C170" i="61"/>
  <c r="C171" i="61"/>
  <c r="C172" i="61"/>
  <c r="D103" i="69" l="1"/>
  <c r="C103" i="69"/>
  <c r="E87" i="69"/>
  <c r="G26" i="69" s="1"/>
  <c r="O26" i="69" s="1"/>
  <c r="D87" i="69"/>
  <c r="G39" i="69" s="1"/>
  <c r="O37" i="69" s="1"/>
  <c r="C87" i="69"/>
  <c r="E68" i="69"/>
  <c r="D68" i="69"/>
  <c r="C68" i="69"/>
  <c r="G18" i="69"/>
  <c r="D25" i="69" l="1"/>
  <c r="G37" i="69"/>
  <c r="G31" i="69"/>
  <c r="L24" i="69"/>
  <c r="G24" i="69"/>
  <c r="L18" i="69"/>
  <c r="G25" i="69" l="1"/>
  <c r="L25" i="69"/>
  <c r="D27" i="69"/>
  <c r="G27" i="69"/>
  <c r="G29" i="69" s="1"/>
  <c r="O24" i="69"/>
  <c r="O18" i="69"/>
  <c r="O25" i="69" l="1"/>
  <c r="O27" i="69" s="1"/>
  <c r="O29" i="69" s="1"/>
  <c r="G41" i="69"/>
  <c r="G33" i="69"/>
  <c r="G35" i="69"/>
  <c r="O31" i="69" s="1"/>
  <c r="E20" i="73" l="1"/>
  <c r="G21" i="71"/>
  <c r="D21" i="71" s="1"/>
  <c r="O33" i="69"/>
  <c r="O39" i="69" s="1"/>
  <c r="O41" i="69" l="1"/>
  <c r="H21" i="71" s="1"/>
  <c r="I21" i="71" s="1"/>
  <c r="F20" i="73"/>
  <c r="O21" i="71"/>
  <c r="O43" i="69"/>
  <c r="G20" i="73" l="1"/>
  <c r="H20" i="73" s="1"/>
  <c r="C155" i="61"/>
  <c r="C162" i="56"/>
  <c r="C104" i="42"/>
  <c r="D113" i="62"/>
  <c r="G87" i="42" l="1"/>
  <c r="G37" i="42" s="1"/>
  <c r="O40" i="42" s="1"/>
  <c r="F16" i="71" l="1"/>
  <c r="W40" i="42"/>
  <c r="C113" i="62"/>
  <c r="G39" i="62" s="1"/>
  <c r="O40" i="62" l="1"/>
  <c r="F15" i="71" s="1"/>
  <c r="W40" i="62" l="1"/>
  <c r="E87" i="66"/>
  <c r="G25" i="66" s="1"/>
  <c r="O25" i="66" s="1"/>
  <c r="L25" i="66" s="1"/>
  <c r="T25" i="66" s="1"/>
  <c r="W25" i="66" s="1"/>
  <c r="D87" i="66"/>
  <c r="G36" i="66" s="1"/>
  <c r="C87" i="66"/>
  <c r="G68" i="66"/>
  <c r="D18" i="66" s="1"/>
  <c r="E68" i="66"/>
  <c r="D68" i="66"/>
  <c r="D24" i="66" s="1"/>
  <c r="C68" i="66"/>
  <c r="G118" i="64"/>
  <c r="D18" i="64" s="1"/>
  <c r="E118" i="64"/>
  <c r="G27" i="64" s="1"/>
  <c r="D118" i="64"/>
  <c r="G38" i="64" s="1"/>
  <c r="C118" i="64"/>
  <c r="D101" i="64"/>
  <c r="C101" i="64"/>
  <c r="E84" i="64"/>
  <c r="D26" i="64" s="1"/>
  <c r="D84" i="64"/>
  <c r="D25" i="64" s="1"/>
  <c r="C84" i="64"/>
  <c r="D24" i="64" s="1"/>
  <c r="C66" i="64"/>
  <c r="D23" i="64" s="1"/>
  <c r="G23" i="64" s="1"/>
  <c r="O27" i="64"/>
  <c r="M26" i="64"/>
  <c r="M25" i="64"/>
  <c r="M24" i="64"/>
  <c r="M23" i="64"/>
  <c r="M25" i="61"/>
  <c r="M26" i="61"/>
  <c r="M27" i="61"/>
  <c r="M24" i="61"/>
  <c r="G30" i="66" l="1"/>
  <c r="D23" i="66"/>
  <c r="L24" i="66"/>
  <c r="T24" i="66" s="1"/>
  <c r="W24" i="66" s="1"/>
  <c r="G24" i="66"/>
  <c r="L18" i="66"/>
  <c r="G18" i="66"/>
  <c r="G32" i="64"/>
  <c r="L25" i="64"/>
  <c r="G25" i="64"/>
  <c r="L24" i="64"/>
  <c r="T24" i="64" s="1"/>
  <c r="W24" i="64" s="1"/>
  <c r="G24" i="64"/>
  <c r="L26" i="64"/>
  <c r="G26" i="64"/>
  <c r="D28" i="64"/>
  <c r="L23" i="64"/>
  <c r="T18" i="66" l="1"/>
  <c r="L23" i="66"/>
  <c r="T23" i="64"/>
  <c r="W23" i="64" s="1"/>
  <c r="L28" i="64"/>
  <c r="O26" i="64"/>
  <c r="T26" i="64"/>
  <c r="W26" i="64" s="1"/>
  <c r="O25" i="64"/>
  <c r="T25" i="64"/>
  <c r="W25" i="64" s="1"/>
  <c r="O23" i="66"/>
  <c r="G23" i="66"/>
  <c r="G26" i="66" s="1"/>
  <c r="G28" i="66" s="1"/>
  <c r="D26" i="66"/>
  <c r="O24" i="66"/>
  <c r="O18" i="66"/>
  <c r="G18" i="64"/>
  <c r="L18" i="64"/>
  <c r="G28" i="64"/>
  <c r="O23" i="64"/>
  <c r="O24" i="64"/>
  <c r="T23" i="66" l="1"/>
  <c r="W23" i="66" s="1"/>
  <c r="W26" i="66" s="1"/>
  <c r="L38" i="66"/>
  <c r="T18" i="64"/>
  <c r="W28" i="64"/>
  <c r="O26" i="66"/>
  <c r="O28" i="66" s="1"/>
  <c r="G30" i="64"/>
  <c r="G34" i="64" s="1"/>
  <c r="G38" i="66"/>
  <c r="G34" i="66"/>
  <c r="O30" i="66" s="1"/>
  <c r="W30" i="66" s="1"/>
  <c r="G32" i="66"/>
  <c r="O18" i="64"/>
  <c r="O28" i="64"/>
  <c r="O38" i="66" l="1"/>
  <c r="O30" i="64"/>
  <c r="W18" i="66"/>
  <c r="W28" i="66" s="1"/>
  <c r="O32" i="66"/>
  <c r="G40" i="64"/>
  <c r="G36" i="64"/>
  <c r="O32" i="64" s="1"/>
  <c r="W32" i="64" s="1"/>
  <c r="G138" i="61"/>
  <c r="E138" i="61"/>
  <c r="D138" i="61"/>
  <c r="G40" i="61" s="1"/>
  <c r="C138" i="61"/>
  <c r="D121" i="61"/>
  <c r="C121" i="61"/>
  <c r="E104" i="61"/>
  <c r="D104" i="61"/>
  <c r="C104" i="61"/>
  <c r="D86" i="61"/>
  <c r="C86" i="61"/>
  <c r="E69" i="61"/>
  <c r="D69" i="61"/>
  <c r="C69" i="61"/>
  <c r="O28" i="61"/>
  <c r="O29" i="56"/>
  <c r="W29" i="56" s="1"/>
  <c r="D127" i="56"/>
  <c r="D92" i="56"/>
  <c r="C127" i="56"/>
  <c r="E110" i="56"/>
  <c r="D110" i="56"/>
  <c r="C110" i="56"/>
  <c r="C92" i="56"/>
  <c r="E20" i="71" l="1"/>
  <c r="W38" i="66"/>
  <c r="O36" i="66"/>
  <c r="D18" i="61"/>
  <c r="L39" i="61"/>
  <c r="G32" i="61"/>
  <c r="J138" i="61"/>
  <c r="L18" i="61"/>
  <c r="T18" i="61" s="1"/>
  <c r="G38" i="61"/>
  <c r="O37" i="61" s="1"/>
  <c r="D27" i="56"/>
  <c r="L28" i="56" s="1"/>
  <c r="O28" i="56" s="1"/>
  <c r="D26" i="56"/>
  <c r="G26" i="56" s="1"/>
  <c r="W32" i="66"/>
  <c r="W36" i="66" s="1"/>
  <c r="W18" i="64"/>
  <c r="D24" i="61"/>
  <c r="L25" i="61" s="1"/>
  <c r="T25" i="61" s="1"/>
  <c r="D23" i="61"/>
  <c r="L24" i="61" s="1"/>
  <c r="T24" i="61" s="1"/>
  <c r="D26" i="61"/>
  <c r="L27" i="61" s="1"/>
  <c r="T27" i="61" s="1"/>
  <c r="D25" i="61"/>
  <c r="G25" i="61" s="1"/>
  <c r="O40" i="66" l="1"/>
  <c r="W30" i="64"/>
  <c r="W34" i="64" s="1"/>
  <c r="F18" i="71"/>
  <c r="W37" i="61"/>
  <c r="O39" i="61"/>
  <c r="W40" i="66"/>
  <c r="F19" i="73" s="1"/>
  <c r="T28" i="56"/>
  <c r="W28" i="56" s="1"/>
  <c r="O18" i="61"/>
  <c r="G18" i="61"/>
  <c r="G26" i="61"/>
  <c r="L26" i="61"/>
  <c r="T26" i="61" s="1"/>
  <c r="O25" i="61"/>
  <c r="O27" i="61"/>
  <c r="W24" i="61"/>
  <c r="L27" i="56"/>
  <c r="O34" i="64"/>
  <c r="G24" i="61"/>
  <c r="O24" i="61"/>
  <c r="G23" i="61"/>
  <c r="D28" i="61"/>
  <c r="W42" i="66" l="1"/>
  <c r="G20" i="71"/>
  <c r="D20" i="71" s="1"/>
  <c r="E19" i="73"/>
  <c r="F18" i="73"/>
  <c r="W36" i="64"/>
  <c r="H19" i="71" s="1"/>
  <c r="E18" i="73"/>
  <c r="G19" i="71"/>
  <c r="D19" i="71" s="1"/>
  <c r="W40" i="64"/>
  <c r="E18" i="71"/>
  <c r="W39" i="61"/>
  <c r="G19" i="73"/>
  <c r="H19" i="73" s="1"/>
  <c r="O26" i="61"/>
  <c r="O27" i="56"/>
  <c r="T27" i="56"/>
  <c r="W27" i="56" s="1"/>
  <c r="W27" i="61"/>
  <c r="W26" i="61"/>
  <c r="O29" i="61"/>
  <c r="O31" i="61" s="1"/>
  <c r="L29" i="61"/>
  <c r="G28" i="61"/>
  <c r="E144" i="56"/>
  <c r="G39" i="56" s="1"/>
  <c r="D144" i="56"/>
  <c r="G41" i="56" s="1"/>
  <c r="C144" i="56"/>
  <c r="G144" i="56"/>
  <c r="E75" i="56"/>
  <c r="D25" i="56" s="1"/>
  <c r="D75" i="56"/>
  <c r="D24" i="56" s="1"/>
  <c r="C75" i="56"/>
  <c r="E87" i="42"/>
  <c r="G26" i="42" s="1"/>
  <c r="O27" i="42" s="1"/>
  <c r="D87" i="42"/>
  <c r="G39" i="42" s="1"/>
  <c r="C87" i="42"/>
  <c r="G68" i="42"/>
  <c r="D18" i="42" s="1"/>
  <c r="E68" i="42"/>
  <c r="D19" i="42" s="1"/>
  <c r="L19" i="42" s="1"/>
  <c r="D68" i="42"/>
  <c r="D25" i="42" s="1"/>
  <c r="C68" i="42"/>
  <c r="D24" i="42" s="1"/>
  <c r="O36" i="42"/>
  <c r="W44" i="66" l="1"/>
  <c r="H20" i="71"/>
  <c r="O19" i="71"/>
  <c r="I19" i="71"/>
  <c r="G18" i="73"/>
  <c r="H18" i="73" s="1"/>
  <c r="G146" i="56"/>
  <c r="D18" i="56"/>
  <c r="G33" i="56"/>
  <c r="O38" i="56"/>
  <c r="L40" i="56"/>
  <c r="L18" i="42"/>
  <c r="D20" i="42"/>
  <c r="T19" i="42"/>
  <c r="I20" i="71"/>
  <c r="O20" i="71"/>
  <c r="G31" i="42"/>
  <c r="L27" i="42"/>
  <c r="G30" i="61"/>
  <c r="G42" i="61" s="1"/>
  <c r="G19" i="42"/>
  <c r="L25" i="42"/>
  <c r="W18" i="61"/>
  <c r="T29" i="61"/>
  <c r="W25" i="61"/>
  <c r="W29" i="61" s="1"/>
  <c r="W38" i="64"/>
  <c r="G24" i="56"/>
  <c r="L25" i="56"/>
  <c r="G25" i="56"/>
  <c r="L26" i="56"/>
  <c r="D23" i="56"/>
  <c r="L24" i="56" s="1"/>
  <c r="L18" i="56"/>
  <c r="T18" i="56" s="1"/>
  <c r="G27" i="56"/>
  <c r="G25" i="42"/>
  <c r="L26" i="42"/>
  <c r="O18" i="42"/>
  <c r="T18" i="42"/>
  <c r="G18" i="42"/>
  <c r="W31" i="61" l="1"/>
  <c r="F17" i="71"/>
  <c r="W38" i="56"/>
  <c r="O40" i="56"/>
  <c r="L30" i="56"/>
  <c r="T25" i="42"/>
  <c r="L42" i="42"/>
  <c r="O42" i="42" s="1"/>
  <c r="E16" i="71" s="1"/>
  <c r="T27" i="42"/>
  <c r="W27" i="42" s="1"/>
  <c r="G20" i="42"/>
  <c r="D27" i="42"/>
  <c r="O25" i="42"/>
  <c r="G24" i="42"/>
  <c r="G27" i="42" s="1"/>
  <c r="O24" i="56"/>
  <c r="T24" i="56"/>
  <c r="W24" i="56" s="1"/>
  <c r="O26" i="56"/>
  <c r="T26" i="56"/>
  <c r="W26" i="56" s="1"/>
  <c r="O25" i="56"/>
  <c r="T25" i="56"/>
  <c r="W25" i="56" s="1"/>
  <c r="O18" i="56"/>
  <c r="G18" i="56"/>
  <c r="G34" i="61"/>
  <c r="G36" i="61"/>
  <c r="O33" i="61" s="1"/>
  <c r="W33" i="61" s="1"/>
  <c r="D29" i="56"/>
  <c r="G23" i="56"/>
  <c r="G29" i="56" s="1"/>
  <c r="W18" i="42"/>
  <c r="T26" i="42"/>
  <c r="O26" i="42"/>
  <c r="W25" i="42"/>
  <c r="W42" i="42" l="1"/>
  <c r="W30" i="56"/>
  <c r="F22" i="71"/>
  <c r="F27" i="71" s="1"/>
  <c r="E17" i="71"/>
  <c r="W40" i="56"/>
  <c r="O32" i="56"/>
  <c r="G31" i="56"/>
  <c r="G37" i="56" s="1"/>
  <c r="O34" i="56" s="1"/>
  <c r="W34" i="56" s="1"/>
  <c r="O30" i="56"/>
  <c r="G29" i="42"/>
  <c r="G35" i="42" s="1"/>
  <c r="O32" i="42" s="1"/>
  <c r="W32" i="42" s="1"/>
  <c r="O28" i="42"/>
  <c r="W19" i="42"/>
  <c r="W20" i="42" s="1"/>
  <c r="O35" i="61"/>
  <c r="W35" i="61"/>
  <c r="W18" i="56"/>
  <c r="W26" i="42"/>
  <c r="W28" i="42" s="1"/>
  <c r="W30" i="42" s="1"/>
  <c r="O19" i="42"/>
  <c r="W41" i="61" l="1"/>
  <c r="W32" i="56"/>
  <c r="W36" i="56" s="1"/>
  <c r="G33" i="42"/>
  <c r="G41" i="42"/>
  <c r="W34" i="42"/>
  <c r="W38" i="42" s="1"/>
  <c r="O41" i="61"/>
  <c r="G35" i="56"/>
  <c r="G43" i="56"/>
  <c r="O36" i="56"/>
  <c r="O20" i="42"/>
  <c r="O30" i="42" s="1"/>
  <c r="O34" i="42" s="1"/>
  <c r="O38" i="42" s="1"/>
  <c r="E17" i="73" l="1"/>
  <c r="G18" i="71"/>
  <c r="D18" i="71" s="1"/>
  <c r="F17" i="73"/>
  <c r="W43" i="61"/>
  <c r="O42" i="56"/>
  <c r="W42" i="56"/>
  <c r="W44" i="42"/>
  <c r="O44" i="42"/>
  <c r="W45" i="61" l="1"/>
  <c r="H18" i="71"/>
  <c r="I18" i="71" s="1"/>
  <c r="G17" i="73"/>
  <c r="H17" i="73" s="1"/>
  <c r="O18" i="71"/>
  <c r="G17" i="71"/>
  <c r="D17" i="71" s="1"/>
  <c r="E16" i="73"/>
  <c r="W44" i="56"/>
  <c r="F16" i="73"/>
  <c r="G16" i="71"/>
  <c r="D16" i="71" s="1"/>
  <c r="E15" i="73"/>
  <c r="W46" i="42"/>
  <c r="F15" i="73"/>
  <c r="W46" i="56" l="1"/>
  <c r="H17" i="71"/>
  <c r="I17" i="71" s="1"/>
  <c r="W48" i="42"/>
  <c r="H16" i="71"/>
  <c r="I16" i="71" s="1"/>
  <c r="O17" i="71"/>
  <c r="G16" i="73"/>
  <c r="H16" i="73" s="1"/>
  <c r="G15" i="73"/>
  <c r="H15" i="73" s="1"/>
  <c r="O36" i="62"/>
  <c r="O16" i="71" l="1"/>
  <c r="E97" i="62"/>
  <c r="G26" i="62" s="1"/>
  <c r="D97" i="62"/>
  <c r="G41" i="62" s="1"/>
  <c r="O27" i="62" l="1"/>
  <c r="D78" i="62"/>
  <c r="D25" i="62" s="1"/>
  <c r="L26" i="62" s="1"/>
  <c r="T26" i="62" l="1"/>
  <c r="L27" i="62"/>
  <c r="T27" i="62" s="1"/>
  <c r="W27" i="62" s="1"/>
  <c r="G25" i="62"/>
  <c r="G78" i="62" l="1"/>
  <c r="G79" i="62" s="1"/>
  <c r="C78" i="62"/>
  <c r="D24" i="62" s="1"/>
  <c r="C97" i="62"/>
  <c r="G31" i="62" l="1"/>
  <c r="D18" i="62"/>
  <c r="G19" i="62"/>
  <c r="L18" i="62" l="1"/>
  <c r="O18" i="62" s="1"/>
  <c r="D20" i="62"/>
  <c r="G24" i="62"/>
  <c r="L25" i="62"/>
  <c r="D27" i="62"/>
  <c r="G18" i="62"/>
  <c r="G20" i="62" s="1"/>
  <c r="L42" i="62" l="1"/>
  <c r="T25" i="62"/>
  <c r="L28" i="62"/>
  <c r="G27" i="62"/>
  <c r="G29" i="62" s="1"/>
  <c r="G43" i="62" s="1"/>
  <c r="T18" i="62"/>
  <c r="O26" i="62"/>
  <c r="W26" i="62"/>
  <c r="O25" i="62"/>
  <c r="O42" i="62" l="1"/>
  <c r="O28" i="62"/>
  <c r="W18" i="62"/>
  <c r="G33" i="62"/>
  <c r="G35" i="62"/>
  <c r="O32" i="62" s="1"/>
  <c r="W32" i="62" s="1"/>
  <c r="O19" i="62"/>
  <c r="W25" i="62"/>
  <c r="W28" i="62" s="1"/>
  <c r="E15" i="71" l="1"/>
  <c r="E22" i="71" s="1"/>
  <c r="E27" i="71" s="1"/>
  <c r="W42" i="62"/>
  <c r="O20" i="62"/>
  <c r="W19" i="62"/>
  <c r="W20" i="62" s="1"/>
  <c r="W30" i="62" l="1"/>
  <c r="W34" i="62" s="1"/>
  <c r="O30" i="62"/>
  <c r="O34" i="62"/>
  <c r="O38" i="62" s="1"/>
  <c r="O44" i="62" l="1"/>
  <c r="W38" i="62"/>
  <c r="E14" i="73" l="1"/>
  <c r="E21" i="73" s="1"/>
  <c r="E26" i="73" s="1"/>
  <c r="G15" i="71"/>
  <c r="D15" i="71" s="1"/>
  <c r="W44" i="62"/>
  <c r="G22" i="71" l="1"/>
  <c r="G27" i="71" s="1"/>
  <c r="D22" i="71"/>
  <c r="D27" i="71" s="1"/>
  <c r="F14" i="73"/>
  <c r="W46" i="62"/>
  <c r="H15" i="71" s="1"/>
  <c r="O15" i="71" s="1"/>
  <c r="O22" i="71" s="1"/>
  <c r="H22" i="71"/>
  <c r="I15" i="71"/>
  <c r="F21" i="73" l="1"/>
  <c r="F26" i="73" s="1"/>
  <c r="G26" i="73" s="1"/>
  <c r="H26" i="73" s="1"/>
  <c r="G14" i="73"/>
  <c r="W48" i="62"/>
  <c r="H27" i="71"/>
  <c r="I27" i="71" s="1"/>
  <c r="I22" i="71"/>
  <c r="H14" i="73" l="1"/>
  <c r="G21" i="73"/>
  <c r="H21" i="73" s="1"/>
</calcChain>
</file>

<file path=xl/sharedStrings.xml><?xml version="1.0" encoding="utf-8"?>
<sst xmlns="http://schemas.openxmlformats.org/spreadsheetml/2006/main" count="844" uniqueCount="111">
  <si>
    <t>Difference</t>
  </si>
  <si>
    <t>Temperature Normalization Adjustment</t>
  </si>
  <si>
    <t>Residential</t>
  </si>
  <si>
    <t>Small Non-Residential</t>
  </si>
  <si>
    <t>Large Non-Residential</t>
  </si>
  <si>
    <t>Farm Tap</t>
  </si>
  <si>
    <t>Total Revenue</t>
  </si>
  <si>
    <t>Transportation</t>
  </si>
  <si>
    <t>Total</t>
  </si>
  <si>
    <t>Sales</t>
  </si>
  <si>
    <t>Trans</t>
  </si>
  <si>
    <t>Test Year Rates</t>
  </si>
  <si>
    <t>Current Rates</t>
  </si>
  <si>
    <t>Proposed Rate</t>
  </si>
  <si>
    <t>Billing</t>
  </si>
  <si>
    <t>Calculated</t>
  </si>
  <si>
    <t>Units</t>
  </si>
  <si>
    <t>Rate</t>
  </si>
  <si>
    <t>Billings</t>
  </si>
  <si>
    <t>Facilities Charge</t>
  </si>
  <si>
    <t>Customer Months</t>
  </si>
  <si>
    <t>Per Customer</t>
  </si>
  <si>
    <t>Customer Charge</t>
  </si>
  <si>
    <t>Current</t>
  </si>
  <si>
    <t>Gas Charge</t>
  </si>
  <si>
    <t>mcf</t>
  </si>
  <si>
    <t>Per mcf</t>
  </si>
  <si>
    <t>Per ccf</t>
  </si>
  <si>
    <t>Percent Increase</t>
  </si>
  <si>
    <t>WNA</t>
  </si>
  <si>
    <t>Total Base Rate</t>
  </si>
  <si>
    <t>Total Base Rate Revenue</t>
  </si>
  <si>
    <t>Base Rate Book Revenue</t>
  </si>
  <si>
    <t>Correction Factor</t>
  </si>
  <si>
    <t>Base Rate Revenue After Application of Correction Factor</t>
  </si>
  <si>
    <t>CEP Lost Revenue</t>
  </si>
  <si>
    <t>Pipeline Replacement</t>
  </si>
  <si>
    <t>Gas Cost Recovery (GCR)</t>
  </si>
  <si>
    <t>Total Calculated Revenue</t>
  </si>
  <si>
    <t>Increase</t>
  </si>
  <si>
    <t>Lighting</t>
  </si>
  <si>
    <t>MO-YR</t>
  </si>
  <si>
    <t>Cust</t>
  </si>
  <si>
    <t>Total SAP</t>
  </si>
  <si>
    <t>GCR</t>
  </si>
  <si>
    <t>CEP Lost Sales</t>
  </si>
  <si>
    <t>Revenue</t>
  </si>
  <si>
    <t>PRP Sales</t>
  </si>
  <si>
    <t>PRP Trans</t>
  </si>
  <si>
    <t>Block 1</t>
  </si>
  <si>
    <t>ccf</t>
  </si>
  <si>
    <t>Block 2</t>
  </si>
  <si>
    <t>Block 3</t>
  </si>
  <si>
    <t>Block 4</t>
  </si>
  <si>
    <t>Block 5</t>
  </si>
  <si>
    <t>Block 1 (1 - 1,000 Mcf)</t>
  </si>
  <si>
    <t>Block 2 (1,001 - 5,000 Mcf)</t>
  </si>
  <si>
    <t>Block 3 (5,001 - 10,000 Mcf)</t>
  </si>
  <si>
    <t>Block 4 (Over 10,000 Mcf)</t>
  </si>
  <si>
    <t>Grand total</t>
  </si>
  <si>
    <t>MCF</t>
  </si>
  <si>
    <t>Off-System Transportation</t>
  </si>
  <si>
    <t>Dth</t>
  </si>
  <si>
    <t>Special Contracts</t>
  </si>
  <si>
    <t>Customer Count</t>
  </si>
  <si>
    <t>Trans PRP Sales</t>
  </si>
  <si>
    <t>Total Trans</t>
  </si>
  <si>
    <t>Sales Total</t>
  </si>
  <si>
    <t>Trans Total</t>
  </si>
  <si>
    <t>Change</t>
  </si>
  <si>
    <t>Percent</t>
  </si>
  <si>
    <t>DELTA NAtURAL GAS COMPANY</t>
  </si>
  <si>
    <t>SUMMARY OF PROPOSED REVENUE INCREASE</t>
  </si>
  <si>
    <t>DATA:  ____ BASE PERIOD  __X__  FORECAST PERIOD</t>
  </si>
  <si>
    <t>SCHEDULE M 2.3</t>
  </si>
  <si>
    <t>TYPE OF FILING: __X__ ORIGINAL  _____ UPDATED  _____ REVISED</t>
  </si>
  <si>
    <t>WORK PAPER REFERENCE NO(S):</t>
  </si>
  <si>
    <t>Page 1 of 8</t>
  </si>
  <si>
    <t>Base Rate</t>
  </si>
  <si>
    <t>Net Revenue</t>
  </si>
  <si>
    <t>Interruptible Service</t>
  </si>
  <si>
    <t>Subtotal</t>
  </si>
  <si>
    <t>Other Operating Revenues:</t>
  </si>
  <si>
    <t xml:space="preserve">  Miscellaneous Service Revenues</t>
  </si>
  <si>
    <t>DELTA NATURAL GAS COMPANY</t>
  </si>
  <si>
    <t>FORECAST PERIOD REVENUES AT CURRENT AND PROPOSED RATES</t>
  </si>
  <si>
    <t>SCHEDULE M 2.1</t>
  </si>
  <si>
    <t>Page 1 of 1</t>
  </si>
  <si>
    <t>Change in</t>
  </si>
  <si>
    <t>at Current Rates</t>
  </si>
  <si>
    <t>at Proposed Rates</t>
  </si>
  <si>
    <t>Witness: Larry Feltner</t>
  </si>
  <si>
    <t>FOR THE 12 MONTHS ENDED JUNE 30, 2026</t>
  </si>
  <si>
    <t>CASE NO. 2024-00346</t>
  </si>
  <si>
    <t>Test Year Rates - Current Rates</t>
  </si>
  <si>
    <t>FOR THE 12 MONTHS ENDED June 30, 2026</t>
  </si>
  <si>
    <t>DETAILED CALCULATION OF FORECAST PERIOD REVENUES AT CURRENT AND PROPOSED RATES</t>
  </si>
  <si>
    <t>Page 2 of 8</t>
  </si>
  <si>
    <t>Pipe Replacement</t>
  </si>
  <si>
    <t>Program</t>
  </si>
  <si>
    <t>Page 3 of 8</t>
  </si>
  <si>
    <t>Page 4 of 8</t>
  </si>
  <si>
    <t>Page 5 of 8</t>
  </si>
  <si>
    <t>Page 6 of 8</t>
  </si>
  <si>
    <t>Page 7 of 8</t>
  </si>
  <si>
    <t>Page 8 of 8</t>
  </si>
  <si>
    <t>SC 1</t>
  </si>
  <si>
    <t>SC 2 Block 1</t>
  </si>
  <si>
    <t>SC 2 Block 2</t>
  </si>
  <si>
    <t>SC 2 Block 3</t>
  </si>
  <si>
    <t>SC Block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</si>
</sst>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_);_(&quot;$&quot;* \(#,##0\);_(&quot;$&quot;* &quot;-&quot;??_);_(@_)"/>
    <numFmt numFmtId="166" formatCode="&quot;$&quot;#,##0.00000"/>
    <numFmt numFmtId="167" formatCode="_(* #,##0_);_(* \(#,##0\);_(* &quot;-&quot;??_);_(@_)"/>
    <numFmt numFmtId="168" formatCode="_(&quot;$&quot;* #,##0.000_);_(&quot;$&quot;* \(#,##0.000\);_(&quot;$&quot;* &quot;-&quot;??_);_(@_)"/>
    <numFmt numFmtId="169" formatCode="_(&quot;$&quot;* #,##0.0000_);_(&quot;$&quot;* \(#,##0.0000\);_(&quot;$&quot;* &quot;-&quot;??_);_(@_)"/>
    <numFmt numFmtId="170" formatCode="0.000%"/>
    <numFmt numFmtId="171" formatCode="_(* #,##0.0_);_(* \(#,##0.0\);_(* &quot;-&quot;??_);_(@_)"/>
    <numFmt numFmtId="172" formatCode="0.0%"/>
    <numFmt numFmtId="173" formatCode="0.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9" applyNumberFormat="0" applyAlignment="0" applyProtection="0"/>
    <xf numFmtId="0" fontId="17" fillId="15" borderId="10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4" fillId="13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21" borderId="9" applyNumberFormat="0" applyAlignment="0" applyProtection="0"/>
    <xf numFmtId="0" fontId="23" fillId="0" borderId="14" applyNumberFormat="0" applyFill="0" applyAlignment="0" applyProtection="0"/>
    <xf numFmtId="0" fontId="23" fillId="21" borderId="0" applyNumberFormat="0" applyBorder="0" applyAlignment="0" applyProtection="0"/>
    <xf numFmtId="0" fontId="6" fillId="20" borderId="9" applyNumberFormat="0" applyFont="0" applyAlignment="0" applyProtection="0"/>
    <xf numFmtId="0" fontId="24" fillId="23" borderId="15" applyNumberFormat="0" applyAlignment="0" applyProtection="0"/>
    <xf numFmtId="4" fontId="6" fillId="27" borderId="9" applyNumberFormat="0" applyProtection="0">
      <alignment vertical="center"/>
    </xf>
    <xf numFmtId="4" fontId="27" fillId="28" borderId="9" applyNumberFormat="0" applyProtection="0">
      <alignment vertical="center"/>
    </xf>
    <xf numFmtId="4" fontId="6" fillId="28" borderId="9" applyNumberFormat="0" applyProtection="0">
      <alignment horizontal="left" vertical="center" indent="1"/>
    </xf>
    <xf numFmtId="0" fontId="10" fillId="27" borderId="16" applyNumberFormat="0" applyProtection="0">
      <alignment horizontal="left" vertical="top" indent="1"/>
    </xf>
    <xf numFmtId="4" fontId="6" fillId="29" borderId="9" applyNumberFormat="0" applyProtection="0">
      <alignment horizontal="left" vertical="center" indent="1"/>
    </xf>
    <xf numFmtId="4" fontId="6" fillId="30" borderId="9" applyNumberFormat="0" applyProtection="0">
      <alignment horizontal="right" vertical="center"/>
    </xf>
    <xf numFmtId="4" fontId="6" fillId="31" borderId="9" applyNumberFormat="0" applyProtection="0">
      <alignment horizontal="right" vertical="center"/>
    </xf>
    <xf numFmtId="4" fontId="6" fillId="32" borderId="17" applyNumberFormat="0" applyProtection="0">
      <alignment horizontal="right" vertical="center"/>
    </xf>
    <xf numFmtId="4" fontId="6" fillId="33" borderId="9" applyNumberFormat="0" applyProtection="0">
      <alignment horizontal="right" vertical="center"/>
    </xf>
    <xf numFmtId="4" fontId="6" fillId="34" borderId="9" applyNumberFormat="0" applyProtection="0">
      <alignment horizontal="right" vertical="center"/>
    </xf>
    <xf numFmtId="4" fontId="6" fillId="35" borderId="9" applyNumberFormat="0" applyProtection="0">
      <alignment horizontal="right" vertical="center"/>
    </xf>
    <xf numFmtId="4" fontId="6" fillId="36" borderId="9" applyNumberFormat="0" applyProtection="0">
      <alignment horizontal="right" vertical="center"/>
    </xf>
    <xf numFmtId="4" fontId="6" fillId="37" borderId="9" applyNumberFormat="0" applyProtection="0">
      <alignment horizontal="right" vertical="center"/>
    </xf>
    <xf numFmtId="4" fontId="6" fillId="38" borderId="9" applyNumberFormat="0" applyProtection="0">
      <alignment horizontal="right" vertical="center"/>
    </xf>
    <xf numFmtId="4" fontId="6" fillId="39" borderId="17" applyNumberFormat="0" applyProtection="0">
      <alignment horizontal="left" vertical="center" indent="1"/>
    </xf>
    <xf numFmtId="4" fontId="2" fillId="40" borderId="17" applyNumberFormat="0" applyProtection="0">
      <alignment horizontal="left" vertical="center" indent="1"/>
    </xf>
    <xf numFmtId="4" fontId="2" fillId="40" borderId="17" applyNumberFormat="0" applyProtection="0">
      <alignment horizontal="left" vertical="center" indent="1"/>
    </xf>
    <xf numFmtId="4" fontId="6" fillId="41" borderId="9" applyNumberFormat="0" applyProtection="0">
      <alignment horizontal="right" vertical="center"/>
    </xf>
    <xf numFmtId="4" fontId="6" fillId="42" borderId="17" applyNumberFormat="0" applyProtection="0">
      <alignment horizontal="left" vertical="center" indent="1"/>
    </xf>
    <xf numFmtId="4" fontId="6" fillId="41" borderId="17" applyNumberFormat="0" applyProtection="0">
      <alignment horizontal="left" vertical="center" indent="1"/>
    </xf>
    <xf numFmtId="0" fontId="6" fillId="43" borderId="9" applyNumberFormat="0" applyProtection="0">
      <alignment horizontal="left" vertical="center" indent="1"/>
    </xf>
    <xf numFmtId="0" fontId="6" fillId="40" borderId="16" applyNumberFormat="0" applyProtection="0">
      <alignment horizontal="left" vertical="top" indent="1"/>
    </xf>
    <xf numFmtId="0" fontId="6" fillId="44" borderId="9" applyNumberFormat="0" applyProtection="0">
      <alignment horizontal="left" vertical="center" indent="1"/>
    </xf>
    <xf numFmtId="0" fontId="6" fillId="41" borderId="16" applyNumberFormat="0" applyProtection="0">
      <alignment horizontal="left" vertical="top" indent="1"/>
    </xf>
    <xf numFmtId="0" fontId="6" fillId="45" borderId="9" applyNumberFormat="0" applyProtection="0">
      <alignment horizontal="left" vertical="center" indent="1"/>
    </xf>
    <xf numFmtId="0" fontId="6" fillId="45" borderId="16" applyNumberFormat="0" applyProtection="0">
      <alignment horizontal="left" vertical="top" indent="1"/>
    </xf>
    <xf numFmtId="0" fontId="6" fillId="42" borderId="9" applyNumberFormat="0" applyProtection="0">
      <alignment horizontal="left" vertical="center" indent="1"/>
    </xf>
    <xf numFmtId="0" fontId="6" fillId="42" borderId="16" applyNumberFormat="0" applyProtection="0">
      <alignment horizontal="left" vertical="top" indent="1"/>
    </xf>
    <xf numFmtId="0" fontId="6" fillId="46" borderId="18" applyNumberFormat="0">
      <protection locked="0"/>
    </xf>
    <xf numFmtId="0" fontId="8" fillId="40" borderId="19" applyBorder="0"/>
    <xf numFmtId="4" fontId="9" fillId="47" borderId="16" applyNumberFormat="0" applyProtection="0">
      <alignment vertical="center"/>
    </xf>
    <xf numFmtId="4" fontId="27" fillId="48" borderId="20" applyNumberFormat="0" applyProtection="0">
      <alignment vertical="center"/>
    </xf>
    <xf numFmtId="4" fontId="9" fillId="43" borderId="16" applyNumberFormat="0" applyProtection="0">
      <alignment horizontal="left" vertical="center" indent="1"/>
    </xf>
    <xf numFmtId="0" fontId="9" fillId="47" borderId="16" applyNumberFormat="0" applyProtection="0">
      <alignment horizontal="left" vertical="top" indent="1"/>
    </xf>
    <xf numFmtId="4" fontId="6" fillId="0" borderId="9" applyNumberFormat="0" applyProtection="0">
      <alignment horizontal="right" vertical="center"/>
    </xf>
    <xf numFmtId="4" fontId="27" fillId="49" borderId="9" applyNumberFormat="0" applyProtection="0">
      <alignment horizontal="right" vertical="center"/>
    </xf>
    <xf numFmtId="4" fontId="6" fillId="29" borderId="9" applyNumberFormat="0" applyProtection="0">
      <alignment horizontal="left" vertical="center" indent="1"/>
    </xf>
    <xf numFmtId="0" fontId="9" fillId="41" borderId="16" applyNumberFormat="0" applyProtection="0">
      <alignment horizontal="left" vertical="top" indent="1"/>
    </xf>
    <xf numFmtId="4" fontId="11" fillId="50" borderId="17" applyNumberFormat="0" applyProtection="0">
      <alignment horizontal="left" vertical="center" indent="1"/>
    </xf>
    <xf numFmtId="0" fontId="6" fillId="51" borderId="20"/>
    <xf numFmtId="4" fontId="12" fillId="46" borderId="9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4" fillId="0" borderId="2" xfId="0" applyFont="1" applyBorder="1"/>
    <xf numFmtId="41" fontId="4" fillId="0" borderId="0" xfId="0" applyNumberFormat="1" applyFont="1"/>
    <xf numFmtId="44" fontId="4" fillId="0" borderId="0" xfId="0" applyNumberFormat="1" applyFont="1"/>
    <xf numFmtId="165" fontId="4" fillId="0" borderId="0" xfId="0" applyNumberFormat="1" applyFont="1"/>
    <xf numFmtId="0" fontId="5" fillId="0" borderId="2" xfId="0" applyFont="1" applyBorder="1"/>
    <xf numFmtId="41" fontId="5" fillId="0" borderId="2" xfId="0" applyNumberFormat="1" applyFont="1" applyBorder="1"/>
    <xf numFmtId="167" fontId="4" fillId="0" borderId="0" xfId="1" applyNumberFormat="1" applyFont="1"/>
    <xf numFmtId="41" fontId="4" fillId="0" borderId="2" xfId="0" applyNumberFormat="1" applyFont="1" applyBorder="1"/>
    <xf numFmtId="166" fontId="4" fillId="0" borderId="0" xfId="0" applyNumberFormat="1" applyFont="1"/>
    <xf numFmtId="167" fontId="4" fillId="0" borderId="0" xfId="0" applyNumberFormat="1" applyFont="1"/>
    <xf numFmtId="43" fontId="4" fillId="0" borderId="0" xfId="0" applyNumberFormat="1" applyFont="1"/>
    <xf numFmtId="169" fontId="4" fillId="0" borderId="0" xfId="0" applyNumberFormat="1" applyFont="1"/>
    <xf numFmtId="165" fontId="4" fillId="0" borderId="0" xfId="3" applyNumberFormat="1" applyFont="1"/>
    <xf numFmtId="10" fontId="4" fillId="0" borderId="0" xfId="3" applyNumberFormat="1" applyFont="1" applyBorder="1"/>
    <xf numFmtId="43" fontId="4" fillId="0" borderId="0" xfId="1" applyFont="1"/>
    <xf numFmtId="44" fontId="4" fillId="0" borderId="0" xfId="2" applyFont="1" applyBorder="1"/>
    <xf numFmtId="43" fontId="4" fillId="0" borderId="0" xfId="1" applyFont="1" applyBorder="1"/>
    <xf numFmtId="165" fontId="4" fillId="0" borderId="0" xfId="2" applyNumberFormat="1" applyFont="1" applyBorder="1" applyAlignment="1"/>
    <xf numFmtId="167" fontId="4" fillId="0" borderId="0" xfId="1" applyNumberFormat="1" applyFont="1" applyBorder="1"/>
    <xf numFmtId="165" fontId="4" fillId="0" borderId="2" xfId="0" applyNumberFormat="1" applyFont="1" applyBorder="1"/>
    <xf numFmtId="17" fontId="4" fillId="0" borderId="0" xfId="0" applyNumberFormat="1" applyFont="1"/>
    <xf numFmtId="0" fontId="4" fillId="0" borderId="0" xfId="0" applyFont="1" applyAlignment="1">
      <alignment horizontal="right"/>
    </xf>
    <xf numFmtId="44" fontId="4" fillId="0" borderId="2" xfId="2" applyFont="1" applyBorder="1"/>
    <xf numFmtId="44" fontId="4" fillId="0" borderId="0" xfId="0" applyNumberFormat="1" applyFont="1" applyAlignment="1">
      <alignment horizontal="right"/>
    </xf>
    <xf numFmtId="167" fontId="4" fillId="0" borderId="0" xfId="1" applyNumberFormat="1" applyFont="1" applyFill="1"/>
    <xf numFmtId="165" fontId="4" fillId="0" borderId="3" xfId="0" applyNumberFormat="1" applyFont="1" applyBorder="1"/>
    <xf numFmtId="167" fontId="4" fillId="0" borderId="0" xfId="1" applyNumberFormat="1" applyFont="1" applyFill="1" applyBorder="1"/>
    <xf numFmtId="167" fontId="4" fillId="0" borderId="2" xfId="1" applyNumberFormat="1" applyFont="1" applyFill="1" applyBorder="1"/>
    <xf numFmtId="165" fontId="4" fillId="0" borderId="0" xfId="2" applyNumberFormat="1" applyFont="1"/>
    <xf numFmtId="169" fontId="4" fillId="0" borderId="0" xfId="2" applyNumberFormat="1" applyFont="1" applyBorder="1"/>
    <xf numFmtId="168" fontId="4" fillId="0" borderId="0" xfId="2" applyNumberFormat="1" applyFont="1" applyBorder="1"/>
    <xf numFmtId="44" fontId="4" fillId="0" borderId="2" xfId="0" applyNumberFormat="1" applyFont="1" applyBorder="1"/>
    <xf numFmtId="165" fontId="4" fillId="0" borderId="0" xfId="2" applyNumberFormat="1" applyFont="1" applyBorder="1"/>
    <xf numFmtId="165" fontId="4" fillId="0" borderId="2" xfId="2" applyNumberFormat="1" applyFont="1" applyBorder="1"/>
    <xf numFmtId="168" fontId="4" fillId="0" borderId="0" xfId="0" applyNumberFormat="1" applyFont="1"/>
    <xf numFmtId="44" fontId="4" fillId="0" borderId="0" xfId="2" applyFont="1"/>
    <xf numFmtId="10" fontId="4" fillId="0" borderId="0" xfId="0" applyNumberFormat="1" applyFont="1"/>
    <xf numFmtId="167" fontId="4" fillId="0" borderId="2" xfId="0" applyNumberFormat="1" applyFont="1" applyBorder="1"/>
    <xf numFmtId="164" fontId="4" fillId="0" borderId="0" xfId="0" applyNumberFormat="1" applyFont="1"/>
    <xf numFmtId="43" fontId="4" fillId="0" borderId="0" xfId="1" applyFont="1" applyBorder="1" applyAlignment="1">
      <alignment horizontal="right"/>
    </xf>
    <xf numFmtId="167" fontId="4" fillId="0" borderId="2" xfId="1" applyNumberFormat="1" applyFont="1" applyBorder="1"/>
    <xf numFmtId="165" fontId="4" fillId="0" borderId="3" xfId="2" applyNumberFormat="1" applyFont="1" applyBorder="1"/>
    <xf numFmtId="170" fontId="4" fillId="0" borderId="0" xfId="3" applyNumberFormat="1" applyFont="1"/>
    <xf numFmtId="170" fontId="4" fillId="0" borderId="0" xfId="0" applyNumberFormat="1" applyFont="1"/>
    <xf numFmtId="167" fontId="4" fillId="0" borderId="0" xfId="1" applyNumberFormat="1" applyFont="1" applyBorder="1" applyAlignment="1">
      <alignment horizontal="right"/>
    </xf>
    <xf numFmtId="44" fontId="3" fillId="0" borderId="0" xfId="0" applyNumberFormat="1" applyFont="1"/>
    <xf numFmtId="165" fontId="4" fillId="0" borderId="0" xfId="2" applyNumberFormat="1" applyFont="1" applyAlignment="1">
      <alignment horizontal="right"/>
    </xf>
    <xf numFmtId="43" fontId="4" fillId="0" borderId="2" xfId="0" applyNumberFormat="1" applyFont="1" applyBorder="1"/>
    <xf numFmtId="167" fontId="0" fillId="0" borderId="0" xfId="1" applyNumberFormat="1" applyFont="1"/>
    <xf numFmtId="172" fontId="4" fillId="0" borderId="0" xfId="3" applyNumberFormat="1" applyFont="1"/>
    <xf numFmtId="166" fontId="4" fillId="0" borderId="2" xfId="0" applyNumberFormat="1" applyFont="1" applyBorder="1"/>
    <xf numFmtId="169" fontId="4" fillId="0" borderId="0" xfId="2" applyNumberFormat="1" applyFont="1"/>
    <xf numFmtId="171" fontId="4" fillId="0" borderId="0" xfId="1" applyNumberFormat="1" applyFont="1" applyBorder="1"/>
    <xf numFmtId="0" fontId="4" fillId="0" borderId="2" xfId="0" applyFont="1" applyBorder="1" applyAlignment="1">
      <alignment horizontal="right"/>
    </xf>
    <xf numFmtId="44" fontId="4" fillId="0" borderId="2" xfId="0" applyNumberFormat="1" applyFont="1" applyBorder="1" applyAlignment="1">
      <alignment horizontal="right"/>
    </xf>
    <xf numFmtId="43" fontId="4" fillId="0" borderId="2" xfId="1" applyFont="1" applyBorder="1" applyAlignment="1">
      <alignment horizontal="right"/>
    </xf>
    <xf numFmtId="165" fontId="4" fillId="0" borderId="0" xfId="3" applyNumberFormat="1" applyFont="1" applyBorder="1"/>
    <xf numFmtId="169" fontId="4" fillId="0" borderId="2" xfId="2" applyNumberFormat="1" applyFont="1" applyBorder="1"/>
    <xf numFmtId="168" fontId="4" fillId="0" borderId="2" xfId="0" applyNumberFormat="1" applyFont="1" applyBorder="1"/>
    <xf numFmtId="173" fontId="4" fillId="0" borderId="0" xfId="0" applyNumberFormat="1" applyFont="1"/>
    <xf numFmtId="165" fontId="4" fillId="0" borderId="22" xfId="0" applyNumberFormat="1" applyFont="1" applyBorder="1"/>
    <xf numFmtId="43" fontId="0" fillId="0" borderId="0" xfId="1" applyFont="1"/>
    <xf numFmtId="44" fontId="0" fillId="0" borderId="0" xfId="0" applyNumberFormat="1"/>
    <xf numFmtId="44" fontId="0" fillId="0" borderId="0" xfId="2" applyFont="1"/>
    <xf numFmtId="43" fontId="0" fillId="0" borderId="0" xfId="0" applyNumberFormat="1"/>
    <xf numFmtId="10" fontId="4" fillId="0" borderId="0" xfId="3" applyNumberFormat="1" applyFont="1"/>
    <xf numFmtId="43" fontId="28" fillId="0" borderId="0" xfId="0" applyNumberFormat="1" applyFont="1"/>
    <xf numFmtId="0" fontId="28" fillId="0" borderId="0" xfId="0" applyFont="1" applyAlignment="1">
      <alignment horizontal="right"/>
    </xf>
    <xf numFmtId="41" fontId="28" fillId="0" borderId="0" xfId="0" applyNumberFormat="1" applyFont="1"/>
    <xf numFmtId="0" fontId="28" fillId="0" borderId="1" xfId="0" applyFont="1" applyBorder="1" applyAlignment="1">
      <alignment horizontal="right"/>
    </xf>
    <xf numFmtId="165" fontId="0" fillId="0" borderId="0" xfId="0" applyNumberFormat="1"/>
    <xf numFmtId="165" fontId="0" fillId="0" borderId="0" xfId="2" applyNumberFormat="1" applyFont="1"/>
    <xf numFmtId="172" fontId="0" fillId="0" borderId="0" xfId="3" applyNumberFormat="1" applyFont="1"/>
    <xf numFmtId="165" fontId="0" fillId="0" borderId="0" xfId="2" applyNumberFormat="1" applyFont="1" applyBorder="1"/>
    <xf numFmtId="165" fontId="0" fillId="0" borderId="2" xfId="0" applyNumberFormat="1" applyBorder="1"/>
    <xf numFmtId="165" fontId="0" fillId="0" borderId="2" xfId="2" applyNumberFormat="1" applyFont="1" applyBorder="1"/>
    <xf numFmtId="172" fontId="0" fillId="0" borderId="2" xfId="3" applyNumberFormat="1" applyFont="1" applyBorder="1"/>
    <xf numFmtId="0" fontId="0" fillId="0" borderId="2" xfId="0" applyBorder="1"/>
    <xf numFmtId="0" fontId="28" fillId="0" borderId="0" xfId="0" applyFont="1"/>
    <xf numFmtId="9" fontId="0" fillId="0" borderId="0" xfId="3" applyFont="1"/>
    <xf numFmtId="165" fontId="0" fillId="0" borderId="0" xfId="2" applyNumberFormat="1" applyFont="1" applyFill="1"/>
    <xf numFmtId="165" fontId="0" fillId="0" borderId="2" xfId="2" applyNumberFormat="1" applyFont="1" applyFill="1" applyBorder="1"/>
    <xf numFmtId="0" fontId="7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04">
    <cellStyle name="Accent1 - 20%" xfId="9" xr:uid="{27E8D236-CF3A-4D27-993F-0D40F39879F4}"/>
    <cellStyle name="Accent1 - 40%" xfId="10" xr:uid="{5569536F-1FEC-4FAE-89D2-FF50F1FB48B3}"/>
    <cellStyle name="Accent1 - 60%" xfId="11" xr:uid="{34A70FEF-D7B4-46A8-B4A6-4889CFDCBF1B}"/>
    <cellStyle name="Accent1 2" xfId="8" xr:uid="{FF7EDAEA-7D2F-4AE1-87D7-A1C5616CBA02}"/>
    <cellStyle name="Accent1 3" xfId="92" xr:uid="{7D6EC3EC-CEC5-4121-B34C-9E800366F250}"/>
    <cellStyle name="Accent1 4" xfId="98" xr:uid="{13A784B5-0DB8-452A-9413-11994B58ECED}"/>
    <cellStyle name="Accent2 - 20%" xfId="13" xr:uid="{FC6CD433-6C8A-446A-9064-3D9E1C41F7A7}"/>
    <cellStyle name="Accent2 - 40%" xfId="14" xr:uid="{69A2E0CA-4F67-425B-A953-B43DCD577766}"/>
    <cellStyle name="Accent2 - 60%" xfId="15" xr:uid="{9E6C795A-51B7-4338-B8D9-5ED2E10876D6}"/>
    <cellStyle name="Accent2 2" xfId="12" xr:uid="{0B03D091-EE7B-47D6-875A-9CC65BEFB39D}"/>
    <cellStyle name="Accent2 3" xfId="93" xr:uid="{8885C2D0-DACF-453E-83C1-48DC47D78D89}"/>
    <cellStyle name="Accent2 4" xfId="99" xr:uid="{70B05CB4-6DBE-4BFC-8E74-59AA23B2DE01}"/>
    <cellStyle name="Accent3 - 20%" xfId="17" xr:uid="{F18C041F-FEF8-4454-9A82-FB2B88F6C99F}"/>
    <cellStyle name="Accent3 - 40%" xfId="18" xr:uid="{BD81DC9D-6648-48F8-8ED2-DB58D03FAC15}"/>
    <cellStyle name="Accent3 - 60%" xfId="19" xr:uid="{1CF112A9-FAD3-46AE-806F-01A399D4E8C2}"/>
    <cellStyle name="Accent3 2" xfId="16" xr:uid="{9623EBD9-EF95-4354-8616-C62CE8B26C8D}"/>
    <cellStyle name="Accent3 3" xfId="94" xr:uid="{9A04D341-1CF5-47D3-A6D5-5268194CFDCD}"/>
    <cellStyle name="Accent3 4" xfId="100" xr:uid="{67E4FD19-482A-4993-8B73-811F6CCB1D89}"/>
    <cellStyle name="Accent4 - 20%" xfId="21" xr:uid="{E03A9AFE-DD82-470B-9B89-ABA53D1EE6E6}"/>
    <cellStyle name="Accent4 - 40%" xfId="22" xr:uid="{40EDB27D-87AE-49BC-BAD1-80568C0D8E1C}"/>
    <cellStyle name="Accent4 - 60%" xfId="23" xr:uid="{C95FA26D-7165-45B4-8D88-2E5DC82A13B3}"/>
    <cellStyle name="Accent4 2" xfId="20" xr:uid="{9692966E-B0F5-4081-9AC3-8B3B4370E7B4}"/>
    <cellStyle name="Accent4 3" xfId="95" xr:uid="{727B74FB-B49D-46C8-AB4B-803D806543E9}"/>
    <cellStyle name="Accent4 4" xfId="101" xr:uid="{A217BDB6-C4F4-4358-8DEB-AA7ABF8FA097}"/>
    <cellStyle name="Accent5 - 20%" xfId="25" xr:uid="{CBFEC637-72A9-4549-82CA-0D87AF0156A5}"/>
    <cellStyle name="Accent5 - 40%" xfId="26" xr:uid="{3338AC82-8547-4B8B-A55B-4BF03E3698B9}"/>
    <cellStyle name="Accent5 - 60%" xfId="27" xr:uid="{ACBA29C4-71EE-4004-9700-DC5F035F64BA}"/>
    <cellStyle name="Accent5 2" xfId="24" xr:uid="{07F2901C-1449-4EB3-AB4C-839A1EBE992E}"/>
    <cellStyle name="Accent5 3" xfId="96" xr:uid="{9E39779B-5057-441E-930F-B3501AB86CEB}"/>
    <cellStyle name="Accent5 4" xfId="102" xr:uid="{39F6BFF0-C460-4A92-BBFA-805BA85AAB08}"/>
    <cellStyle name="Accent6 - 20%" xfId="29" xr:uid="{E8D5CF32-B2A8-4C27-A235-017DEE7C80FA}"/>
    <cellStyle name="Accent6 - 40%" xfId="30" xr:uid="{1C696D43-A146-47F3-A4EE-60ECC710B32D}"/>
    <cellStyle name="Accent6 - 60%" xfId="31" xr:uid="{2A1EF90E-3FDC-4277-9CB2-989B2FD3AEB7}"/>
    <cellStyle name="Accent6 2" xfId="28" xr:uid="{95264787-9661-4FCD-9AA6-1B6E1630CD65}"/>
    <cellStyle name="Accent6 3" xfId="97" xr:uid="{D2D18018-705A-4EFD-B8E8-63BD7550E0BD}"/>
    <cellStyle name="Accent6 4" xfId="103" xr:uid="{929178BE-132A-4286-A42E-674A48A9D71C}"/>
    <cellStyle name="Bad 2" xfId="32" xr:uid="{56A65DCF-FFFD-4CC2-8E44-128B4CFA3BC6}"/>
    <cellStyle name="Calculation 2" xfId="33" xr:uid="{4648CA88-A79E-44DF-9C08-3A8510AA9AD8}"/>
    <cellStyle name="Check Cell 2" xfId="34" xr:uid="{FA648856-2EEE-4D84-AD55-A703FF4791BB}"/>
    <cellStyle name="Comma" xfId="1" builtinId="3"/>
    <cellStyle name="Comma 2" xfId="5" xr:uid="{50AC8DB6-ECFE-4AF8-ADFE-FF425E8A4C63}"/>
    <cellStyle name="Currency" xfId="2" builtinId="4"/>
    <cellStyle name="Emphasis 1" xfId="35" xr:uid="{67D859A3-9C8B-42C4-BC01-89132BE780E3}"/>
    <cellStyle name="Emphasis 2" xfId="36" xr:uid="{917A04C9-ADCC-465C-9244-F21F6053DE20}"/>
    <cellStyle name="Emphasis 3" xfId="37" xr:uid="{F300849B-6D02-410B-BDB8-DE417F8F5A12}"/>
    <cellStyle name="Good 2" xfId="38" xr:uid="{DCCC0D65-18C6-40B3-A97E-7DED94BED53D}"/>
    <cellStyle name="Heading 1 2" xfId="39" xr:uid="{FEBEE2F6-AC3E-40F3-B467-1FAE3E8B54B1}"/>
    <cellStyle name="Heading 2 2" xfId="40" xr:uid="{152D4D98-5256-40CB-BE3C-203D7224C46E}"/>
    <cellStyle name="Heading 3 2" xfId="41" xr:uid="{284E81D6-9ADC-485D-B252-47AF2844BDC7}"/>
    <cellStyle name="Heading 4 2" xfId="42" xr:uid="{4679B85E-16EA-4E32-B140-92B104552A46}"/>
    <cellStyle name="Input 2" xfId="43" xr:uid="{5414D383-D8D1-4F47-AA91-067F9E5C3976}"/>
    <cellStyle name="Linked Cell 2" xfId="44" xr:uid="{574CC7EA-D981-4F59-8B46-0E8635F5280D}"/>
    <cellStyle name="Neutral 2" xfId="45" xr:uid="{07F7E721-AADF-402C-AFC9-86702C304307}"/>
    <cellStyle name="Normal" xfId="0" builtinId="0"/>
    <cellStyle name="Normal 2" xfId="7" xr:uid="{2F110D17-322F-46CC-9883-9C3F85581D8D}"/>
    <cellStyle name="Normal 3" xfId="4" xr:uid="{681E5F19-A468-460A-884E-34BD5D2089EA}"/>
    <cellStyle name="Note 2" xfId="46" xr:uid="{17026889-1E6F-4948-862D-9D181FBDAA22}"/>
    <cellStyle name="Output 2" xfId="47" xr:uid="{DAE7803D-FA7C-48DB-9D4D-C25370FE14F8}"/>
    <cellStyle name="Percent" xfId="3" builtinId="5"/>
    <cellStyle name="Percent 2" xfId="6" xr:uid="{01F02975-6B99-4BD1-8AFB-593A87C50AFB}"/>
    <cellStyle name="SAPBEXaggData" xfId="48" xr:uid="{6DF7C98D-C1A6-481B-92E1-148D4592BF25}"/>
    <cellStyle name="SAPBEXaggDataEmph" xfId="49" xr:uid="{4E7133D0-3B91-4B07-B4A4-37C85EB12340}"/>
    <cellStyle name="SAPBEXaggItem" xfId="50" xr:uid="{110804CB-2C65-4FAC-8F3C-F855C2246E38}"/>
    <cellStyle name="SAPBEXaggItemX" xfId="51" xr:uid="{AA296BF7-2241-4882-863A-142F07C508B4}"/>
    <cellStyle name="SAPBEXchaText" xfId="52" xr:uid="{C114D809-BDF7-4570-8B36-63BD26B0C6C0}"/>
    <cellStyle name="SAPBEXexcBad7" xfId="53" xr:uid="{C4C893C6-3CE1-48D5-9E6A-1E418B44C6DE}"/>
    <cellStyle name="SAPBEXexcBad8" xfId="54" xr:uid="{E3C76C6A-9ACF-4D6E-A143-0EE48D23B9A3}"/>
    <cellStyle name="SAPBEXexcBad9" xfId="55" xr:uid="{1549E05C-77C8-4030-9F12-7B6E39FC102B}"/>
    <cellStyle name="SAPBEXexcCritical4" xfId="56" xr:uid="{6A084BB8-C016-4020-B403-4E07ED43F9CF}"/>
    <cellStyle name="SAPBEXexcCritical5" xfId="57" xr:uid="{DEB86E15-A424-47F6-84F1-2F56C22D3AB7}"/>
    <cellStyle name="SAPBEXexcCritical6" xfId="58" xr:uid="{18DE4655-B9FB-452C-AB2A-642AC0DB6549}"/>
    <cellStyle name="SAPBEXexcGood1" xfId="59" xr:uid="{C9B37F98-B66B-4E17-B385-30A2B361DEFA}"/>
    <cellStyle name="SAPBEXexcGood2" xfId="60" xr:uid="{B013252E-F0B5-49E4-9528-1827AD035FA7}"/>
    <cellStyle name="SAPBEXexcGood3" xfId="61" xr:uid="{13FC253B-8721-4FD6-9394-FA4D67A96428}"/>
    <cellStyle name="SAPBEXfilterDrill" xfId="62" xr:uid="{463AFDCB-8223-4123-B418-22B0C117A31A}"/>
    <cellStyle name="SAPBEXfilterItem" xfId="63" xr:uid="{2AFF82FE-238B-4A28-8AA3-B72E5C63159F}"/>
    <cellStyle name="SAPBEXfilterText" xfId="64" xr:uid="{EA3E3085-EE06-477A-8436-D953C42D24AF}"/>
    <cellStyle name="SAPBEXformats" xfId="65" xr:uid="{5DE2941E-A85A-4B93-81B6-934612201A76}"/>
    <cellStyle name="SAPBEXheaderItem" xfId="66" xr:uid="{C8CA7CE5-1659-43DD-8A20-0925879C6611}"/>
    <cellStyle name="SAPBEXheaderText" xfId="67" xr:uid="{2753ABCC-1656-4FB0-85D9-CB1B98F117CD}"/>
    <cellStyle name="SAPBEXHLevel0" xfId="68" xr:uid="{1806AA30-5182-4F31-A47A-CA3CABF766B7}"/>
    <cellStyle name="SAPBEXHLevel0X" xfId="69" xr:uid="{5A28F176-B4B8-49A1-96AC-0810C8329D58}"/>
    <cellStyle name="SAPBEXHLevel1" xfId="70" xr:uid="{00BCB20F-8A97-4704-B944-B99A70C5E1F0}"/>
    <cellStyle name="SAPBEXHLevel1X" xfId="71" xr:uid="{155D6CB4-153A-461B-861F-9C0D2DA51DE3}"/>
    <cellStyle name="SAPBEXHLevel2" xfId="72" xr:uid="{0E31FA1B-3B57-4A82-9683-723AF72CF91B}"/>
    <cellStyle name="SAPBEXHLevel2X" xfId="73" xr:uid="{DE76EC7D-0A41-4BD1-B5E7-430ABC39FBD4}"/>
    <cellStyle name="SAPBEXHLevel3" xfId="74" xr:uid="{4AE02FE0-EE6B-4C13-9DC8-47ACBF2455BD}"/>
    <cellStyle name="SAPBEXHLevel3X" xfId="75" xr:uid="{CD51BDB3-A3CE-42F7-9C3C-FCE0C4B43EA6}"/>
    <cellStyle name="SAPBEXinputData" xfId="76" xr:uid="{FBE5B780-D552-4244-9581-55B53F25CDBF}"/>
    <cellStyle name="SAPBEXItemHeader" xfId="77" xr:uid="{9727D240-5A8F-4EA7-B15D-79F88C733E45}"/>
    <cellStyle name="SAPBEXresData" xfId="78" xr:uid="{EF779F33-E345-481C-AEE9-2C7BD036EC0F}"/>
    <cellStyle name="SAPBEXresDataEmph" xfId="79" xr:uid="{297DEB64-3170-452B-B862-88D586ED0866}"/>
    <cellStyle name="SAPBEXresItem" xfId="80" xr:uid="{AFFC9CC4-6FF2-431D-B7DD-804FAD251898}"/>
    <cellStyle name="SAPBEXresItemX" xfId="81" xr:uid="{94B6D7BF-32E8-4612-8B4A-4A25B1605DE9}"/>
    <cellStyle name="SAPBEXstdData" xfId="82" xr:uid="{7D6E945B-99D8-4521-9E49-041FA694DDD1}"/>
    <cellStyle name="SAPBEXstdDataEmph" xfId="83" xr:uid="{4010745A-7A7E-448C-B20F-18D42A22ACBB}"/>
    <cellStyle name="SAPBEXstdItem" xfId="84" xr:uid="{A63FEDAF-CF2E-4EC6-856F-FAD6B21411BB}"/>
    <cellStyle name="SAPBEXstdItemX" xfId="85" xr:uid="{A4B15206-92A2-48F3-9E6A-2538BD6AAF6B}"/>
    <cellStyle name="SAPBEXtitle" xfId="86" xr:uid="{9387527E-D346-4389-945B-3BABE0845A2D}"/>
    <cellStyle name="SAPBEXunassignedItem" xfId="87" xr:uid="{9D0CB066-F9E2-4EC2-8623-C03C88F7EF22}"/>
    <cellStyle name="SAPBEXundefined" xfId="88" xr:uid="{30315983-AF9D-4298-9B8E-CCD19906B09A}"/>
    <cellStyle name="Sheet Title" xfId="89" xr:uid="{0D8CFB02-6899-4555-9BBA-A23D3500C4BA}"/>
    <cellStyle name="Total 2" xfId="90" xr:uid="{F5F4F244-4A8E-4ECE-BA37-39ED7F9DD011}"/>
    <cellStyle name="Warning Text 2" xfId="91" xr:uid="{262F3297-201F-4276-9153-C645E56289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0A40-F7A7-4239-9B49-C6069D04AFD2}">
  <dimension ref="A1:R28"/>
  <sheetViews>
    <sheetView view="pageBreakPreview" zoomScaleNormal="100" zoomScaleSheetLayoutView="100" workbookViewId="0">
      <selection activeCell="R4" sqref="R4"/>
    </sheetView>
  </sheetViews>
  <sheetFormatPr defaultRowHeight="12.75" x14ac:dyDescent="0.2"/>
  <cols>
    <col min="5" max="5" width="18.42578125" customWidth="1"/>
    <col min="6" max="6" width="20" customWidth="1"/>
    <col min="7" max="7" width="15.42578125" customWidth="1"/>
    <col min="10" max="10" width="14.28515625" bestFit="1" customWidth="1"/>
    <col min="12" max="12" width="15.42578125" customWidth="1"/>
    <col min="17" max="17" width="16.28515625" customWidth="1"/>
    <col min="18" max="18" width="11" customWidth="1"/>
  </cols>
  <sheetData>
    <row r="1" spans="1:18" ht="15" x14ac:dyDescent="0.25">
      <c r="A1" s="90" t="s">
        <v>84</v>
      </c>
      <c r="B1" s="90"/>
      <c r="C1" s="90"/>
      <c r="D1" s="90"/>
      <c r="E1" s="90"/>
      <c r="F1" s="90"/>
      <c r="G1" s="90"/>
    </row>
    <row r="2" spans="1:18" ht="15" x14ac:dyDescent="0.25">
      <c r="A2" s="90" t="s">
        <v>93</v>
      </c>
      <c r="B2" s="91"/>
      <c r="C2" s="91"/>
      <c r="D2" s="91"/>
      <c r="E2" s="91"/>
      <c r="F2" s="91"/>
      <c r="G2" s="91"/>
    </row>
    <row r="3" spans="1:18" ht="15" x14ac:dyDescent="0.25">
      <c r="A3" s="90" t="s">
        <v>85</v>
      </c>
      <c r="B3" s="91"/>
      <c r="C3" s="91"/>
      <c r="D3" s="91"/>
      <c r="E3" s="91"/>
      <c r="F3" s="91"/>
      <c r="G3" s="91"/>
    </row>
    <row r="4" spans="1:18" ht="15" x14ac:dyDescent="0.25">
      <c r="A4" s="90" t="s">
        <v>92</v>
      </c>
      <c r="B4" s="91"/>
      <c r="C4" s="91"/>
      <c r="D4" s="91"/>
      <c r="E4" s="91"/>
      <c r="F4" s="91"/>
      <c r="G4" s="91"/>
    </row>
    <row r="5" spans="1:18" x14ac:dyDescent="0.2">
      <c r="A5" s="91"/>
      <c r="B5" s="91"/>
      <c r="C5" s="91"/>
      <c r="D5" s="91"/>
      <c r="E5" s="91"/>
    </row>
    <row r="6" spans="1:18" ht="15" x14ac:dyDescent="0.25">
      <c r="A6" s="73" t="s">
        <v>73</v>
      </c>
      <c r="I6" s="74" t="s">
        <v>86</v>
      </c>
    </row>
    <row r="7" spans="1:18" ht="15" x14ac:dyDescent="0.25">
      <c r="A7" s="75" t="s">
        <v>75</v>
      </c>
      <c r="I7" s="74" t="s">
        <v>91</v>
      </c>
    </row>
    <row r="8" spans="1:18" ht="15" x14ac:dyDescent="0.25">
      <c r="A8" s="75" t="s">
        <v>76</v>
      </c>
      <c r="I8" s="74" t="s">
        <v>87</v>
      </c>
    </row>
    <row r="12" spans="1:18" ht="15" x14ac:dyDescent="0.25">
      <c r="E12" s="74" t="s">
        <v>6</v>
      </c>
      <c r="F12" s="74" t="s">
        <v>6</v>
      </c>
      <c r="G12" s="74" t="s">
        <v>88</v>
      </c>
      <c r="H12" s="74" t="s">
        <v>70</v>
      </c>
      <c r="J12" s="74"/>
      <c r="Q12" s="85"/>
    </row>
    <row r="13" spans="1:18" ht="15.75" thickBot="1" x14ac:dyDescent="0.3">
      <c r="E13" s="76" t="s">
        <v>89</v>
      </c>
      <c r="F13" s="76" t="s">
        <v>90</v>
      </c>
      <c r="G13" s="76" t="s">
        <v>6</v>
      </c>
      <c r="H13" s="76" t="s">
        <v>69</v>
      </c>
      <c r="J13" s="74"/>
    </row>
    <row r="14" spans="1:18" ht="15.75" x14ac:dyDescent="0.25">
      <c r="A14" s="2" t="s">
        <v>2</v>
      </c>
      <c r="E14" s="78">
        <f>'M 2.3 Res'!O44</f>
        <v>32643784.087588191</v>
      </c>
      <c r="F14" s="78">
        <f>'M 2.3 Res'!W44</f>
        <v>36863898.704343319</v>
      </c>
      <c r="G14" s="77">
        <f>F14-E14</f>
        <v>4220114.6167551279</v>
      </c>
      <c r="H14" s="79">
        <f>G14/E14</f>
        <v>0.12927773953632105</v>
      </c>
      <c r="J14" s="77"/>
      <c r="L14" s="68"/>
      <c r="M14" s="79"/>
      <c r="N14" s="79"/>
      <c r="Q14" s="69"/>
      <c r="R14" s="86"/>
    </row>
    <row r="15" spans="1:18" ht="15.75" x14ac:dyDescent="0.25">
      <c r="A15" s="2" t="s">
        <v>3</v>
      </c>
      <c r="E15" s="78">
        <f>'M 2.3 SM'!O44</f>
        <v>11174219.016498428</v>
      </c>
      <c r="F15" s="78">
        <f>'M 2.3 SM'!W44</f>
        <v>12291285.753515832</v>
      </c>
      <c r="G15" s="77">
        <f t="shared" ref="G15:G20" si="0">F15-E15</f>
        <v>1117066.7370174043</v>
      </c>
      <c r="H15" s="79">
        <f t="shared" ref="H15:H26" si="1">G15/E15</f>
        <v>9.9968215708684957E-2</v>
      </c>
      <c r="J15" s="77"/>
      <c r="L15" s="68"/>
      <c r="N15" s="79"/>
      <c r="Q15" s="69"/>
      <c r="R15" s="79"/>
    </row>
    <row r="16" spans="1:18" ht="15.75" x14ac:dyDescent="0.25">
      <c r="A16" s="2" t="s">
        <v>4</v>
      </c>
      <c r="E16" s="78">
        <f>'M 2.3 Large'!O42</f>
        <v>16510972.980771059</v>
      </c>
      <c r="F16" s="78">
        <f>'M 2.3 Large'!W42</f>
        <v>18399311.460731059</v>
      </c>
      <c r="G16" s="77">
        <f t="shared" si="0"/>
        <v>1888338.4799600001</v>
      </c>
      <c r="H16" s="79">
        <f t="shared" si="1"/>
        <v>0.11436869784471146</v>
      </c>
      <c r="J16" s="77"/>
      <c r="L16" s="68"/>
      <c r="N16" s="79"/>
      <c r="Q16" s="69"/>
      <c r="R16" s="79"/>
    </row>
    <row r="17" spans="1:18" ht="15.75" x14ac:dyDescent="0.25">
      <c r="A17" s="2" t="s">
        <v>80</v>
      </c>
      <c r="E17" s="78">
        <f>'M 2.3 Int'!O41</f>
        <v>2304197.6360600004</v>
      </c>
      <c r="F17" s="78">
        <f>'M 2.3 Int'!W41</f>
        <v>2375407.1456300006</v>
      </c>
      <c r="G17" s="77">
        <f t="shared" si="0"/>
        <v>71209.509570000228</v>
      </c>
      <c r="H17" s="79">
        <f t="shared" si="1"/>
        <v>3.0904254242601768E-2</v>
      </c>
      <c r="J17" s="77"/>
      <c r="L17" s="68"/>
      <c r="N17" s="79"/>
      <c r="Q17" s="69"/>
      <c r="R17" s="79"/>
    </row>
    <row r="18" spans="1:18" ht="15.75" x14ac:dyDescent="0.25">
      <c r="A18" s="2" t="s">
        <v>63</v>
      </c>
      <c r="E18" s="78">
        <f>'M 2.3 Special'!O34</f>
        <v>452987.68471000012</v>
      </c>
      <c r="F18" s="78">
        <f>'M 2.3 Special'!W34</f>
        <v>557941.10252000007</v>
      </c>
      <c r="G18" s="77">
        <f t="shared" si="0"/>
        <v>104953.41780999996</v>
      </c>
      <c r="H18" s="79">
        <f t="shared" si="1"/>
        <v>0.23169154781148293</v>
      </c>
      <c r="J18" s="77"/>
      <c r="L18" s="68"/>
      <c r="N18" s="79"/>
      <c r="Q18" s="69"/>
      <c r="R18" s="79"/>
    </row>
    <row r="19" spans="1:18" ht="15.75" x14ac:dyDescent="0.25">
      <c r="A19" s="2" t="s">
        <v>5</v>
      </c>
      <c r="E19" s="78">
        <f>'M 2.3 Farm Tap'!O40</f>
        <v>2679735.4534690734</v>
      </c>
      <c r="F19" s="78">
        <f>'M 2.3 Farm Tap'!W40</f>
        <v>2735961.0010614283</v>
      </c>
      <c r="G19" s="77">
        <f t="shared" si="0"/>
        <v>56225.547592354938</v>
      </c>
      <c r="H19" s="79">
        <f t="shared" si="1"/>
        <v>2.0981753075501427E-2</v>
      </c>
      <c r="J19" s="77"/>
      <c r="L19" s="68"/>
      <c r="N19" s="79"/>
      <c r="Q19" s="69"/>
      <c r="R19" s="79"/>
    </row>
    <row r="20" spans="1:18" ht="15.75" x14ac:dyDescent="0.25">
      <c r="A20" s="2" t="s">
        <v>61</v>
      </c>
      <c r="E20" s="82">
        <f>'M 2.3 Off'!G41</f>
        <v>2782555.117958942</v>
      </c>
      <c r="F20" s="82">
        <f>'M 2.3 Off'!O39</f>
        <v>2994213.5117183905</v>
      </c>
      <c r="G20" s="81">
        <f t="shared" si="0"/>
        <v>211658.39375944855</v>
      </c>
      <c r="H20" s="83">
        <f t="shared" si="1"/>
        <v>7.6066199872692572E-2</v>
      </c>
      <c r="J20" s="77"/>
      <c r="L20" s="68"/>
      <c r="N20" s="79"/>
      <c r="Q20" s="69"/>
      <c r="R20" s="79"/>
    </row>
    <row r="21" spans="1:18" ht="15.75" x14ac:dyDescent="0.25">
      <c r="A21" s="1" t="s">
        <v>81</v>
      </c>
      <c r="E21" s="77">
        <f>SUM(E14:E20)</f>
        <v>68548451.977055699</v>
      </c>
      <c r="F21" s="77">
        <f>SUM(F14:F20)</f>
        <v>76218018.679520041</v>
      </c>
      <c r="G21" s="77">
        <f>SUM(G14:G20)</f>
        <v>7669566.7024643365</v>
      </c>
      <c r="H21" s="79">
        <f t="shared" si="1"/>
        <v>0.11188533776125925</v>
      </c>
      <c r="J21" s="77"/>
      <c r="L21" s="71"/>
      <c r="Q21" s="69"/>
    </row>
    <row r="22" spans="1:18" x14ac:dyDescent="0.2">
      <c r="H22" s="79"/>
    </row>
    <row r="23" spans="1:18" ht="15.75" x14ac:dyDescent="0.25">
      <c r="A23" s="2" t="s">
        <v>82</v>
      </c>
      <c r="H23" s="79"/>
      <c r="J23" s="55"/>
      <c r="Q23" s="70"/>
    </row>
    <row r="24" spans="1:18" x14ac:dyDescent="0.2">
      <c r="A24" t="s">
        <v>83</v>
      </c>
      <c r="E24" s="82">
        <f>35149+19774</f>
        <v>54923</v>
      </c>
      <c r="F24" s="82">
        <f>E24+28862</f>
        <v>83785</v>
      </c>
      <c r="G24" s="81">
        <f t="shared" ref="G24" si="2">F24-E24</f>
        <v>28862</v>
      </c>
      <c r="H24" s="83">
        <f t="shared" si="1"/>
        <v>0.5254993354332429</v>
      </c>
      <c r="Q24" s="69"/>
    </row>
    <row r="25" spans="1:18" x14ac:dyDescent="0.2">
      <c r="H25" s="79"/>
    </row>
    <row r="26" spans="1:18" ht="15" x14ac:dyDescent="0.25">
      <c r="A26" s="85" t="s">
        <v>8</v>
      </c>
      <c r="E26" s="77">
        <f>E21+E24</f>
        <v>68603374.977055699</v>
      </c>
      <c r="F26" s="77">
        <f>F21+F24</f>
        <v>76301803.679520041</v>
      </c>
      <c r="G26" s="77">
        <f t="shared" ref="G26" si="3">F26-E26</f>
        <v>7698428.7024643421</v>
      </c>
      <c r="H26" s="79">
        <f t="shared" si="1"/>
        <v>0.11221647193070415</v>
      </c>
      <c r="J26" s="68"/>
      <c r="K26" s="79"/>
    </row>
    <row r="28" spans="1:18" x14ac:dyDescent="0.2">
      <c r="F28" s="77"/>
      <c r="J28" s="69"/>
    </row>
  </sheetData>
  <mergeCells count="5">
    <mergeCell ref="A1:G1"/>
    <mergeCell ref="A2:G2"/>
    <mergeCell ref="A3:G3"/>
    <mergeCell ref="A4:G4"/>
    <mergeCell ref="A5:E5"/>
  </mergeCells>
  <pageMargins left="0.7" right="0.7" top="0.75" bottom="0.75" header="0.3" footer="0.3"/>
  <pageSetup scale="84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EF46-4BB5-4077-9EF3-DF05742D5665}">
  <dimension ref="A1:O30"/>
  <sheetViews>
    <sheetView view="pageBreakPreview" zoomScale="90" zoomScaleNormal="100" zoomScaleSheetLayoutView="90" workbookViewId="0">
      <selection activeCell="L18" sqref="L18"/>
    </sheetView>
  </sheetViews>
  <sheetFormatPr defaultRowHeight="12.75" x14ac:dyDescent="0.2"/>
  <cols>
    <col min="3" max="3" width="15.85546875" customWidth="1"/>
    <col min="4" max="7" width="18.140625" customWidth="1"/>
    <col min="8" max="8" width="18.28515625" customWidth="1"/>
    <col min="12" max="12" width="15" bestFit="1" customWidth="1"/>
    <col min="14" max="15" width="18.5703125" customWidth="1"/>
    <col min="17" max="17" width="19.85546875" customWidth="1"/>
    <col min="18" max="18" width="14" customWidth="1"/>
  </cols>
  <sheetData>
    <row r="1" spans="1:15" ht="15" x14ac:dyDescent="0.25">
      <c r="C1" s="90" t="s">
        <v>71</v>
      </c>
      <c r="D1" s="90"/>
      <c r="E1" s="90"/>
      <c r="F1" s="90"/>
      <c r="G1" s="90"/>
      <c r="H1" s="90"/>
      <c r="I1" s="90"/>
      <c r="J1" s="90"/>
    </row>
    <row r="2" spans="1:15" ht="15" x14ac:dyDescent="0.25">
      <c r="C2" s="90" t="s">
        <v>93</v>
      </c>
      <c r="D2" s="91"/>
      <c r="E2" s="91"/>
      <c r="F2" s="91"/>
      <c r="G2" s="91"/>
      <c r="H2" s="91"/>
      <c r="I2" s="91"/>
      <c r="J2" s="91"/>
    </row>
    <row r="3" spans="1:15" ht="15" x14ac:dyDescent="0.25">
      <c r="C3" s="90" t="s">
        <v>72</v>
      </c>
      <c r="D3" s="90"/>
      <c r="E3" s="90"/>
      <c r="F3" s="90"/>
      <c r="G3" s="90"/>
      <c r="H3" s="90"/>
      <c r="I3" s="90"/>
      <c r="J3" s="90"/>
    </row>
    <row r="4" spans="1:15" ht="15" x14ac:dyDescent="0.25">
      <c r="C4" s="90" t="s">
        <v>95</v>
      </c>
      <c r="D4" s="91"/>
      <c r="E4" s="91"/>
      <c r="F4" s="91"/>
      <c r="G4" s="91"/>
      <c r="H4" s="91"/>
      <c r="I4" s="91"/>
      <c r="J4" s="91"/>
    </row>
    <row r="8" spans="1:15" ht="15" x14ac:dyDescent="0.25">
      <c r="A8" s="73" t="s">
        <v>73</v>
      </c>
      <c r="J8" s="74" t="s">
        <v>74</v>
      </c>
    </row>
    <row r="9" spans="1:15" ht="15" x14ac:dyDescent="0.25">
      <c r="A9" s="75" t="s">
        <v>75</v>
      </c>
      <c r="J9" s="74" t="s">
        <v>91</v>
      </c>
    </row>
    <row r="10" spans="1:15" ht="15" x14ac:dyDescent="0.25">
      <c r="A10" s="75" t="s">
        <v>76</v>
      </c>
      <c r="J10" s="74" t="s">
        <v>77</v>
      </c>
    </row>
    <row r="12" spans="1:15" ht="15" x14ac:dyDescent="0.25">
      <c r="F12" s="89" t="s">
        <v>98</v>
      </c>
      <c r="G12" s="74" t="s">
        <v>8</v>
      </c>
      <c r="N12" s="74"/>
    </row>
    <row r="13" spans="1:15" ht="15" x14ac:dyDescent="0.25">
      <c r="D13" s="74" t="s">
        <v>78</v>
      </c>
      <c r="E13" s="74" t="s">
        <v>44</v>
      </c>
      <c r="F13" s="74" t="s">
        <v>99</v>
      </c>
      <c r="G13" s="74" t="s">
        <v>23</v>
      </c>
      <c r="I13" s="74" t="s">
        <v>70</v>
      </c>
      <c r="N13" s="74"/>
    </row>
    <row r="14" spans="1:15" ht="15.75" thickBot="1" x14ac:dyDescent="0.3">
      <c r="D14" s="76" t="s">
        <v>46</v>
      </c>
      <c r="E14" s="76" t="s">
        <v>46</v>
      </c>
      <c r="F14" s="76" t="s">
        <v>46</v>
      </c>
      <c r="G14" s="76" t="s">
        <v>46</v>
      </c>
      <c r="H14" s="76" t="s">
        <v>39</v>
      </c>
      <c r="I14" s="76" t="s">
        <v>69</v>
      </c>
      <c r="N14" s="74"/>
      <c r="O14" s="76" t="s">
        <v>79</v>
      </c>
    </row>
    <row r="15" spans="1:15" ht="15.75" x14ac:dyDescent="0.25">
      <c r="A15" s="2" t="s">
        <v>2</v>
      </c>
      <c r="D15" s="77">
        <f>G15-E15-F15</f>
        <v>18219591.497645307</v>
      </c>
      <c r="E15" s="78">
        <f>'M 2.3 Res'!O42</f>
        <v>14040659.021702882</v>
      </c>
      <c r="F15" s="78">
        <f>'M 2.3 Res'!O40</f>
        <v>383533.56823999999</v>
      </c>
      <c r="G15" s="87">
        <f>'M 2.3 Res'!O44</f>
        <v>32643784.087588191</v>
      </c>
      <c r="H15" s="78">
        <f>'M 2.3 Res'!W46</f>
        <v>4220114.6167551279</v>
      </c>
      <c r="I15" s="79">
        <f>H15/G15</f>
        <v>0.12927773953632105</v>
      </c>
      <c r="N15" s="80"/>
      <c r="O15" s="77">
        <f>D15+H15</f>
        <v>22439706.114400435</v>
      </c>
    </row>
    <row r="16" spans="1:15" ht="15.75" x14ac:dyDescent="0.25">
      <c r="A16" s="2" t="s">
        <v>3</v>
      </c>
      <c r="D16" s="77">
        <f t="shared" ref="D16:D21" si="0">G16-E16-F16</f>
        <v>5698893.7977759857</v>
      </c>
      <c r="E16" s="78">
        <f>'M 2.3 SM'!O42</f>
        <v>5378091.4074424421</v>
      </c>
      <c r="F16" s="78">
        <f>'M 2.3 SM'!O40</f>
        <v>97233.811279999994</v>
      </c>
      <c r="G16" s="87">
        <f>'M 2.3 SM'!O44</f>
        <v>11174219.016498428</v>
      </c>
      <c r="H16" s="78">
        <f>'M 2.3 SM'!W46</f>
        <v>1117066.7370174043</v>
      </c>
      <c r="I16" s="79">
        <f t="shared" ref="I16:I22" si="1">H16/G16</f>
        <v>9.9968215708684957E-2</v>
      </c>
      <c r="N16" s="80"/>
      <c r="O16" s="77">
        <f t="shared" ref="O16:O21" si="2">D16+H16</f>
        <v>6815960.53479339</v>
      </c>
    </row>
    <row r="17" spans="1:15" ht="15.75" x14ac:dyDescent="0.25">
      <c r="A17" s="2" t="s">
        <v>4</v>
      </c>
      <c r="D17" s="77">
        <f t="shared" si="0"/>
        <v>9636983.2968910597</v>
      </c>
      <c r="E17" s="78">
        <f>'M 2.3 Large'!O40</f>
        <v>6708249.9134999998</v>
      </c>
      <c r="F17" s="78">
        <f>'M 2.3 Large'!O38</f>
        <v>165739.77038</v>
      </c>
      <c r="G17" s="87">
        <f>'M 2.3 Large'!O42</f>
        <v>16510972.980771059</v>
      </c>
      <c r="H17" s="78">
        <f>'M 2.3 Large'!W44</f>
        <v>1888338.4799600001</v>
      </c>
      <c r="I17" s="79">
        <f t="shared" si="1"/>
        <v>0.11436869784471146</v>
      </c>
      <c r="N17" s="80"/>
      <c r="O17" s="77">
        <f t="shared" si="2"/>
        <v>11525321.77685106</v>
      </c>
    </row>
    <row r="18" spans="1:15" ht="15.75" x14ac:dyDescent="0.25">
      <c r="A18" s="2" t="s">
        <v>80</v>
      </c>
      <c r="D18" s="77">
        <f t="shared" si="0"/>
        <v>2020387.5234500004</v>
      </c>
      <c r="E18" s="78">
        <f>'M 2.3 Int'!O39</f>
        <v>259291.23300000001</v>
      </c>
      <c r="F18" s="78">
        <f>'M 2.3 Int'!O37</f>
        <v>24518.879609999993</v>
      </c>
      <c r="G18" s="87">
        <f>'M 2.3 Int'!O41</f>
        <v>2304197.6360600004</v>
      </c>
      <c r="H18" s="78">
        <f>'M 2.3 Int'!W43</f>
        <v>71209.509570000228</v>
      </c>
      <c r="I18" s="79">
        <f t="shared" si="1"/>
        <v>3.0904254242601768E-2</v>
      </c>
      <c r="N18" s="80"/>
      <c r="O18" s="77">
        <f t="shared" si="2"/>
        <v>2091597.0330200007</v>
      </c>
    </row>
    <row r="19" spans="1:15" ht="15.75" x14ac:dyDescent="0.25">
      <c r="A19" s="2" t="s">
        <v>63</v>
      </c>
      <c r="D19" s="77">
        <f t="shared" si="0"/>
        <v>452987.68471000012</v>
      </c>
      <c r="E19" s="78">
        <v>0</v>
      </c>
      <c r="F19" s="78"/>
      <c r="G19" s="87">
        <f>'M 2.3 Special'!O34</f>
        <v>452987.68471000012</v>
      </c>
      <c r="H19" s="78">
        <f>'M 2.3 Special'!W36</f>
        <v>104953.41780999996</v>
      </c>
      <c r="I19" s="79">
        <f t="shared" si="1"/>
        <v>0.23169154781148293</v>
      </c>
      <c r="N19" s="80"/>
      <c r="O19" s="77">
        <f t="shared" si="2"/>
        <v>557941.10252000007</v>
      </c>
    </row>
    <row r="20" spans="1:15" ht="15.75" x14ac:dyDescent="0.25">
      <c r="A20" s="2" t="s">
        <v>5</v>
      </c>
      <c r="D20" s="77">
        <f t="shared" si="0"/>
        <v>1595348.4066519651</v>
      </c>
      <c r="E20" s="78">
        <f>'M 2.3 Farm Tap'!O38</f>
        <v>1084387.0468171083</v>
      </c>
      <c r="F20" s="78"/>
      <c r="G20" s="87">
        <f>'M 2.3 Farm Tap'!O40</f>
        <v>2679735.4534690734</v>
      </c>
      <c r="H20" s="78">
        <f>'M 2.3 Farm Tap'!W42</f>
        <v>56225.547592354938</v>
      </c>
      <c r="I20" s="79">
        <f t="shared" si="1"/>
        <v>2.0981753075501427E-2</v>
      </c>
      <c r="N20" s="80"/>
      <c r="O20" s="77">
        <f t="shared" si="2"/>
        <v>1651573.95424432</v>
      </c>
    </row>
    <row r="21" spans="1:15" ht="15.75" x14ac:dyDescent="0.25">
      <c r="A21" s="2" t="s">
        <v>61</v>
      </c>
      <c r="D21" s="81">
        <f t="shared" si="0"/>
        <v>2782555.117958942</v>
      </c>
      <c r="E21" s="82">
        <v>0</v>
      </c>
      <c r="F21" s="82"/>
      <c r="G21" s="88">
        <f>'M 2.3 Off'!G41</f>
        <v>2782555.117958942</v>
      </c>
      <c r="H21" s="82">
        <f>'M 2.3 Off'!O41</f>
        <v>211658.39375944855</v>
      </c>
      <c r="I21" s="83">
        <f t="shared" si="1"/>
        <v>7.6066199872692572E-2</v>
      </c>
      <c r="L21" s="84"/>
      <c r="N21" s="80"/>
      <c r="O21" s="81">
        <f t="shared" si="2"/>
        <v>2994213.5117183905</v>
      </c>
    </row>
    <row r="22" spans="1:15" ht="15.75" x14ac:dyDescent="0.25">
      <c r="A22" s="2" t="s">
        <v>81</v>
      </c>
      <c r="D22" s="77">
        <f>SUM(D15:D21)</f>
        <v>40406747.325083263</v>
      </c>
      <c r="E22" s="77">
        <f>SUM(E15:E21)</f>
        <v>27470678.622462433</v>
      </c>
      <c r="F22" s="77">
        <f>SUM(F15:F21)</f>
        <v>671026.02950999991</v>
      </c>
      <c r="G22" s="77">
        <f>SUM(G15:G21)</f>
        <v>68548451.977055699</v>
      </c>
      <c r="H22" s="77">
        <f>SUM(H15:H21)</f>
        <v>7669566.7024643365</v>
      </c>
      <c r="I22" s="79">
        <f t="shared" si="1"/>
        <v>0.11188533776125925</v>
      </c>
      <c r="L22" s="70">
        <v>6735556</v>
      </c>
      <c r="N22" s="80"/>
      <c r="O22" s="77">
        <f>SUM(O15:O21)</f>
        <v>48076314.02754759</v>
      </c>
    </row>
    <row r="24" spans="1:15" ht="15.75" x14ac:dyDescent="0.25">
      <c r="A24" s="2" t="s">
        <v>82</v>
      </c>
      <c r="N24" s="77"/>
      <c r="O24" s="77"/>
    </row>
    <row r="25" spans="1:15" x14ac:dyDescent="0.2">
      <c r="A25" t="s">
        <v>83</v>
      </c>
      <c r="D25" s="82">
        <f>'M 2.1'!E24</f>
        <v>54923</v>
      </c>
      <c r="E25" s="84"/>
      <c r="F25" s="84"/>
      <c r="G25" s="81">
        <f>D25</f>
        <v>54923</v>
      </c>
      <c r="H25" s="81">
        <v>28852</v>
      </c>
      <c r="I25" s="83">
        <f>H25/D25</f>
        <v>0.52531726234910692</v>
      </c>
    </row>
    <row r="26" spans="1:15" x14ac:dyDescent="0.2">
      <c r="O26" s="77"/>
    </row>
    <row r="27" spans="1:15" ht="15" x14ac:dyDescent="0.25">
      <c r="A27" s="85" t="s">
        <v>8</v>
      </c>
      <c r="D27" s="77">
        <f>D22+D25</f>
        <v>40461670.325083263</v>
      </c>
      <c r="E27" s="77">
        <f t="shared" ref="E27:H27" si="3">E22+E25</f>
        <v>27470678.622462433</v>
      </c>
      <c r="F27" s="77">
        <f>F22+F25</f>
        <v>671026.02950999991</v>
      </c>
      <c r="G27" s="77">
        <f t="shared" si="3"/>
        <v>68603374.977055699</v>
      </c>
      <c r="H27" s="77">
        <f t="shared" si="3"/>
        <v>7698418.7024643365</v>
      </c>
      <c r="I27" s="79">
        <f t="shared" ref="I27" si="4">H27/G27</f>
        <v>0.11221632616528067</v>
      </c>
    </row>
    <row r="28" spans="1:15" x14ac:dyDescent="0.2">
      <c r="O28" s="77"/>
    </row>
    <row r="30" spans="1:15" x14ac:dyDescent="0.2">
      <c r="E30" s="68"/>
      <c r="F30" s="68"/>
    </row>
  </sheetData>
  <mergeCells count="4">
    <mergeCell ref="C1:J1"/>
    <mergeCell ref="C2:J2"/>
    <mergeCell ref="C3:J3"/>
    <mergeCell ref="C4:J4"/>
  </mergeCells>
  <pageMargins left="0.7" right="0.7" top="0.75" bottom="0.75" header="0.3" footer="0.3"/>
  <pageSetup scale="64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63"/>
  <sheetViews>
    <sheetView view="pageBreakPreview" topLeftCell="C5" zoomScale="70" zoomScaleNormal="75" zoomScaleSheetLayoutView="70" workbookViewId="0">
      <selection activeCell="U26" sqref="U26"/>
    </sheetView>
  </sheetViews>
  <sheetFormatPr defaultRowHeight="15.75" x14ac:dyDescent="0.25"/>
  <cols>
    <col min="1" max="1" width="4.7109375" style="2" customWidth="1"/>
    <col min="2" max="2" width="18.42578125" style="2" customWidth="1"/>
    <col min="3" max="3" width="21" style="2" customWidth="1"/>
    <col min="4" max="4" width="19.28515625" style="2" customWidth="1"/>
    <col min="5" max="5" width="18.7109375" style="2" customWidth="1"/>
    <col min="6" max="6" width="2.7109375" style="2" customWidth="1"/>
    <col min="7" max="7" width="21.5703125" style="2" customWidth="1"/>
    <col min="8" max="8" width="6.28515625" style="2" customWidth="1"/>
    <col min="9" max="9" width="4.42578125" style="2" customWidth="1"/>
    <col min="10" max="10" width="18.7109375" style="2" customWidth="1"/>
    <col min="11" max="11" width="19.42578125" style="2" customWidth="1"/>
    <col min="12" max="12" width="18" style="2" customWidth="1"/>
    <col min="13" max="13" width="16.7109375" style="2" customWidth="1"/>
    <col min="14" max="14" width="3" style="2" customWidth="1"/>
    <col min="15" max="15" width="20.85546875" style="2" customWidth="1"/>
    <col min="16" max="16" width="5.5703125" style="2" customWidth="1"/>
    <col min="17" max="17" width="4.7109375" style="2" customWidth="1"/>
    <col min="18" max="18" width="3.7109375" style="2" customWidth="1"/>
    <col min="19" max="19" width="26.42578125" style="2" customWidth="1"/>
    <col min="20" max="20" width="18.28515625" style="2" customWidth="1"/>
    <col min="21" max="21" width="17.42578125" style="2" customWidth="1"/>
    <col min="22" max="22" width="3.140625" style="2" customWidth="1"/>
    <col min="23" max="23" width="20.7109375" style="2" customWidth="1"/>
    <col min="24" max="24" width="6.28515625" style="2" customWidth="1"/>
    <col min="25" max="26" width="9.140625" style="2" customWidth="1"/>
    <col min="27" max="27" width="21.5703125" style="2" customWidth="1"/>
    <col min="28" max="28" width="3.5703125" style="2" customWidth="1"/>
    <col min="29" max="29" width="13.5703125" style="2" customWidth="1"/>
    <col min="30" max="30" width="3.5703125" style="2" customWidth="1"/>
    <col min="31" max="31" width="17.85546875" style="2" customWidth="1"/>
    <col min="32" max="16384" width="9.140625" style="2"/>
  </cols>
  <sheetData>
    <row r="1" spans="1:23" x14ac:dyDescent="0.25">
      <c r="A1" s="1"/>
      <c r="I1" s="85" t="s">
        <v>84</v>
      </c>
      <c r="Q1" s="1"/>
    </row>
    <row r="2" spans="1:23" x14ac:dyDescent="0.25">
      <c r="A2" s="1"/>
      <c r="I2" s="85" t="s">
        <v>93</v>
      </c>
      <c r="Q2" s="1"/>
    </row>
    <row r="3" spans="1:23" x14ac:dyDescent="0.25">
      <c r="A3" s="1"/>
      <c r="I3" s="85" t="s">
        <v>96</v>
      </c>
      <c r="Q3" s="1"/>
    </row>
    <row r="4" spans="1:23" x14ac:dyDescent="0.25">
      <c r="A4" s="1"/>
      <c r="I4" s="85" t="s">
        <v>95</v>
      </c>
      <c r="J4" s="85"/>
      <c r="Q4" s="1"/>
    </row>
    <row r="5" spans="1:23" x14ac:dyDescent="0.25">
      <c r="A5" s="1"/>
      <c r="J5"/>
      <c r="Q5" s="1"/>
      <c r="W5" s="74" t="s">
        <v>74</v>
      </c>
    </row>
    <row r="6" spans="1:23" x14ac:dyDescent="0.25">
      <c r="A6" s="1"/>
      <c r="I6" s="73" t="s">
        <v>73</v>
      </c>
      <c r="J6"/>
      <c r="Q6" s="1"/>
      <c r="W6" s="74" t="s">
        <v>91</v>
      </c>
    </row>
    <row r="7" spans="1:23" x14ac:dyDescent="0.25">
      <c r="I7" s="75" t="s">
        <v>75</v>
      </c>
      <c r="J7"/>
      <c r="W7" s="74" t="s">
        <v>97</v>
      </c>
    </row>
    <row r="8" spans="1:23" x14ac:dyDescent="0.25">
      <c r="I8" s="75" t="s">
        <v>76</v>
      </c>
    </row>
    <row r="9" spans="1:23" ht="16.5" thickBot="1" x14ac:dyDescent="0.3"/>
    <row r="10" spans="1:23" x14ac:dyDescent="0.25">
      <c r="D10" s="92" t="s">
        <v>11</v>
      </c>
      <c r="E10" s="93"/>
      <c r="F10" s="93"/>
      <c r="G10" s="94"/>
      <c r="L10" s="92" t="s">
        <v>12</v>
      </c>
      <c r="M10" s="93"/>
      <c r="N10" s="93"/>
      <c r="O10" s="94"/>
      <c r="T10" s="92" t="s">
        <v>13</v>
      </c>
      <c r="U10" s="93"/>
      <c r="V10" s="93"/>
      <c r="W10" s="94"/>
    </row>
    <row r="11" spans="1:23" ht="16.5" thickBot="1" x14ac:dyDescent="0.3">
      <c r="A11" s="3"/>
      <c r="B11" s="3"/>
      <c r="C11" s="3"/>
      <c r="D11" s="95"/>
      <c r="E11" s="96"/>
      <c r="F11" s="96"/>
      <c r="G11" s="97"/>
      <c r="I11" s="3"/>
      <c r="J11" s="3"/>
      <c r="K11" s="3"/>
      <c r="L11" s="95"/>
      <c r="M11" s="96"/>
      <c r="N11" s="96"/>
      <c r="O11" s="97"/>
      <c r="Q11" s="3"/>
      <c r="R11" s="3"/>
      <c r="S11" s="3"/>
      <c r="T11" s="95"/>
      <c r="U11" s="96"/>
      <c r="V11" s="96"/>
      <c r="W11" s="97"/>
    </row>
    <row r="12" spans="1:23" x14ac:dyDescent="0.25">
      <c r="A12" s="4"/>
      <c r="B12" s="4"/>
      <c r="C12" s="4"/>
      <c r="D12" s="4" t="s">
        <v>14</v>
      </c>
      <c r="E12" s="4"/>
      <c r="F12" s="4"/>
      <c r="G12" s="4" t="s">
        <v>15</v>
      </c>
      <c r="I12" s="4"/>
      <c r="J12" s="4"/>
      <c r="K12" s="4"/>
      <c r="L12" s="4" t="s">
        <v>14</v>
      </c>
      <c r="M12" s="4"/>
      <c r="N12" s="4"/>
      <c r="O12" s="4" t="s">
        <v>15</v>
      </c>
      <c r="Q12" s="4"/>
      <c r="R12" s="4"/>
      <c r="S12" s="4"/>
      <c r="T12" s="4" t="s">
        <v>14</v>
      </c>
      <c r="U12" s="4"/>
      <c r="V12" s="4"/>
      <c r="W12" s="4" t="s">
        <v>15</v>
      </c>
    </row>
    <row r="13" spans="1:23" ht="16.5" thickBot="1" x14ac:dyDescent="0.3">
      <c r="A13" s="5"/>
      <c r="B13" s="5"/>
      <c r="C13" s="5"/>
      <c r="D13" s="5" t="s">
        <v>16</v>
      </c>
      <c r="E13" s="96" t="s">
        <v>17</v>
      </c>
      <c r="F13" s="96"/>
      <c r="G13" s="5" t="s">
        <v>18</v>
      </c>
      <c r="I13" s="5"/>
      <c r="J13" s="5"/>
      <c r="K13" s="5"/>
      <c r="L13" s="5" t="s">
        <v>16</v>
      </c>
      <c r="M13" s="96" t="s">
        <v>17</v>
      </c>
      <c r="N13" s="96"/>
      <c r="O13" s="5" t="s">
        <v>18</v>
      </c>
      <c r="Q13" s="5"/>
      <c r="R13" s="5"/>
      <c r="S13" s="5"/>
      <c r="T13" s="5" t="s">
        <v>16</v>
      </c>
      <c r="U13" s="96" t="s">
        <v>17</v>
      </c>
      <c r="V13" s="96"/>
      <c r="W13" s="5" t="s">
        <v>18</v>
      </c>
    </row>
    <row r="16" spans="1:23" x14ac:dyDescent="0.25">
      <c r="A16" s="1" t="s">
        <v>19</v>
      </c>
      <c r="I16" s="1" t="s">
        <v>19</v>
      </c>
      <c r="Q16" s="1" t="s">
        <v>19</v>
      </c>
    </row>
    <row r="17" spans="1:31" ht="31.5" x14ac:dyDescent="0.25">
      <c r="D17" s="6" t="s">
        <v>20</v>
      </c>
      <c r="E17" s="6" t="s">
        <v>21</v>
      </c>
      <c r="L17" s="6" t="s">
        <v>20</v>
      </c>
      <c r="M17" s="6" t="s">
        <v>21</v>
      </c>
      <c r="T17" s="6" t="s">
        <v>20</v>
      </c>
      <c r="U17" s="6" t="s">
        <v>21</v>
      </c>
    </row>
    <row r="18" spans="1:31" x14ac:dyDescent="0.25">
      <c r="B18" s="2" t="s">
        <v>22</v>
      </c>
      <c r="D18" s="8">
        <f>G78</f>
        <v>379820</v>
      </c>
      <c r="E18" s="22">
        <v>24</v>
      </c>
      <c r="G18" s="10">
        <f>D18*E18</f>
        <v>9115680</v>
      </c>
      <c r="J18" s="2" t="s">
        <v>22</v>
      </c>
      <c r="L18" s="8">
        <f>D18</f>
        <v>379820</v>
      </c>
      <c r="M18" s="22">
        <v>24</v>
      </c>
      <c r="O18" s="10">
        <f>L18*M18</f>
        <v>9115680</v>
      </c>
      <c r="R18" s="2" t="s">
        <v>22</v>
      </c>
      <c r="T18" s="8">
        <f>L18</f>
        <v>379820</v>
      </c>
      <c r="U18" s="22">
        <v>29.95</v>
      </c>
      <c r="W18" s="9">
        <f>T18*U18</f>
        <v>11375609</v>
      </c>
      <c r="AC18" s="4"/>
      <c r="AD18" s="4"/>
      <c r="AE18" s="4"/>
    </row>
    <row r="19" spans="1:31" x14ac:dyDescent="0.25">
      <c r="B19" s="7" t="s">
        <v>7</v>
      </c>
      <c r="C19" s="7"/>
      <c r="D19" s="44">
        <f>E78</f>
        <v>288</v>
      </c>
      <c r="E19" s="29">
        <v>24</v>
      </c>
      <c r="F19" s="7"/>
      <c r="G19" s="26">
        <f>D19*E19</f>
        <v>6912</v>
      </c>
      <c r="J19" s="7" t="s">
        <v>7</v>
      </c>
      <c r="K19" s="7"/>
      <c r="L19" s="14">
        <f>D19</f>
        <v>288</v>
      </c>
      <c r="M19" s="29">
        <v>24</v>
      </c>
      <c r="N19" s="7"/>
      <c r="O19" s="26">
        <f>L19*M19</f>
        <v>6912</v>
      </c>
      <c r="R19" s="7" t="s">
        <v>7</v>
      </c>
      <c r="S19" s="7"/>
      <c r="T19" s="14">
        <f>L19</f>
        <v>288</v>
      </c>
      <c r="U19" s="29">
        <v>29.95</v>
      </c>
      <c r="V19" s="7"/>
      <c r="W19" s="38">
        <f>T19*U19</f>
        <v>8625.6</v>
      </c>
      <c r="AC19" s="4"/>
      <c r="AD19" s="4"/>
      <c r="AE19" s="4"/>
    </row>
    <row r="20" spans="1:31" x14ac:dyDescent="0.25">
      <c r="D20" s="8">
        <f>SUM(D18:D19)</f>
        <v>380108</v>
      </c>
      <c r="G20" s="10">
        <f>SUM(G18:G19)</f>
        <v>9122592</v>
      </c>
      <c r="J20" s="2" t="s">
        <v>8</v>
      </c>
      <c r="L20" s="8"/>
      <c r="M20" s="22"/>
      <c r="O20" s="10">
        <f>SUM(O18:O19)</f>
        <v>9122592</v>
      </c>
      <c r="R20" s="2" t="s">
        <v>8</v>
      </c>
      <c r="T20" s="8"/>
      <c r="U20" s="22"/>
      <c r="W20" s="9">
        <f>SUM(W18:W19)</f>
        <v>11384234.6</v>
      </c>
      <c r="AC20" s="9"/>
      <c r="AE20" s="9"/>
    </row>
    <row r="21" spans="1:31" x14ac:dyDescent="0.25">
      <c r="G21" s="10"/>
      <c r="H21" s="9"/>
      <c r="O21" s="10"/>
      <c r="P21" s="9"/>
      <c r="T21" s="8"/>
      <c r="W21" s="9"/>
    </row>
    <row r="22" spans="1:31" x14ac:dyDescent="0.25">
      <c r="A22" s="1" t="s">
        <v>24</v>
      </c>
      <c r="D22" s="8"/>
      <c r="G22" s="10"/>
      <c r="H22" s="9"/>
      <c r="L22" s="8"/>
      <c r="O22" s="10"/>
      <c r="P22" s="9"/>
      <c r="W22" s="9"/>
      <c r="AC22" s="41"/>
      <c r="AE22" s="41"/>
    </row>
    <row r="23" spans="1:31" x14ac:dyDescent="0.25">
      <c r="D23" s="12" t="s">
        <v>25</v>
      </c>
      <c r="E23" s="11" t="s">
        <v>26</v>
      </c>
      <c r="G23" s="10"/>
      <c r="H23" s="9"/>
      <c r="I23" s="1" t="s">
        <v>24</v>
      </c>
      <c r="L23" s="8"/>
      <c r="O23" s="10"/>
      <c r="P23" s="9"/>
      <c r="Q23" s="1" t="s">
        <v>24</v>
      </c>
      <c r="T23" s="8"/>
      <c r="W23" s="9"/>
    </row>
    <row r="24" spans="1:31" x14ac:dyDescent="0.25">
      <c r="B24" s="2" t="s">
        <v>9</v>
      </c>
      <c r="D24" s="8">
        <f>C78</f>
        <v>1416349.7</v>
      </c>
      <c r="E24" s="36">
        <v>5.2538999999999998</v>
      </c>
      <c r="G24" s="10">
        <f>D24*E24</f>
        <v>7441359.6888299994</v>
      </c>
      <c r="H24" s="9"/>
      <c r="L24" s="12" t="s">
        <v>25</v>
      </c>
      <c r="M24" s="11" t="s">
        <v>26</v>
      </c>
      <c r="O24" s="10"/>
      <c r="P24" s="9"/>
      <c r="T24" s="12" t="s">
        <v>25</v>
      </c>
      <c r="U24" s="11" t="s">
        <v>27</v>
      </c>
      <c r="W24" s="9"/>
      <c r="AE24" s="43"/>
    </row>
    <row r="25" spans="1:31" x14ac:dyDescent="0.25">
      <c r="B25" s="2" t="s">
        <v>7</v>
      </c>
      <c r="D25" s="8">
        <f>D78</f>
        <v>945.09999999999991</v>
      </c>
      <c r="E25" s="36">
        <v>5.2538999999999998</v>
      </c>
      <c r="G25" s="10">
        <f>D25*E25</f>
        <v>4965.4608899999994</v>
      </c>
      <c r="H25" s="9"/>
      <c r="J25" s="2" t="s">
        <v>9</v>
      </c>
      <c r="L25" s="8">
        <f>D24</f>
        <v>1416349.7</v>
      </c>
      <c r="M25" s="36">
        <v>5.2538999999999998</v>
      </c>
      <c r="O25" s="10">
        <f>L25*M25</f>
        <v>7441359.6888299994</v>
      </c>
      <c r="P25" s="9"/>
      <c r="R25" s="2" t="s">
        <v>9</v>
      </c>
      <c r="T25" s="8">
        <f>L25</f>
        <v>1416349.7</v>
      </c>
      <c r="U25" s="37">
        <v>6.3849999999999998</v>
      </c>
      <c r="W25" s="9">
        <f>T25*U25</f>
        <v>9043392.8344999999</v>
      </c>
    </row>
    <row r="26" spans="1:31" x14ac:dyDescent="0.25">
      <c r="B26" s="7" t="s">
        <v>29</v>
      </c>
      <c r="C26" s="7"/>
      <c r="D26" s="7"/>
      <c r="E26" s="7"/>
      <c r="F26" s="7"/>
      <c r="G26" s="26">
        <f>E97</f>
        <v>1482392.9886955656</v>
      </c>
      <c r="H26" s="9"/>
      <c r="J26" s="2" t="s">
        <v>7</v>
      </c>
      <c r="L26" s="8">
        <f>D25</f>
        <v>945.09999999999991</v>
      </c>
      <c r="M26" s="36">
        <v>5.2538999999999998</v>
      </c>
      <c r="O26" s="10">
        <f>L26*M26</f>
        <v>4965.4608899999994</v>
      </c>
      <c r="P26" s="9"/>
      <c r="R26" s="2" t="s">
        <v>7</v>
      </c>
      <c r="T26" s="8">
        <f>L26</f>
        <v>945.09999999999991</v>
      </c>
      <c r="U26" s="37">
        <f>U25</f>
        <v>6.3849999999999998</v>
      </c>
      <c r="W26" s="9">
        <f>T26*U26</f>
        <v>6034.4634999999989</v>
      </c>
      <c r="AE26" s="42"/>
    </row>
    <row r="27" spans="1:31" x14ac:dyDescent="0.25">
      <c r="D27" s="8">
        <f>SUM(D24:D25)</f>
        <v>1417294.8</v>
      </c>
      <c r="E27" s="37"/>
      <c r="G27" s="10">
        <f>SUM(G24:G26)</f>
        <v>8928718.1384155639</v>
      </c>
      <c r="J27" s="7" t="s">
        <v>29</v>
      </c>
      <c r="K27" s="7"/>
      <c r="L27" s="47">
        <f>O27/M27</f>
        <v>282150.97141086921</v>
      </c>
      <c r="M27" s="64">
        <v>5.2538999999999998</v>
      </c>
      <c r="N27" s="7"/>
      <c r="O27" s="26">
        <f>G26</f>
        <v>1482392.9886955656</v>
      </c>
      <c r="P27" s="9"/>
      <c r="R27" s="7" t="s">
        <v>29</v>
      </c>
      <c r="S27" s="7"/>
      <c r="T27" s="44">
        <f>L27</f>
        <v>282150.97141086921</v>
      </c>
      <c r="U27" s="65">
        <f>U25</f>
        <v>6.3849999999999998</v>
      </c>
      <c r="V27" s="7"/>
      <c r="W27" s="38">
        <f>T27*U27</f>
        <v>1801533.9524583998</v>
      </c>
    </row>
    <row r="28" spans="1:31" x14ac:dyDescent="0.25">
      <c r="G28" s="10"/>
      <c r="H28" s="10"/>
      <c r="L28" s="8">
        <f>SUM(L25:L27)</f>
        <v>1699445.7714108692</v>
      </c>
      <c r="O28" s="10">
        <f>SUM(O25:O27)</f>
        <v>8928718.1384155639</v>
      </c>
      <c r="P28" s="9"/>
      <c r="Q28" s="1"/>
      <c r="T28" s="8"/>
      <c r="U28" s="15"/>
      <c r="W28" s="9">
        <f>SUM(W25:W27)</f>
        <v>10850961.250458401</v>
      </c>
      <c r="AE28" s="16"/>
    </row>
    <row r="29" spans="1:31" ht="16.5" thickBot="1" x14ac:dyDescent="0.3">
      <c r="A29" s="1" t="s">
        <v>30</v>
      </c>
      <c r="G29" s="48">
        <f>G20+G27</f>
        <v>18051310.138415564</v>
      </c>
      <c r="H29" s="10"/>
      <c r="I29" s="1"/>
      <c r="L29" s="8"/>
      <c r="M29" s="15"/>
      <c r="O29" s="10"/>
      <c r="P29" s="9"/>
    </row>
    <row r="30" spans="1:31" ht="17.25" thickTop="1" thickBot="1" x14ac:dyDescent="0.3">
      <c r="A30" s="1"/>
      <c r="D30" s="8"/>
      <c r="E30" s="15"/>
      <c r="G30" s="10"/>
      <c r="H30" s="10"/>
      <c r="I30" s="1" t="s">
        <v>31</v>
      </c>
      <c r="L30" s="8"/>
      <c r="M30" s="15"/>
      <c r="O30" s="32">
        <f>O20+O28</f>
        <v>18051310.138415564</v>
      </c>
      <c r="P30" s="9"/>
      <c r="Q30" s="1" t="s">
        <v>31</v>
      </c>
      <c r="T30" s="8"/>
      <c r="U30" s="15"/>
      <c r="W30" s="10">
        <f>W20+W28</f>
        <v>22235195.850458398</v>
      </c>
    </row>
    <row r="31" spans="1:31" ht="16.5" thickTop="1" x14ac:dyDescent="0.25">
      <c r="A31" s="1" t="s">
        <v>32</v>
      </c>
      <c r="G31" s="10">
        <f>C97-D97-C113+D113-E113</f>
        <v>18051310.104285955</v>
      </c>
      <c r="H31" s="18"/>
      <c r="I31" s="1"/>
      <c r="P31" s="18"/>
      <c r="Q31" s="1"/>
    </row>
    <row r="32" spans="1:31" x14ac:dyDescent="0.25">
      <c r="I32" s="1" t="s">
        <v>33</v>
      </c>
      <c r="O32" s="50">
        <f>G35</f>
        <v>0.99999999810930018</v>
      </c>
      <c r="Q32" s="1" t="s">
        <v>33</v>
      </c>
      <c r="W32" s="50">
        <f>O32</f>
        <v>0.99999999810930018</v>
      </c>
    </row>
    <row r="33" spans="1:23" x14ac:dyDescent="0.25">
      <c r="A33" s="1" t="s">
        <v>0</v>
      </c>
      <c r="G33" s="10">
        <f>G31-G29</f>
        <v>-3.4129608422517776E-2</v>
      </c>
    </row>
    <row r="34" spans="1:23" x14ac:dyDescent="0.25">
      <c r="I34" s="1" t="s">
        <v>34</v>
      </c>
      <c r="O34" s="10">
        <f>O30*O32</f>
        <v>18051310.104285955</v>
      </c>
      <c r="Q34" s="1" t="s">
        <v>34</v>
      </c>
      <c r="W34" s="10">
        <f>W30*W32</f>
        <v>22235195.808418319</v>
      </c>
    </row>
    <row r="35" spans="1:23" x14ac:dyDescent="0.25">
      <c r="A35" s="1" t="s">
        <v>33</v>
      </c>
      <c r="G35" s="49">
        <f>G31/G29</f>
        <v>0.99999999810930018</v>
      </c>
    </row>
    <row r="36" spans="1:23" x14ac:dyDescent="0.25">
      <c r="I36" s="1" t="s">
        <v>1</v>
      </c>
      <c r="L36" s="25">
        <v>32029.80516556291</v>
      </c>
      <c r="M36" s="36">
        <v>5.2538999999999998</v>
      </c>
      <c r="O36" s="10">
        <f>L36*M36</f>
        <v>168281.39335935097</v>
      </c>
      <c r="Q36" s="1" t="s">
        <v>1</v>
      </c>
      <c r="T36" s="25">
        <f>L36</f>
        <v>32029.80516556291</v>
      </c>
      <c r="U36" s="36">
        <f>U25</f>
        <v>6.3849999999999998</v>
      </c>
      <c r="W36" s="10">
        <f>T36*U36</f>
        <v>204510.30598211917</v>
      </c>
    </row>
    <row r="37" spans="1:23" x14ac:dyDescent="0.25">
      <c r="A37" s="1" t="s">
        <v>35</v>
      </c>
      <c r="G37" s="35">
        <v>0</v>
      </c>
      <c r="O37" s="10"/>
      <c r="W37" s="10"/>
    </row>
    <row r="38" spans="1:23" x14ac:dyDescent="0.25">
      <c r="I38" s="1" t="s">
        <v>31</v>
      </c>
      <c r="O38" s="10">
        <f>O34+O36</f>
        <v>18219591.497645307</v>
      </c>
      <c r="Q38" s="1" t="s">
        <v>31</v>
      </c>
      <c r="W38" s="10">
        <f>W34+W36</f>
        <v>22439706.114400439</v>
      </c>
    </row>
    <row r="39" spans="1:23" x14ac:dyDescent="0.25">
      <c r="A39" s="1" t="s">
        <v>36</v>
      </c>
      <c r="G39" s="10">
        <f>C113+E113</f>
        <v>383533.56823999999</v>
      </c>
    </row>
    <row r="40" spans="1:23" x14ac:dyDescent="0.25">
      <c r="I40" s="1" t="s">
        <v>36</v>
      </c>
      <c r="L40" s="8"/>
      <c r="M40" s="22"/>
      <c r="O40" s="10">
        <f>G39</f>
        <v>383533.56823999999</v>
      </c>
      <c r="Q40" s="1" t="s">
        <v>36</v>
      </c>
      <c r="W40" s="10">
        <f>O40</f>
        <v>383533.56823999999</v>
      </c>
    </row>
    <row r="41" spans="1:23" x14ac:dyDescent="0.25">
      <c r="A41" s="1" t="s">
        <v>37</v>
      </c>
      <c r="D41" s="8"/>
      <c r="E41" s="15"/>
      <c r="G41" s="10">
        <f>D97</f>
        <v>9794977.5302799977</v>
      </c>
    </row>
    <row r="42" spans="1:23" x14ac:dyDescent="0.25">
      <c r="G42" s="10"/>
      <c r="I42" s="1" t="s">
        <v>37</v>
      </c>
      <c r="L42" s="8">
        <f>L25+L27+L36</f>
        <v>1730530.4765764321</v>
      </c>
      <c r="M42" s="58">
        <f>7.2435+0.87</f>
        <v>8.1135000000000002</v>
      </c>
      <c r="O42" s="10">
        <f>L42*M42</f>
        <v>14040659.021702882</v>
      </c>
      <c r="Q42" s="1" t="s">
        <v>37</v>
      </c>
      <c r="W42" s="10">
        <f>O42</f>
        <v>14040659.021702882</v>
      </c>
    </row>
    <row r="43" spans="1:23" x14ac:dyDescent="0.25">
      <c r="A43" s="1" t="s">
        <v>38</v>
      </c>
      <c r="B43" s="1"/>
      <c r="G43" s="10">
        <f>G29+G37+G39+G41</f>
        <v>28229821.236935563</v>
      </c>
      <c r="O43" s="10"/>
      <c r="W43" s="10"/>
    </row>
    <row r="44" spans="1:23" x14ac:dyDescent="0.25">
      <c r="I44" s="1" t="s">
        <v>6</v>
      </c>
      <c r="L44" s="25"/>
      <c r="M44" s="41"/>
      <c r="O44" s="39">
        <f>O38+O40+O42</f>
        <v>32643784.087588191</v>
      </c>
      <c r="Q44" s="1" t="s">
        <v>6</v>
      </c>
      <c r="T44" s="25"/>
      <c r="U44" s="41"/>
      <c r="W44" s="39">
        <f>W38+W40+W42</f>
        <v>36863898.704343319</v>
      </c>
    </row>
    <row r="45" spans="1:23" x14ac:dyDescent="0.25">
      <c r="D45" s="17"/>
      <c r="S45" s="21"/>
      <c r="U45" s="17"/>
    </row>
    <row r="46" spans="1:23" x14ac:dyDescent="0.25">
      <c r="I46" s="1"/>
      <c r="O46" s="10"/>
      <c r="Q46" s="1" t="s">
        <v>39</v>
      </c>
      <c r="S46" s="21"/>
      <c r="U46" s="17"/>
      <c r="W46" s="10">
        <f>W44-O44</f>
        <v>4220114.6167551279</v>
      </c>
    </row>
    <row r="47" spans="1:23" x14ac:dyDescent="0.25">
      <c r="H47" s="10"/>
      <c r="S47" s="21"/>
      <c r="U47" s="17"/>
    </row>
    <row r="48" spans="1:23" x14ac:dyDescent="0.25">
      <c r="A48" s="9"/>
      <c r="B48" s="9"/>
      <c r="D48" s="8"/>
      <c r="G48" s="17"/>
      <c r="H48" s="10"/>
      <c r="Q48" s="1" t="s">
        <v>28</v>
      </c>
      <c r="S48" s="21"/>
      <c r="U48" s="17"/>
      <c r="W48" s="56">
        <f>W46/O44</f>
        <v>0.12927773953632105</v>
      </c>
    </row>
    <row r="49" spans="1:23" x14ac:dyDescent="0.25">
      <c r="A49" s="1"/>
      <c r="D49" s="8"/>
      <c r="G49" s="20"/>
      <c r="H49" s="10"/>
    </row>
    <row r="50" spans="1:23" x14ac:dyDescent="0.25">
      <c r="D50" s="17"/>
      <c r="H50" s="10"/>
      <c r="L50" s="8"/>
      <c r="Q50" s="1"/>
      <c r="W50" s="10"/>
    </row>
    <row r="51" spans="1:23" x14ac:dyDescent="0.25">
      <c r="H51" s="10"/>
      <c r="S51" s="21"/>
      <c r="U51" s="17"/>
    </row>
    <row r="52" spans="1:23" x14ac:dyDescent="0.25">
      <c r="A52" s="9"/>
      <c r="B52" s="9"/>
      <c r="G52" s="24"/>
      <c r="H52" s="10"/>
      <c r="Q52" s="1"/>
      <c r="S52" s="21"/>
      <c r="U52" s="17"/>
      <c r="W52" s="10"/>
    </row>
    <row r="53" spans="1:23" x14ac:dyDescent="0.25">
      <c r="A53" s="9"/>
      <c r="B53" s="9"/>
      <c r="D53" s="28"/>
      <c r="E53" s="28"/>
      <c r="G53" s="10"/>
      <c r="I53" s="9"/>
      <c r="J53" s="9"/>
      <c r="O53" s="9"/>
      <c r="S53" s="21"/>
      <c r="U53" s="17"/>
    </row>
    <row r="54" spans="1:23" x14ac:dyDescent="0.25">
      <c r="A54" s="10"/>
      <c r="I54" s="1"/>
      <c r="L54" s="8"/>
      <c r="O54" s="20"/>
      <c r="Q54" s="1"/>
      <c r="S54" s="21"/>
      <c r="U54" s="17"/>
      <c r="W54" s="56"/>
    </row>
    <row r="55" spans="1:23" x14ac:dyDescent="0.25">
      <c r="A55" s="9"/>
      <c r="M55" s="17"/>
      <c r="S55" s="21"/>
      <c r="U55" s="17"/>
    </row>
    <row r="56" spans="1:23" x14ac:dyDescent="0.25">
      <c r="A56" s="19"/>
      <c r="O56" s="10"/>
      <c r="S56" s="17"/>
    </row>
    <row r="57" spans="1:23" x14ac:dyDescent="0.25">
      <c r="A57" s="10"/>
    </row>
    <row r="59" spans="1:23" x14ac:dyDescent="0.25">
      <c r="L59" s="28"/>
      <c r="M59" s="28"/>
    </row>
    <row r="60" spans="1:23" x14ac:dyDescent="0.25">
      <c r="J60" s="28"/>
      <c r="K60" s="28"/>
      <c r="L60" s="28"/>
      <c r="M60" s="28"/>
    </row>
    <row r="61" spans="1:23" x14ac:dyDescent="0.25">
      <c r="J61" s="27"/>
      <c r="K61" s="45"/>
      <c r="L61" s="23"/>
      <c r="M61" s="21"/>
      <c r="W61" s="42"/>
    </row>
    <row r="62" spans="1:23" x14ac:dyDescent="0.25">
      <c r="J62" s="27"/>
      <c r="K62" s="45"/>
      <c r="L62" s="23"/>
      <c r="M62" s="21"/>
    </row>
    <row r="63" spans="1:23" x14ac:dyDescent="0.25">
      <c r="J63" s="27"/>
      <c r="K63" s="45"/>
      <c r="L63" s="23"/>
      <c r="M63" s="21"/>
    </row>
    <row r="64" spans="1:23" x14ac:dyDescent="0.25">
      <c r="B64" s="10"/>
      <c r="C64" s="30" t="s">
        <v>9</v>
      </c>
      <c r="D64" s="28" t="s">
        <v>7</v>
      </c>
      <c r="E64" s="22" t="s">
        <v>7</v>
      </c>
      <c r="G64" s="30" t="s">
        <v>9</v>
      </c>
      <c r="J64" s="27"/>
      <c r="K64" s="45"/>
      <c r="L64" s="23"/>
      <c r="M64" s="21"/>
    </row>
    <row r="65" spans="2:13" x14ac:dyDescent="0.25">
      <c r="B65" s="28" t="s">
        <v>41</v>
      </c>
      <c r="C65" s="30" t="s">
        <v>25</v>
      </c>
      <c r="D65" s="30" t="s">
        <v>25</v>
      </c>
      <c r="E65" s="2" t="s">
        <v>64</v>
      </c>
      <c r="G65" s="2" t="s">
        <v>64</v>
      </c>
      <c r="J65" s="27"/>
      <c r="K65" s="45"/>
      <c r="L65" s="23"/>
      <c r="M65" s="21"/>
    </row>
    <row r="66" spans="2:13" x14ac:dyDescent="0.25">
      <c r="B66" s="27">
        <v>45292</v>
      </c>
      <c r="C66" s="31">
        <v>279490.7</v>
      </c>
      <c r="D66" s="31">
        <v>202.19999999999996</v>
      </c>
      <c r="E66" s="25">
        <v>24</v>
      </c>
      <c r="G66" s="31">
        <v>32337</v>
      </c>
      <c r="J66" s="27"/>
      <c r="K66" s="45"/>
      <c r="L66" s="23"/>
      <c r="M66" s="21"/>
    </row>
    <row r="67" spans="2:13" x14ac:dyDescent="0.25">
      <c r="B67" s="27">
        <v>45323</v>
      </c>
      <c r="C67" s="31">
        <v>245373</v>
      </c>
      <c r="D67" s="31">
        <v>143.39999999999998</v>
      </c>
      <c r="E67" s="25">
        <v>24</v>
      </c>
      <c r="G67" s="31">
        <v>32186</v>
      </c>
      <c r="J67" s="27"/>
      <c r="K67" s="45"/>
      <c r="L67" s="23"/>
      <c r="M67" s="21"/>
    </row>
    <row r="68" spans="2:13" x14ac:dyDescent="0.25">
      <c r="B68" s="27">
        <v>45352</v>
      </c>
      <c r="C68" s="31">
        <v>239059</v>
      </c>
      <c r="D68" s="31">
        <v>135.4</v>
      </c>
      <c r="E68" s="25">
        <v>24</v>
      </c>
      <c r="G68" s="31">
        <v>32515</v>
      </c>
      <c r="J68" s="27"/>
      <c r="K68" s="45"/>
      <c r="L68" s="23"/>
      <c r="M68" s="21"/>
    </row>
    <row r="69" spans="2:13" x14ac:dyDescent="0.25">
      <c r="B69" s="27">
        <v>45383</v>
      </c>
      <c r="C69" s="31">
        <v>181656</v>
      </c>
      <c r="D69" s="31">
        <v>61.1</v>
      </c>
      <c r="E69" s="25">
        <v>24</v>
      </c>
      <c r="G69" s="31">
        <v>32501</v>
      </c>
      <c r="J69" s="27"/>
      <c r="K69" s="45"/>
      <c r="L69" s="23"/>
      <c r="M69" s="21"/>
    </row>
    <row r="70" spans="2:13" x14ac:dyDescent="0.25">
      <c r="B70" s="27">
        <v>45413</v>
      </c>
      <c r="C70" s="31">
        <v>119586</v>
      </c>
      <c r="D70" s="31">
        <v>34.900000000000006</v>
      </c>
      <c r="E70" s="25">
        <v>24</v>
      </c>
      <c r="G70" s="31">
        <v>49597</v>
      </c>
      <c r="J70" s="27"/>
      <c r="K70" s="45"/>
      <c r="L70" s="23"/>
      <c r="M70" s="21"/>
    </row>
    <row r="71" spans="2:13" x14ac:dyDescent="0.25">
      <c r="B71" s="27">
        <v>45444</v>
      </c>
      <c r="C71" s="31">
        <v>19535</v>
      </c>
      <c r="D71" s="31">
        <v>15.600000000000001</v>
      </c>
      <c r="E71" s="25">
        <v>24</v>
      </c>
      <c r="G71" s="31">
        <v>14492</v>
      </c>
      <c r="J71" s="27"/>
      <c r="K71" s="45"/>
      <c r="L71" s="23"/>
      <c r="M71" s="21"/>
    </row>
    <row r="72" spans="2:13" x14ac:dyDescent="0.25">
      <c r="B72" s="27">
        <v>45474</v>
      </c>
      <c r="C72" s="31">
        <v>42396</v>
      </c>
      <c r="D72" s="31">
        <v>12.6</v>
      </c>
      <c r="E72" s="25">
        <v>24</v>
      </c>
      <c r="G72" s="31">
        <v>47211</v>
      </c>
      <c r="J72" s="27"/>
      <c r="K72" s="45"/>
      <c r="L72" s="23"/>
      <c r="M72" s="23"/>
    </row>
    <row r="73" spans="2:13" x14ac:dyDescent="0.25">
      <c r="B73" s="27">
        <v>45505</v>
      </c>
      <c r="C73" s="31">
        <v>8723</v>
      </c>
      <c r="D73" s="31">
        <v>13.4</v>
      </c>
      <c r="E73" s="25">
        <v>24</v>
      </c>
      <c r="G73" s="31">
        <v>14637</v>
      </c>
      <c r="L73" s="23"/>
      <c r="M73" s="21"/>
    </row>
    <row r="74" spans="2:13" x14ac:dyDescent="0.25">
      <c r="B74" s="27">
        <v>45536</v>
      </c>
      <c r="C74" s="31">
        <v>25202</v>
      </c>
      <c r="D74" s="31">
        <v>12.4</v>
      </c>
      <c r="E74" s="25">
        <v>24</v>
      </c>
      <c r="G74" s="31">
        <v>30651</v>
      </c>
    </row>
    <row r="75" spans="2:13" x14ac:dyDescent="0.25">
      <c r="B75" s="27">
        <v>45566</v>
      </c>
      <c r="C75" s="31">
        <v>50113</v>
      </c>
      <c r="D75" s="31">
        <v>44.7</v>
      </c>
      <c r="E75" s="25">
        <v>24</v>
      </c>
      <c r="G75" s="31">
        <v>47541</v>
      </c>
    </row>
    <row r="76" spans="2:13" x14ac:dyDescent="0.25">
      <c r="B76" s="27">
        <v>45597</v>
      </c>
      <c r="C76" s="31">
        <v>26363</v>
      </c>
      <c r="D76" s="31">
        <v>126.39999999999999</v>
      </c>
      <c r="E76" s="25">
        <v>24</v>
      </c>
      <c r="G76" s="31">
        <v>14145</v>
      </c>
    </row>
    <row r="77" spans="2:13" x14ac:dyDescent="0.25">
      <c r="B77" s="27">
        <v>45627</v>
      </c>
      <c r="C77" s="34">
        <v>178853</v>
      </c>
      <c r="D77" s="34">
        <v>142.99999999999997</v>
      </c>
      <c r="E77" s="47">
        <v>24</v>
      </c>
      <c r="G77" s="34">
        <v>32007</v>
      </c>
      <c r="J77" s="17"/>
    </row>
    <row r="78" spans="2:13" x14ac:dyDescent="0.25">
      <c r="C78" s="16">
        <f>SUM(C66:C77)</f>
        <v>1416349.7</v>
      </c>
      <c r="D78" s="16">
        <f>SUM(D66:D77)</f>
        <v>945.09999999999991</v>
      </c>
      <c r="E78" s="59">
        <f>SUM(E66:E77)</f>
        <v>288</v>
      </c>
      <c r="G78" s="16">
        <f>SUM(G66:G77)</f>
        <v>379820</v>
      </c>
    </row>
    <row r="79" spans="2:13" x14ac:dyDescent="0.25">
      <c r="G79" s="17">
        <f>G78/12</f>
        <v>31651.666666666668</v>
      </c>
    </row>
    <row r="80" spans="2:13" x14ac:dyDescent="0.25">
      <c r="G80" s="17"/>
    </row>
    <row r="81" spans="2:7" x14ac:dyDescent="0.25">
      <c r="D81" s="28"/>
      <c r="E81" s="28"/>
    </row>
    <row r="82" spans="2:7" x14ac:dyDescent="0.25">
      <c r="B82" s="28"/>
      <c r="C82" s="28"/>
      <c r="D82" s="28"/>
      <c r="E82" s="28"/>
    </row>
    <row r="83" spans="2:7" x14ac:dyDescent="0.25">
      <c r="B83" s="27"/>
      <c r="C83" s="30" t="s">
        <v>43</v>
      </c>
      <c r="D83" s="28" t="s">
        <v>44</v>
      </c>
      <c r="E83" s="46" t="s">
        <v>29</v>
      </c>
    </row>
    <row r="84" spans="2:7" x14ac:dyDescent="0.25">
      <c r="B84" s="28" t="s">
        <v>41</v>
      </c>
      <c r="C84" s="30" t="s">
        <v>46</v>
      </c>
      <c r="D84" s="28" t="s">
        <v>46</v>
      </c>
      <c r="E84" s="46" t="s">
        <v>46</v>
      </c>
    </row>
    <row r="85" spans="2:7" x14ac:dyDescent="0.25">
      <c r="B85" s="27">
        <v>45292</v>
      </c>
      <c r="C85" s="35">
        <v>4455195.9851688836</v>
      </c>
      <c r="D85" s="35">
        <v>2158897.9630800001</v>
      </c>
      <c r="E85" s="39">
        <v>51793.833358883858</v>
      </c>
    </row>
    <row r="86" spans="2:7" x14ac:dyDescent="0.25">
      <c r="B86" s="27">
        <v>45323</v>
      </c>
      <c r="C86" s="35">
        <v>4540403.9539511874</v>
      </c>
      <c r="D86" s="35">
        <v>1879032.1052000001</v>
      </c>
      <c r="E86" s="39">
        <v>529341</v>
      </c>
    </row>
    <row r="87" spans="2:7" x14ac:dyDescent="0.25">
      <c r="B87" s="27">
        <v>45352</v>
      </c>
      <c r="C87" s="35">
        <v>4473691.5674769087</v>
      </c>
      <c r="D87" s="35">
        <v>1705843.7272000001</v>
      </c>
      <c r="E87" s="39">
        <v>623526.28625690937</v>
      </c>
    </row>
    <row r="88" spans="2:7" x14ac:dyDescent="0.25">
      <c r="B88" s="27">
        <v>45383</v>
      </c>
      <c r="C88" s="35">
        <v>3197641.7496464504</v>
      </c>
      <c r="D88" s="35">
        <v>1300911.2784</v>
      </c>
      <c r="E88" s="39">
        <v>80242.731406450272</v>
      </c>
    </row>
    <row r="89" spans="2:7" x14ac:dyDescent="0.25">
      <c r="B89" s="27">
        <v>45413</v>
      </c>
      <c r="C89" s="35">
        <f>2719802.26658575+49</f>
        <v>2719851.26658575</v>
      </c>
      <c r="D89" s="35">
        <v>847208.86140000005</v>
      </c>
      <c r="E89" s="39">
        <v>0</v>
      </c>
    </row>
    <row r="90" spans="2:7" x14ac:dyDescent="0.25">
      <c r="B90" s="27">
        <v>45444</v>
      </c>
      <c r="C90" s="35">
        <f>609630.597649685+6.27</f>
        <v>609636.86764968501</v>
      </c>
      <c r="D90" s="35">
        <v>150369.19399999999</v>
      </c>
      <c r="E90" s="39">
        <v>0</v>
      </c>
    </row>
    <row r="91" spans="2:7" x14ac:dyDescent="0.25">
      <c r="B91" s="27">
        <v>45474</v>
      </c>
      <c r="C91" s="35">
        <v>1669137.67824</v>
      </c>
      <c r="D91" s="35">
        <v>294177.36479999998</v>
      </c>
      <c r="E91" s="39">
        <v>0</v>
      </c>
    </row>
    <row r="92" spans="2:7" x14ac:dyDescent="0.25">
      <c r="B92" s="27">
        <v>45505</v>
      </c>
      <c r="C92" s="35">
        <f>455163.992340261+1.33</f>
        <v>455165.32234026102</v>
      </c>
      <c r="D92" s="35">
        <v>54107.0216</v>
      </c>
      <c r="E92" s="39">
        <v>0</v>
      </c>
    </row>
    <row r="93" spans="2:7" x14ac:dyDescent="0.25">
      <c r="B93" s="27">
        <v>45536</v>
      </c>
      <c r="C93" s="35">
        <f>1017445.4128275+11.5</f>
        <v>1017456.9128275</v>
      </c>
      <c r="D93" s="35">
        <v>142376.13529999999</v>
      </c>
      <c r="E93" s="39">
        <v>0</v>
      </c>
    </row>
    <row r="94" spans="2:7" x14ac:dyDescent="0.25">
      <c r="B94" s="27">
        <v>45566</v>
      </c>
      <c r="C94" s="35">
        <v>1672226.9017</v>
      </c>
      <c r="D94" s="35">
        <v>262065.93349999998</v>
      </c>
      <c r="E94" s="39">
        <v>0</v>
      </c>
    </row>
    <row r="95" spans="2:7" x14ac:dyDescent="0.25">
      <c r="B95" s="27">
        <v>45597</v>
      </c>
      <c r="C95" s="35">
        <f>618949.837156007+1.69</f>
        <v>618951.52715600689</v>
      </c>
      <c r="D95" s="35">
        <v>137865.30849999998</v>
      </c>
      <c r="E95" s="39">
        <v>0</v>
      </c>
      <c r="G95" s="10">
        <f>SUM(E89:E95)</f>
        <v>0</v>
      </c>
    </row>
    <row r="96" spans="2:7" x14ac:dyDescent="0.25">
      <c r="B96" s="27">
        <v>45627</v>
      </c>
      <c r="C96" s="40">
        <v>2788470.779173322</v>
      </c>
      <c r="D96" s="40">
        <v>862122.63730000006</v>
      </c>
      <c r="E96" s="40">
        <v>197489.13767332211</v>
      </c>
    </row>
    <row r="97" spans="2:7" x14ac:dyDescent="0.25">
      <c r="C97" s="35">
        <f>SUM(C85:C96)</f>
        <v>28217830.511915956</v>
      </c>
      <c r="D97" s="10">
        <f>SUM(D85:D96)</f>
        <v>9794977.5302799977</v>
      </c>
      <c r="E97" s="39">
        <f>SUM(E85:E96)</f>
        <v>1482392.9886955656</v>
      </c>
    </row>
    <row r="98" spans="2:7" x14ac:dyDescent="0.25">
      <c r="C98" s="35"/>
      <c r="D98" s="10"/>
      <c r="E98" s="39"/>
      <c r="G98" s="22"/>
    </row>
    <row r="99" spans="2:7" x14ac:dyDescent="0.25">
      <c r="C99" s="53" t="s">
        <v>47</v>
      </c>
      <c r="D99" s="53" t="s">
        <v>66</v>
      </c>
      <c r="E99" s="53" t="s">
        <v>65</v>
      </c>
      <c r="G99" s="22"/>
    </row>
    <row r="100" spans="2:7" x14ac:dyDescent="0.25">
      <c r="B100" s="28" t="s">
        <v>41</v>
      </c>
      <c r="C100" s="53" t="s">
        <v>46</v>
      </c>
      <c r="D100" s="53" t="s">
        <v>46</v>
      </c>
      <c r="E100" s="53" t="s">
        <v>46</v>
      </c>
      <c r="G100" s="22"/>
    </row>
    <row r="101" spans="2:7" x14ac:dyDescent="0.25">
      <c r="B101" s="27">
        <v>45292</v>
      </c>
      <c r="C101" s="35">
        <v>0</v>
      </c>
      <c r="D101" s="10">
        <v>1731.5185799999997</v>
      </c>
      <c r="E101" s="39">
        <v>93.179999999999978</v>
      </c>
      <c r="G101" s="22"/>
    </row>
    <row r="102" spans="2:7" x14ac:dyDescent="0.25">
      <c r="B102" s="27">
        <v>45323</v>
      </c>
      <c r="C102" s="35">
        <v>70401.420299999998</v>
      </c>
      <c r="D102" s="10">
        <v>1395.3792599999999</v>
      </c>
      <c r="E102" s="39">
        <v>65.969999999999985</v>
      </c>
      <c r="G102" s="22"/>
    </row>
    <row r="103" spans="2:7" x14ac:dyDescent="0.25">
      <c r="B103" s="27">
        <v>45352</v>
      </c>
      <c r="C103" s="35">
        <v>107969.47391999999</v>
      </c>
      <c r="D103" s="10">
        <v>1349.7180600000002</v>
      </c>
      <c r="E103" s="39">
        <v>62.34</v>
      </c>
      <c r="G103" s="22"/>
    </row>
    <row r="104" spans="2:7" x14ac:dyDescent="0.25">
      <c r="B104" s="27">
        <v>45383</v>
      </c>
      <c r="C104" s="35">
        <v>82061.281439999992</v>
      </c>
      <c r="D104" s="10">
        <v>925.07329000000004</v>
      </c>
      <c r="E104" s="39">
        <v>28.060000000000002</v>
      </c>
      <c r="G104" s="22"/>
    </row>
    <row r="105" spans="2:7" x14ac:dyDescent="0.25">
      <c r="B105" s="27">
        <v>45413</v>
      </c>
      <c r="C105" s="35">
        <v>54021.779639999993</v>
      </c>
      <c r="D105" s="10">
        <v>775.40111000000002</v>
      </c>
      <c r="E105" s="39">
        <v>16.04</v>
      </c>
      <c r="G105" s="22"/>
    </row>
    <row r="106" spans="2:7" x14ac:dyDescent="0.25">
      <c r="B106" s="27">
        <v>45444</v>
      </c>
      <c r="C106" s="35">
        <v>8824.7408999999989</v>
      </c>
      <c r="D106" s="10">
        <v>665.11084000000005</v>
      </c>
      <c r="E106" s="39">
        <v>7.15</v>
      </c>
      <c r="G106" s="22"/>
    </row>
    <row r="107" spans="2:7" x14ac:dyDescent="0.25">
      <c r="B107" s="27">
        <v>45474</v>
      </c>
      <c r="C107" s="35">
        <v>19151.96904</v>
      </c>
      <c r="D107" s="10">
        <v>647.99914000000001</v>
      </c>
      <c r="E107" s="39">
        <v>5.8</v>
      </c>
      <c r="G107" s="22"/>
    </row>
    <row r="108" spans="2:7" x14ac:dyDescent="0.25">
      <c r="B108" s="27">
        <v>45505</v>
      </c>
      <c r="C108" s="35">
        <v>3940.5280199999997</v>
      </c>
      <c r="D108" s="10">
        <v>648.01225999999997</v>
      </c>
      <c r="E108" s="39">
        <v>1.6100000000000003</v>
      </c>
      <c r="G108" s="22"/>
    </row>
    <row r="109" spans="2:7" x14ac:dyDescent="0.25">
      <c r="B109" s="27">
        <v>45536</v>
      </c>
      <c r="C109" s="35">
        <v>7047.9874799999998</v>
      </c>
      <c r="D109" s="10">
        <v>549.46835999999996</v>
      </c>
      <c r="E109" s="39">
        <v>-91.680000000000021</v>
      </c>
      <c r="G109" s="22"/>
    </row>
    <row r="110" spans="2:7" x14ac:dyDescent="0.25">
      <c r="B110" s="27">
        <v>45566</v>
      </c>
      <c r="C110" s="35">
        <v>5888.2774999999992</v>
      </c>
      <c r="D110" s="10">
        <v>703.36932999999999</v>
      </c>
      <c r="E110" s="39">
        <v>-107.48</v>
      </c>
      <c r="G110" s="22"/>
    </row>
    <row r="111" spans="2:7" x14ac:dyDescent="0.25">
      <c r="B111" s="27">
        <v>45597</v>
      </c>
      <c r="C111" s="35">
        <v>3097.6524999999997</v>
      </c>
      <c r="D111" s="10">
        <v>1255.2229600000001</v>
      </c>
      <c r="E111" s="39">
        <v>15.129999999999999</v>
      </c>
      <c r="G111" s="22"/>
    </row>
    <row r="112" spans="2:7" x14ac:dyDescent="0.25">
      <c r="B112" s="27">
        <v>45627</v>
      </c>
      <c r="C112" s="40">
        <v>21015.227499999997</v>
      </c>
      <c r="D112" s="26">
        <v>1344.4177</v>
      </c>
      <c r="E112" s="40">
        <v>17.11</v>
      </c>
      <c r="G112" s="22"/>
    </row>
    <row r="113" spans="1:7" x14ac:dyDescent="0.25">
      <c r="C113" s="35">
        <f>SUM(C101:C112)</f>
        <v>383420.33824000001</v>
      </c>
      <c r="D113" s="10">
        <f>SUM(D101:D112)</f>
        <v>11990.69089</v>
      </c>
      <c r="E113" s="39">
        <f>SUM(E101:E112)</f>
        <v>113.22999999999996</v>
      </c>
      <c r="G113" s="22"/>
    </row>
    <row r="114" spans="1:7" x14ac:dyDescent="0.25">
      <c r="C114" s="35"/>
      <c r="D114" s="10"/>
      <c r="E114" s="39"/>
      <c r="G114" s="22"/>
    </row>
    <row r="115" spans="1:7" x14ac:dyDescent="0.25">
      <c r="C115" s="35"/>
      <c r="D115" s="10"/>
      <c r="E115" s="39"/>
      <c r="G115" s="22"/>
    </row>
    <row r="116" spans="1:7" x14ac:dyDescent="0.25">
      <c r="C116" s="35"/>
      <c r="D116" s="10"/>
      <c r="E116" s="39"/>
      <c r="G116" s="22"/>
    </row>
    <row r="117" spans="1:7" x14ac:dyDescent="0.25">
      <c r="C117" s="35"/>
      <c r="D117" s="10"/>
      <c r="E117" s="39"/>
      <c r="G117" s="22"/>
    </row>
    <row r="118" spans="1:7" x14ac:dyDescent="0.25">
      <c r="C118" s="35"/>
      <c r="D118" s="10"/>
      <c r="E118" s="39"/>
      <c r="G118" s="22"/>
    </row>
    <row r="119" spans="1:7" x14ac:dyDescent="0.25">
      <c r="C119" s="35"/>
      <c r="D119" s="10"/>
      <c r="E119" s="39"/>
      <c r="G119" s="22"/>
    </row>
    <row r="120" spans="1:7" x14ac:dyDescent="0.25">
      <c r="C120" s="35"/>
      <c r="D120" s="10"/>
      <c r="E120" s="39"/>
      <c r="G120" s="22"/>
    </row>
    <row r="121" spans="1:7" x14ac:dyDescent="0.25">
      <c r="C121" s="35"/>
      <c r="D121" s="10"/>
      <c r="E121" s="39"/>
      <c r="G121" s="22"/>
    </row>
    <row r="122" spans="1:7" x14ac:dyDescent="0.25">
      <c r="C122" s="35"/>
      <c r="D122" s="10"/>
      <c r="E122" s="39"/>
      <c r="G122" s="22"/>
    </row>
    <row r="123" spans="1:7" x14ac:dyDescent="0.25">
      <c r="C123" s="35"/>
      <c r="D123" s="10"/>
      <c r="E123" s="39"/>
      <c r="G123" s="22"/>
    </row>
    <row r="124" spans="1:7" x14ac:dyDescent="0.25">
      <c r="C124" s="35"/>
      <c r="D124" s="10"/>
      <c r="E124" s="39"/>
      <c r="G124" s="22"/>
    </row>
    <row r="125" spans="1:7" x14ac:dyDescent="0.25">
      <c r="C125" s="35"/>
      <c r="D125" s="10"/>
      <c r="E125" s="39"/>
      <c r="G125" s="22"/>
    </row>
    <row r="128" spans="1:7" x14ac:dyDescent="0.25">
      <c r="A128" s="1"/>
    </row>
    <row r="130" spans="2:5" x14ac:dyDescent="0.25">
      <c r="B130" s="10"/>
      <c r="C130" s="30"/>
      <c r="D130" s="30"/>
      <c r="E130" s="28"/>
    </row>
    <row r="131" spans="2:5" x14ac:dyDescent="0.25">
      <c r="B131" s="28"/>
      <c r="C131" s="30"/>
      <c r="D131" s="30"/>
      <c r="E131" s="30"/>
    </row>
    <row r="132" spans="2:5" x14ac:dyDescent="0.25">
      <c r="B132" s="27"/>
      <c r="C132" s="33"/>
      <c r="D132" s="33"/>
      <c r="E132" s="33"/>
    </row>
    <row r="133" spans="2:5" x14ac:dyDescent="0.25">
      <c r="B133" s="27"/>
      <c r="C133" s="33"/>
      <c r="D133" s="33"/>
      <c r="E133" s="33"/>
    </row>
    <row r="134" spans="2:5" x14ac:dyDescent="0.25">
      <c r="B134" s="27"/>
      <c r="C134" s="33"/>
      <c r="D134" s="33"/>
      <c r="E134" s="33"/>
    </row>
    <row r="135" spans="2:5" x14ac:dyDescent="0.25">
      <c r="B135" s="27"/>
      <c r="C135" s="33"/>
      <c r="D135" s="33"/>
      <c r="E135" s="33"/>
    </row>
    <row r="136" spans="2:5" x14ac:dyDescent="0.25">
      <c r="B136" s="27"/>
      <c r="C136" s="33"/>
      <c r="D136" s="33"/>
      <c r="E136" s="33"/>
    </row>
    <row r="137" spans="2:5" x14ac:dyDescent="0.25">
      <c r="B137" s="27"/>
      <c r="C137" s="33"/>
      <c r="D137" s="33"/>
      <c r="E137" s="33"/>
    </row>
    <row r="138" spans="2:5" x14ac:dyDescent="0.25">
      <c r="B138" s="27"/>
      <c r="C138" s="33"/>
      <c r="D138" s="33"/>
      <c r="E138" s="33"/>
    </row>
    <row r="139" spans="2:5" x14ac:dyDescent="0.25">
      <c r="B139" s="27"/>
      <c r="C139" s="33"/>
      <c r="D139" s="33"/>
      <c r="E139" s="33"/>
    </row>
    <row r="140" spans="2:5" x14ac:dyDescent="0.25">
      <c r="B140" s="27"/>
      <c r="C140" s="33"/>
      <c r="D140" s="33"/>
      <c r="E140" s="33"/>
    </row>
    <row r="141" spans="2:5" x14ac:dyDescent="0.25">
      <c r="B141" s="27"/>
      <c r="C141" s="33"/>
      <c r="D141" s="33"/>
      <c r="E141" s="33"/>
    </row>
    <row r="142" spans="2:5" x14ac:dyDescent="0.25">
      <c r="B142" s="27"/>
      <c r="C142" s="33"/>
      <c r="D142" s="33"/>
      <c r="E142" s="33"/>
    </row>
    <row r="143" spans="2:5" x14ac:dyDescent="0.25">
      <c r="B143" s="27"/>
      <c r="C143" s="33"/>
      <c r="D143" s="33"/>
      <c r="E143" s="33"/>
    </row>
    <row r="144" spans="2:5" x14ac:dyDescent="0.25">
      <c r="C144" s="16"/>
      <c r="D144" s="16"/>
      <c r="E144" s="16"/>
    </row>
    <row r="145" spans="2:7" x14ac:dyDescent="0.25">
      <c r="C145" s="16"/>
      <c r="G145" s="17"/>
    </row>
    <row r="146" spans="2:7" x14ac:dyDescent="0.25">
      <c r="G146" s="17"/>
    </row>
    <row r="147" spans="2:7" x14ac:dyDescent="0.25">
      <c r="D147" s="28"/>
      <c r="E147" s="28"/>
    </row>
    <row r="148" spans="2:7" x14ac:dyDescent="0.25">
      <c r="B148" s="28"/>
      <c r="C148" s="28"/>
      <c r="D148" s="28"/>
      <c r="E148" s="28"/>
    </row>
    <row r="149" spans="2:7" x14ac:dyDescent="0.25">
      <c r="B149" s="27"/>
      <c r="C149" s="30"/>
      <c r="D149" s="28"/>
      <c r="E149" s="46"/>
      <c r="G149" s="22"/>
    </row>
    <row r="150" spans="2:7" x14ac:dyDescent="0.25">
      <c r="B150" s="28"/>
      <c r="C150" s="30"/>
      <c r="D150" s="28"/>
      <c r="E150" s="46"/>
      <c r="G150" s="22"/>
    </row>
    <row r="151" spans="2:7" x14ac:dyDescent="0.25">
      <c r="B151" s="27"/>
      <c r="C151" s="39"/>
      <c r="D151" s="39"/>
      <c r="E151" s="39"/>
      <c r="G151" s="22"/>
    </row>
    <row r="152" spans="2:7" x14ac:dyDescent="0.25">
      <c r="B152" s="27"/>
      <c r="C152" s="39"/>
      <c r="D152" s="39"/>
      <c r="E152" s="39"/>
      <c r="G152" s="22"/>
    </row>
    <row r="153" spans="2:7" x14ac:dyDescent="0.25">
      <c r="B153" s="27"/>
      <c r="C153" s="39"/>
      <c r="D153" s="39"/>
      <c r="E153" s="39"/>
      <c r="G153" s="22"/>
    </row>
    <row r="154" spans="2:7" x14ac:dyDescent="0.25">
      <c r="B154" s="27"/>
      <c r="C154" s="39"/>
      <c r="D154" s="39"/>
      <c r="E154" s="39"/>
      <c r="G154" s="22"/>
    </row>
    <row r="155" spans="2:7" x14ac:dyDescent="0.25">
      <c r="B155" s="27"/>
      <c r="C155" s="39"/>
      <c r="D155" s="39"/>
      <c r="E155" s="39"/>
      <c r="G155" s="22"/>
    </row>
    <row r="156" spans="2:7" x14ac:dyDescent="0.25">
      <c r="B156" s="27"/>
      <c r="C156" s="39"/>
      <c r="D156" s="39"/>
      <c r="E156" s="39"/>
      <c r="G156" s="22"/>
    </row>
    <row r="157" spans="2:7" x14ac:dyDescent="0.25">
      <c r="B157" s="27"/>
      <c r="C157" s="39"/>
      <c r="D157" s="39"/>
      <c r="E157" s="39"/>
      <c r="G157" s="22"/>
    </row>
    <row r="158" spans="2:7" x14ac:dyDescent="0.25">
      <c r="B158" s="27"/>
      <c r="C158" s="39"/>
      <c r="D158" s="39"/>
      <c r="E158" s="39"/>
      <c r="G158" s="22"/>
    </row>
    <row r="159" spans="2:7" x14ac:dyDescent="0.25">
      <c r="B159" s="27"/>
      <c r="C159" s="39"/>
      <c r="D159" s="39"/>
      <c r="E159" s="39"/>
      <c r="G159" s="22"/>
    </row>
    <row r="160" spans="2:7" x14ac:dyDescent="0.25">
      <c r="B160" s="27"/>
      <c r="C160" s="39"/>
      <c r="D160" s="39"/>
      <c r="E160" s="39"/>
      <c r="G160" s="22"/>
    </row>
    <row r="161" spans="2:7" x14ac:dyDescent="0.25">
      <c r="B161" s="27"/>
      <c r="C161" s="39"/>
      <c r="D161" s="39"/>
      <c r="E161" s="39"/>
      <c r="G161" s="22"/>
    </row>
    <row r="162" spans="2:7" x14ac:dyDescent="0.25">
      <c r="B162" s="27"/>
      <c r="C162" s="39"/>
      <c r="D162" s="39"/>
      <c r="E162" s="39"/>
      <c r="G162" s="17"/>
    </row>
    <row r="163" spans="2:7" x14ac:dyDescent="0.25">
      <c r="C163" s="39"/>
      <c r="D163" s="10"/>
      <c r="E163" s="39"/>
      <c r="G163" s="22"/>
    </row>
  </sheetData>
  <mergeCells count="6">
    <mergeCell ref="D10:G11"/>
    <mergeCell ref="L10:O11"/>
    <mergeCell ref="T10:W11"/>
    <mergeCell ref="E13:F13"/>
    <mergeCell ref="M13:N13"/>
    <mergeCell ref="U13:V13"/>
  </mergeCells>
  <pageMargins left="0.75" right="0.75" top="1" bottom="1" header="0.5" footer="0.5"/>
  <pageSetup scale="3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04"/>
  <sheetViews>
    <sheetView view="pageBreakPreview" zoomScale="60" zoomScaleNormal="80" workbookViewId="0">
      <selection activeCell="U26" sqref="U26"/>
    </sheetView>
  </sheetViews>
  <sheetFormatPr defaultRowHeight="15.75" x14ac:dyDescent="0.25"/>
  <cols>
    <col min="1" max="1" width="4.7109375" style="2" customWidth="1"/>
    <col min="2" max="2" width="18.42578125" style="2" customWidth="1"/>
    <col min="3" max="3" width="21" style="2" customWidth="1"/>
    <col min="4" max="4" width="19.28515625" style="2" customWidth="1"/>
    <col min="5" max="5" width="18.7109375" style="2" customWidth="1"/>
    <col min="6" max="6" width="2.7109375" style="2" customWidth="1"/>
    <col min="7" max="7" width="21.5703125" style="2" customWidth="1"/>
    <col min="8" max="8" width="6.28515625" style="2" customWidth="1"/>
    <col min="9" max="9" width="4.42578125" style="2" customWidth="1"/>
    <col min="10" max="10" width="18.7109375" style="2" customWidth="1"/>
    <col min="11" max="11" width="18.42578125" style="2" customWidth="1"/>
    <col min="12" max="12" width="18" style="2" customWidth="1"/>
    <col min="13" max="13" width="16.7109375" style="2" customWidth="1"/>
    <col min="14" max="14" width="3" style="2" customWidth="1"/>
    <col min="15" max="15" width="20.85546875" style="2" customWidth="1"/>
    <col min="16" max="16" width="5.5703125" style="2" customWidth="1"/>
    <col min="17" max="17" width="4.7109375" style="2" customWidth="1"/>
    <col min="18" max="18" width="3.7109375" style="2" customWidth="1"/>
    <col min="19" max="19" width="26.28515625" style="2" customWidth="1"/>
    <col min="20" max="20" width="19.140625" style="2" customWidth="1"/>
    <col min="21" max="21" width="16.42578125" style="2" customWidth="1"/>
    <col min="22" max="22" width="3.140625" style="2" customWidth="1"/>
    <col min="23" max="23" width="22" style="2" customWidth="1"/>
    <col min="24" max="25" width="9.140625" style="2" customWidth="1"/>
    <col min="26" max="26" width="21.5703125" style="2" customWidth="1"/>
    <col min="27" max="27" width="3.5703125" style="2" customWidth="1"/>
    <col min="28" max="28" width="13.5703125" style="2" customWidth="1"/>
    <col min="29" max="29" width="3.5703125" style="2" customWidth="1"/>
    <col min="30" max="30" width="13.5703125" style="2" customWidth="1"/>
    <col min="31" max="16384" width="9.140625" style="2"/>
  </cols>
  <sheetData>
    <row r="1" spans="1:23" x14ac:dyDescent="0.25">
      <c r="A1" s="1"/>
      <c r="I1" s="85" t="s">
        <v>84</v>
      </c>
      <c r="Q1" s="1"/>
    </row>
    <row r="2" spans="1:23" x14ac:dyDescent="0.25">
      <c r="A2" s="1"/>
      <c r="I2" s="85" t="s">
        <v>93</v>
      </c>
      <c r="Q2" s="1"/>
    </row>
    <row r="3" spans="1:23" x14ac:dyDescent="0.25">
      <c r="A3" s="1"/>
      <c r="I3" s="85" t="s">
        <v>96</v>
      </c>
      <c r="Q3" s="1"/>
    </row>
    <row r="4" spans="1:23" x14ac:dyDescent="0.25">
      <c r="A4" s="1"/>
      <c r="I4" s="85" t="s">
        <v>95</v>
      </c>
      <c r="Q4" s="1"/>
    </row>
    <row r="5" spans="1:23" x14ac:dyDescent="0.25">
      <c r="A5" s="1"/>
      <c r="Q5" s="1"/>
      <c r="W5" s="74" t="s">
        <v>74</v>
      </c>
    </row>
    <row r="6" spans="1:23" x14ac:dyDescent="0.25">
      <c r="A6" s="1"/>
      <c r="I6" s="73" t="s">
        <v>73</v>
      </c>
      <c r="Q6" s="1"/>
      <c r="W6" s="74" t="s">
        <v>91</v>
      </c>
    </row>
    <row r="7" spans="1:23" x14ac:dyDescent="0.25">
      <c r="I7" s="75" t="s">
        <v>75</v>
      </c>
      <c r="W7" s="74" t="s">
        <v>100</v>
      </c>
    </row>
    <row r="8" spans="1:23" x14ac:dyDescent="0.25">
      <c r="I8" s="75" t="s">
        <v>76</v>
      </c>
    </row>
    <row r="9" spans="1:23" ht="16.5" thickBot="1" x14ac:dyDescent="0.3"/>
    <row r="10" spans="1:23" x14ac:dyDescent="0.25">
      <c r="D10" s="92" t="s">
        <v>11</v>
      </c>
      <c r="E10" s="93"/>
      <c r="F10" s="93"/>
      <c r="G10" s="94"/>
      <c r="L10" s="92" t="s">
        <v>12</v>
      </c>
      <c r="M10" s="93"/>
      <c r="N10" s="93"/>
      <c r="O10" s="94"/>
      <c r="T10" s="92" t="s">
        <v>13</v>
      </c>
      <c r="U10" s="93"/>
      <c r="V10" s="93"/>
      <c r="W10" s="94"/>
    </row>
    <row r="11" spans="1:23" ht="16.5" thickBot="1" x14ac:dyDescent="0.3">
      <c r="A11" s="3"/>
      <c r="B11" s="3"/>
      <c r="C11" s="3"/>
      <c r="D11" s="95"/>
      <c r="E11" s="96"/>
      <c r="F11" s="96"/>
      <c r="G11" s="97"/>
      <c r="I11" s="3"/>
      <c r="J11" s="3"/>
      <c r="K11" s="3"/>
      <c r="L11" s="95"/>
      <c r="M11" s="96"/>
      <c r="N11" s="96"/>
      <c r="O11" s="97"/>
      <c r="Q11" s="3"/>
      <c r="R11" s="3"/>
      <c r="S11" s="3"/>
      <c r="T11" s="95"/>
      <c r="U11" s="96"/>
      <c r="V11" s="96"/>
      <c r="W11" s="97"/>
    </row>
    <row r="12" spans="1:23" x14ac:dyDescent="0.25">
      <c r="A12" s="4"/>
      <c r="B12" s="4"/>
      <c r="C12" s="4"/>
      <c r="D12" s="4" t="s">
        <v>14</v>
      </c>
      <c r="E12" s="4"/>
      <c r="F12" s="4"/>
      <c r="G12" s="4" t="s">
        <v>15</v>
      </c>
      <c r="I12" s="4"/>
      <c r="J12" s="4"/>
      <c r="K12" s="4"/>
      <c r="L12" s="4" t="s">
        <v>14</v>
      </c>
      <c r="M12" s="4"/>
      <c r="N12" s="4"/>
      <c r="O12" s="4" t="s">
        <v>15</v>
      </c>
      <c r="Q12" s="4"/>
      <c r="R12" s="4"/>
      <c r="S12" s="4"/>
      <c r="T12" s="4" t="s">
        <v>14</v>
      </c>
      <c r="U12" s="4"/>
      <c r="V12" s="4"/>
      <c r="W12" s="4" t="s">
        <v>15</v>
      </c>
    </row>
    <row r="13" spans="1:23" ht="16.5" thickBot="1" x14ac:dyDescent="0.3">
      <c r="A13" s="5"/>
      <c r="B13" s="5"/>
      <c r="C13" s="5"/>
      <c r="D13" s="5" t="s">
        <v>16</v>
      </c>
      <c r="E13" s="96" t="s">
        <v>17</v>
      </c>
      <c r="F13" s="96"/>
      <c r="G13" s="5" t="s">
        <v>18</v>
      </c>
      <c r="I13" s="5"/>
      <c r="J13" s="5"/>
      <c r="K13" s="5"/>
      <c r="L13" s="5" t="s">
        <v>16</v>
      </c>
      <c r="M13" s="96" t="s">
        <v>17</v>
      </c>
      <c r="N13" s="96"/>
      <c r="O13" s="5" t="s">
        <v>18</v>
      </c>
      <c r="Q13" s="5"/>
      <c r="R13" s="5"/>
      <c r="S13" s="5"/>
      <c r="T13" s="5" t="s">
        <v>16</v>
      </c>
      <c r="U13" s="96" t="s">
        <v>17</v>
      </c>
      <c r="V13" s="96"/>
      <c r="W13" s="5" t="s">
        <v>18</v>
      </c>
    </row>
    <row r="16" spans="1:23" x14ac:dyDescent="0.25">
      <c r="A16" s="1" t="s">
        <v>19</v>
      </c>
      <c r="I16" s="1" t="s">
        <v>19</v>
      </c>
      <c r="Q16" s="1" t="s">
        <v>19</v>
      </c>
    </row>
    <row r="17" spans="1:30" ht="31.5" x14ac:dyDescent="0.25">
      <c r="D17" s="6" t="s">
        <v>20</v>
      </c>
      <c r="E17" s="6" t="s">
        <v>21</v>
      </c>
      <c r="L17" s="6" t="s">
        <v>20</v>
      </c>
      <c r="M17" s="6" t="s">
        <v>21</v>
      </c>
      <c r="T17" s="6" t="s">
        <v>20</v>
      </c>
      <c r="U17" s="6" t="s">
        <v>21</v>
      </c>
    </row>
    <row r="18" spans="1:30" x14ac:dyDescent="0.25">
      <c r="B18" s="2" t="s">
        <v>22</v>
      </c>
      <c r="D18" s="8">
        <f>G68</f>
        <v>50991.862584613693</v>
      </c>
      <c r="E18" s="22">
        <v>44.4</v>
      </c>
      <c r="G18" s="10">
        <f>D18*E18</f>
        <v>2264038.698756848</v>
      </c>
      <c r="J18" s="2" t="s">
        <v>22</v>
      </c>
      <c r="L18" s="8">
        <f>D18</f>
        <v>50991.862584613693</v>
      </c>
      <c r="M18" s="22">
        <v>44.4</v>
      </c>
      <c r="O18" s="10">
        <f>L18*M18</f>
        <v>2264038.698756848</v>
      </c>
      <c r="R18" s="2" t="s">
        <v>22</v>
      </c>
      <c r="T18" s="8">
        <f>L18</f>
        <v>50991.862584613693</v>
      </c>
      <c r="U18" s="22">
        <v>57.7</v>
      </c>
      <c r="W18" s="10">
        <f>T18*U18</f>
        <v>2942230.4711322105</v>
      </c>
      <c r="X18" s="2">
        <f>(U18-M18)/M18</f>
        <v>0.29954954954954965</v>
      </c>
      <c r="AB18" s="4"/>
      <c r="AC18" s="4"/>
      <c r="AD18" s="4"/>
    </row>
    <row r="19" spans="1:30" x14ac:dyDescent="0.25">
      <c r="B19" s="2" t="s">
        <v>7</v>
      </c>
      <c r="C19" s="7"/>
      <c r="D19" s="44">
        <f>E68</f>
        <v>1284</v>
      </c>
      <c r="E19" s="29">
        <v>44.4</v>
      </c>
      <c r="F19" s="7"/>
      <c r="G19" s="26">
        <f>D19*E19</f>
        <v>57009.599999999999</v>
      </c>
      <c r="J19" s="7" t="s">
        <v>7</v>
      </c>
      <c r="K19" s="7"/>
      <c r="L19" s="14">
        <f>D19</f>
        <v>1284</v>
      </c>
      <c r="M19" s="29">
        <v>44.4</v>
      </c>
      <c r="N19" s="7"/>
      <c r="O19" s="26">
        <f>L19*M19</f>
        <v>57009.599999999999</v>
      </c>
      <c r="R19" s="7" t="s">
        <v>7</v>
      </c>
      <c r="S19" s="7"/>
      <c r="T19" s="14">
        <f>L19</f>
        <v>1284</v>
      </c>
      <c r="U19" s="29">
        <v>57.7</v>
      </c>
      <c r="V19" s="7"/>
      <c r="W19" s="26">
        <f>T19*U19</f>
        <v>74086.8</v>
      </c>
      <c r="AB19" s="4"/>
      <c r="AC19" s="4"/>
      <c r="AD19" s="4"/>
    </row>
    <row r="20" spans="1:30" x14ac:dyDescent="0.25">
      <c r="D20" s="8">
        <f>SUM(D18:D19)</f>
        <v>52275.862584613693</v>
      </c>
      <c r="G20" s="10">
        <f>SUM(G18:G19)</f>
        <v>2321048.2987568481</v>
      </c>
      <c r="J20" s="2" t="s">
        <v>8</v>
      </c>
      <c r="L20" s="8"/>
      <c r="M20" s="22"/>
      <c r="O20" s="10">
        <f>SUM(O18:O19)</f>
        <v>2321048.2987568481</v>
      </c>
      <c r="R20" s="2" t="s">
        <v>8</v>
      </c>
      <c r="T20" s="8"/>
      <c r="U20" s="22"/>
      <c r="W20" s="10">
        <f>SUM(W18:W19)</f>
        <v>3016317.2711322103</v>
      </c>
      <c r="AB20" s="9"/>
      <c r="AD20" s="9"/>
    </row>
    <row r="21" spans="1:30" x14ac:dyDescent="0.25">
      <c r="G21" s="10"/>
      <c r="H21" s="9"/>
      <c r="O21" s="10"/>
      <c r="P21" s="9"/>
      <c r="T21" s="8"/>
      <c r="W21" s="10"/>
    </row>
    <row r="22" spans="1:30" x14ac:dyDescent="0.25">
      <c r="A22" s="1" t="s">
        <v>24</v>
      </c>
      <c r="D22" s="8"/>
      <c r="G22" s="10"/>
      <c r="H22" s="9"/>
      <c r="L22" s="8"/>
      <c r="O22" s="10"/>
      <c r="P22" s="9"/>
      <c r="W22" s="10"/>
      <c r="AB22" s="41"/>
      <c r="AD22" s="41"/>
    </row>
    <row r="23" spans="1:30" x14ac:dyDescent="0.25">
      <c r="D23" s="12" t="s">
        <v>25</v>
      </c>
      <c r="E23" s="11" t="s">
        <v>26</v>
      </c>
      <c r="G23" s="10"/>
      <c r="H23" s="9"/>
      <c r="I23" s="1" t="s">
        <v>24</v>
      </c>
      <c r="L23" s="8"/>
      <c r="O23" s="10"/>
      <c r="P23" s="9"/>
      <c r="Q23" s="1" t="s">
        <v>24</v>
      </c>
      <c r="T23" s="8"/>
      <c r="W23" s="10"/>
    </row>
    <row r="24" spans="1:30" x14ac:dyDescent="0.25">
      <c r="B24" s="2" t="s">
        <v>9</v>
      </c>
      <c r="D24" s="8">
        <f>C68</f>
        <v>551369.5</v>
      </c>
      <c r="E24" s="36">
        <v>4.9739000000000004</v>
      </c>
      <c r="G24" s="10">
        <f>D24*E24</f>
        <v>2742456.7560500004</v>
      </c>
      <c r="H24" s="9"/>
      <c r="L24" s="12" t="s">
        <v>25</v>
      </c>
      <c r="M24" s="11" t="s">
        <v>26</v>
      </c>
      <c r="O24" s="10"/>
      <c r="P24" s="9"/>
      <c r="T24" s="12" t="s">
        <v>25</v>
      </c>
      <c r="U24" s="11" t="s">
        <v>27</v>
      </c>
      <c r="W24" s="10"/>
      <c r="AD24" s="43"/>
    </row>
    <row r="25" spans="1:30" x14ac:dyDescent="0.25">
      <c r="B25" s="2" t="s">
        <v>7</v>
      </c>
      <c r="D25" s="8">
        <f>D68</f>
        <v>16256.900000000001</v>
      </c>
      <c r="E25" s="36">
        <v>4.9739000000000004</v>
      </c>
      <c r="G25" s="10">
        <f>D25*E25</f>
        <v>80860.19491000002</v>
      </c>
      <c r="H25" s="9"/>
      <c r="J25" s="2" t="s">
        <v>9</v>
      </c>
      <c r="L25" s="8">
        <f>D24</f>
        <v>551369.5</v>
      </c>
      <c r="M25" s="36">
        <v>4.9739000000000004</v>
      </c>
      <c r="O25" s="10">
        <f>L25*M25</f>
        <v>2742456.7560500004</v>
      </c>
      <c r="P25" s="9"/>
      <c r="R25" s="2" t="s">
        <v>9</v>
      </c>
      <c r="T25" s="8">
        <f>L25</f>
        <v>551369.5</v>
      </c>
      <c r="U25" s="37">
        <v>5.5949999999999998</v>
      </c>
      <c r="W25" s="10">
        <f>T25*U25</f>
        <v>3084912.3525</v>
      </c>
      <c r="X25" s="2">
        <f>(U25-M25)/M25</f>
        <v>0.12487183095759852</v>
      </c>
    </row>
    <row r="26" spans="1:30" x14ac:dyDescent="0.25">
      <c r="B26" s="7" t="s">
        <v>29</v>
      </c>
      <c r="C26" s="7"/>
      <c r="D26" s="7"/>
      <c r="E26" s="7"/>
      <c r="F26" s="7"/>
      <c r="G26" s="26">
        <f>E87</f>
        <v>511535.32883059978</v>
      </c>
      <c r="H26" s="9"/>
      <c r="J26" s="2" t="s">
        <v>7</v>
      </c>
      <c r="L26" s="8">
        <f>D25</f>
        <v>16256.900000000001</v>
      </c>
      <c r="M26" s="36">
        <v>4.9739000000000004</v>
      </c>
      <c r="O26" s="10">
        <f>L26*M26</f>
        <v>80860.19491000002</v>
      </c>
      <c r="P26" s="9"/>
      <c r="R26" s="2" t="s">
        <v>7</v>
      </c>
      <c r="T26" s="8">
        <f>L26</f>
        <v>16256.900000000001</v>
      </c>
      <c r="U26" s="37">
        <f>U25</f>
        <v>5.5949999999999998</v>
      </c>
      <c r="W26" s="10">
        <f>T26*U26</f>
        <v>90957.355500000005</v>
      </c>
      <c r="AD26" s="42"/>
    </row>
    <row r="27" spans="1:30" x14ac:dyDescent="0.25">
      <c r="D27" s="8">
        <f>SUM(D24:D25)</f>
        <v>567626.4</v>
      </c>
      <c r="E27" s="37"/>
      <c r="G27" s="10">
        <f>SUM(G24:G26)</f>
        <v>3334852.2797906003</v>
      </c>
      <c r="J27" s="7" t="s">
        <v>29</v>
      </c>
      <c r="K27" s="7"/>
      <c r="L27" s="47">
        <f>O27/M27</f>
        <v>102843.91098144308</v>
      </c>
      <c r="M27" s="64">
        <v>4.9739000000000004</v>
      </c>
      <c r="N27" s="7"/>
      <c r="O27" s="26">
        <f>G26</f>
        <v>511535.32883059978</v>
      </c>
      <c r="P27" s="9"/>
      <c r="R27" s="7" t="s">
        <v>29</v>
      </c>
      <c r="S27" s="7"/>
      <c r="T27" s="44">
        <f>L27</f>
        <v>102843.91098144308</v>
      </c>
      <c r="U27" s="65">
        <f>U25</f>
        <v>5.5949999999999998</v>
      </c>
      <c r="V27" s="7"/>
      <c r="W27" s="26">
        <f>T27*U27</f>
        <v>575411.68194117409</v>
      </c>
    </row>
    <row r="28" spans="1:30" x14ac:dyDescent="0.25">
      <c r="G28" s="10"/>
      <c r="H28" s="10"/>
      <c r="O28" s="10">
        <f>SUM(O25:O27)</f>
        <v>3334852.2797906003</v>
      </c>
      <c r="P28" s="9"/>
      <c r="Q28" s="1"/>
      <c r="T28" s="8"/>
      <c r="U28" s="15"/>
      <c r="W28" s="10">
        <f>SUM(W25:W27)</f>
        <v>3751281.3899411741</v>
      </c>
      <c r="AD28" s="16"/>
    </row>
    <row r="29" spans="1:30" ht="16.5" thickBot="1" x14ac:dyDescent="0.3">
      <c r="A29" s="1" t="s">
        <v>30</v>
      </c>
      <c r="G29" s="48">
        <f>G20+G27</f>
        <v>5655900.5785474479</v>
      </c>
      <c r="H29" s="10"/>
      <c r="I29" s="1"/>
      <c r="L29" s="8"/>
      <c r="M29" s="15"/>
      <c r="O29" s="10"/>
      <c r="P29" s="9"/>
    </row>
    <row r="30" spans="1:30" ht="16.5" thickTop="1" x14ac:dyDescent="0.25">
      <c r="A30" s="1"/>
      <c r="D30" s="8"/>
      <c r="E30" s="15"/>
      <c r="G30" s="10"/>
      <c r="H30" s="10"/>
      <c r="I30" s="1" t="s">
        <v>31</v>
      </c>
      <c r="L30" s="8"/>
      <c r="M30" s="15"/>
      <c r="O30" s="10">
        <f>O20+O28</f>
        <v>5655900.5785474479</v>
      </c>
      <c r="P30" s="9"/>
      <c r="Q30" s="1" t="s">
        <v>31</v>
      </c>
      <c r="T30" s="8"/>
      <c r="U30" s="15"/>
      <c r="W30" s="10">
        <f>W20+W28</f>
        <v>6767598.6610733848</v>
      </c>
    </row>
    <row r="31" spans="1:30" x14ac:dyDescent="0.25">
      <c r="A31" s="1" t="s">
        <v>32</v>
      </c>
      <c r="G31" s="10">
        <f>C87-D87-G87-C104+D104</f>
        <v>5655900.7527523562</v>
      </c>
      <c r="H31" s="18"/>
      <c r="I31" s="1"/>
      <c r="P31" s="18"/>
      <c r="Q31" s="1"/>
    </row>
    <row r="32" spans="1:30" x14ac:dyDescent="0.25">
      <c r="I32" s="1" t="s">
        <v>33</v>
      </c>
      <c r="O32" s="50">
        <f>G35</f>
        <v>1.0000000308005605</v>
      </c>
      <c r="Q32" s="1" t="s">
        <v>33</v>
      </c>
      <c r="W32" s="50">
        <f>O32</f>
        <v>1.0000000308005605</v>
      </c>
    </row>
    <row r="33" spans="1:23" x14ac:dyDescent="0.25">
      <c r="A33" s="1" t="s">
        <v>0</v>
      </c>
      <c r="G33" s="10">
        <f>G31-G29</f>
        <v>0.17420490831136703</v>
      </c>
    </row>
    <row r="34" spans="1:23" x14ac:dyDescent="0.25">
      <c r="I34" s="1" t="s">
        <v>34</v>
      </c>
      <c r="O34" s="10">
        <f>O30*O32</f>
        <v>5655900.7527523562</v>
      </c>
      <c r="Q34" s="1" t="s">
        <v>34</v>
      </c>
      <c r="W34" s="10">
        <f>W30*W32</f>
        <v>6767598.8695192169</v>
      </c>
    </row>
    <row r="35" spans="1:23" x14ac:dyDescent="0.25">
      <c r="A35" s="1" t="s">
        <v>33</v>
      </c>
      <c r="G35" s="49">
        <f>G31/G29</f>
        <v>1.0000000308005605</v>
      </c>
    </row>
    <row r="36" spans="1:23" x14ac:dyDescent="0.25">
      <c r="I36" s="1" t="s">
        <v>1</v>
      </c>
      <c r="L36" s="25">
        <v>8643.7292715231815</v>
      </c>
      <c r="M36" s="36">
        <v>4.9739000000000004</v>
      </c>
      <c r="O36" s="10">
        <f>L36*M36</f>
        <v>42993.045023629158</v>
      </c>
      <c r="Q36" s="1" t="s">
        <v>1</v>
      </c>
      <c r="T36" s="25">
        <f>L36</f>
        <v>8643.7292715231815</v>
      </c>
      <c r="U36" s="36">
        <f>U25</f>
        <v>5.5949999999999998</v>
      </c>
      <c r="W36" s="10">
        <f>T36*U36</f>
        <v>48361.665274172199</v>
      </c>
    </row>
    <row r="37" spans="1:23" x14ac:dyDescent="0.25">
      <c r="A37" s="1" t="s">
        <v>36</v>
      </c>
      <c r="G37" s="17">
        <f>C104+G87</f>
        <v>97233.811279999994</v>
      </c>
      <c r="O37" s="10"/>
      <c r="W37" s="10"/>
    </row>
    <row r="38" spans="1:23" x14ac:dyDescent="0.25">
      <c r="I38" s="1" t="s">
        <v>31</v>
      </c>
      <c r="O38" s="10">
        <f>O34+O36</f>
        <v>5698893.7977759857</v>
      </c>
      <c r="Q38" s="1" t="s">
        <v>31</v>
      </c>
      <c r="W38" s="10">
        <f>W34+W36</f>
        <v>6815960.534793389</v>
      </c>
    </row>
    <row r="39" spans="1:23" x14ac:dyDescent="0.25">
      <c r="A39" s="1" t="s">
        <v>37</v>
      </c>
      <c r="D39" s="8"/>
      <c r="E39" s="15"/>
      <c r="G39" s="10">
        <f>D87</f>
        <v>3778066.7702000001</v>
      </c>
    </row>
    <row r="40" spans="1:23" x14ac:dyDescent="0.25">
      <c r="G40" s="10"/>
      <c r="I40" s="1" t="s">
        <v>36</v>
      </c>
      <c r="L40" s="8"/>
      <c r="M40" s="42"/>
      <c r="O40" s="35">
        <f>G37</f>
        <v>97233.811279999994</v>
      </c>
      <c r="Q40" s="1" t="s">
        <v>36</v>
      </c>
      <c r="T40" s="8"/>
      <c r="U40" s="42"/>
      <c r="W40" s="35">
        <f>O40</f>
        <v>97233.811279999994</v>
      </c>
    </row>
    <row r="41" spans="1:23" x14ac:dyDescent="0.25">
      <c r="A41" s="1" t="s">
        <v>38</v>
      </c>
      <c r="B41" s="1"/>
      <c r="G41" s="10">
        <f>G29+G37+G39</f>
        <v>9531201.1600274481</v>
      </c>
    </row>
    <row r="42" spans="1:23" x14ac:dyDescent="0.25">
      <c r="I42" s="1" t="s">
        <v>37</v>
      </c>
      <c r="L42" s="8">
        <f>C68+L27+L36</f>
        <v>662857.14025296632</v>
      </c>
      <c r="M42" s="58">
        <f>7.2435+0.87</f>
        <v>8.1135000000000002</v>
      </c>
      <c r="O42" s="10">
        <f>L42*M42</f>
        <v>5378091.4074424421</v>
      </c>
      <c r="Q42" s="1" t="s">
        <v>37</v>
      </c>
      <c r="W42" s="10">
        <f>O42</f>
        <v>5378091.4074424421</v>
      </c>
    </row>
    <row r="43" spans="1:23" x14ac:dyDescent="0.25">
      <c r="O43" s="10"/>
      <c r="W43" s="10"/>
    </row>
    <row r="44" spans="1:23" x14ac:dyDescent="0.25">
      <c r="I44" s="1" t="s">
        <v>6</v>
      </c>
      <c r="L44" s="25"/>
      <c r="M44" s="41"/>
      <c r="O44" s="39">
        <f>O38+O40+O42</f>
        <v>11174219.016498428</v>
      </c>
      <c r="Q44" s="1" t="s">
        <v>6</v>
      </c>
      <c r="T44" s="25"/>
      <c r="U44" s="41"/>
      <c r="W44" s="39">
        <f>W38+W40+W42</f>
        <v>12291285.753515832</v>
      </c>
    </row>
    <row r="46" spans="1:23" x14ac:dyDescent="0.25">
      <c r="A46" s="9"/>
      <c r="B46" s="9"/>
      <c r="D46" s="17"/>
      <c r="G46" s="10"/>
      <c r="I46" s="1"/>
      <c r="O46" s="10"/>
      <c r="Q46" s="1" t="s">
        <v>39</v>
      </c>
      <c r="S46" s="21"/>
      <c r="U46" s="17"/>
      <c r="W46" s="10">
        <f>W44-O44</f>
        <v>1117066.7370174043</v>
      </c>
    </row>
    <row r="47" spans="1:23" x14ac:dyDescent="0.25">
      <c r="A47" s="1"/>
      <c r="D47" s="8"/>
      <c r="E47" s="15"/>
      <c r="G47" s="10"/>
      <c r="H47" s="10"/>
      <c r="O47" s="10"/>
      <c r="S47" s="21"/>
      <c r="U47" s="17"/>
    </row>
    <row r="48" spans="1:23" x14ac:dyDescent="0.25">
      <c r="A48" s="9"/>
      <c r="B48" s="9"/>
      <c r="D48" s="17"/>
      <c r="G48" s="17"/>
      <c r="H48" s="10"/>
      <c r="I48" s="1"/>
      <c r="M48" s="17"/>
      <c r="O48" s="39"/>
      <c r="Q48" s="1" t="s">
        <v>28</v>
      </c>
      <c r="S48" s="21"/>
      <c r="U48" s="17"/>
      <c r="W48" s="56">
        <f>W46/O44</f>
        <v>9.9968215708684957E-2</v>
      </c>
    </row>
    <row r="49" spans="1:23" x14ac:dyDescent="0.25">
      <c r="A49" s="1"/>
      <c r="D49" s="8"/>
      <c r="G49" s="20"/>
      <c r="H49" s="10"/>
      <c r="L49" s="8"/>
      <c r="O49" s="10"/>
      <c r="S49" s="21"/>
      <c r="U49" s="17"/>
    </row>
    <row r="50" spans="1:23" x14ac:dyDescent="0.25">
      <c r="H50" s="10"/>
      <c r="I50" s="1"/>
      <c r="L50" s="25"/>
      <c r="O50" s="39"/>
      <c r="Q50" s="1"/>
      <c r="W50" s="10"/>
    </row>
    <row r="51" spans="1:23" x14ac:dyDescent="0.25">
      <c r="H51" s="10"/>
      <c r="I51" s="1"/>
      <c r="J51" s="1"/>
      <c r="O51" s="10"/>
      <c r="S51" s="21"/>
      <c r="U51" s="17"/>
    </row>
    <row r="52" spans="1:23" x14ac:dyDescent="0.25">
      <c r="A52" s="9"/>
      <c r="B52" s="9"/>
      <c r="G52" s="24"/>
      <c r="H52" s="10"/>
      <c r="I52" s="1"/>
      <c r="L52" s="8"/>
      <c r="M52" s="15"/>
      <c r="O52" s="10"/>
      <c r="Q52" s="1"/>
      <c r="S52" s="21"/>
      <c r="U52" s="17"/>
      <c r="W52" s="10"/>
    </row>
    <row r="53" spans="1:23" x14ac:dyDescent="0.25">
      <c r="A53" s="9"/>
      <c r="B53" s="9"/>
      <c r="D53" s="28"/>
      <c r="E53" s="28"/>
      <c r="G53" s="10"/>
      <c r="I53" s="9"/>
      <c r="J53" s="9"/>
      <c r="O53" s="9"/>
      <c r="S53" s="21"/>
      <c r="U53" s="17"/>
    </row>
    <row r="54" spans="1:23" x14ac:dyDescent="0.25">
      <c r="A54" s="10"/>
      <c r="B54" s="10"/>
      <c r="C54" s="30" t="s">
        <v>9</v>
      </c>
      <c r="D54" s="28" t="s">
        <v>7</v>
      </c>
      <c r="E54" s="28" t="s">
        <v>7</v>
      </c>
      <c r="G54" s="30" t="s">
        <v>9</v>
      </c>
      <c r="I54" s="1"/>
      <c r="L54" s="8"/>
      <c r="O54" s="20"/>
      <c r="Q54" s="1"/>
      <c r="S54" s="21"/>
      <c r="U54" s="17"/>
      <c r="W54" s="56"/>
    </row>
    <row r="55" spans="1:23" x14ac:dyDescent="0.25">
      <c r="A55" s="9"/>
      <c r="B55" s="28" t="s">
        <v>41</v>
      </c>
      <c r="C55" s="30" t="s">
        <v>25</v>
      </c>
      <c r="D55" s="30" t="s">
        <v>25</v>
      </c>
      <c r="E55" s="30" t="s">
        <v>42</v>
      </c>
      <c r="G55" s="30" t="s">
        <v>42</v>
      </c>
      <c r="M55" s="17"/>
      <c r="S55" s="21"/>
      <c r="U55" s="17"/>
    </row>
    <row r="56" spans="1:23" x14ac:dyDescent="0.25">
      <c r="A56" s="19"/>
      <c r="B56" s="27">
        <v>45292</v>
      </c>
      <c r="C56" s="31">
        <v>106187.5</v>
      </c>
      <c r="D56" s="31">
        <v>3572</v>
      </c>
      <c r="E56" s="31">
        <v>107</v>
      </c>
      <c r="G56" s="31">
        <v>4403</v>
      </c>
      <c r="J56" s="17"/>
      <c r="O56" s="10"/>
      <c r="S56" s="17"/>
    </row>
    <row r="57" spans="1:23" x14ac:dyDescent="0.25">
      <c r="A57" s="10"/>
      <c r="B57" s="27">
        <v>45323</v>
      </c>
      <c r="C57" s="31">
        <v>95187</v>
      </c>
      <c r="D57" s="31">
        <v>2379.1000000000004</v>
      </c>
      <c r="E57" s="31">
        <v>107</v>
      </c>
      <c r="G57" s="31">
        <v>4411.0002252252252</v>
      </c>
      <c r="J57" s="17"/>
      <c r="W57" s="42"/>
    </row>
    <row r="58" spans="1:23" x14ac:dyDescent="0.25">
      <c r="B58" s="27">
        <v>45352</v>
      </c>
      <c r="C58" s="31">
        <v>92188</v>
      </c>
      <c r="D58" s="31">
        <v>2508.7000000000007</v>
      </c>
      <c r="E58" s="31">
        <v>107</v>
      </c>
      <c r="G58" s="31">
        <v>4423.9997747747748</v>
      </c>
      <c r="J58" s="17"/>
    </row>
    <row r="59" spans="1:23" x14ac:dyDescent="0.25">
      <c r="B59" s="27">
        <v>45383</v>
      </c>
      <c r="C59" s="31">
        <v>68362</v>
      </c>
      <c r="D59" s="31">
        <v>988.10000000000014</v>
      </c>
      <c r="E59" s="31">
        <v>107</v>
      </c>
      <c r="G59" s="31">
        <v>4461.0002252252252</v>
      </c>
      <c r="J59" s="17"/>
      <c r="L59" s="28"/>
      <c r="M59" s="28"/>
    </row>
    <row r="60" spans="1:23" x14ac:dyDescent="0.25">
      <c r="B60" s="27">
        <v>45413</v>
      </c>
      <c r="C60" s="31">
        <v>43363</v>
      </c>
      <c r="D60" s="31">
        <v>537.9</v>
      </c>
      <c r="E60" s="31">
        <v>107</v>
      </c>
      <c r="G60" s="31">
        <v>6805</v>
      </c>
      <c r="J60" s="17"/>
      <c r="K60" s="28"/>
      <c r="L60" s="28"/>
      <c r="M60" s="28"/>
    </row>
    <row r="61" spans="1:23" x14ac:dyDescent="0.25">
      <c r="B61" s="27">
        <v>45444</v>
      </c>
      <c r="C61" s="31">
        <v>8901</v>
      </c>
      <c r="D61" s="31">
        <v>140.30000000000001</v>
      </c>
      <c r="E61" s="31">
        <v>107</v>
      </c>
      <c r="G61" s="31">
        <v>1803</v>
      </c>
      <c r="J61" s="17"/>
      <c r="K61" s="45"/>
      <c r="L61" s="23"/>
      <c r="M61" s="21"/>
    </row>
    <row r="62" spans="1:23" x14ac:dyDescent="0.25">
      <c r="B62" s="27">
        <v>45474</v>
      </c>
      <c r="C62" s="31">
        <v>21552</v>
      </c>
      <c r="D62" s="31">
        <v>104.49999999999999</v>
      </c>
      <c r="E62" s="31">
        <v>107</v>
      </c>
      <c r="G62" s="31">
        <v>6438.8621341632434</v>
      </c>
      <c r="J62" s="17"/>
      <c r="K62" s="45"/>
      <c r="L62" s="23"/>
      <c r="M62" s="21"/>
    </row>
    <row r="63" spans="1:23" x14ac:dyDescent="0.25">
      <c r="B63" s="27">
        <v>45505</v>
      </c>
      <c r="C63" s="31">
        <v>5437</v>
      </c>
      <c r="D63" s="31">
        <v>110.69999999999999</v>
      </c>
      <c r="E63" s="31">
        <v>107</v>
      </c>
      <c r="G63" s="31">
        <v>1730</v>
      </c>
      <c r="J63" s="17"/>
      <c r="K63" s="45"/>
      <c r="L63" s="23"/>
      <c r="M63" s="21"/>
    </row>
    <row r="64" spans="1:23" x14ac:dyDescent="0.25">
      <c r="B64" s="27">
        <v>45536</v>
      </c>
      <c r="C64" s="31">
        <v>13596</v>
      </c>
      <c r="D64" s="31">
        <v>129.10000000000002</v>
      </c>
      <c r="E64" s="31">
        <v>107</v>
      </c>
      <c r="G64" s="31">
        <v>4041.0002252252252</v>
      </c>
      <c r="J64" s="17"/>
      <c r="K64" s="45"/>
      <c r="L64" s="23"/>
      <c r="M64" s="21"/>
    </row>
    <row r="65" spans="2:13" x14ac:dyDescent="0.25">
      <c r="B65" s="27">
        <v>45566</v>
      </c>
      <c r="C65" s="31">
        <v>21550</v>
      </c>
      <c r="D65" s="31">
        <v>811.00000000000011</v>
      </c>
      <c r="E65" s="31">
        <v>107</v>
      </c>
      <c r="G65" s="31">
        <v>6375</v>
      </c>
      <c r="J65" s="17"/>
      <c r="K65" s="45"/>
      <c r="L65" s="23"/>
      <c r="M65" s="21"/>
    </row>
    <row r="66" spans="2:13" x14ac:dyDescent="0.25">
      <c r="B66" s="27">
        <v>45597</v>
      </c>
      <c r="C66" s="31">
        <v>10556</v>
      </c>
      <c r="D66" s="31">
        <v>2255.3999999999996</v>
      </c>
      <c r="E66" s="31">
        <v>107</v>
      </c>
      <c r="G66" s="31">
        <v>1770</v>
      </c>
      <c r="J66" s="17"/>
      <c r="K66" s="45"/>
      <c r="L66" s="23"/>
      <c r="M66" s="21"/>
    </row>
    <row r="67" spans="2:13" x14ac:dyDescent="0.25">
      <c r="B67" s="27">
        <v>45627</v>
      </c>
      <c r="C67" s="34">
        <v>64490</v>
      </c>
      <c r="D67" s="34">
        <v>2720.1</v>
      </c>
      <c r="E67" s="34">
        <v>107</v>
      </c>
      <c r="G67" s="34">
        <v>4330</v>
      </c>
      <c r="J67" s="17"/>
      <c r="K67" s="45"/>
      <c r="L67" s="23"/>
      <c r="M67" s="21"/>
    </row>
    <row r="68" spans="2:13" x14ac:dyDescent="0.25">
      <c r="C68" s="16">
        <f>SUM(C56:C67)</f>
        <v>551369.5</v>
      </c>
      <c r="D68" s="16">
        <f>SUM(D56:D67)</f>
        <v>16256.900000000001</v>
      </c>
      <c r="E68" s="16">
        <f>SUM(E56:E67)</f>
        <v>1284</v>
      </c>
      <c r="G68" s="16">
        <f>SUM(G56:G67)</f>
        <v>50991.862584613693</v>
      </c>
      <c r="J68" s="17"/>
      <c r="K68" s="45"/>
      <c r="L68" s="23"/>
      <c r="M68" s="21"/>
    </row>
    <row r="69" spans="2:13" x14ac:dyDescent="0.25">
      <c r="G69" s="17"/>
      <c r="J69" s="27"/>
      <c r="K69" s="45"/>
      <c r="L69" s="23"/>
      <c r="M69" s="21"/>
    </row>
    <row r="70" spans="2:13" x14ac:dyDescent="0.25">
      <c r="G70" s="17"/>
      <c r="J70" s="27"/>
      <c r="K70" s="45"/>
      <c r="L70" s="23"/>
      <c r="M70" s="21"/>
    </row>
    <row r="71" spans="2:13" x14ac:dyDescent="0.25">
      <c r="D71" s="28"/>
      <c r="E71" s="28"/>
      <c r="J71" s="27"/>
      <c r="K71" s="45"/>
      <c r="L71" s="23"/>
      <c r="M71" s="21"/>
    </row>
    <row r="72" spans="2:13" x14ac:dyDescent="0.25">
      <c r="B72" s="28"/>
      <c r="C72" s="28"/>
      <c r="D72" s="28"/>
      <c r="E72" s="28"/>
      <c r="J72" s="27"/>
      <c r="K72" s="45"/>
      <c r="L72" s="23"/>
      <c r="M72" s="23"/>
    </row>
    <row r="73" spans="2:13" x14ac:dyDescent="0.25">
      <c r="B73" s="27"/>
      <c r="C73" s="30" t="s">
        <v>8</v>
      </c>
      <c r="D73" s="28" t="s">
        <v>44</v>
      </c>
      <c r="E73" s="46" t="s">
        <v>29</v>
      </c>
      <c r="G73" s="53" t="s">
        <v>47</v>
      </c>
      <c r="L73" s="23"/>
      <c r="M73" s="21"/>
    </row>
    <row r="74" spans="2:13" x14ac:dyDescent="0.25">
      <c r="B74" s="28" t="s">
        <v>41</v>
      </c>
      <c r="C74" s="30" t="s">
        <v>46</v>
      </c>
      <c r="D74" s="28" t="s">
        <v>46</v>
      </c>
      <c r="E74" s="46" t="s">
        <v>46</v>
      </c>
      <c r="G74" s="53" t="s">
        <v>46</v>
      </c>
    </row>
    <row r="75" spans="2:13" x14ac:dyDescent="0.25">
      <c r="B75" s="27">
        <v>45292</v>
      </c>
      <c r="C75" s="35">
        <v>1560034.5412485839</v>
      </c>
      <c r="D75" s="35">
        <v>820234.72499999998</v>
      </c>
      <c r="E75" s="35">
        <v>16140.609998583794</v>
      </c>
      <c r="F75" s="35">
        <v>0</v>
      </c>
      <c r="G75" s="35">
        <v>0</v>
      </c>
    </row>
    <row r="76" spans="2:13" x14ac:dyDescent="0.25">
      <c r="B76" s="27">
        <v>45323</v>
      </c>
      <c r="C76" s="35">
        <v>1606816.110356658</v>
      </c>
      <c r="D76" s="35">
        <v>729446.53020000004</v>
      </c>
      <c r="E76" s="35">
        <v>190996</v>
      </c>
      <c r="F76" s="35">
        <v>0</v>
      </c>
      <c r="G76" s="35">
        <v>17074.403040000001</v>
      </c>
    </row>
    <row r="77" spans="2:13" x14ac:dyDescent="0.25">
      <c r="B77" s="27">
        <v>45352</v>
      </c>
      <c r="C77" s="35">
        <v>1559637.0838609622</v>
      </c>
      <c r="D77" s="35">
        <v>661695.71100000013</v>
      </c>
      <c r="E77" s="35">
        <v>216397.57936096191</v>
      </c>
      <c r="F77" s="35">
        <v>0</v>
      </c>
      <c r="G77" s="35">
        <v>26584.310300000001</v>
      </c>
      <c r="J77" s="17"/>
    </row>
    <row r="78" spans="2:13" x14ac:dyDescent="0.25">
      <c r="B78" s="27">
        <v>45383</v>
      </c>
      <c r="C78" s="35">
        <v>1075623.7814220851</v>
      </c>
      <c r="D78" s="35">
        <v>489567.62680000003</v>
      </c>
      <c r="E78" s="35">
        <v>28247.759262084961</v>
      </c>
      <c r="F78" s="35">
        <v>0</v>
      </c>
      <c r="G78" s="35">
        <v>19714.233560000001</v>
      </c>
    </row>
    <row r="79" spans="2:13" x14ac:dyDescent="0.25">
      <c r="B79" s="27">
        <v>45413</v>
      </c>
      <c r="C79" s="35">
        <f>819001.125694254+16.91</f>
        <v>819018.03569425398</v>
      </c>
      <c r="D79" s="35">
        <v>288687.78820000001</v>
      </c>
      <c r="E79" s="42">
        <v>0</v>
      </c>
      <c r="F79" s="35">
        <v>0</v>
      </c>
      <c r="G79" s="35">
        <v>12505.021940000001</v>
      </c>
    </row>
    <row r="80" spans="2:13" x14ac:dyDescent="0.25">
      <c r="B80" s="27">
        <v>45444</v>
      </c>
      <c r="C80" s="35">
        <f>180908.436830315+2.71</f>
        <v>180911.146830315</v>
      </c>
      <c r="D80" s="35">
        <v>54018.388800000001</v>
      </c>
      <c r="E80" s="42">
        <v>0</v>
      </c>
      <c r="F80" s="35">
        <v>0</v>
      </c>
      <c r="G80" s="35">
        <v>2566.8703800000003</v>
      </c>
    </row>
    <row r="81" spans="2:7" x14ac:dyDescent="0.25">
      <c r="B81" s="27">
        <v>45474</v>
      </c>
      <c r="C81" s="35">
        <f>548969.933424298-126.75</f>
        <v>548843.18342429795</v>
      </c>
      <c r="D81" s="35">
        <v>149545.01759999999</v>
      </c>
      <c r="E81" s="42">
        <v>0</v>
      </c>
      <c r="F81" s="35">
        <v>0</v>
      </c>
      <c r="G81" s="35">
        <v>6215.1657600000008</v>
      </c>
    </row>
    <row r="82" spans="2:7" x14ac:dyDescent="0.25">
      <c r="B82" s="27">
        <v>45505</v>
      </c>
      <c r="C82" s="35">
        <f>143148.488939739+0.78</f>
        <v>143149.26893973901</v>
      </c>
      <c r="D82" s="35">
        <v>37726.255600000004</v>
      </c>
      <c r="E82" s="42">
        <v>0</v>
      </c>
      <c r="F82" s="35">
        <v>0</v>
      </c>
      <c r="G82" s="35">
        <v>1567.9220600000001</v>
      </c>
    </row>
    <row r="83" spans="2:7" x14ac:dyDescent="0.25">
      <c r="B83" s="27">
        <v>45536</v>
      </c>
      <c r="C83" s="35">
        <f>320676.5724325+5.87</f>
        <v>320682.44243250001</v>
      </c>
      <c r="D83" s="35">
        <v>71100.281999999992</v>
      </c>
      <c r="E83" s="42">
        <v>0</v>
      </c>
      <c r="F83" s="35">
        <v>0</v>
      </c>
      <c r="G83" s="35">
        <v>2536.6082799999999</v>
      </c>
    </row>
    <row r="84" spans="2:7" x14ac:dyDescent="0.25">
      <c r="B84" s="27">
        <v>45566</v>
      </c>
      <c r="C84" s="35">
        <v>504549.73550000007</v>
      </c>
      <c r="D84" s="35">
        <v>112695.72500000001</v>
      </c>
      <c r="E84" s="42">
        <v>0</v>
      </c>
      <c r="F84" s="35">
        <v>0</v>
      </c>
      <c r="G84" s="35">
        <v>1616.4654999999998</v>
      </c>
    </row>
    <row r="85" spans="2:7" x14ac:dyDescent="0.25">
      <c r="B85" s="27">
        <v>45597</v>
      </c>
      <c r="C85" s="35">
        <f>187086.255503993+0.64</f>
        <v>187086.895503993</v>
      </c>
      <c r="D85" s="35">
        <v>55202.601999999999</v>
      </c>
      <c r="E85" s="42">
        <v>0</v>
      </c>
      <c r="F85" s="35">
        <v>0</v>
      </c>
      <c r="G85" s="35">
        <v>791.8055599999999</v>
      </c>
    </row>
    <row r="86" spans="2:7" x14ac:dyDescent="0.25">
      <c r="B86" s="27">
        <v>45627</v>
      </c>
      <c r="C86" s="40">
        <v>885755.70410896908</v>
      </c>
      <c r="D86" s="40">
        <v>308146.11800000002</v>
      </c>
      <c r="E86" s="40">
        <v>59753.380208969116</v>
      </c>
      <c r="F86" s="40">
        <v>0</v>
      </c>
      <c r="G86" s="40">
        <v>4837.3948999999993</v>
      </c>
    </row>
    <row r="87" spans="2:7" x14ac:dyDescent="0.25">
      <c r="C87" s="35">
        <f>SUM(C75:C86)</f>
        <v>9392107.9293223564</v>
      </c>
      <c r="D87" s="10">
        <f>SUM(D75:D86)</f>
        <v>3778066.7702000001</v>
      </c>
      <c r="E87" s="39">
        <f>SUM(E75:E86)</f>
        <v>511535.32883059978</v>
      </c>
      <c r="G87" s="17">
        <f>SUM(G75:G86)</f>
        <v>96010.201279999994</v>
      </c>
    </row>
    <row r="90" spans="2:7" x14ac:dyDescent="0.25">
      <c r="C90" s="53" t="s">
        <v>48</v>
      </c>
      <c r="D90" s="53" t="s">
        <v>66</v>
      </c>
    </row>
    <row r="91" spans="2:7" x14ac:dyDescent="0.25">
      <c r="B91" s="28" t="s">
        <v>41</v>
      </c>
      <c r="C91" s="53" t="s">
        <v>46</v>
      </c>
      <c r="D91" s="53" t="s">
        <v>46</v>
      </c>
    </row>
    <row r="92" spans="2:7" x14ac:dyDescent="0.25">
      <c r="B92" s="27">
        <v>45292</v>
      </c>
      <c r="C92" s="22">
        <v>1032.98</v>
      </c>
      <c r="D92" s="42">
        <v>23550.550800000001</v>
      </c>
    </row>
    <row r="93" spans="2:7" x14ac:dyDescent="0.25">
      <c r="B93" s="27">
        <v>45323</v>
      </c>
      <c r="C93" s="22">
        <v>688.0100000000001</v>
      </c>
      <c r="D93" s="42">
        <v>17272.215490000002</v>
      </c>
    </row>
    <row r="94" spans="2:7" x14ac:dyDescent="0.25">
      <c r="B94" s="27">
        <v>45352</v>
      </c>
      <c r="C94" s="22">
        <v>725.16</v>
      </c>
      <c r="D94" s="42">
        <v>17953.982930000006</v>
      </c>
    </row>
    <row r="95" spans="2:7" x14ac:dyDescent="0.25">
      <c r="B95" s="27">
        <v>45383</v>
      </c>
      <c r="C95" s="22">
        <v>285.63</v>
      </c>
      <c r="D95" s="42">
        <v>9951.1405900000027</v>
      </c>
    </row>
    <row r="96" spans="2:7" x14ac:dyDescent="0.25">
      <c r="B96" s="27">
        <v>45413</v>
      </c>
      <c r="C96" s="22">
        <v>155.44000000000005</v>
      </c>
      <c r="D96" s="42">
        <v>7581.7008100000003</v>
      </c>
    </row>
    <row r="97" spans="2:4" x14ac:dyDescent="0.25">
      <c r="B97" s="27">
        <v>45444</v>
      </c>
      <c r="C97" s="22">
        <v>40.599999999999987</v>
      </c>
      <c r="D97" s="42">
        <v>5489.2381700000005</v>
      </c>
    </row>
    <row r="98" spans="2:4" x14ac:dyDescent="0.25">
      <c r="B98" s="27">
        <v>45474</v>
      </c>
      <c r="C98" s="22">
        <v>30.26</v>
      </c>
      <c r="D98" s="42">
        <v>5300.8325500000001</v>
      </c>
    </row>
    <row r="99" spans="2:4" x14ac:dyDescent="0.25">
      <c r="B99" s="27">
        <v>45505</v>
      </c>
      <c r="C99" s="22">
        <v>8.4099999999999984</v>
      </c>
      <c r="D99" s="42">
        <v>5309.8207300000004</v>
      </c>
    </row>
    <row r="100" spans="2:4" x14ac:dyDescent="0.25">
      <c r="B100" s="27">
        <v>45536</v>
      </c>
      <c r="C100" s="22">
        <v>-621.4699999999998</v>
      </c>
      <c r="D100" s="42">
        <v>4771.4604900000004</v>
      </c>
    </row>
    <row r="101" spans="2:4" x14ac:dyDescent="0.25">
      <c r="B101" s="27">
        <v>45566</v>
      </c>
      <c r="C101" s="22">
        <v>-1495.8499999999995</v>
      </c>
      <c r="D101" s="42">
        <v>7288.782900000002</v>
      </c>
    </row>
    <row r="102" spans="2:4" x14ac:dyDescent="0.25">
      <c r="B102" s="27">
        <v>45597</v>
      </c>
      <c r="C102" s="22">
        <v>169.70999999999998</v>
      </c>
      <c r="D102" s="42">
        <v>16138.644059999999</v>
      </c>
    </row>
    <row r="103" spans="2:4" x14ac:dyDescent="0.25">
      <c r="B103" s="27">
        <v>45627</v>
      </c>
      <c r="C103" s="54">
        <v>204.73000000000005</v>
      </c>
      <c r="D103" s="29">
        <v>18485.035390000001</v>
      </c>
    </row>
    <row r="104" spans="2:4" x14ac:dyDescent="0.25">
      <c r="C104" s="17">
        <f>SUM(C92:C103)</f>
        <v>1223.610000000001</v>
      </c>
      <c r="D104" s="42">
        <f>SUM(D92:D103)</f>
        <v>139093.40491000001</v>
      </c>
    </row>
  </sheetData>
  <mergeCells count="6">
    <mergeCell ref="D10:G11"/>
    <mergeCell ref="E13:F13"/>
    <mergeCell ref="L10:O11"/>
    <mergeCell ref="T10:W11"/>
    <mergeCell ref="M13:N13"/>
    <mergeCell ref="U13:V13"/>
  </mergeCells>
  <pageMargins left="0.75" right="0.75" top="1" bottom="1" header="0.5" footer="0.5"/>
  <pageSetup scale="3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62"/>
  <sheetViews>
    <sheetView view="pageBreakPreview" zoomScale="60" zoomScaleNormal="70" workbookViewId="0">
      <selection activeCell="U25" sqref="U25:U28"/>
    </sheetView>
  </sheetViews>
  <sheetFormatPr defaultRowHeight="15.75" x14ac:dyDescent="0.25"/>
  <cols>
    <col min="1" max="1" width="4.7109375" style="2" customWidth="1"/>
    <col min="2" max="2" width="18.42578125" style="2" customWidth="1"/>
    <col min="3" max="3" width="33" style="2" customWidth="1"/>
    <col min="4" max="4" width="19.28515625" style="2" customWidth="1"/>
    <col min="5" max="5" width="18.7109375" style="2" customWidth="1"/>
    <col min="6" max="6" width="2.7109375" style="2" customWidth="1"/>
    <col min="7" max="7" width="21.5703125" style="2" customWidth="1"/>
    <col min="8" max="8" width="6.28515625" style="2" customWidth="1"/>
    <col min="9" max="9" width="4.42578125" style="2" customWidth="1"/>
    <col min="10" max="10" width="18.7109375" style="2" customWidth="1"/>
    <col min="11" max="11" width="29" style="2" customWidth="1"/>
    <col min="12" max="12" width="18" style="2" customWidth="1"/>
    <col min="13" max="13" width="16.7109375" style="2" customWidth="1"/>
    <col min="14" max="14" width="3" style="2" customWidth="1"/>
    <col min="15" max="15" width="20.85546875" style="2" customWidth="1"/>
    <col min="16" max="16" width="5.5703125" style="2" customWidth="1"/>
    <col min="17" max="17" width="4.7109375" style="2" customWidth="1"/>
    <col min="18" max="18" width="3.7109375" style="2" customWidth="1"/>
    <col min="19" max="19" width="28.28515625" style="2" customWidth="1"/>
    <col min="20" max="20" width="18.28515625" style="2" customWidth="1"/>
    <col min="21" max="21" width="17.42578125" style="2" customWidth="1"/>
    <col min="22" max="22" width="3.140625" style="2" customWidth="1"/>
    <col min="23" max="23" width="18.28515625" style="2" customWidth="1"/>
    <col min="24" max="24" width="6.28515625" style="2" customWidth="1"/>
    <col min="25" max="26" width="9.140625" style="2" customWidth="1"/>
    <col min="27" max="27" width="21.5703125" style="2" customWidth="1"/>
    <col min="28" max="28" width="3.5703125" style="2" customWidth="1"/>
    <col min="29" max="29" width="13.5703125" style="2" customWidth="1"/>
    <col min="30" max="30" width="3.5703125" style="2" customWidth="1"/>
    <col min="31" max="31" width="13.5703125" style="2" customWidth="1"/>
    <col min="32" max="33" width="9.140625" style="2" customWidth="1"/>
    <col min="34" max="16384" width="9.140625" style="2"/>
  </cols>
  <sheetData>
    <row r="1" spans="1:23" x14ac:dyDescent="0.25">
      <c r="A1" s="1"/>
      <c r="I1" s="85" t="s">
        <v>84</v>
      </c>
      <c r="Q1" s="1"/>
    </row>
    <row r="2" spans="1:23" x14ac:dyDescent="0.25">
      <c r="A2" s="1"/>
      <c r="I2" s="85" t="s">
        <v>93</v>
      </c>
      <c r="Q2" s="1"/>
    </row>
    <row r="3" spans="1:23" x14ac:dyDescent="0.25">
      <c r="A3" s="1"/>
      <c r="I3" s="85" t="s">
        <v>96</v>
      </c>
      <c r="Q3" s="1"/>
    </row>
    <row r="4" spans="1:23" x14ac:dyDescent="0.25">
      <c r="A4" s="1"/>
      <c r="I4" s="85" t="s">
        <v>95</v>
      </c>
      <c r="Q4" s="1"/>
    </row>
    <row r="5" spans="1:23" x14ac:dyDescent="0.25">
      <c r="A5" s="1"/>
      <c r="Q5" s="1"/>
      <c r="W5" s="74" t="s">
        <v>74</v>
      </c>
    </row>
    <row r="6" spans="1:23" x14ac:dyDescent="0.25">
      <c r="A6" s="1"/>
      <c r="I6" s="73" t="s">
        <v>73</v>
      </c>
      <c r="Q6" s="1"/>
      <c r="W6" s="74" t="s">
        <v>91</v>
      </c>
    </row>
    <row r="7" spans="1:23" x14ac:dyDescent="0.25">
      <c r="I7" s="75" t="s">
        <v>75</v>
      </c>
      <c r="W7" s="74" t="s">
        <v>101</v>
      </c>
    </row>
    <row r="8" spans="1:23" x14ac:dyDescent="0.25">
      <c r="I8" s="75" t="s">
        <v>76</v>
      </c>
    </row>
    <row r="9" spans="1:23" ht="16.5" thickBot="1" x14ac:dyDescent="0.3"/>
    <row r="10" spans="1:23" x14ac:dyDescent="0.25">
      <c r="D10" s="92" t="s">
        <v>11</v>
      </c>
      <c r="E10" s="93"/>
      <c r="F10" s="93"/>
      <c r="G10" s="94"/>
      <c r="L10" s="92" t="s">
        <v>12</v>
      </c>
      <c r="M10" s="93"/>
      <c r="N10" s="93"/>
      <c r="O10" s="94"/>
      <c r="T10" s="92" t="s">
        <v>13</v>
      </c>
      <c r="U10" s="93"/>
      <c r="V10" s="93"/>
      <c r="W10" s="94"/>
    </row>
    <row r="11" spans="1:23" ht="16.5" thickBot="1" x14ac:dyDescent="0.3">
      <c r="A11" s="3"/>
      <c r="B11" s="3"/>
      <c r="C11" s="3"/>
      <c r="D11" s="95"/>
      <c r="E11" s="96"/>
      <c r="F11" s="96"/>
      <c r="G11" s="97"/>
      <c r="I11" s="3"/>
      <c r="J11" s="3"/>
      <c r="K11" s="3"/>
      <c r="L11" s="95"/>
      <c r="M11" s="96"/>
      <c r="N11" s="96"/>
      <c r="O11" s="97"/>
      <c r="Q11" s="3"/>
      <c r="R11" s="3"/>
      <c r="S11" s="3"/>
      <c r="T11" s="95"/>
      <c r="U11" s="96"/>
      <c r="V11" s="96"/>
      <c r="W11" s="97"/>
    </row>
    <row r="12" spans="1:23" x14ac:dyDescent="0.25">
      <c r="A12" s="4"/>
      <c r="B12" s="4"/>
      <c r="C12" s="4"/>
      <c r="D12" s="4" t="s">
        <v>14</v>
      </c>
      <c r="E12" s="4"/>
      <c r="F12" s="4"/>
      <c r="G12" s="4" t="s">
        <v>15</v>
      </c>
      <c r="I12" s="4"/>
      <c r="J12" s="4"/>
      <c r="K12" s="4"/>
      <c r="L12" s="4" t="s">
        <v>14</v>
      </c>
      <c r="M12" s="4"/>
      <c r="N12" s="4"/>
      <c r="O12" s="4" t="s">
        <v>15</v>
      </c>
      <c r="Q12" s="4"/>
      <c r="R12" s="4"/>
      <c r="S12" s="4"/>
      <c r="T12" s="4" t="s">
        <v>14</v>
      </c>
      <c r="U12" s="4"/>
      <c r="V12" s="4"/>
      <c r="W12" s="4" t="s">
        <v>15</v>
      </c>
    </row>
    <row r="13" spans="1:23" ht="16.5" thickBot="1" x14ac:dyDescent="0.3">
      <c r="A13" s="5"/>
      <c r="B13" s="5"/>
      <c r="C13" s="5"/>
      <c r="D13" s="5" t="s">
        <v>16</v>
      </c>
      <c r="E13" s="96" t="s">
        <v>17</v>
      </c>
      <c r="F13" s="96"/>
      <c r="G13" s="5" t="s">
        <v>18</v>
      </c>
      <c r="I13" s="5"/>
      <c r="J13" s="5"/>
      <c r="K13" s="5"/>
      <c r="L13" s="5" t="s">
        <v>16</v>
      </c>
      <c r="M13" s="96" t="s">
        <v>17</v>
      </c>
      <c r="N13" s="96"/>
      <c r="O13" s="5" t="s">
        <v>18</v>
      </c>
      <c r="Q13" s="5"/>
      <c r="R13" s="5"/>
      <c r="S13" s="5"/>
      <c r="T13" s="5" t="s">
        <v>16</v>
      </c>
      <c r="U13" s="96" t="s">
        <v>17</v>
      </c>
      <c r="V13" s="96"/>
      <c r="W13" s="5" t="s">
        <v>18</v>
      </c>
    </row>
    <row r="16" spans="1:23" x14ac:dyDescent="0.25">
      <c r="A16" s="1" t="s">
        <v>19</v>
      </c>
      <c r="I16" s="1" t="s">
        <v>19</v>
      </c>
      <c r="Q16" s="1" t="s">
        <v>19</v>
      </c>
    </row>
    <row r="17" spans="1:31" ht="31.5" x14ac:dyDescent="0.25">
      <c r="D17" s="6" t="s">
        <v>20</v>
      </c>
      <c r="E17" s="6" t="s">
        <v>21</v>
      </c>
      <c r="L17" s="6" t="s">
        <v>20</v>
      </c>
      <c r="M17" s="6" t="s">
        <v>21</v>
      </c>
      <c r="T17" s="6" t="s">
        <v>20</v>
      </c>
      <c r="U17" s="6" t="s">
        <v>21</v>
      </c>
    </row>
    <row r="18" spans="1:31" x14ac:dyDescent="0.25">
      <c r="B18" s="2" t="s">
        <v>22</v>
      </c>
      <c r="D18" s="8">
        <f>G144+E162</f>
        <v>12081.220992571063</v>
      </c>
      <c r="E18" s="22">
        <v>195.04</v>
      </c>
      <c r="G18" s="10">
        <f>D18*E18</f>
        <v>2356321.3423910602</v>
      </c>
      <c r="J18" s="2" t="s">
        <v>22</v>
      </c>
      <c r="L18" s="8">
        <f>D18</f>
        <v>12081.220992571063</v>
      </c>
      <c r="M18" s="22">
        <v>195.04</v>
      </c>
      <c r="O18" s="10">
        <f>L18*M18</f>
        <v>2356321.3423910602</v>
      </c>
      <c r="R18" s="2" t="s">
        <v>22</v>
      </c>
      <c r="T18" s="8">
        <f>L18</f>
        <v>12081.220992571063</v>
      </c>
      <c r="U18" s="22">
        <v>195.04</v>
      </c>
      <c r="W18" s="10">
        <f>T18*U18</f>
        <v>2356321.3423910602</v>
      </c>
      <c r="AC18" s="4"/>
      <c r="AD18" s="4"/>
      <c r="AE18" s="4"/>
    </row>
    <row r="19" spans="1:31" x14ac:dyDescent="0.25">
      <c r="G19" s="10"/>
      <c r="L19" s="8"/>
      <c r="M19" s="22"/>
      <c r="O19" s="10"/>
      <c r="T19" s="8"/>
      <c r="U19" s="22"/>
      <c r="W19" s="10"/>
      <c r="AC19" s="9"/>
      <c r="AE19" s="9"/>
    </row>
    <row r="20" spans="1:31" x14ac:dyDescent="0.25">
      <c r="G20" s="10"/>
      <c r="H20" s="9"/>
      <c r="O20" s="10"/>
      <c r="P20" s="9"/>
      <c r="T20" s="8"/>
      <c r="W20" s="10"/>
    </row>
    <row r="21" spans="1:31" x14ac:dyDescent="0.25">
      <c r="A21" s="1" t="s">
        <v>24</v>
      </c>
      <c r="D21" s="8"/>
      <c r="G21" s="10"/>
      <c r="H21" s="9"/>
      <c r="L21" s="8"/>
      <c r="O21" s="10"/>
      <c r="P21" s="9"/>
      <c r="W21" s="10"/>
      <c r="AA21" s="1"/>
      <c r="AC21" s="41"/>
      <c r="AE21" s="41"/>
    </row>
    <row r="22" spans="1:31" x14ac:dyDescent="0.25">
      <c r="D22" s="12" t="s">
        <v>25</v>
      </c>
      <c r="E22" s="11" t="s">
        <v>26</v>
      </c>
      <c r="G22" s="10"/>
      <c r="H22" s="9"/>
      <c r="I22" s="1" t="s">
        <v>24</v>
      </c>
      <c r="L22" s="8"/>
      <c r="O22" s="10"/>
      <c r="P22" s="9"/>
      <c r="Q22" s="1" t="s">
        <v>24</v>
      </c>
      <c r="T22" s="8"/>
      <c r="W22" s="10"/>
      <c r="AC22" s="18"/>
      <c r="AE22" s="18"/>
    </row>
    <row r="23" spans="1:31" x14ac:dyDescent="0.25">
      <c r="B23" s="2" t="s">
        <v>49</v>
      </c>
      <c r="D23" s="8">
        <f>C75+C110</f>
        <v>676244.6</v>
      </c>
      <c r="E23" s="36">
        <v>5.3765999999999998</v>
      </c>
      <c r="G23" s="10">
        <f>D23*E23</f>
        <v>3635896.71636</v>
      </c>
      <c r="H23" s="9"/>
      <c r="L23" s="12" t="s">
        <v>25</v>
      </c>
      <c r="M23" s="11" t="s">
        <v>26</v>
      </c>
      <c r="O23" s="10"/>
      <c r="P23" s="9"/>
      <c r="T23" s="12" t="s">
        <v>50</v>
      </c>
      <c r="U23" s="11" t="s">
        <v>27</v>
      </c>
      <c r="W23" s="10"/>
      <c r="AC23" s="18"/>
      <c r="AE23" s="18"/>
    </row>
    <row r="24" spans="1:31" x14ac:dyDescent="0.25">
      <c r="B24" s="2" t="s">
        <v>51</v>
      </c>
      <c r="D24" s="8">
        <f>D75+D110</f>
        <v>384672.9</v>
      </c>
      <c r="E24" s="36">
        <v>3.2307000000000001</v>
      </c>
      <c r="G24" s="10">
        <f t="shared" ref="G24:G26" si="0">D24*E24</f>
        <v>1242762.7380300001</v>
      </c>
      <c r="H24" s="9"/>
      <c r="J24" s="2" t="s">
        <v>49</v>
      </c>
      <c r="L24" s="8">
        <f>D23</f>
        <v>676244.6</v>
      </c>
      <c r="M24" s="36">
        <v>5.3765999999999998</v>
      </c>
      <c r="O24" s="10">
        <f>L24*M24</f>
        <v>3635896.71636</v>
      </c>
      <c r="P24" s="9"/>
      <c r="R24" s="2" t="s">
        <v>49</v>
      </c>
      <c r="T24" s="8">
        <f>L24</f>
        <v>676244.6</v>
      </c>
      <c r="U24" s="36">
        <v>6.7709999999999999</v>
      </c>
      <c r="W24" s="10">
        <f>T24*U24</f>
        <v>4578852.1865999997</v>
      </c>
      <c r="AC24" s="18"/>
      <c r="AE24" s="18"/>
    </row>
    <row r="25" spans="1:31" x14ac:dyDescent="0.25">
      <c r="B25" s="2" t="s">
        <v>52</v>
      </c>
      <c r="D25" s="8">
        <f>E75+E110</f>
        <v>602505.80000000005</v>
      </c>
      <c r="E25" s="36">
        <v>2.1947000000000001</v>
      </c>
      <c r="G25" s="10">
        <f t="shared" si="0"/>
        <v>1322319.4792600002</v>
      </c>
      <c r="H25" s="9"/>
      <c r="J25" s="2" t="s">
        <v>51</v>
      </c>
      <c r="L25" s="8">
        <f>D24</f>
        <v>384672.9</v>
      </c>
      <c r="M25" s="36">
        <v>3.2307000000000001</v>
      </c>
      <c r="O25" s="10">
        <f t="shared" ref="O25:O27" si="1">L25*M25</f>
        <v>1242762.7380300001</v>
      </c>
      <c r="P25" s="9"/>
      <c r="R25" s="2" t="s">
        <v>51</v>
      </c>
      <c r="T25" s="8">
        <f t="shared" ref="T25:T29" si="2">L25</f>
        <v>384672.9</v>
      </c>
      <c r="U25" s="36">
        <v>4.0686</v>
      </c>
      <c r="W25" s="10">
        <f t="shared" ref="W25:W28" si="3">T25*U25</f>
        <v>1565080.1609400001</v>
      </c>
      <c r="AC25" s="18"/>
      <c r="AE25" s="18"/>
    </row>
    <row r="26" spans="1:31" x14ac:dyDescent="0.25">
      <c r="B26" s="2" t="s">
        <v>53</v>
      </c>
      <c r="D26" s="8">
        <f>C92+C127</f>
        <v>360843.3</v>
      </c>
      <c r="E26" s="36">
        <v>1.6742999999999999</v>
      </c>
      <c r="G26" s="10">
        <f t="shared" si="0"/>
        <v>604159.93718999997</v>
      </c>
      <c r="J26" s="2" t="s">
        <v>52</v>
      </c>
      <c r="L26" s="8">
        <f>D25</f>
        <v>602505.80000000005</v>
      </c>
      <c r="M26" s="36">
        <v>2.1947000000000001</v>
      </c>
      <c r="O26" s="10">
        <f t="shared" si="1"/>
        <v>1322319.4792600002</v>
      </c>
      <c r="P26" s="9"/>
      <c r="R26" s="2" t="s">
        <v>52</v>
      </c>
      <c r="T26" s="8">
        <f t="shared" si="2"/>
        <v>602505.80000000005</v>
      </c>
      <c r="U26" s="36">
        <v>2.7639999999999998</v>
      </c>
      <c r="W26" s="10">
        <f t="shared" si="3"/>
        <v>1665326.0312000001</v>
      </c>
      <c r="Y26" s="66"/>
      <c r="AC26" s="18"/>
      <c r="AE26" s="18"/>
    </row>
    <row r="27" spans="1:31" x14ac:dyDescent="0.25">
      <c r="B27" s="2" t="s">
        <v>54</v>
      </c>
      <c r="D27" s="8">
        <f>D92+D127</f>
        <v>336272.60000000003</v>
      </c>
      <c r="E27" s="36">
        <v>1.4140999999999999</v>
      </c>
      <c r="G27" s="10">
        <f>D27*E27</f>
        <v>475523.08366</v>
      </c>
      <c r="H27" s="10"/>
      <c r="J27" s="2" t="s">
        <v>53</v>
      </c>
      <c r="L27" s="8">
        <f>D26</f>
        <v>360843.3</v>
      </c>
      <c r="M27" s="36">
        <v>1.6742999999999999</v>
      </c>
      <c r="O27" s="10">
        <f t="shared" si="1"/>
        <v>604159.93718999997</v>
      </c>
      <c r="P27" s="9"/>
      <c r="Q27" s="1"/>
      <c r="R27" s="2" t="s">
        <v>53</v>
      </c>
      <c r="T27" s="8">
        <f t="shared" si="2"/>
        <v>360843.3</v>
      </c>
      <c r="U27" s="36">
        <v>2.1086</v>
      </c>
      <c r="W27" s="10">
        <f t="shared" si="3"/>
        <v>760874.18238000001</v>
      </c>
    </row>
    <row r="28" spans="1:31" x14ac:dyDescent="0.25">
      <c r="B28" s="7" t="s">
        <v>29</v>
      </c>
      <c r="C28" s="7"/>
      <c r="D28" s="7"/>
      <c r="E28" s="7"/>
      <c r="F28" s="7"/>
      <c r="G28" s="26">
        <v>0</v>
      </c>
      <c r="H28" s="10"/>
      <c r="J28" s="2" t="s">
        <v>54</v>
      </c>
      <c r="L28" s="8">
        <f>D27</f>
        <v>336272.60000000003</v>
      </c>
      <c r="M28" s="36">
        <v>1.4140999999999999</v>
      </c>
      <c r="O28" s="10">
        <f>L28*M28</f>
        <v>475523.08366</v>
      </c>
      <c r="P28" s="9"/>
      <c r="Q28" s="1"/>
      <c r="R28" s="2" t="s">
        <v>54</v>
      </c>
      <c r="T28" s="8">
        <f t="shared" si="2"/>
        <v>336272.60000000003</v>
      </c>
      <c r="U28" s="36">
        <v>1.7808999999999999</v>
      </c>
      <c r="W28" s="10">
        <f t="shared" si="3"/>
        <v>598867.87334000005</v>
      </c>
      <c r="AE28" s="16"/>
    </row>
    <row r="29" spans="1:31" x14ac:dyDescent="0.25">
      <c r="D29" s="8">
        <f>SUM(D23:D27)</f>
        <v>2360539.2000000002</v>
      </c>
      <c r="E29" s="37"/>
      <c r="G29" s="10">
        <f>SUM(G23:G28)</f>
        <v>7280661.9545000009</v>
      </c>
      <c r="H29" s="10"/>
      <c r="J29" s="7" t="s">
        <v>29</v>
      </c>
      <c r="K29" s="7"/>
      <c r="L29" s="7"/>
      <c r="M29" s="7"/>
      <c r="N29" s="7"/>
      <c r="O29" s="26">
        <f>M138</f>
        <v>0</v>
      </c>
      <c r="P29" s="9"/>
      <c r="Q29" s="1"/>
      <c r="R29" s="7" t="s">
        <v>29</v>
      </c>
      <c r="S29" s="7"/>
      <c r="T29" s="14">
        <f t="shared" si="2"/>
        <v>0</v>
      </c>
      <c r="U29" s="57"/>
      <c r="V29" s="7"/>
      <c r="W29" s="26">
        <f>O29</f>
        <v>0</v>
      </c>
      <c r="AE29" s="43"/>
    </row>
    <row r="30" spans="1:31" x14ac:dyDescent="0.25">
      <c r="G30" s="10"/>
      <c r="H30" s="10"/>
      <c r="L30" s="8">
        <f>SUM(L24:L29)</f>
        <v>2360539.2000000002</v>
      </c>
      <c r="O30" s="10">
        <f>SUM(O24:O29)</f>
        <v>7280661.9545000009</v>
      </c>
      <c r="P30" s="9"/>
      <c r="Q30" s="1"/>
      <c r="T30" s="8"/>
      <c r="U30" s="15"/>
      <c r="W30" s="10">
        <f>SUM(W24:W29)</f>
        <v>9169000.4344599992</v>
      </c>
    </row>
    <row r="31" spans="1:31" ht="16.5" thickBot="1" x14ac:dyDescent="0.3">
      <c r="A31" s="1" t="s">
        <v>30</v>
      </c>
      <c r="G31" s="48">
        <f>G18+G29</f>
        <v>9636983.2968910616</v>
      </c>
      <c r="H31" s="10"/>
      <c r="I31" s="1"/>
      <c r="L31" s="8"/>
      <c r="M31" s="15"/>
      <c r="O31" s="10"/>
      <c r="P31" s="9"/>
      <c r="AE31" s="42"/>
    </row>
    <row r="32" spans="1:31" ht="17.25" thickTop="1" thickBot="1" x14ac:dyDescent="0.3">
      <c r="A32" s="1"/>
      <c r="D32" s="8"/>
      <c r="E32" s="15"/>
      <c r="G32" s="10"/>
      <c r="H32" s="10"/>
      <c r="I32" s="1" t="s">
        <v>31</v>
      </c>
      <c r="L32" s="8"/>
      <c r="M32" s="15"/>
      <c r="O32" s="67">
        <f>O18+O30</f>
        <v>9636983.2968910616</v>
      </c>
      <c r="P32" s="9"/>
      <c r="Q32" s="1" t="s">
        <v>31</v>
      </c>
      <c r="T32" s="8"/>
      <c r="U32" s="15"/>
      <c r="W32" s="67">
        <f>W18+W30</f>
        <v>11525321.77685106</v>
      </c>
    </row>
    <row r="33" spans="1:31" x14ac:dyDescent="0.25">
      <c r="A33" s="1" t="s">
        <v>32</v>
      </c>
      <c r="G33" s="10">
        <f>C144-D144-E144-C162+D162</f>
        <v>9636983.2968910597</v>
      </c>
      <c r="H33" s="18"/>
      <c r="I33" s="1"/>
      <c r="P33" s="18"/>
      <c r="Q33" s="1"/>
      <c r="AE33" s="16"/>
    </row>
    <row r="34" spans="1:31" x14ac:dyDescent="0.25">
      <c r="I34" s="1" t="s">
        <v>33</v>
      </c>
      <c r="O34" s="50">
        <f>G37</f>
        <v>0.99999999999999978</v>
      </c>
      <c r="Q34" s="1" t="s">
        <v>33</v>
      </c>
      <c r="W34" s="50">
        <f>O34</f>
        <v>0.99999999999999978</v>
      </c>
    </row>
    <row r="35" spans="1:31" x14ac:dyDescent="0.25">
      <c r="A35" s="1" t="s">
        <v>0</v>
      </c>
      <c r="G35" s="10">
        <f>G33-G31</f>
        <v>0</v>
      </c>
    </row>
    <row r="36" spans="1:31" x14ac:dyDescent="0.25">
      <c r="I36" s="1" t="s">
        <v>34</v>
      </c>
      <c r="O36" s="10">
        <f>O32*O34</f>
        <v>9636983.2968910597</v>
      </c>
      <c r="Q36" s="1" t="s">
        <v>34</v>
      </c>
      <c r="W36" s="10">
        <f>W32*W34</f>
        <v>11525321.776851058</v>
      </c>
    </row>
    <row r="37" spans="1:31" x14ac:dyDescent="0.25">
      <c r="A37" s="1" t="s">
        <v>33</v>
      </c>
      <c r="G37" s="49">
        <f>G33/G31</f>
        <v>0.99999999999999978</v>
      </c>
      <c r="Y37" s="9"/>
      <c r="Z37" s="72"/>
    </row>
    <row r="38" spans="1:31" x14ac:dyDescent="0.25">
      <c r="I38" s="1" t="s">
        <v>36</v>
      </c>
      <c r="L38" s="8"/>
      <c r="M38" s="42"/>
      <c r="O38" s="35">
        <f>G39</f>
        <v>165739.77038</v>
      </c>
      <c r="Q38" s="1" t="s">
        <v>36</v>
      </c>
      <c r="T38" s="8"/>
      <c r="U38" s="42"/>
      <c r="W38" s="35">
        <f>O38</f>
        <v>165739.77038</v>
      </c>
      <c r="Y38" s="9"/>
      <c r="Z38" s="72"/>
    </row>
    <row r="39" spans="1:31" x14ac:dyDescent="0.25">
      <c r="A39" s="1" t="s">
        <v>36</v>
      </c>
      <c r="G39" s="10">
        <f>E144+C162</f>
        <v>165739.77038</v>
      </c>
      <c r="Y39" s="9"/>
      <c r="Z39" s="72"/>
    </row>
    <row r="40" spans="1:31" x14ac:dyDescent="0.25">
      <c r="I40" s="1" t="s">
        <v>37</v>
      </c>
      <c r="L40" s="8">
        <f>C75+D75+E75+C92+D92</f>
        <v>826801</v>
      </c>
      <c r="M40" s="58">
        <f>7.2435+0.87</f>
        <v>8.1135000000000002</v>
      </c>
      <c r="O40" s="10">
        <f>L40*M40</f>
        <v>6708249.9134999998</v>
      </c>
      <c r="Q40" s="1" t="s">
        <v>37</v>
      </c>
      <c r="W40" s="10">
        <f>O40</f>
        <v>6708249.9134999998</v>
      </c>
      <c r="Y40" s="9"/>
      <c r="Z40" s="72"/>
    </row>
    <row r="41" spans="1:31" x14ac:dyDescent="0.25">
      <c r="A41" s="1" t="s">
        <v>37</v>
      </c>
      <c r="D41" s="8"/>
      <c r="E41" s="15"/>
      <c r="G41" s="10">
        <f>D144</f>
        <v>5578722.7306999993</v>
      </c>
      <c r="O41" s="10"/>
      <c r="W41" s="10"/>
      <c r="Y41" s="9"/>
      <c r="Z41" s="72"/>
    </row>
    <row r="42" spans="1:31" x14ac:dyDescent="0.25">
      <c r="G42" s="10"/>
      <c r="I42" s="1" t="s">
        <v>6</v>
      </c>
      <c r="L42" s="25"/>
      <c r="M42" s="41"/>
      <c r="O42" s="39">
        <f>O36+O38+O40</f>
        <v>16510972.980771059</v>
      </c>
      <c r="Q42" s="1" t="s">
        <v>6</v>
      </c>
      <c r="T42" s="25"/>
      <c r="U42" s="41"/>
      <c r="W42" s="39">
        <f>W36+W38+W40</f>
        <v>18399311.460731059</v>
      </c>
      <c r="Y42" s="9"/>
    </row>
    <row r="43" spans="1:31" x14ac:dyDescent="0.25">
      <c r="A43" s="1" t="s">
        <v>38</v>
      </c>
      <c r="B43" s="1"/>
      <c r="G43" s="10">
        <f>G31+G39+G41</f>
        <v>15381445.79797106</v>
      </c>
      <c r="Q43" s="1"/>
      <c r="R43" s="1"/>
      <c r="W43" s="9"/>
    </row>
    <row r="44" spans="1:31" x14ac:dyDescent="0.25">
      <c r="I44" s="1"/>
      <c r="O44" s="10"/>
      <c r="Q44" s="1" t="s">
        <v>39</v>
      </c>
      <c r="S44" s="21"/>
      <c r="U44" s="17"/>
      <c r="W44" s="10">
        <f>W42-O42</f>
        <v>1888338.4799600001</v>
      </c>
    </row>
    <row r="45" spans="1:31" x14ac:dyDescent="0.25">
      <c r="S45" s="21"/>
      <c r="U45" s="17"/>
    </row>
    <row r="46" spans="1:31" x14ac:dyDescent="0.25">
      <c r="Q46" s="1" t="s">
        <v>28</v>
      </c>
      <c r="S46" s="21"/>
      <c r="U46" s="17"/>
      <c r="W46" s="56">
        <f>W44/O42</f>
        <v>0.11436869784471146</v>
      </c>
    </row>
    <row r="47" spans="1:31" x14ac:dyDescent="0.25">
      <c r="G47" s="39"/>
      <c r="S47" s="21"/>
      <c r="U47" s="17"/>
    </row>
    <row r="48" spans="1:31" x14ac:dyDescent="0.25">
      <c r="A48" s="9"/>
      <c r="B48" s="9"/>
      <c r="G48" s="10"/>
      <c r="Q48" s="1"/>
      <c r="W48" s="10"/>
    </row>
    <row r="49" spans="1:23" x14ac:dyDescent="0.25">
      <c r="A49" s="1"/>
      <c r="D49" s="8"/>
      <c r="E49" s="15"/>
      <c r="G49" s="10"/>
      <c r="H49" s="10"/>
      <c r="S49" s="21"/>
      <c r="U49" s="17"/>
    </row>
    <row r="50" spans="1:23" x14ac:dyDescent="0.25">
      <c r="A50" s="9"/>
      <c r="B50" s="9"/>
      <c r="G50" s="17"/>
      <c r="H50" s="10"/>
      <c r="Q50" s="1"/>
      <c r="S50" s="21"/>
      <c r="U50" s="17"/>
      <c r="W50" s="10"/>
    </row>
    <row r="51" spans="1:23" x14ac:dyDescent="0.25">
      <c r="A51" s="1"/>
      <c r="D51" s="8"/>
      <c r="G51" s="20"/>
      <c r="H51" s="10"/>
      <c r="O51" s="10"/>
      <c r="S51" s="21"/>
      <c r="U51" s="17"/>
    </row>
    <row r="52" spans="1:23" x14ac:dyDescent="0.25">
      <c r="H52" s="10"/>
      <c r="I52" s="1"/>
      <c r="O52" s="39"/>
      <c r="Q52" s="1"/>
      <c r="S52" s="21"/>
      <c r="U52" s="17"/>
      <c r="W52" s="56"/>
    </row>
    <row r="53" spans="1:23" x14ac:dyDescent="0.25">
      <c r="H53" s="10"/>
      <c r="I53" s="1"/>
      <c r="J53" s="1"/>
      <c r="O53" s="10"/>
      <c r="S53" s="21"/>
      <c r="U53" s="17"/>
    </row>
    <row r="54" spans="1:23" x14ac:dyDescent="0.25">
      <c r="A54" s="9"/>
      <c r="B54" s="9"/>
      <c r="G54" s="24"/>
      <c r="H54" s="10"/>
      <c r="I54" s="1"/>
      <c r="L54" s="8"/>
      <c r="M54" s="15"/>
      <c r="O54" s="10"/>
      <c r="S54" s="21"/>
      <c r="U54" s="17"/>
      <c r="W54" s="42"/>
    </row>
    <row r="55" spans="1:23" x14ac:dyDescent="0.25">
      <c r="A55" s="9"/>
      <c r="I55" s="9"/>
      <c r="J55" s="9"/>
      <c r="O55" s="9"/>
      <c r="S55" s="21"/>
      <c r="U55" s="17"/>
    </row>
    <row r="56" spans="1:23" x14ac:dyDescent="0.25">
      <c r="A56" s="10"/>
      <c r="I56" s="1"/>
      <c r="L56" s="8"/>
      <c r="O56" s="20"/>
      <c r="S56" s="21"/>
      <c r="U56" s="17"/>
    </row>
    <row r="57" spans="1:23" x14ac:dyDescent="0.25">
      <c r="A57" s="9"/>
      <c r="M57" s="17"/>
      <c r="S57" s="21"/>
      <c r="U57" s="17"/>
    </row>
    <row r="58" spans="1:23" x14ac:dyDescent="0.25">
      <c r="A58" s="19"/>
      <c r="O58" s="10"/>
      <c r="S58" s="17"/>
    </row>
    <row r="59" spans="1:23" x14ac:dyDescent="0.25">
      <c r="A59" s="10"/>
    </row>
    <row r="60" spans="1:23" x14ac:dyDescent="0.25">
      <c r="B60" s="9"/>
      <c r="C60" s="30" t="s">
        <v>9</v>
      </c>
      <c r="D60" s="30" t="s">
        <v>9</v>
      </c>
      <c r="E60" s="30" t="s">
        <v>9</v>
      </c>
      <c r="G60" s="10"/>
    </row>
    <row r="61" spans="1:23" x14ac:dyDescent="0.25">
      <c r="B61" s="10"/>
      <c r="C61" s="30" t="s">
        <v>25</v>
      </c>
      <c r="D61" s="30" t="s">
        <v>25</v>
      </c>
      <c r="E61" s="30" t="s">
        <v>25</v>
      </c>
      <c r="L61" s="28"/>
      <c r="M61" s="28"/>
    </row>
    <row r="62" spans="1:23" x14ac:dyDescent="0.25">
      <c r="B62" s="28" t="s">
        <v>41</v>
      </c>
      <c r="C62" s="60" t="s">
        <v>49</v>
      </c>
      <c r="D62" s="60" t="s">
        <v>51</v>
      </c>
      <c r="E62" s="60" t="s">
        <v>52</v>
      </c>
      <c r="J62" s="28"/>
      <c r="K62" s="28"/>
      <c r="L62" s="28"/>
      <c r="M62" s="28"/>
    </row>
    <row r="63" spans="1:23" x14ac:dyDescent="0.25">
      <c r="B63" s="27">
        <v>45292</v>
      </c>
      <c r="C63" s="31">
        <v>90166</v>
      </c>
      <c r="D63" s="31">
        <v>38178</v>
      </c>
      <c r="E63" s="31">
        <v>6064</v>
      </c>
      <c r="J63" s="27"/>
      <c r="K63" s="45"/>
      <c r="L63" s="23"/>
      <c r="M63" s="21"/>
    </row>
    <row r="64" spans="1:23" x14ac:dyDescent="0.25">
      <c r="B64" s="27">
        <v>45323</v>
      </c>
      <c r="C64" s="31">
        <v>83491</v>
      </c>
      <c r="D64" s="31">
        <v>31790</v>
      </c>
      <c r="E64" s="31">
        <v>5208</v>
      </c>
      <c r="J64" s="27"/>
      <c r="K64" s="45"/>
      <c r="L64" s="23"/>
      <c r="M64" s="21"/>
    </row>
    <row r="65" spans="2:13" x14ac:dyDescent="0.25">
      <c r="B65" s="27">
        <v>45352</v>
      </c>
      <c r="C65" s="31">
        <v>84541</v>
      </c>
      <c r="D65" s="31">
        <v>31391</v>
      </c>
      <c r="E65" s="31">
        <v>5881</v>
      </c>
      <c r="J65" s="27"/>
      <c r="K65" s="45"/>
      <c r="L65" s="23"/>
      <c r="M65" s="21"/>
    </row>
    <row r="66" spans="2:13" x14ac:dyDescent="0.25">
      <c r="B66" s="27">
        <v>45383</v>
      </c>
      <c r="C66" s="31">
        <v>69261</v>
      </c>
      <c r="D66" s="31">
        <v>19906</v>
      </c>
      <c r="E66" s="31">
        <v>2485</v>
      </c>
      <c r="J66" s="27"/>
      <c r="K66" s="45"/>
      <c r="L66" s="23"/>
      <c r="M66" s="21"/>
    </row>
    <row r="67" spans="2:13" x14ac:dyDescent="0.25">
      <c r="B67" s="27">
        <v>45413</v>
      </c>
      <c r="C67" s="31">
        <v>63013</v>
      </c>
      <c r="D67" s="31">
        <v>12870</v>
      </c>
      <c r="E67" s="31">
        <v>4933</v>
      </c>
      <c r="J67" s="27"/>
      <c r="K67" s="45"/>
      <c r="L67" s="23"/>
      <c r="M67" s="21"/>
    </row>
    <row r="68" spans="2:13" x14ac:dyDescent="0.25">
      <c r="B68" s="27">
        <v>45444</v>
      </c>
      <c r="C68" s="31">
        <v>9852</v>
      </c>
      <c r="D68" s="31">
        <v>2362</v>
      </c>
      <c r="E68" s="31">
        <v>-3024</v>
      </c>
      <c r="J68" s="27"/>
      <c r="K68" s="45"/>
      <c r="L68" s="23"/>
      <c r="M68" s="21"/>
    </row>
    <row r="69" spans="2:13" x14ac:dyDescent="0.25">
      <c r="B69" s="27">
        <v>45474</v>
      </c>
      <c r="C69" s="31">
        <v>36200</v>
      </c>
      <c r="D69" s="31">
        <v>6907</v>
      </c>
      <c r="E69" s="31">
        <v>452</v>
      </c>
      <c r="J69" s="27"/>
      <c r="K69" s="45"/>
      <c r="L69" s="23"/>
      <c r="M69" s="21"/>
    </row>
    <row r="70" spans="2:13" x14ac:dyDescent="0.25">
      <c r="B70" s="27">
        <v>45505</v>
      </c>
      <c r="C70" s="31">
        <v>6741</v>
      </c>
      <c r="D70" s="31">
        <v>1931</v>
      </c>
      <c r="E70" s="31">
        <v>4000</v>
      </c>
      <c r="J70" s="27"/>
      <c r="K70" s="45"/>
      <c r="L70" s="23"/>
      <c r="M70" s="21"/>
    </row>
    <row r="71" spans="2:13" x14ac:dyDescent="0.25">
      <c r="B71" s="27">
        <v>45536</v>
      </c>
      <c r="C71" s="31">
        <v>22414</v>
      </c>
      <c r="D71" s="31">
        <v>5054</v>
      </c>
      <c r="E71" s="31">
        <v>4274</v>
      </c>
      <c r="J71" s="27"/>
      <c r="K71" s="45"/>
      <c r="L71" s="23"/>
      <c r="M71" s="21"/>
    </row>
    <row r="72" spans="2:13" x14ac:dyDescent="0.25">
      <c r="B72" s="27">
        <v>45566</v>
      </c>
      <c r="C72" s="31">
        <v>38356</v>
      </c>
      <c r="D72" s="31">
        <v>8055</v>
      </c>
      <c r="E72" s="31">
        <v>8384</v>
      </c>
      <c r="J72" s="27"/>
      <c r="K72" s="45"/>
      <c r="L72" s="23"/>
      <c r="M72" s="21"/>
    </row>
    <row r="73" spans="2:13" x14ac:dyDescent="0.25">
      <c r="B73" s="27">
        <v>45597</v>
      </c>
      <c r="C73" s="31">
        <v>11801</v>
      </c>
      <c r="D73" s="31">
        <v>1647</v>
      </c>
      <c r="E73" s="31">
        <v>0</v>
      </c>
      <c r="J73" s="27"/>
      <c r="K73" s="45"/>
      <c r="L73" s="23"/>
      <c r="M73" s="21"/>
    </row>
    <row r="74" spans="2:13" x14ac:dyDescent="0.25">
      <c r="B74" s="27">
        <v>45627</v>
      </c>
      <c r="C74" s="34">
        <v>66931</v>
      </c>
      <c r="D74" s="34">
        <v>19665</v>
      </c>
      <c r="E74" s="34">
        <v>3201</v>
      </c>
      <c r="J74" s="27"/>
      <c r="K74" s="45"/>
      <c r="L74" s="23"/>
      <c r="M74" s="23"/>
    </row>
    <row r="75" spans="2:13" x14ac:dyDescent="0.25">
      <c r="C75" s="16">
        <f>SUM(C63:C74)</f>
        <v>582767</v>
      </c>
      <c r="D75" s="16">
        <f>SUM(D63:D74)</f>
        <v>179756</v>
      </c>
      <c r="E75" s="16">
        <f>SUM(E63:E74)</f>
        <v>41858</v>
      </c>
      <c r="L75" s="23"/>
      <c r="M75" s="21"/>
    </row>
    <row r="76" spans="2:13" x14ac:dyDescent="0.25">
      <c r="G76" s="17"/>
    </row>
    <row r="77" spans="2:13" x14ac:dyDescent="0.25">
      <c r="C77" s="30" t="s">
        <v>9</v>
      </c>
      <c r="D77" s="30" t="s">
        <v>9</v>
      </c>
      <c r="G77" s="17"/>
    </row>
    <row r="78" spans="2:13" x14ac:dyDescent="0.25">
      <c r="C78" s="30" t="s">
        <v>25</v>
      </c>
      <c r="D78" s="30" t="s">
        <v>25</v>
      </c>
      <c r="E78" s="28"/>
    </row>
    <row r="79" spans="2:13" x14ac:dyDescent="0.25">
      <c r="B79" s="28" t="s">
        <v>41</v>
      </c>
      <c r="C79" s="60" t="s">
        <v>53</v>
      </c>
      <c r="D79" s="60" t="s">
        <v>54</v>
      </c>
      <c r="E79" s="28"/>
      <c r="J79" s="17"/>
    </row>
    <row r="80" spans="2:13" x14ac:dyDescent="0.25">
      <c r="B80" s="27">
        <v>45292</v>
      </c>
      <c r="C80" s="13">
        <v>0</v>
      </c>
      <c r="D80" s="13">
        <v>0</v>
      </c>
      <c r="G80" s="22"/>
    </row>
    <row r="81" spans="2:7" x14ac:dyDescent="0.25">
      <c r="B81" s="27">
        <v>45323</v>
      </c>
      <c r="C81" s="13">
        <v>0</v>
      </c>
      <c r="D81" s="13">
        <v>0</v>
      </c>
      <c r="G81" s="22"/>
    </row>
    <row r="82" spans="2:7" x14ac:dyDescent="0.25">
      <c r="B82" s="27">
        <v>45352</v>
      </c>
      <c r="C82" s="13">
        <v>0</v>
      </c>
      <c r="D82" s="13">
        <v>0</v>
      </c>
      <c r="G82" s="22"/>
    </row>
    <row r="83" spans="2:7" x14ac:dyDescent="0.25">
      <c r="B83" s="27">
        <v>45383</v>
      </c>
      <c r="C83" s="13">
        <v>0</v>
      </c>
      <c r="D83" s="13">
        <v>0</v>
      </c>
      <c r="G83" s="22"/>
    </row>
    <row r="84" spans="2:7" x14ac:dyDescent="0.25">
      <c r="B84" s="27">
        <v>45413</v>
      </c>
      <c r="C84" s="13">
        <v>0</v>
      </c>
      <c r="D84" s="13">
        <v>0</v>
      </c>
      <c r="G84" s="22"/>
    </row>
    <row r="85" spans="2:7" x14ac:dyDescent="0.25">
      <c r="B85" s="27">
        <v>45444</v>
      </c>
      <c r="C85" s="13">
        <v>0</v>
      </c>
      <c r="D85" s="13">
        <v>0</v>
      </c>
      <c r="G85" s="22"/>
    </row>
    <row r="86" spans="2:7" x14ac:dyDescent="0.25">
      <c r="B86" s="27">
        <v>45474</v>
      </c>
      <c r="C86" s="13">
        <v>0</v>
      </c>
      <c r="D86" s="13">
        <v>0</v>
      </c>
      <c r="G86" s="22"/>
    </row>
    <row r="87" spans="2:7" x14ac:dyDescent="0.25">
      <c r="B87" s="27">
        <v>45505</v>
      </c>
      <c r="C87" s="13">
        <v>5000</v>
      </c>
      <c r="D87" s="13">
        <v>4166</v>
      </c>
      <c r="G87" s="22"/>
    </row>
    <row r="88" spans="2:7" x14ac:dyDescent="0.25">
      <c r="B88" s="27">
        <v>45536</v>
      </c>
      <c r="C88" s="13">
        <v>5000</v>
      </c>
      <c r="D88" s="13">
        <v>2256</v>
      </c>
      <c r="G88" s="22"/>
    </row>
    <row r="89" spans="2:7" x14ac:dyDescent="0.25">
      <c r="B89" s="27">
        <v>45566</v>
      </c>
      <c r="C89" s="13">
        <v>5000</v>
      </c>
      <c r="D89" s="13">
        <v>998</v>
      </c>
      <c r="G89" s="22"/>
    </row>
    <row r="90" spans="2:7" x14ac:dyDescent="0.25">
      <c r="B90" s="27">
        <v>45597</v>
      </c>
      <c r="C90" s="13">
        <v>0</v>
      </c>
      <c r="D90" s="13">
        <v>0</v>
      </c>
      <c r="G90" s="22"/>
    </row>
    <row r="91" spans="2:7" x14ac:dyDescent="0.25">
      <c r="B91" s="27">
        <v>45627</v>
      </c>
      <c r="C91" s="47">
        <v>0</v>
      </c>
      <c r="D91" s="47">
        <v>0</v>
      </c>
      <c r="G91" s="22"/>
    </row>
    <row r="92" spans="2:7" x14ac:dyDescent="0.25">
      <c r="C92" s="13">
        <f>SUM(C80:C91)</f>
        <v>15000</v>
      </c>
      <c r="D92" s="13">
        <f>SUM(D80:D91)</f>
        <v>7420</v>
      </c>
      <c r="G92" s="22"/>
    </row>
    <row r="93" spans="2:7" x14ac:dyDescent="0.25">
      <c r="G93" s="17"/>
    </row>
    <row r="94" spans="2:7" x14ac:dyDescent="0.25">
      <c r="G94" s="17"/>
    </row>
    <row r="95" spans="2:7" x14ac:dyDescent="0.25">
      <c r="B95" s="9"/>
      <c r="C95" s="30" t="s">
        <v>10</v>
      </c>
      <c r="D95" s="30" t="s">
        <v>10</v>
      </c>
      <c r="E95" s="30" t="s">
        <v>10</v>
      </c>
      <c r="G95" s="17"/>
    </row>
    <row r="96" spans="2:7" x14ac:dyDescent="0.25">
      <c r="B96" s="10"/>
      <c r="C96" s="30" t="s">
        <v>25</v>
      </c>
      <c r="D96" s="30" t="s">
        <v>25</v>
      </c>
      <c r="E96" s="30" t="s">
        <v>25</v>
      </c>
      <c r="G96" s="17"/>
    </row>
    <row r="97" spans="2:7" x14ac:dyDescent="0.25">
      <c r="B97" s="28" t="s">
        <v>41</v>
      </c>
      <c r="C97" s="60" t="s">
        <v>49</v>
      </c>
      <c r="D97" s="60" t="s">
        <v>51</v>
      </c>
      <c r="E97" s="60" t="s">
        <v>52</v>
      </c>
      <c r="G97" s="17"/>
    </row>
    <row r="98" spans="2:7" x14ac:dyDescent="0.25">
      <c r="B98" s="27">
        <v>45292</v>
      </c>
      <c r="C98" s="31">
        <v>11634.400000000001</v>
      </c>
      <c r="D98" s="31">
        <v>22126.600000000002</v>
      </c>
      <c r="E98" s="31">
        <v>58693.4</v>
      </c>
      <c r="G98" s="17"/>
    </row>
    <row r="99" spans="2:7" x14ac:dyDescent="0.25">
      <c r="B99" s="27">
        <v>45323</v>
      </c>
      <c r="C99" s="31">
        <v>10516.199999999999</v>
      </c>
      <c r="D99" s="31">
        <v>19655.599999999999</v>
      </c>
      <c r="E99" s="31">
        <v>53423</v>
      </c>
      <c r="G99" s="17"/>
    </row>
    <row r="100" spans="2:7" x14ac:dyDescent="0.25">
      <c r="B100" s="27">
        <v>45352</v>
      </c>
      <c r="C100" s="31">
        <v>10366.199999999997</v>
      </c>
      <c r="D100" s="31">
        <v>19647.400000000005</v>
      </c>
      <c r="E100" s="31">
        <v>55059.600000000006</v>
      </c>
      <c r="G100" s="17"/>
    </row>
    <row r="101" spans="2:7" x14ac:dyDescent="0.25">
      <c r="B101" s="27">
        <v>45383</v>
      </c>
      <c r="C101" s="31">
        <v>8291.0999999999985</v>
      </c>
      <c r="D101" s="31">
        <v>16431.3</v>
      </c>
      <c r="E101" s="31">
        <v>44844.799999999996</v>
      </c>
      <c r="G101" s="17"/>
    </row>
    <row r="102" spans="2:7" x14ac:dyDescent="0.25">
      <c r="B102" s="27">
        <v>45413</v>
      </c>
      <c r="C102" s="31">
        <v>6314.3</v>
      </c>
      <c r="D102" s="31">
        <v>15477.599999999999</v>
      </c>
      <c r="E102" s="31">
        <v>41549.9</v>
      </c>
      <c r="G102" s="17"/>
    </row>
    <row r="103" spans="2:7" x14ac:dyDescent="0.25">
      <c r="B103" s="27">
        <v>45444</v>
      </c>
      <c r="C103" s="31">
        <v>4829.5999999999995</v>
      </c>
      <c r="D103" s="31">
        <v>14692.5</v>
      </c>
      <c r="E103" s="31">
        <v>38173.799999999996</v>
      </c>
      <c r="G103" s="17"/>
    </row>
    <row r="104" spans="2:7" x14ac:dyDescent="0.25">
      <c r="B104" s="27">
        <v>45474</v>
      </c>
      <c r="C104" s="31">
        <v>4854.6999999999989</v>
      </c>
      <c r="D104" s="31">
        <v>14354.1</v>
      </c>
      <c r="E104" s="31">
        <v>36239</v>
      </c>
      <c r="G104" s="17"/>
    </row>
    <row r="105" spans="2:7" x14ac:dyDescent="0.25">
      <c r="B105" s="27">
        <v>45505</v>
      </c>
      <c r="C105" s="31">
        <v>4880.3</v>
      </c>
      <c r="D105" s="31">
        <v>14504.300000000001</v>
      </c>
      <c r="E105" s="31">
        <v>38602</v>
      </c>
      <c r="G105" s="17"/>
    </row>
    <row r="106" spans="2:7" x14ac:dyDescent="0.25">
      <c r="B106" s="27">
        <v>45536</v>
      </c>
      <c r="C106" s="31">
        <v>4929.4999999999982</v>
      </c>
      <c r="D106" s="31">
        <v>14820</v>
      </c>
      <c r="E106" s="31">
        <v>40448.9</v>
      </c>
      <c r="G106" s="17"/>
    </row>
    <row r="107" spans="2:7" x14ac:dyDescent="0.25">
      <c r="B107" s="27">
        <v>45566</v>
      </c>
      <c r="C107" s="31">
        <v>6718.9000000000015</v>
      </c>
      <c r="D107" s="31">
        <v>15379.9</v>
      </c>
      <c r="E107" s="31">
        <v>44830.100000000006</v>
      </c>
      <c r="G107" s="17"/>
    </row>
    <row r="108" spans="2:7" x14ac:dyDescent="0.25">
      <c r="B108" s="27">
        <v>45597</v>
      </c>
      <c r="C108" s="31">
        <v>9619.1999999999989</v>
      </c>
      <c r="D108" s="31">
        <v>18473.199999999997</v>
      </c>
      <c r="E108" s="31">
        <v>54791.5</v>
      </c>
      <c r="G108" s="17"/>
    </row>
    <row r="109" spans="2:7" x14ac:dyDescent="0.25">
      <c r="B109" s="27">
        <v>45627</v>
      </c>
      <c r="C109" s="34">
        <v>10523.199999999999</v>
      </c>
      <c r="D109" s="34">
        <v>19354.400000000001</v>
      </c>
      <c r="E109" s="34">
        <v>53991.8</v>
      </c>
      <c r="G109" s="17"/>
    </row>
    <row r="110" spans="2:7" x14ac:dyDescent="0.25">
      <c r="C110" s="16">
        <f>SUM(C98:C109)</f>
        <v>93477.599999999977</v>
      </c>
      <c r="D110" s="16">
        <f>SUM(D98:D109)</f>
        <v>204916.9</v>
      </c>
      <c r="E110" s="16">
        <f>SUM(E98:E109)</f>
        <v>560647.80000000005</v>
      </c>
      <c r="G110" s="17"/>
    </row>
    <row r="111" spans="2:7" x14ac:dyDescent="0.25">
      <c r="G111" s="17"/>
    </row>
    <row r="112" spans="2:7" x14ac:dyDescent="0.25">
      <c r="C112" s="30" t="s">
        <v>10</v>
      </c>
      <c r="D112" s="30" t="s">
        <v>10</v>
      </c>
      <c r="G112" s="17"/>
    </row>
    <row r="113" spans="2:7" x14ac:dyDescent="0.25">
      <c r="C113" s="30" t="s">
        <v>25</v>
      </c>
      <c r="D113" s="30" t="s">
        <v>25</v>
      </c>
      <c r="E113" s="28"/>
      <c r="G113" s="17"/>
    </row>
    <row r="114" spans="2:7" x14ac:dyDescent="0.25">
      <c r="B114" s="28" t="s">
        <v>41</v>
      </c>
      <c r="C114" s="60" t="s">
        <v>53</v>
      </c>
      <c r="D114" s="60" t="s">
        <v>54</v>
      </c>
      <c r="E114" s="28"/>
      <c r="G114" s="17"/>
    </row>
    <row r="115" spans="2:7" x14ac:dyDescent="0.25">
      <c r="B115" s="27">
        <v>45292</v>
      </c>
      <c r="C115" s="13">
        <v>45924.099999999991</v>
      </c>
      <c r="D115" s="13">
        <v>44040.7</v>
      </c>
      <c r="G115" s="17"/>
    </row>
    <row r="116" spans="2:7" x14ac:dyDescent="0.25">
      <c r="B116" s="27">
        <v>45323</v>
      </c>
      <c r="C116" s="13">
        <v>35174.1</v>
      </c>
      <c r="D116" s="13">
        <v>34788.699999999997</v>
      </c>
      <c r="G116" s="17"/>
    </row>
    <row r="117" spans="2:7" x14ac:dyDescent="0.25">
      <c r="B117" s="27">
        <v>45352</v>
      </c>
      <c r="C117" s="13">
        <v>36585.199999999997</v>
      </c>
      <c r="D117" s="13">
        <v>37519.000000000007</v>
      </c>
      <c r="G117" s="17"/>
    </row>
    <row r="118" spans="2:7" x14ac:dyDescent="0.25">
      <c r="B118" s="27">
        <v>45383</v>
      </c>
      <c r="C118" s="13">
        <v>24502.5</v>
      </c>
      <c r="D118" s="13">
        <v>25640</v>
      </c>
      <c r="G118" s="17"/>
    </row>
    <row r="119" spans="2:7" x14ac:dyDescent="0.25">
      <c r="B119" s="27">
        <v>45413</v>
      </c>
      <c r="C119" s="13">
        <v>25110.899999999998</v>
      </c>
      <c r="D119" s="13">
        <v>30059.1</v>
      </c>
      <c r="G119" s="17"/>
    </row>
    <row r="120" spans="2:7" x14ac:dyDescent="0.25">
      <c r="B120" s="27">
        <v>45444</v>
      </c>
      <c r="C120" s="13">
        <v>21357.7</v>
      </c>
      <c r="D120" s="13">
        <v>23348.400000000001</v>
      </c>
      <c r="G120" s="17"/>
    </row>
    <row r="121" spans="2:7" x14ac:dyDescent="0.25">
      <c r="B121" s="27">
        <v>45474</v>
      </c>
      <c r="C121" s="13">
        <v>21234.5</v>
      </c>
      <c r="D121" s="13">
        <v>12096.2</v>
      </c>
      <c r="G121" s="17"/>
    </row>
    <row r="122" spans="2:7" x14ac:dyDescent="0.25">
      <c r="B122" s="27">
        <v>45505</v>
      </c>
      <c r="C122" s="13">
        <v>23702.799999999999</v>
      </c>
      <c r="D122" s="13">
        <v>25832.5</v>
      </c>
      <c r="G122" s="17"/>
    </row>
    <row r="123" spans="2:7" x14ac:dyDescent="0.25">
      <c r="B123" s="27">
        <v>45536</v>
      </c>
      <c r="C123" s="13">
        <v>18821.7</v>
      </c>
      <c r="D123" s="13">
        <v>19635</v>
      </c>
      <c r="G123" s="17"/>
    </row>
    <row r="124" spans="2:7" x14ac:dyDescent="0.25">
      <c r="B124" s="27">
        <v>45566</v>
      </c>
      <c r="C124" s="13">
        <v>26184.399999999998</v>
      </c>
      <c r="D124" s="13">
        <v>33437.599999999999</v>
      </c>
      <c r="G124" s="17"/>
    </row>
    <row r="125" spans="2:7" x14ac:dyDescent="0.25">
      <c r="B125" s="27">
        <v>45597</v>
      </c>
      <c r="C125" s="13">
        <v>34844.699999999997</v>
      </c>
      <c r="D125" s="13">
        <v>23188.499999999996</v>
      </c>
      <c r="G125" s="17"/>
    </row>
    <row r="126" spans="2:7" x14ac:dyDescent="0.25">
      <c r="B126" s="27">
        <v>45627</v>
      </c>
      <c r="C126" s="47">
        <v>32400.7</v>
      </c>
      <c r="D126" s="47">
        <v>19266.899999999998</v>
      </c>
      <c r="G126" s="17"/>
    </row>
    <row r="127" spans="2:7" x14ac:dyDescent="0.25">
      <c r="C127" s="13">
        <f>SUM(C115:C126)</f>
        <v>345843.3</v>
      </c>
      <c r="D127" s="13">
        <f>SUM(D115:D126)</f>
        <v>328852.60000000003</v>
      </c>
      <c r="G127" s="17"/>
    </row>
    <row r="130" spans="2:7" x14ac:dyDescent="0.25">
      <c r="B130" s="27"/>
      <c r="C130" s="30" t="s">
        <v>67</v>
      </c>
      <c r="D130" s="28" t="s">
        <v>44</v>
      </c>
      <c r="E130" s="46" t="s">
        <v>47</v>
      </c>
      <c r="G130" s="30" t="s">
        <v>67</v>
      </c>
    </row>
    <row r="131" spans="2:7" x14ac:dyDescent="0.25">
      <c r="B131" s="28" t="s">
        <v>41</v>
      </c>
      <c r="C131" s="61" t="s">
        <v>46</v>
      </c>
      <c r="D131" s="60" t="s">
        <v>46</v>
      </c>
      <c r="E131" s="62" t="s">
        <v>46</v>
      </c>
      <c r="F131" s="7"/>
      <c r="G131" s="61" t="s">
        <v>42</v>
      </c>
    </row>
    <row r="132" spans="2:7" x14ac:dyDescent="0.25">
      <c r="B132" s="27">
        <v>45292</v>
      </c>
      <c r="C132" s="35">
        <v>1839874.9561999999</v>
      </c>
      <c r="D132" s="35">
        <v>1038221.1552</v>
      </c>
      <c r="E132" s="39">
        <v>0</v>
      </c>
      <c r="G132" s="31">
        <v>924</v>
      </c>
    </row>
    <row r="133" spans="2:7" x14ac:dyDescent="0.25">
      <c r="B133" s="27">
        <v>45323</v>
      </c>
      <c r="C133" s="35">
        <v>1681251.5385500002</v>
      </c>
      <c r="D133" s="35">
        <v>924089.27060000005</v>
      </c>
      <c r="E133" s="39">
        <v>13718.606750000001</v>
      </c>
      <c r="G133" s="31">
        <v>925</v>
      </c>
    </row>
    <row r="134" spans="2:7" x14ac:dyDescent="0.25">
      <c r="B134" s="27">
        <v>45352</v>
      </c>
      <c r="C134" s="35">
        <v>1644950.8475000004</v>
      </c>
      <c r="D134" s="35">
        <v>872351.61820000003</v>
      </c>
      <c r="E134" s="39">
        <v>22541.994300000002</v>
      </c>
      <c r="G134" s="31">
        <v>929</v>
      </c>
    </row>
    <row r="135" spans="2:7" x14ac:dyDescent="0.25">
      <c r="B135" s="27">
        <v>45383</v>
      </c>
      <c r="C135" s="35">
        <v>1296911.8629000001</v>
      </c>
      <c r="D135" s="35">
        <v>656356.63280000002</v>
      </c>
      <c r="E135" s="39">
        <v>17015.193800000001</v>
      </c>
      <c r="G135" s="31">
        <v>930.00000000000011</v>
      </c>
    </row>
    <row r="136" spans="2:7" x14ac:dyDescent="0.25">
      <c r="B136" s="27">
        <v>45413</v>
      </c>
      <c r="C136" s="35">
        <v>1252547.64705</v>
      </c>
      <c r="D136" s="35">
        <v>556903.70240000007</v>
      </c>
      <c r="E136" s="39">
        <v>15003.304750000001</v>
      </c>
      <c r="G136" s="31">
        <v>1484.0001025430681</v>
      </c>
    </row>
    <row r="137" spans="2:7" x14ac:dyDescent="0.25">
      <c r="B137" s="27">
        <v>45444</v>
      </c>
      <c r="C137" s="35">
        <v>179706.79929999998</v>
      </c>
      <c r="D137" s="35">
        <v>55772.272000000004</v>
      </c>
      <c r="E137" s="39">
        <v>1706.1235000000001</v>
      </c>
      <c r="G137" s="31">
        <v>350</v>
      </c>
    </row>
    <row r="138" spans="2:7" x14ac:dyDescent="0.25">
      <c r="B138" s="27">
        <v>45474</v>
      </c>
      <c r="C138" s="35">
        <v>806443.40924106003</v>
      </c>
      <c r="D138" s="35">
        <v>302247.18920000002</v>
      </c>
      <c r="E138" s="39">
        <v>8086.7283500000003</v>
      </c>
      <c r="G138" s="31">
        <v>1426.2208900279948</v>
      </c>
    </row>
    <row r="139" spans="2:7" x14ac:dyDescent="0.25">
      <c r="B139" s="27">
        <v>45505</v>
      </c>
      <c r="C139" s="35">
        <v>287615.962</v>
      </c>
      <c r="D139" s="35">
        <v>151529.51439999999</v>
      </c>
      <c r="E139" s="39">
        <v>4054.2247000000002</v>
      </c>
      <c r="G139" s="31">
        <v>341</v>
      </c>
    </row>
    <row r="140" spans="2:7" x14ac:dyDescent="0.25">
      <c r="B140" s="27">
        <v>45536</v>
      </c>
      <c r="C140" s="35">
        <v>539952.47780999984</v>
      </c>
      <c r="D140" s="35">
        <v>203940.041</v>
      </c>
      <c r="E140" s="39">
        <v>5035.9892100000006</v>
      </c>
      <c r="G140" s="31">
        <v>888</v>
      </c>
    </row>
    <row r="141" spans="2:7" x14ac:dyDescent="0.25">
      <c r="B141" s="27">
        <v>45566</v>
      </c>
      <c r="C141" s="35">
        <v>864677.11216999986</v>
      </c>
      <c r="D141" s="35">
        <v>317916.99349999998</v>
      </c>
      <c r="E141" s="39">
        <v>2935.6939699999998</v>
      </c>
      <c r="G141" s="31">
        <v>1453.0000512715342</v>
      </c>
    </row>
    <row r="142" spans="2:7" x14ac:dyDescent="0.25">
      <c r="B142" s="27">
        <v>45597</v>
      </c>
      <c r="C142" s="35">
        <v>207229.77942000004</v>
      </c>
      <c r="D142" s="35">
        <v>70326.315999999992</v>
      </c>
      <c r="E142" s="39">
        <v>649.40391999999997</v>
      </c>
      <c r="G142" s="31">
        <v>346</v>
      </c>
    </row>
    <row r="143" spans="2:7" x14ac:dyDescent="0.25">
      <c r="B143" s="27">
        <v>45627</v>
      </c>
      <c r="C143" s="40">
        <v>1045404.7173300001</v>
      </c>
      <c r="D143" s="40">
        <v>429068.02539999998</v>
      </c>
      <c r="E143" s="40">
        <v>4336.2971299999999</v>
      </c>
      <c r="G143" s="34">
        <v>930.99994872846605</v>
      </c>
    </row>
    <row r="144" spans="2:7" x14ac:dyDescent="0.25">
      <c r="C144" s="35">
        <f>SUM(C132:C143)</f>
        <v>11646567.109471058</v>
      </c>
      <c r="D144" s="10">
        <f>SUM(D132:D143)</f>
        <v>5578722.7306999993</v>
      </c>
      <c r="E144" s="39">
        <f>SUM(E132:E143)</f>
        <v>95083.56038000001</v>
      </c>
      <c r="G144" s="16">
        <f>SUM(G132:G143)</f>
        <v>10927.220992571063</v>
      </c>
    </row>
    <row r="146" spans="2:7" x14ac:dyDescent="0.25">
      <c r="G146" s="17">
        <f>G144/12</f>
        <v>910.60174938092189</v>
      </c>
    </row>
    <row r="148" spans="2:7" x14ac:dyDescent="0.25">
      <c r="C148" s="46" t="s">
        <v>48</v>
      </c>
      <c r="D148" s="30" t="s">
        <v>68</v>
      </c>
      <c r="E148" s="30" t="s">
        <v>68</v>
      </c>
    </row>
    <row r="149" spans="2:7" x14ac:dyDescent="0.25">
      <c r="B149" s="28" t="s">
        <v>41</v>
      </c>
      <c r="C149" s="62" t="s">
        <v>46</v>
      </c>
      <c r="D149" s="61" t="s">
        <v>46</v>
      </c>
      <c r="E149" s="61" t="s">
        <v>42</v>
      </c>
    </row>
    <row r="150" spans="2:7" x14ac:dyDescent="0.25">
      <c r="B150" s="27">
        <v>45292</v>
      </c>
      <c r="C150" s="39">
        <v>34088.17</v>
      </c>
      <c r="D150" s="35">
        <v>454833.01114000002</v>
      </c>
      <c r="E150" s="31">
        <v>96</v>
      </c>
    </row>
    <row r="151" spans="2:7" x14ac:dyDescent="0.25">
      <c r="B151" s="27">
        <v>45323</v>
      </c>
      <c r="C151" s="39">
        <v>28789.180000000004</v>
      </c>
      <c r="D151" s="35">
        <v>392889.92223999999</v>
      </c>
      <c r="E151" s="31">
        <v>96</v>
      </c>
    </row>
    <row r="152" spans="2:7" x14ac:dyDescent="0.25">
      <c r="B152" s="27">
        <v>45352</v>
      </c>
      <c r="C152" s="39">
        <v>29924.480000000003</v>
      </c>
      <c r="D152" s="35">
        <v>403007.60848000005</v>
      </c>
      <c r="E152" s="31">
        <v>96</v>
      </c>
    </row>
    <row r="153" spans="2:7" x14ac:dyDescent="0.25">
      <c r="B153" s="27">
        <v>45383</v>
      </c>
      <c r="C153" s="39">
        <v>22680.559999999998</v>
      </c>
      <c r="D153" s="35">
        <v>314769.87148000003</v>
      </c>
      <c r="E153" s="31">
        <v>96</v>
      </c>
    </row>
    <row r="154" spans="2:7" x14ac:dyDescent="0.25">
      <c r="B154" s="27">
        <v>45413</v>
      </c>
      <c r="C154" s="39">
        <v>22483.77</v>
      </c>
      <c r="D154" s="35">
        <v>300899.87641000003</v>
      </c>
      <c r="E154" s="31">
        <v>96</v>
      </c>
    </row>
    <row r="155" spans="2:7" x14ac:dyDescent="0.25">
      <c r="B155" s="27">
        <v>45444</v>
      </c>
      <c r="C155" s="39">
        <v>19509.349999999999</v>
      </c>
      <c r="D155" s="35">
        <v>264223.28551999998</v>
      </c>
      <c r="E155" s="31">
        <v>96</v>
      </c>
    </row>
    <row r="156" spans="2:7" x14ac:dyDescent="0.25">
      <c r="B156" s="27">
        <v>45474</v>
      </c>
      <c r="C156" s="39">
        <v>16980.37</v>
      </c>
      <c r="D156" s="35">
        <v>240371.67395999999</v>
      </c>
      <c r="E156" s="31">
        <v>96</v>
      </c>
    </row>
    <row r="157" spans="2:7" x14ac:dyDescent="0.25">
      <c r="B157" s="27">
        <v>45505</v>
      </c>
      <c r="C157" s="39">
        <v>5315.6600000000017</v>
      </c>
      <c r="D157" s="35">
        <v>258268.14867999998</v>
      </c>
      <c r="E157" s="31">
        <v>97</v>
      </c>
    </row>
    <row r="158" spans="2:7" x14ac:dyDescent="0.25">
      <c r="B158" s="27">
        <v>45536</v>
      </c>
      <c r="C158" s="39">
        <v>-25580.339999999997</v>
      </c>
      <c r="D158" s="35">
        <v>215968.73033999998</v>
      </c>
      <c r="E158" s="31">
        <v>98</v>
      </c>
    </row>
    <row r="159" spans="2:7" x14ac:dyDescent="0.25">
      <c r="B159" s="27">
        <v>45566</v>
      </c>
      <c r="C159" s="39">
        <v>-96884.94</v>
      </c>
      <c r="D159" s="35">
        <v>197164.85222</v>
      </c>
      <c r="E159" s="31">
        <v>96</v>
      </c>
    </row>
    <row r="160" spans="2:7" x14ac:dyDescent="0.25">
      <c r="B160" s="27">
        <v>45597</v>
      </c>
      <c r="C160" s="39">
        <v>6804.8700000000017</v>
      </c>
      <c r="D160" s="35">
        <v>348310.91206999996</v>
      </c>
      <c r="E160" s="31">
        <v>96</v>
      </c>
    </row>
    <row r="161" spans="2:5" x14ac:dyDescent="0.25">
      <c r="B161" s="27">
        <v>45627</v>
      </c>
      <c r="C161" s="40">
        <v>6545.079999999999</v>
      </c>
      <c r="D161" s="40">
        <v>344170.79596000002</v>
      </c>
      <c r="E161" s="34">
        <v>95</v>
      </c>
    </row>
    <row r="162" spans="2:5" x14ac:dyDescent="0.25">
      <c r="C162" s="39">
        <f>SUM(C150:C161)</f>
        <v>70656.210000000006</v>
      </c>
      <c r="D162" s="35">
        <f>SUM(D150:D161)</f>
        <v>3734878.6885000002</v>
      </c>
      <c r="E162" s="16">
        <f>SUM(E150:E161)</f>
        <v>1154</v>
      </c>
    </row>
  </sheetData>
  <mergeCells count="6">
    <mergeCell ref="D10:G11"/>
    <mergeCell ref="L10:O11"/>
    <mergeCell ref="T10:W11"/>
    <mergeCell ref="E13:F13"/>
    <mergeCell ref="M13:N13"/>
    <mergeCell ref="U13:V13"/>
  </mergeCells>
  <phoneticPr fontId="6" type="noConversion"/>
  <pageMargins left="0.75" right="0.75" top="1" bottom="1" header="0.5" footer="0.5"/>
  <pageSetup scale="3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173"/>
  <sheetViews>
    <sheetView view="pageBreakPreview" zoomScale="60" zoomScaleNormal="70" workbookViewId="0">
      <selection activeCell="U24" sqref="U24:U27"/>
    </sheetView>
  </sheetViews>
  <sheetFormatPr defaultRowHeight="15.75" x14ac:dyDescent="0.25"/>
  <cols>
    <col min="1" max="1" width="4.7109375" style="2" customWidth="1"/>
    <col min="2" max="2" width="18.42578125" style="2" customWidth="1"/>
    <col min="3" max="3" width="33" style="2" customWidth="1"/>
    <col min="4" max="4" width="19.28515625" style="2" customWidth="1"/>
    <col min="5" max="5" width="18.7109375" style="2" customWidth="1"/>
    <col min="6" max="6" width="2.7109375" style="2" customWidth="1"/>
    <col min="7" max="7" width="21.5703125" style="2" customWidth="1"/>
    <col min="8" max="8" width="6.28515625" style="2" customWidth="1"/>
    <col min="9" max="9" width="4.42578125" style="2" customWidth="1"/>
    <col min="10" max="10" width="18.7109375" style="2" customWidth="1"/>
    <col min="11" max="11" width="29" style="2" customWidth="1"/>
    <col min="12" max="12" width="18" style="2" customWidth="1"/>
    <col min="13" max="13" width="16.7109375" style="2" customWidth="1"/>
    <col min="14" max="14" width="3" style="2" customWidth="1"/>
    <col min="15" max="15" width="20.85546875" style="2" customWidth="1"/>
    <col min="16" max="16" width="5.5703125" style="2" customWidth="1"/>
    <col min="17" max="17" width="4.7109375" style="2" customWidth="1"/>
    <col min="18" max="18" width="3.7109375" style="2" customWidth="1"/>
    <col min="19" max="19" width="31.42578125" style="2" customWidth="1"/>
    <col min="20" max="20" width="18.28515625" style="2" customWidth="1"/>
    <col min="21" max="21" width="17.42578125" style="2" customWidth="1"/>
    <col min="22" max="22" width="3.140625" style="2" customWidth="1"/>
    <col min="23" max="23" width="18.28515625" style="2" customWidth="1"/>
    <col min="24" max="24" width="6.28515625" style="2" customWidth="1"/>
    <col min="25" max="25" width="11.5703125" style="2" customWidth="1"/>
    <col min="26" max="26" width="9.140625" style="2" customWidth="1"/>
    <col min="27" max="27" width="33" style="2" customWidth="1"/>
    <col min="28" max="28" width="3.5703125" style="2" customWidth="1"/>
    <col min="29" max="29" width="15.7109375" style="2" customWidth="1"/>
    <col min="30" max="30" width="3.5703125" style="2" customWidth="1"/>
    <col min="31" max="31" width="16.85546875" style="2" customWidth="1"/>
    <col min="32" max="16384" width="9.140625" style="2"/>
  </cols>
  <sheetData>
    <row r="1" spans="1:23" x14ac:dyDescent="0.25">
      <c r="A1" s="1"/>
      <c r="I1" s="85" t="s">
        <v>84</v>
      </c>
      <c r="Q1" s="1"/>
    </row>
    <row r="2" spans="1:23" x14ac:dyDescent="0.25">
      <c r="A2" s="1"/>
      <c r="I2" s="85" t="s">
        <v>93</v>
      </c>
      <c r="Q2" s="1"/>
    </row>
    <row r="3" spans="1:23" x14ac:dyDescent="0.25">
      <c r="A3" s="1"/>
      <c r="I3" s="85" t="s">
        <v>96</v>
      </c>
      <c r="Q3" s="1"/>
    </row>
    <row r="4" spans="1:23" x14ac:dyDescent="0.25">
      <c r="A4" s="1"/>
      <c r="I4" s="85" t="s">
        <v>95</v>
      </c>
      <c r="Q4" s="1"/>
    </row>
    <row r="5" spans="1:23" x14ac:dyDescent="0.25">
      <c r="A5" s="1"/>
      <c r="Q5" s="1"/>
      <c r="W5" s="74" t="s">
        <v>74</v>
      </c>
    </row>
    <row r="6" spans="1:23" x14ac:dyDescent="0.25">
      <c r="A6" s="1"/>
      <c r="I6" s="73" t="s">
        <v>73</v>
      </c>
      <c r="Q6" s="1"/>
      <c r="W6" s="74" t="s">
        <v>91</v>
      </c>
    </row>
    <row r="7" spans="1:23" x14ac:dyDescent="0.25">
      <c r="I7" s="75" t="s">
        <v>75</v>
      </c>
      <c r="W7" s="74" t="s">
        <v>102</v>
      </c>
    </row>
    <row r="8" spans="1:23" x14ac:dyDescent="0.25">
      <c r="I8" s="75" t="s">
        <v>76</v>
      </c>
    </row>
    <row r="9" spans="1:23" ht="16.5" thickBot="1" x14ac:dyDescent="0.3"/>
    <row r="10" spans="1:23" x14ac:dyDescent="0.25">
      <c r="D10" s="92" t="s">
        <v>11</v>
      </c>
      <c r="E10" s="93"/>
      <c r="F10" s="93"/>
      <c r="G10" s="94"/>
      <c r="L10" s="92" t="s">
        <v>12</v>
      </c>
      <c r="M10" s="93"/>
      <c r="N10" s="93"/>
      <c r="O10" s="94"/>
      <c r="T10" s="92" t="s">
        <v>13</v>
      </c>
      <c r="U10" s="93"/>
      <c r="V10" s="93"/>
      <c r="W10" s="94"/>
    </row>
    <row r="11" spans="1:23" ht="16.5" thickBot="1" x14ac:dyDescent="0.3">
      <c r="A11" s="3"/>
      <c r="B11" s="3"/>
      <c r="C11" s="3"/>
      <c r="D11" s="95"/>
      <c r="E11" s="96"/>
      <c r="F11" s="96"/>
      <c r="G11" s="97"/>
      <c r="I11" s="3"/>
      <c r="J11" s="3"/>
      <c r="K11" s="3"/>
      <c r="L11" s="95"/>
      <c r="M11" s="96"/>
      <c r="N11" s="96"/>
      <c r="O11" s="97"/>
      <c r="Q11" s="3"/>
      <c r="R11" s="3"/>
      <c r="S11" s="3"/>
      <c r="T11" s="95"/>
      <c r="U11" s="96"/>
      <c r="V11" s="96"/>
      <c r="W11" s="97"/>
    </row>
    <row r="12" spans="1:23" x14ac:dyDescent="0.25">
      <c r="A12" s="4"/>
      <c r="B12" s="4"/>
      <c r="C12" s="4"/>
      <c r="D12" s="4" t="s">
        <v>14</v>
      </c>
      <c r="E12" s="4"/>
      <c r="F12" s="4"/>
      <c r="G12" s="4" t="s">
        <v>15</v>
      </c>
      <c r="I12" s="4"/>
      <c r="J12" s="4"/>
      <c r="K12" s="4"/>
      <c r="L12" s="4" t="s">
        <v>14</v>
      </c>
      <c r="M12" s="4"/>
      <c r="N12" s="4"/>
      <c r="O12" s="4" t="s">
        <v>15</v>
      </c>
      <c r="Q12" s="4"/>
      <c r="R12" s="4"/>
      <c r="S12" s="4"/>
      <c r="T12" s="4" t="s">
        <v>14</v>
      </c>
      <c r="U12" s="4"/>
      <c r="V12" s="4"/>
      <c r="W12" s="4" t="s">
        <v>15</v>
      </c>
    </row>
    <row r="13" spans="1:23" ht="16.5" thickBot="1" x14ac:dyDescent="0.3">
      <c r="A13" s="5"/>
      <c r="B13" s="5"/>
      <c r="C13" s="5"/>
      <c r="D13" s="5" t="s">
        <v>16</v>
      </c>
      <c r="E13" s="96" t="s">
        <v>17</v>
      </c>
      <c r="F13" s="96"/>
      <c r="G13" s="5" t="s">
        <v>18</v>
      </c>
      <c r="I13" s="5"/>
      <c r="J13" s="5"/>
      <c r="K13" s="5"/>
      <c r="L13" s="5" t="s">
        <v>16</v>
      </c>
      <c r="M13" s="96" t="s">
        <v>17</v>
      </c>
      <c r="N13" s="96"/>
      <c r="O13" s="5" t="s">
        <v>18</v>
      </c>
      <c r="Q13" s="5"/>
      <c r="R13" s="5"/>
      <c r="S13" s="5"/>
      <c r="T13" s="5" t="s">
        <v>16</v>
      </c>
      <c r="U13" s="96" t="s">
        <v>17</v>
      </c>
      <c r="V13" s="96"/>
      <c r="W13" s="5" t="s">
        <v>18</v>
      </c>
    </row>
    <row r="16" spans="1:23" x14ac:dyDescent="0.25">
      <c r="A16" s="1" t="s">
        <v>19</v>
      </c>
      <c r="I16" s="1" t="s">
        <v>19</v>
      </c>
      <c r="Q16" s="1" t="s">
        <v>19</v>
      </c>
    </row>
    <row r="17" spans="1:31" ht="31.5" x14ac:dyDescent="0.25">
      <c r="D17" s="6" t="s">
        <v>20</v>
      </c>
      <c r="E17" s="6" t="s">
        <v>21</v>
      </c>
      <c r="L17" s="6" t="s">
        <v>20</v>
      </c>
      <c r="M17" s="6" t="s">
        <v>21</v>
      </c>
      <c r="T17" s="6" t="s">
        <v>20</v>
      </c>
      <c r="U17" s="6" t="s">
        <v>21</v>
      </c>
    </row>
    <row r="18" spans="1:31" x14ac:dyDescent="0.25">
      <c r="B18" s="2" t="s">
        <v>22</v>
      </c>
      <c r="D18" s="8">
        <f>G138+E155</f>
        <v>424.99906664177712</v>
      </c>
      <c r="E18" s="22">
        <v>267.85000000000002</v>
      </c>
      <c r="G18" s="10">
        <f>D18*E18</f>
        <v>113836.00000000001</v>
      </c>
      <c r="J18" s="2" t="s">
        <v>22</v>
      </c>
      <c r="L18" s="8">
        <f>D18</f>
        <v>424.99906664177712</v>
      </c>
      <c r="M18" s="22">
        <v>267.85000000000002</v>
      </c>
      <c r="O18" s="10">
        <f>L18*M18</f>
        <v>113836.00000000001</v>
      </c>
      <c r="R18" s="2" t="s">
        <v>22</v>
      </c>
      <c r="T18" s="8">
        <f>L18</f>
        <v>424.99906664177712</v>
      </c>
      <c r="U18" s="22">
        <v>267.85000000000002</v>
      </c>
      <c r="W18" s="9">
        <f>T18*U18</f>
        <v>113836.00000000001</v>
      </c>
      <c r="AC18" s="4"/>
      <c r="AD18" s="4"/>
      <c r="AE18" s="4"/>
    </row>
    <row r="19" spans="1:31" x14ac:dyDescent="0.25">
      <c r="G19" s="10"/>
      <c r="H19" s="9"/>
      <c r="L19" s="8"/>
      <c r="M19" s="22"/>
      <c r="O19" s="10"/>
      <c r="P19" s="9"/>
      <c r="T19" s="8"/>
      <c r="W19" s="9"/>
      <c r="AC19" s="9"/>
      <c r="AE19" s="9"/>
    </row>
    <row r="20" spans="1:31" x14ac:dyDescent="0.25">
      <c r="G20" s="10"/>
      <c r="H20" s="9"/>
      <c r="O20" s="10"/>
      <c r="P20" s="9"/>
      <c r="W20" s="9"/>
    </row>
    <row r="21" spans="1:31" x14ac:dyDescent="0.25">
      <c r="A21" s="1" t="s">
        <v>24</v>
      </c>
      <c r="D21" s="8"/>
      <c r="G21" s="10"/>
      <c r="H21" s="9"/>
      <c r="L21" s="8"/>
      <c r="O21" s="10"/>
      <c r="P21" s="9"/>
      <c r="AA21" s="1"/>
      <c r="AC21" s="41"/>
      <c r="AE21" s="41"/>
    </row>
    <row r="22" spans="1:31" x14ac:dyDescent="0.25">
      <c r="D22" s="12" t="s">
        <v>25</v>
      </c>
      <c r="E22" s="11" t="s">
        <v>26</v>
      </c>
      <c r="G22" s="10"/>
      <c r="H22" s="9"/>
      <c r="I22" s="1" t="s">
        <v>24</v>
      </c>
      <c r="L22" s="8"/>
      <c r="O22" s="10"/>
      <c r="P22" s="9"/>
      <c r="Q22" s="1" t="s">
        <v>24</v>
      </c>
      <c r="T22" s="8"/>
      <c r="W22" s="9"/>
      <c r="AC22" s="18"/>
      <c r="AE22" s="18"/>
    </row>
    <row r="23" spans="1:31" x14ac:dyDescent="0.25">
      <c r="B23" s="2" t="s">
        <v>55</v>
      </c>
      <c r="D23" s="8">
        <f>C69+C104</f>
        <v>301575.7</v>
      </c>
      <c r="E23" s="36">
        <v>1.7142999999999999</v>
      </c>
      <c r="G23" s="10">
        <f>D23*E23</f>
        <v>516991.22250999999</v>
      </c>
      <c r="H23" s="9"/>
      <c r="L23" s="12" t="s">
        <v>25</v>
      </c>
      <c r="M23" s="11" t="s">
        <v>26</v>
      </c>
      <c r="O23" s="10"/>
      <c r="P23" s="9"/>
      <c r="T23" s="12" t="s">
        <v>25</v>
      </c>
      <c r="U23" s="11" t="s">
        <v>27</v>
      </c>
      <c r="W23" s="9"/>
      <c r="AC23" s="18"/>
      <c r="AE23" s="18"/>
    </row>
    <row r="24" spans="1:31" x14ac:dyDescent="0.25">
      <c r="B24" s="2" t="s">
        <v>56</v>
      </c>
      <c r="D24" s="8">
        <f>D69+D104</f>
        <v>710602.4</v>
      </c>
      <c r="E24" s="36">
        <v>1.2857000000000001</v>
      </c>
      <c r="G24" s="10">
        <f t="shared" ref="G24:G26" si="0">D24*E24</f>
        <v>913621.50568000006</v>
      </c>
      <c r="H24" s="9"/>
      <c r="J24" s="2" t="s">
        <v>55</v>
      </c>
      <c r="L24" s="8">
        <f t="shared" ref="L24:M27" si="1">D23</f>
        <v>301575.7</v>
      </c>
      <c r="M24" s="36">
        <f t="shared" si="1"/>
        <v>1.7142999999999999</v>
      </c>
      <c r="O24" s="10">
        <f>L24*M24</f>
        <v>516991.22250999999</v>
      </c>
      <c r="P24" s="9"/>
      <c r="R24" s="2" t="s">
        <v>55</v>
      </c>
      <c r="T24" s="8">
        <f>L24</f>
        <v>301575.7</v>
      </c>
      <c r="U24" s="36">
        <v>1.7784</v>
      </c>
      <c r="W24" s="10">
        <f>T24*U24</f>
        <v>536322.22487999999</v>
      </c>
      <c r="AC24" s="18"/>
      <c r="AE24" s="18"/>
    </row>
    <row r="25" spans="1:31" x14ac:dyDescent="0.25">
      <c r="B25" s="2" t="s">
        <v>57</v>
      </c>
      <c r="D25" s="8">
        <f>E69+E104</f>
        <v>296685.8</v>
      </c>
      <c r="E25" s="36">
        <v>0.85709999999999997</v>
      </c>
      <c r="G25" s="10">
        <f t="shared" si="0"/>
        <v>254289.39917999998</v>
      </c>
      <c r="J25" s="2" t="s">
        <v>56</v>
      </c>
      <c r="L25" s="8">
        <f t="shared" si="1"/>
        <v>710602.4</v>
      </c>
      <c r="M25" s="36">
        <f t="shared" si="1"/>
        <v>1.2857000000000001</v>
      </c>
      <c r="O25" s="10">
        <f t="shared" ref="O25:O27" si="2">L25*M25</f>
        <v>913621.50568000006</v>
      </c>
      <c r="P25" s="9"/>
      <c r="R25" s="2" t="s">
        <v>56</v>
      </c>
      <c r="T25" s="8">
        <f t="shared" ref="T25:T27" si="3">L25</f>
        <v>710602.4</v>
      </c>
      <c r="U25" s="36">
        <v>1.3337000000000001</v>
      </c>
      <c r="W25" s="10">
        <f t="shared" ref="W25:W27" si="4">T25*U25</f>
        <v>947730.42088000011</v>
      </c>
      <c r="AC25" s="18"/>
      <c r="AE25" s="18"/>
    </row>
    <row r="26" spans="1:31" x14ac:dyDescent="0.25">
      <c r="B26" s="2" t="s">
        <v>58</v>
      </c>
      <c r="D26" s="8">
        <f>C86+C121</f>
        <v>344818.6</v>
      </c>
      <c r="E26" s="36">
        <v>0.64280000000000004</v>
      </c>
      <c r="G26" s="10">
        <f t="shared" si="0"/>
        <v>221649.39608000001</v>
      </c>
      <c r="H26" s="10"/>
      <c r="J26" s="2" t="s">
        <v>57</v>
      </c>
      <c r="L26" s="8">
        <f t="shared" si="1"/>
        <v>296685.8</v>
      </c>
      <c r="M26" s="36">
        <f t="shared" si="1"/>
        <v>0.85709999999999997</v>
      </c>
      <c r="O26" s="10">
        <f t="shared" si="2"/>
        <v>254289.39917999998</v>
      </c>
      <c r="P26" s="9"/>
      <c r="R26" s="2" t="s">
        <v>57</v>
      </c>
      <c r="T26" s="8">
        <f t="shared" si="3"/>
        <v>296685.8</v>
      </c>
      <c r="U26" s="36">
        <v>0.8891</v>
      </c>
      <c r="W26" s="10">
        <f t="shared" si="4"/>
        <v>263783.34477999998</v>
      </c>
    </row>
    <row r="27" spans="1:31" x14ac:dyDescent="0.25">
      <c r="B27" s="7" t="s">
        <v>29</v>
      </c>
      <c r="C27" s="7"/>
      <c r="D27" s="7"/>
      <c r="E27" s="7"/>
      <c r="F27" s="7"/>
      <c r="G27" s="26">
        <v>0</v>
      </c>
      <c r="H27" s="10"/>
      <c r="J27" s="2" t="s">
        <v>58</v>
      </c>
      <c r="L27" s="8">
        <f t="shared" si="1"/>
        <v>344818.6</v>
      </c>
      <c r="M27" s="36">
        <f t="shared" si="1"/>
        <v>0.64280000000000004</v>
      </c>
      <c r="O27" s="10">
        <f t="shared" si="2"/>
        <v>221649.39608000001</v>
      </c>
      <c r="P27" s="9"/>
      <c r="Q27" s="1"/>
      <c r="R27" s="2" t="s">
        <v>58</v>
      </c>
      <c r="T27" s="8">
        <f t="shared" si="3"/>
        <v>344818.6</v>
      </c>
      <c r="U27" s="36">
        <v>0.66679999999999995</v>
      </c>
      <c r="W27" s="10">
        <f t="shared" si="4"/>
        <v>229925.04247999997</v>
      </c>
      <c r="AE27" s="43"/>
    </row>
    <row r="28" spans="1:31" x14ac:dyDescent="0.25">
      <c r="D28" s="8">
        <f>SUM(D23:D26)</f>
        <v>1653682.5</v>
      </c>
      <c r="E28" s="37"/>
      <c r="G28" s="10">
        <f>SUM(G23:G27)</f>
        <v>1906551.5234500002</v>
      </c>
      <c r="H28" s="10"/>
      <c r="J28" s="7" t="s">
        <v>29</v>
      </c>
      <c r="K28" s="7"/>
      <c r="L28" s="7"/>
      <c r="M28" s="7"/>
      <c r="N28" s="7"/>
      <c r="O28" s="26">
        <f>M137</f>
        <v>0</v>
      </c>
      <c r="P28" s="9"/>
      <c r="Q28" s="1"/>
      <c r="R28" s="7" t="s">
        <v>29</v>
      </c>
      <c r="S28" s="7"/>
      <c r="T28" s="7"/>
      <c r="U28" s="7"/>
      <c r="V28" s="7"/>
      <c r="W28" s="26">
        <f>U136</f>
        <v>0</v>
      </c>
    </row>
    <row r="29" spans="1:31" x14ac:dyDescent="0.25">
      <c r="G29" s="10"/>
      <c r="H29" s="10"/>
      <c r="L29" s="8">
        <f>SUM(L24:L28)</f>
        <v>1653682.5</v>
      </c>
      <c r="O29" s="10">
        <f>SUM(O24:O28)</f>
        <v>1906551.5234500002</v>
      </c>
      <c r="P29" s="9"/>
      <c r="Q29" s="1"/>
      <c r="T29" s="8">
        <f>SUM(T24:T28)</f>
        <v>1653682.5</v>
      </c>
      <c r="W29" s="10">
        <f>SUM(W24:W28)</f>
        <v>1977761.0330200002</v>
      </c>
      <c r="AE29" s="42"/>
    </row>
    <row r="30" spans="1:31" ht="16.5" thickBot="1" x14ac:dyDescent="0.3">
      <c r="A30" s="1" t="s">
        <v>30</v>
      </c>
      <c r="G30" s="48">
        <f>G18+G28</f>
        <v>2020387.5234500002</v>
      </c>
      <c r="H30" s="10"/>
      <c r="I30" s="1"/>
      <c r="L30" s="8"/>
      <c r="M30" s="15"/>
      <c r="O30" s="10"/>
      <c r="P30" s="9"/>
    </row>
    <row r="31" spans="1:31" ht="17.25" thickTop="1" thickBot="1" x14ac:dyDescent="0.3">
      <c r="A31" s="1"/>
      <c r="D31" s="8"/>
      <c r="E31" s="15"/>
      <c r="G31" s="10"/>
      <c r="H31" s="10"/>
      <c r="I31" s="1" t="s">
        <v>31</v>
      </c>
      <c r="L31" s="8"/>
      <c r="M31" s="15"/>
      <c r="O31" s="67">
        <f>O18+O29</f>
        <v>2020387.5234500002</v>
      </c>
      <c r="P31" s="9"/>
      <c r="Q31" s="1" t="s">
        <v>31</v>
      </c>
      <c r="T31" s="8"/>
      <c r="U31" s="15"/>
      <c r="W31" s="67">
        <f>W18+W29</f>
        <v>2091597.0330200002</v>
      </c>
      <c r="AE31" s="16"/>
    </row>
    <row r="32" spans="1:31" x14ac:dyDescent="0.25">
      <c r="A32" s="1" t="s">
        <v>32</v>
      </c>
      <c r="G32" s="10">
        <f>C138-D138-E138-C155+D155</f>
        <v>2020387.5234500004</v>
      </c>
      <c r="H32" s="18"/>
      <c r="I32" s="1"/>
      <c r="P32" s="18"/>
      <c r="Q32" s="1"/>
    </row>
    <row r="33" spans="1:26" x14ac:dyDescent="0.25">
      <c r="I33" s="1" t="s">
        <v>33</v>
      </c>
      <c r="O33" s="50">
        <f>G36</f>
        <v>1.0000000000000002</v>
      </c>
      <c r="Q33" s="1" t="s">
        <v>33</v>
      </c>
      <c r="W33" s="50">
        <f>O33</f>
        <v>1.0000000000000002</v>
      </c>
    </row>
    <row r="34" spans="1:26" x14ac:dyDescent="0.25">
      <c r="A34" s="1" t="s">
        <v>0</v>
      </c>
      <c r="G34" s="10">
        <f>G32-G30</f>
        <v>0</v>
      </c>
      <c r="Y34" s="9"/>
      <c r="Z34" s="72"/>
    </row>
    <row r="35" spans="1:26" x14ac:dyDescent="0.25">
      <c r="I35" s="1" t="s">
        <v>34</v>
      </c>
      <c r="O35" s="10">
        <f>O31*O33</f>
        <v>2020387.5234500007</v>
      </c>
      <c r="Q35" s="1" t="s">
        <v>34</v>
      </c>
      <c r="W35" s="10">
        <f>W31*W33</f>
        <v>2091597.0330200007</v>
      </c>
      <c r="Y35" s="9"/>
      <c r="Z35" s="72"/>
    </row>
    <row r="36" spans="1:26" x14ac:dyDescent="0.25">
      <c r="A36" s="1" t="s">
        <v>33</v>
      </c>
      <c r="G36" s="49">
        <f>G32/G30</f>
        <v>1.0000000000000002</v>
      </c>
      <c r="Y36" s="9"/>
      <c r="Z36" s="72"/>
    </row>
    <row r="37" spans="1:26" x14ac:dyDescent="0.25">
      <c r="I37" s="1" t="s">
        <v>36</v>
      </c>
      <c r="L37" s="25"/>
      <c r="M37" s="22"/>
      <c r="O37" s="10">
        <f>G38</f>
        <v>24518.879609999993</v>
      </c>
      <c r="Q37" s="1" t="s">
        <v>36</v>
      </c>
      <c r="T37" s="25"/>
      <c r="U37" s="22"/>
      <c r="W37" s="10">
        <f>O37</f>
        <v>24518.879609999993</v>
      </c>
      <c r="Y37" s="9"/>
      <c r="Z37" s="72"/>
    </row>
    <row r="38" spans="1:26" x14ac:dyDescent="0.25">
      <c r="A38" s="1" t="s">
        <v>36</v>
      </c>
      <c r="G38" s="10">
        <f>E138+C155</f>
        <v>24518.879609999993</v>
      </c>
      <c r="O38" s="10"/>
      <c r="W38" s="10"/>
    </row>
    <row r="39" spans="1:26" x14ac:dyDescent="0.25">
      <c r="I39" s="1" t="s">
        <v>37</v>
      </c>
      <c r="L39" s="8">
        <f>C69+D69+E69+C86+D86</f>
        <v>31958</v>
      </c>
      <c r="M39" s="58">
        <f>7.2435+0.87</f>
        <v>8.1135000000000002</v>
      </c>
      <c r="O39" s="10">
        <f>L39*M39</f>
        <v>259291.23300000001</v>
      </c>
      <c r="Q39" s="1" t="s">
        <v>37</v>
      </c>
      <c r="W39" s="10">
        <f>O39</f>
        <v>259291.23300000001</v>
      </c>
    </row>
    <row r="40" spans="1:26" x14ac:dyDescent="0.25">
      <c r="A40" s="1" t="s">
        <v>37</v>
      </c>
      <c r="D40" s="8"/>
      <c r="E40" s="15"/>
      <c r="G40" s="10">
        <f>D138</f>
        <v>226914.96739999999</v>
      </c>
      <c r="O40" s="10"/>
      <c r="W40" s="10"/>
    </row>
    <row r="41" spans="1:26" x14ac:dyDescent="0.25">
      <c r="G41" s="10"/>
      <c r="I41" s="1" t="s">
        <v>6</v>
      </c>
      <c r="L41" s="25"/>
      <c r="M41" s="41"/>
      <c r="O41" s="39">
        <f>O35+O37+O39</f>
        <v>2304197.6360600004</v>
      </c>
      <c r="Q41" s="1" t="s">
        <v>6</v>
      </c>
      <c r="T41" s="25"/>
      <c r="U41" s="41"/>
      <c r="W41" s="39">
        <f>W35+W37+W39</f>
        <v>2375407.1456300006</v>
      </c>
    </row>
    <row r="42" spans="1:26" x14ac:dyDescent="0.25">
      <c r="A42" s="1" t="s">
        <v>38</v>
      </c>
      <c r="B42" s="1"/>
      <c r="G42" s="10">
        <f>G30+G38+G40</f>
        <v>2271821.3704600004</v>
      </c>
      <c r="Q42" s="9"/>
      <c r="R42" s="9"/>
      <c r="W42" s="9"/>
    </row>
    <row r="43" spans="1:26" x14ac:dyDescent="0.25">
      <c r="I43" s="1"/>
      <c r="O43" s="10"/>
      <c r="Q43" s="1" t="s">
        <v>39</v>
      </c>
      <c r="S43" s="21"/>
      <c r="U43" s="17"/>
      <c r="W43" s="10">
        <f>W41-O41</f>
        <v>71209.509570000228</v>
      </c>
    </row>
    <row r="44" spans="1:26" x14ac:dyDescent="0.25">
      <c r="S44" s="21"/>
      <c r="U44" s="17"/>
    </row>
    <row r="45" spans="1:26" x14ac:dyDescent="0.25">
      <c r="Q45" s="1" t="s">
        <v>28</v>
      </c>
      <c r="S45" s="21"/>
      <c r="U45" s="17"/>
      <c r="W45" s="56">
        <f>W43/O41</f>
        <v>3.0904254242601768E-2</v>
      </c>
    </row>
    <row r="47" spans="1:26" x14ac:dyDescent="0.25">
      <c r="A47" s="9"/>
      <c r="B47" s="9"/>
      <c r="G47" s="10"/>
      <c r="Q47" s="1"/>
      <c r="W47" s="10"/>
    </row>
    <row r="48" spans="1:26" x14ac:dyDescent="0.25">
      <c r="A48" s="1"/>
      <c r="D48" s="8"/>
      <c r="E48" s="15"/>
      <c r="G48" s="10"/>
      <c r="H48" s="10"/>
      <c r="S48" s="21"/>
      <c r="U48" s="17"/>
    </row>
    <row r="49" spans="1:23" x14ac:dyDescent="0.25">
      <c r="A49" s="9"/>
      <c r="B49" s="9"/>
      <c r="G49" s="17"/>
      <c r="H49" s="10"/>
      <c r="Q49" s="1"/>
      <c r="S49" s="21"/>
      <c r="U49" s="17"/>
      <c r="W49" s="10"/>
    </row>
    <row r="50" spans="1:23" x14ac:dyDescent="0.25">
      <c r="A50" s="1"/>
      <c r="D50" s="8"/>
      <c r="G50" s="20"/>
      <c r="H50" s="10"/>
      <c r="O50" s="10"/>
      <c r="S50" s="21"/>
      <c r="U50" s="17"/>
    </row>
    <row r="51" spans="1:23" x14ac:dyDescent="0.25">
      <c r="H51" s="10"/>
      <c r="I51" s="1"/>
      <c r="O51" s="39"/>
      <c r="Q51" s="1"/>
      <c r="S51" s="21"/>
      <c r="U51" s="17"/>
      <c r="W51" s="56"/>
    </row>
    <row r="52" spans="1:23" x14ac:dyDescent="0.25">
      <c r="H52" s="10"/>
      <c r="I52" s="1"/>
      <c r="J52" s="1"/>
      <c r="O52" s="10"/>
      <c r="S52" s="21"/>
      <c r="U52" s="17"/>
    </row>
    <row r="53" spans="1:23" x14ac:dyDescent="0.25">
      <c r="A53" s="9"/>
      <c r="B53" s="9"/>
      <c r="G53" s="24"/>
      <c r="H53" s="10"/>
      <c r="I53" s="1"/>
      <c r="J53" s="1"/>
      <c r="L53" s="8"/>
      <c r="M53" s="15"/>
      <c r="O53" s="10"/>
      <c r="S53" s="21"/>
      <c r="U53" s="17"/>
    </row>
    <row r="54" spans="1:23" x14ac:dyDescent="0.25">
      <c r="A54" s="9"/>
      <c r="B54" s="9"/>
      <c r="C54" s="30" t="s">
        <v>9</v>
      </c>
      <c r="D54" s="30" t="s">
        <v>9</v>
      </c>
      <c r="E54" s="30" t="s">
        <v>9</v>
      </c>
      <c r="G54" s="10"/>
      <c r="I54" s="9"/>
      <c r="J54" s="28"/>
      <c r="O54" s="9"/>
      <c r="S54" s="21"/>
      <c r="U54" s="17"/>
    </row>
    <row r="55" spans="1:23" x14ac:dyDescent="0.25">
      <c r="A55" s="10"/>
      <c r="B55" s="10"/>
      <c r="C55" s="30" t="s">
        <v>25</v>
      </c>
      <c r="D55" s="30" t="s">
        <v>25</v>
      </c>
      <c r="E55" s="30" t="s">
        <v>25</v>
      </c>
      <c r="I55" s="1"/>
      <c r="J55" s="27"/>
      <c r="K55" s="25"/>
      <c r="L55" s="8"/>
      <c r="O55" s="20"/>
      <c r="S55" s="21"/>
      <c r="U55" s="17"/>
      <c r="W55" s="42"/>
    </row>
    <row r="56" spans="1:23" x14ac:dyDescent="0.25">
      <c r="A56" s="9"/>
      <c r="B56" s="28" t="s">
        <v>41</v>
      </c>
      <c r="C56" s="28" t="s">
        <v>49</v>
      </c>
      <c r="D56" s="28" t="s">
        <v>51</v>
      </c>
      <c r="E56" s="28" t="s">
        <v>52</v>
      </c>
      <c r="J56" s="27"/>
      <c r="K56" s="25"/>
      <c r="L56" s="8"/>
      <c r="M56" s="17"/>
      <c r="S56" s="21"/>
      <c r="U56" s="17"/>
    </row>
    <row r="57" spans="1:23" x14ac:dyDescent="0.25">
      <c r="A57" s="19"/>
      <c r="B57" s="27">
        <v>45292</v>
      </c>
      <c r="C57" s="31">
        <v>3246</v>
      </c>
      <c r="D57" s="31">
        <v>2542</v>
      </c>
      <c r="E57" s="31">
        <v>0</v>
      </c>
      <c r="J57" s="27"/>
      <c r="K57" s="25"/>
      <c r="L57" s="8"/>
      <c r="O57" s="10"/>
      <c r="S57" s="17"/>
    </row>
    <row r="58" spans="1:23" x14ac:dyDescent="0.25">
      <c r="A58" s="10"/>
      <c r="B58" s="27">
        <v>45323</v>
      </c>
      <c r="C58" s="31">
        <v>3351</v>
      </c>
      <c r="D58" s="31">
        <v>4557</v>
      </c>
      <c r="E58" s="31">
        <v>5000</v>
      </c>
      <c r="J58" s="27"/>
      <c r="K58" s="25"/>
      <c r="L58" s="8"/>
    </row>
    <row r="59" spans="1:23" x14ac:dyDescent="0.25">
      <c r="B59" s="27">
        <v>45352</v>
      </c>
      <c r="C59" s="31">
        <v>3310</v>
      </c>
      <c r="D59" s="31">
        <v>-13</v>
      </c>
      <c r="E59" s="31">
        <v>-5000</v>
      </c>
      <c r="J59" s="27"/>
      <c r="K59" s="25"/>
      <c r="L59" s="8"/>
    </row>
    <row r="60" spans="1:23" x14ac:dyDescent="0.25">
      <c r="B60" s="27">
        <v>45383</v>
      </c>
      <c r="C60" s="31">
        <v>3113</v>
      </c>
      <c r="D60" s="31">
        <v>1709</v>
      </c>
      <c r="E60" s="31">
        <v>0</v>
      </c>
      <c r="J60" s="27"/>
      <c r="K60" s="25"/>
      <c r="L60" s="8"/>
      <c r="M60" s="28"/>
    </row>
    <row r="61" spans="1:23" x14ac:dyDescent="0.25">
      <c r="B61" s="27">
        <v>45413</v>
      </c>
      <c r="C61" s="31">
        <v>2596</v>
      </c>
      <c r="D61" s="31"/>
      <c r="E61" s="31">
        <v>0</v>
      </c>
      <c r="J61" s="27"/>
      <c r="K61" s="51"/>
      <c r="L61" s="8"/>
      <c r="M61" s="28"/>
    </row>
    <row r="62" spans="1:23" x14ac:dyDescent="0.25">
      <c r="B62" s="27">
        <v>45444</v>
      </c>
      <c r="C62" s="31">
        <v>602</v>
      </c>
      <c r="D62" s="31"/>
      <c r="E62" s="31">
        <v>0</v>
      </c>
      <c r="J62" s="27"/>
      <c r="K62" s="51"/>
      <c r="L62" s="8"/>
      <c r="M62" s="21"/>
    </row>
    <row r="63" spans="1:23" x14ac:dyDescent="0.25">
      <c r="B63" s="27">
        <v>45474</v>
      </c>
      <c r="C63" s="31">
        <v>569</v>
      </c>
      <c r="D63" s="31"/>
      <c r="E63" s="31">
        <v>0</v>
      </c>
      <c r="J63" s="27"/>
      <c r="K63" s="51"/>
      <c r="L63" s="8"/>
      <c r="M63" s="21"/>
    </row>
    <row r="64" spans="1:23" x14ac:dyDescent="0.25">
      <c r="B64" s="27">
        <v>45505</v>
      </c>
      <c r="C64" s="31">
        <v>346</v>
      </c>
      <c r="D64" s="31"/>
      <c r="E64" s="31">
        <v>0</v>
      </c>
      <c r="J64" s="27"/>
      <c r="K64" s="25"/>
      <c r="L64" s="8"/>
      <c r="M64" s="21"/>
    </row>
    <row r="65" spans="2:13" x14ac:dyDescent="0.25">
      <c r="B65" s="27">
        <v>45536</v>
      </c>
      <c r="C65" s="31">
        <v>467</v>
      </c>
      <c r="D65" s="31"/>
      <c r="E65" s="31"/>
      <c r="J65" s="27"/>
      <c r="K65" s="25"/>
      <c r="L65" s="8"/>
      <c r="M65" s="21"/>
    </row>
    <row r="66" spans="2:13" x14ac:dyDescent="0.25">
      <c r="B66" s="27">
        <v>45566</v>
      </c>
      <c r="C66" s="31">
        <v>676</v>
      </c>
      <c r="D66" s="31"/>
      <c r="E66" s="31"/>
      <c r="J66" s="27"/>
      <c r="K66" s="25"/>
      <c r="L66" s="8"/>
      <c r="M66" s="21"/>
    </row>
    <row r="67" spans="2:13" x14ac:dyDescent="0.25">
      <c r="B67" s="27">
        <v>45597</v>
      </c>
      <c r="C67" s="31">
        <v>609</v>
      </c>
      <c r="D67" s="31"/>
      <c r="E67" s="31">
        <v>0</v>
      </c>
      <c r="J67" s="27"/>
      <c r="K67" s="25"/>
      <c r="L67" s="25"/>
      <c r="M67" s="21"/>
    </row>
    <row r="68" spans="2:13" x14ac:dyDescent="0.25">
      <c r="B68" s="27">
        <v>45627</v>
      </c>
      <c r="C68" s="34">
        <v>3053</v>
      </c>
      <c r="D68" s="34">
        <v>1225</v>
      </c>
      <c r="E68" s="34">
        <v>0</v>
      </c>
      <c r="J68" s="27"/>
      <c r="K68" s="45"/>
      <c r="L68" s="23"/>
      <c r="M68" s="21"/>
    </row>
    <row r="69" spans="2:13" x14ac:dyDescent="0.25">
      <c r="C69" s="16">
        <f>SUM(C57:C68)</f>
        <v>21938</v>
      </c>
      <c r="D69" s="16">
        <f>SUM(D57:D68)</f>
        <v>10020</v>
      </c>
      <c r="E69" s="16">
        <f>SUM(E57:E68)</f>
        <v>0</v>
      </c>
      <c r="J69" s="27"/>
      <c r="K69" s="45"/>
      <c r="L69" s="23"/>
      <c r="M69" s="21"/>
    </row>
    <row r="70" spans="2:13" x14ac:dyDescent="0.25">
      <c r="G70" s="17"/>
      <c r="J70" s="27"/>
      <c r="K70" s="45"/>
      <c r="L70" s="23"/>
      <c r="M70" s="21"/>
    </row>
    <row r="71" spans="2:13" x14ac:dyDescent="0.25">
      <c r="C71" s="30" t="s">
        <v>9</v>
      </c>
      <c r="D71" s="30" t="s">
        <v>9</v>
      </c>
      <c r="G71" s="17"/>
      <c r="J71" s="27"/>
      <c r="K71" s="45"/>
      <c r="L71" s="23"/>
      <c r="M71" s="21"/>
    </row>
    <row r="72" spans="2:13" x14ac:dyDescent="0.25">
      <c r="C72" s="30" t="s">
        <v>25</v>
      </c>
      <c r="D72" s="30" t="s">
        <v>25</v>
      </c>
      <c r="E72" s="28"/>
      <c r="J72" s="27"/>
      <c r="K72" s="45"/>
      <c r="L72" s="23"/>
      <c r="M72" s="21"/>
    </row>
    <row r="73" spans="2:13" x14ac:dyDescent="0.25">
      <c r="B73" s="28" t="s">
        <v>41</v>
      </c>
      <c r="C73" s="28" t="s">
        <v>53</v>
      </c>
      <c r="D73" s="28" t="s">
        <v>54</v>
      </c>
      <c r="E73" s="28"/>
      <c r="J73" s="27"/>
      <c r="K73" s="45"/>
      <c r="L73" s="23"/>
      <c r="M73" s="23"/>
    </row>
    <row r="74" spans="2:13" x14ac:dyDescent="0.25">
      <c r="B74" s="27">
        <v>45292</v>
      </c>
      <c r="C74" s="13">
        <v>0</v>
      </c>
      <c r="D74" s="13">
        <v>0</v>
      </c>
      <c r="G74" s="22">
        <f>C57*$E$23+D57*$E$24+E57*$E$25+C74*$E$26</f>
        <v>8832.8672000000006</v>
      </c>
      <c r="L74" s="23"/>
      <c r="M74" s="21"/>
    </row>
    <row r="75" spans="2:13" x14ac:dyDescent="0.25">
      <c r="B75" s="27">
        <v>45323</v>
      </c>
      <c r="C75" s="13">
        <v>8041</v>
      </c>
      <c r="D75" s="13">
        <v>0</v>
      </c>
      <c r="G75" s="22">
        <f t="shared" ref="G75:G85" si="5">C58*$E$23+D58*$E$24+E58*$E$25+C75*$E$26</f>
        <v>21057.809000000001</v>
      </c>
    </row>
    <row r="76" spans="2:13" x14ac:dyDescent="0.25">
      <c r="B76" s="27">
        <v>45352</v>
      </c>
      <c r="C76" s="13">
        <v>-8041</v>
      </c>
      <c r="D76" s="13">
        <v>0</v>
      </c>
      <c r="G76" s="22">
        <f t="shared" si="5"/>
        <v>-3796.6359000000011</v>
      </c>
    </row>
    <row r="77" spans="2:13" x14ac:dyDescent="0.25">
      <c r="B77" s="27">
        <v>45383</v>
      </c>
      <c r="C77" s="13">
        <v>0</v>
      </c>
      <c r="D77" s="13">
        <v>0</v>
      </c>
      <c r="G77" s="22">
        <f t="shared" si="5"/>
        <v>7533.8771999999999</v>
      </c>
    </row>
    <row r="78" spans="2:13" x14ac:dyDescent="0.25">
      <c r="B78" s="27">
        <v>45413</v>
      </c>
      <c r="C78" s="13">
        <v>0</v>
      </c>
      <c r="D78" s="13">
        <v>0</v>
      </c>
      <c r="G78" s="22">
        <f t="shared" si="5"/>
        <v>4450.3227999999999</v>
      </c>
      <c r="J78" s="17"/>
    </row>
    <row r="79" spans="2:13" x14ac:dyDescent="0.25">
      <c r="B79" s="27">
        <v>45444</v>
      </c>
      <c r="C79" s="13">
        <v>0</v>
      </c>
      <c r="D79" s="13">
        <v>0</v>
      </c>
      <c r="G79" s="22">
        <f t="shared" si="5"/>
        <v>1032.0085999999999</v>
      </c>
    </row>
    <row r="80" spans="2:13" x14ac:dyDescent="0.25">
      <c r="B80" s="27">
        <v>45474</v>
      </c>
      <c r="C80" s="13">
        <v>0</v>
      </c>
      <c r="D80" s="13">
        <v>0</v>
      </c>
      <c r="G80" s="22">
        <f t="shared" si="5"/>
        <v>975.43669999999997</v>
      </c>
    </row>
    <row r="81" spans="2:7" x14ac:dyDescent="0.25">
      <c r="B81" s="27">
        <v>45505</v>
      </c>
      <c r="C81" s="13">
        <v>0</v>
      </c>
      <c r="D81" s="13">
        <v>0</v>
      </c>
      <c r="G81" s="22">
        <f t="shared" si="5"/>
        <v>593.14779999999996</v>
      </c>
    </row>
    <row r="82" spans="2:7" x14ac:dyDescent="0.25">
      <c r="B82" s="27">
        <v>45536</v>
      </c>
      <c r="C82" s="13">
        <v>0</v>
      </c>
      <c r="D82" s="13">
        <v>0</v>
      </c>
      <c r="G82" s="22">
        <f t="shared" si="5"/>
        <v>800.57809999999995</v>
      </c>
    </row>
    <row r="83" spans="2:7" x14ac:dyDescent="0.25">
      <c r="B83" s="27">
        <v>45566</v>
      </c>
      <c r="C83" s="13">
        <v>0</v>
      </c>
      <c r="D83" s="13">
        <v>0</v>
      </c>
      <c r="G83" s="22">
        <f t="shared" si="5"/>
        <v>1158.8668</v>
      </c>
    </row>
    <row r="84" spans="2:7" x14ac:dyDescent="0.25">
      <c r="B84" s="27">
        <v>45597</v>
      </c>
      <c r="C84" s="13">
        <v>0</v>
      </c>
      <c r="D84" s="13">
        <v>0</v>
      </c>
      <c r="G84" s="22">
        <f t="shared" si="5"/>
        <v>1044.0086999999999</v>
      </c>
    </row>
    <row r="85" spans="2:7" x14ac:dyDescent="0.25">
      <c r="B85" s="27">
        <v>45627</v>
      </c>
      <c r="C85" s="47">
        <v>0</v>
      </c>
      <c r="D85" s="47">
        <v>0</v>
      </c>
      <c r="G85" s="22">
        <f t="shared" si="5"/>
        <v>6808.7403999999997</v>
      </c>
    </row>
    <row r="86" spans="2:7" x14ac:dyDescent="0.25">
      <c r="C86" s="13">
        <f>SUM(C74:C85)</f>
        <v>0</v>
      </c>
      <c r="D86" s="13">
        <f>SUM(D74:D85)</f>
        <v>0</v>
      </c>
      <c r="G86" s="22"/>
    </row>
    <row r="87" spans="2:7" x14ac:dyDescent="0.25">
      <c r="G87" s="17"/>
    </row>
    <row r="88" spans="2:7" x14ac:dyDescent="0.25">
      <c r="G88" s="17"/>
    </row>
    <row r="89" spans="2:7" x14ac:dyDescent="0.25">
      <c r="B89" s="9"/>
      <c r="C89" s="30" t="s">
        <v>10</v>
      </c>
      <c r="D89" s="30" t="s">
        <v>10</v>
      </c>
      <c r="E89" s="30" t="s">
        <v>10</v>
      </c>
      <c r="G89" s="17"/>
    </row>
    <row r="90" spans="2:7" x14ac:dyDescent="0.25">
      <c r="B90" s="10"/>
      <c r="C90" s="30" t="s">
        <v>25</v>
      </c>
      <c r="D90" s="30" t="s">
        <v>25</v>
      </c>
      <c r="E90" s="30" t="s">
        <v>25</v>
      </c>
      <c r="G90" s="17"/>
    </row>
    <row r="91" spans="2:7" x14ac:dyDescent="0.25">
      <c r="B91" s="28" t="s">
        <v>41</v>
      </c>
      <c r="C91" s="28" t="s">
        <v>49</v>
      </c>
      <c r="D91" s="28" t="s">
        <v>51</v>
      </c>
      <c r="E91" s="28" t="s">
        <v>52</v>
      </c>
      <c r="G91" s="17"/>
    </row>
    <row r="92" spans="2:7" x14ac:dyDescent="0.25">
      <c r="B92" s="27">
        <v>45292</v>
      </c>
      <c r="C92" s="31">
        <v>20295.400000000001</v>
      </c>
      <c r="D92" s="31">
        <v>60142.6</v>
      </c>
      <c r="E92" s="31">
        <v>40849.300000000003</v>
      </c>
      <c r="G92" s="17"/>
    </row>
    <row r="93" spans="2:7" x14ac:dyDescent="0.25">
      <c r="B93" s="27">
        <v>45323</v>
      </c>
      <c r="C93" s="31">
        <v>19847.400000000001</v>
      </c>
      <c r="D93" s="31">
        <v>54299.399999999994</v>
      </c>
      <c r="E93" s="31">
        <v>31667.9</v>
      </c>
      <c r="G93" s="17"/>
    </row>
    <row r="94" spans="2:7" x14ac:dyDescent="0.25">
      <c r="B94" s="27">
        <v>45352</v>
      </c>
      <c r="C94" s="31">
        <v>21383.599999999999</v>
      </c>
      <c r="D94" s="31">
        <v>56823.600000000006</v>
      </c>
      <c r="E94" s="31">
        <v>33931.800000000003</v>
      </c>
      <c r="G94" s="17"/>
    </row>
    <row r="95" spans="2:7" x14ac:dyDescent="0.25">
      <c r="B95" s="27">
        <v>45383</v>
      </c>
      <c r="C95" s="31">
        <v>24901.7</v>
      </c>
      <c r="D95" s="31">
        <v>64229.1</v>
      </c>
      <c r="E95" s="31">
        <v>23142.1</v>
      </c>
      <c r="G95" s="17"/>
    </row>
    <row r="96" spans="2:7" x14ac:dyDescent="0.25">
      <c r="B96" s="27">
        <v>45413</v>
      </c>
      <c r="C96" s="31">
        <v>23040.3</v>
      </c>
      <c r="D96" s="31">
        <v>56474.9</v>
      </c>
      <c r="E96" s="31">
        <v>28523.800000000003</v>
      </c>
      <c r="G96" s="17"/>
    </row>
    <row r="97" spans="2:7" x14ac:dyDescent="0.25">
      <c r="B97" s="27">
        <v>45444</v>
      </c>
      <c r="C97" s="31">
        <v>22602.100000000002</v>
      </c>
      <c r="D97" s="31">
        <v>51862.8</v>
      </c>
      <c r="E97" s="31">
        <v>19109.900000000001</v>
      </c>
      <c r="G97" s="17"/>
    </row>
    <row r="98" spans="2:7" x14ac:dyDescent="0.25">
      <c r="B98" s="27">
        <v>45474</v>
      </c>
      <c r="C98" s="31">
        <v>24663.5</v>
      </c>
      <c r="D98" s="31">
        <v>55625.5</v>
      </c>
      <c r="E98" s="31">
        <v>9334.7000000000007</v>
      </c>
      <c r="G98" s="17"/>
    </row>
    <row r="99" spans="2:7" x14ac:dyDescent="0.25">
      <c r="B99" s="27">
        <v>45505</v>
      </c>
      <c r="C99" s="31">
        <v>23144</v>
      </c>
      <c r="D99" s="31">
        <v>57046.399999999994</v>
      </c>
      <c r="E99" s="31">
        <v>13623.499999999996</v>
      </c>
      <c r="G99" s="17"/>
    </row>
    <row r="100" spans="2:7" x14ac:dyDescent="0.25">
      <c r="B100" s="27">
        <v>45536</v>
      </c>
      <c r="C100" s="31">
        <v>21705</v>
      </c>
      <c r="D100" s="31">
        <v>46472.600000000006</v>
      </c>
      <c r="E100" s="31">
        <v>6385.2</v>
      </c>
      <c r="G100" s="17"/>
    </row>
    <row r="101" spans="2:7" x14ac:dyDescent="0.25">
      <c r="B101" s="27">
        <v>45566</v>
      </c>
      <c r="C101" s="31">
        <v>25515.4</v>
      </c>
      <c r="D101" s="31">
        <v>65102.200000000004</v>
      </c>
      <c r="E101" s="31">
        <v>29610.799999999996</v>
      </c>
      <c r="G101" s="17"/>
    </row>
    <row r="102" spans="2:7" x14ac:dyDescent="0.25">
      <c r="B102" s="27">
        <v>45597</v>
      </c>
      <c r="C102" s="31">
        <v>27745.7</v>
      </c>
      <c r="D102" s="31">
        <v>72365.200000000012</v>
      </c>
      <c r="E102" s="31">
        <v>29579</v>
      </c>
      <c r="G102" s="17"/>
    </row>
    <row r="103" spans="2:7" x14ac:dyDescent="0.25">
      <c r="B103" s="27">
        <v>45627</v>
      </c>
      <c r="C103" s="34">
        <v>24793.599999999999</v>
      </c>
      <c r="D103" s="34">
        <v>60138.100000000006</v>
      </c>
      <c r="E103" s="34">
        <v>30927.799999999996</v>
      </c>
      <c r="G103" s="17"/>
    </row>
    <row r="104" spans="2:7" x14ac:dyDescent="0.25">
      <c r="C104" s="16">
        <f>SUM(C92:C103)</f>
        <v>279637.7</v>
      </c>
      <c r="D104" s="16">
        <f>SUM(D92:D103)</f>
        <v>700582.40000000002</v>
      </c>
      <c r="E104" s="16">
        <f>SUM(E92:E103)</f>
        <v>296685.8</v>
      </c>
      <c r="G104" s="17"/>
    </row>
    <row r="105" spans="2:7" x14ac:dyDescent="0.25">
      <c r="G105" s="17"/>
    </row>
    <row r="106" spans="2:7" x14ac:dyDescent="0.25">
      <c r="C106" s="30" t="s">
        <v>10</v>
      </c>
      <c r="D106" s="30" t="s">
        <v>10</v>
      </c>
      <c r="G106" s="17"/>
    </row>
    <row r="107" spans="2:7" x14ac:dyDescent="0.25">
      <c r="C107" s="30" t="s">
        <v>25</v>
      </c>
      <c r="D107" s="30" t="s">
        <v>25</v>
      </c>
      <c r="E107" s="28"/>
      <c r="G107" s="17"/>
    </row>
    <row r="108" spans="2:7" x14ac:dyDescent="0.25">
      <c r="B108" s="28" t="s">
        <v>41</v>
      </c>
      <c r="C108" s="28" t="s">
        <v>53</v>
      </c>
      <c r="D108" s="28" t="s">
        <v>54</v>
      </c>
      <c r="E108" s="28"/>
      <c r="G108" s="17"/>
    </row>
    <row r="109" spans="2:7" x14ac:dyDescent="0.25">
      <c r="B109" s="27">
        <v>45292</v>
      </c>
      <c r="C109" s="13">
        <v>68919</v>
      </c>
      <c r="D109" s="13">
        <v>0</v>
      </c>
      <c r="G109" s="22">
        <f>C92*$E$23+D92*$E$24+E92*$E$25+C109*$E$26</f>
        <v>191430.81327000001</v>
      </c>
    </row>
    <row r="110" spans="2:7" x14ac:dyDescent="0.25">
      <c r="B110" s="27">
        <v>45323</v>
      </c>
      <c r="C110" s="13">
        <v>38893.799999999996</v>
      </c>
      <c r="D110" s="13">
        <v>0</v>
      </c>
      <c r="G110" s="22">
        <f t="shared" ref="G110:G120" si="6">C93*$E$23+D93*$E$24+E93*$E$25+C110*$E$26</f>
        <v>155980.62813</v>
      </c>
    </row>
    <row r="111" spans="2:7" x14ac:dyDescent="0.25">
      <c r="B111" s="27">
        <v>45352</v>
      </c>
      <c r="C111" s="13">
        <v>43994.8</v>
      </c>
      <c r="D111" s="13">
        <v>0</v>
      </c>
      <c r="G111" s="22">
        <f t="shared" si="6"/>
        <v>167078.81122</v>
      </c>
    </row>
    <row r="112" spans="2:7" x14ac:dyDescent="0.25">
      <c r="B112" s="27">
        <v>45383</v>
      </c>
      <c r="C112" s="13">
        <v>31041.699999999997</v>
      </c>
      <c r="D112" s="13">
        <v>0</v>
      </c>
      <c r="G112" s="22">
        <f t="shared" si="6"/>
        <v>165057.03685</v>
      </c>
    </row>
    <row r="113" spans="2:11" x14ac:dyDescent="0.25">
      <c r="B113" s="27">
        <v>45413</v>
      </c>
      <c r="C113" s="13">
        <v>31472.6</v>
      </c>
      <c r="D113" s="13">
        <v>0</v>
      </c>
      <c r="G113" s="22">
        <f t="shared" si="6"/>
        <v>156786.10148000001</v>
      </c>
    </row>
    <row r="114" spans="2:11" x14ac:dyDescent="0.25">
      <c r="B114" s="27">
        <v>45444</v>
      </c>
      <c r="C114" s="13">
        <v>13929.599999999999</v>
      </c>
      <c r="D114" s="13">
        <v>0</v>
      </c>
      <c r="G114" s="22">
        <f t="shared" si="6"/>
        <v>130759.82416000002</v>
      </c>
    </row>
    <row r="115" spans="2:11" x14ac:dyDescent="0.25">
      <c r="B115" s="27">
        <v>45474</v>
      </c>
      <c r="C115" s="13">
        <v>0</v>
      </c>
      <c r="D115" s="13">
        <v>0</v>
      </c>
      <c r="G115" s="22">
        <f t="shared" si="6"/>
        <v>121799.11477000001</v>
      </c>
    </row>
    <row r="116" spans="2:11" x14ac:dyDescent="0.25">
      <c r="B116" s="27">
        <v>45505</v>
      </c>
      <c r="C116" s="13">
        <v>0</v>
      </c>
      <c r="D116" s="13">
        <v>0</v>
      </c>
      <c r="G116" s="22">
        <f t="shared" si="6"/>
        <v>124697.01753</v>
      </c>
    </row>
    <row r="117" spans="2:11" x14ac:dyDescent="0.25">
      <c r="B117" s="27">
        <v>45536</v>
      </c>
      <c r="C117" s="13">
        <v>0</v>
      </c>
      <c r="D117" s="13">
        <v>0</v>
      </c>
      <c r="G117" s="22">
        <f t="shared" si="6"/>
        <v>102431.45824000001</v>
      </c>
    </row>
    <row r="118" spans="2:11" x14ac:dyDescent="0.25">
      <c r="B118" s="27">
        <v>45566</v>
      </c>
      <c r="C118" s="13">
        <v>25458.799999999999</v>
      </c>
      <c r="D118" s="13">
        <v>0</v>
      </c>
      <c r="G118" s="22">
        <f t="shared" si="6"/>
        <v>169187.28208</v>
      </c>
    </row>
    <row r="119" spans="2:11" x14ac:dyDescent="0.25">
      <c r="B119" s="27">
        <v>45597</v>
      </c>
      <c r="C119" s="13">
        <v>47651.7</v>
      </c>
      <c r="D119" s="13">
        <v>0</v>
      </c>
      <c r="G119" s="22">
        <f t="shared" si="6"/>
        <v>196587.06481000001</v>
      </c>
    </row>
    <row r="120" spans="2:11" x14ac:dyDescent="0.25">
      <c r="B120" s="27">
        <v>45627</v>
      </c>
      <c r="C120" s="47">
        <v>43456.6</v>
      </c>
      <c r="D120" s="47">
        <v>0</v>
      </c>
      <c r="G120" s="22">
        <f t="shared" si="6"/>
        <v>174265.34350999998</v>
      </c>
    </row>
    <row r="121" spans="2:11" x14ac:dyDescent="0.25">
      <c r="C121" s="13">
        <f>SUM(C109:C120)</f>
        <v>344818.6</v>
      </c>
      <c r="D121" s="13">
        <f>SUM(D109:D120)</f>
        <v>0</v>
      </c>
      <c r="G121" s="17">
        <f>SUM(G109:G120)</f>
        <v>1856060.4960500007</v>
      </c>
    </row>
    <row r="124" spans="2:11" x14ac:dyDescent="0.25">
      <c r="B124" s="27"/>
      <c r="C124" s="30" t="s">
        <v>8</v>
      </c>
      <c r="D124" s="28" t="s">
        <v>44</v>
      </c>
      <c r="E124" s="46" t="s">
        <v>47</v>
      </c>
      <c r="G124" s="30" t="s">
        <v>8</v>
      </c>
    </row>
    <row r="125" spans="2:11" x14ac:dyDescent="0.25">
      <c r="B125" s="28" t="s">
        <v>41</v>
      </c>
      <c r="C125" s="30" t="s">
        <v>46</v>
      </c>
      <c r="D125" s="28" t="s">
        <v>46</v>
      </c>
      <c r="E125" s="46" t="s">
        <v>46</v>
      </c>
      <c r="G125" s="30" t="s">
        <v>42</v>
      </c>
    </row>
    <row r="126" spans="2:11" x14ac:dyDescent="0.25">
      <c r="B126" s="27">
        <v>45292</v>
      </c>
      <c r="C126" s="35">
        <v>54613.094400000002</v>
      </c>
      <c r="D126" s="35">
        <v>44708.8272</v>
      </c>
      <c r="E126" s="35">
        <v>0</v>
      </c>
      <c r="F126" s="35">
        <v>0</v>
      </c>
      <c r="G126" s="35">
        <v>4</v>
      </c>
      <c r="J126" s="42">
        <f>G126*$E$18</f>
        <v>1071.4000000000001</v>
      </c>
      <c r="K126" s="9">
        <f>G74+J126+D126+E126</f>
        <v>54613.094400000002</v>
      </c>
    </row>
    <row r="127" spans="2:11" x14ac:dyDescent="0.25">
      <c r="B127" s="27">
        <v>45323</v>
      </c>
      <c r="C127" s="35">
        <v>182328.72220000002</v>
      </c>
      <c r="D127" s="35">
        <v>159257.91340000002</v>
      </c>
      <c r="E127" s="35">
        <v>941.59980000000007</v>
      </c>
      <c r="F127" s="35">
        <v>0</v>
      </c>
      <c r="G127" s="35">
        <v>4</v>
      </c>
      <c r="J127" s="42">
        <f t="shared" ref="J127:J137" si="7">G127*$E$18</f>
        <v>1071.4000000000001</v>
      </c>
      <c r="K127" s="9">
        <f>G75+J127+D127+E127</f>
        <v>182328.72220000002</v>
      </c>
    </row>
    <row r="128" spans="2:11" x14ac:dyDescent="0.25">
      <c r="B128" s="27">
        <v>45352</v>
      </c>
      <c r="C128" s="35">
        <v>-72876.287450000003</v>
      </c>
      <c r="D128" s="35">
        <v>-69780.681599999996</v>
      </c>
      <c r="E128" s="35">
        <v>-370.36995000000002</v>
      </c>
      <c r="F128" s="35">
        <v>0</v>
      </c>
      <c r="G128" s="35">
        <v>4</v>
      </c>
      <c r="J128" s="42">
        <f t="shared" si="7"/>
        <v>1071.4000000000001</v>
      </c>
    </row>
    <row r="129" spans="2:10" x14ac:dyDescent="0.25">
      <c r="B129" s="27">
        <v>45383</v>
      </c>
      <c r="C129" s="35">
        <v>43433.377699999997</v>
      </c>
      <c r="D129" s="35">
        <v>34532.270799999998</v>
      </c>
      <c r="E129" s="35">
        <v>295.8297</v>
      </c>
      <c r="F129" s="35">
        <v>0</v>
      </c>
      <c r="G129" s="35">
        <v>4</v>
      </c>
      <c r="J129" s="42">
        <f t="shared" si="7"/>
        <v>1071.4000000000001</v>
      </c>
    </row>
    <row r="130" spans="2:10" x14ac:dyDescent="0.25">
      <c r="B130" s="27">
        <v>45413</v>
      </c>
      <c r="C130" s="35">
        <v>24807.681799999998</v>
      </c>
      <c r="D130" s="35">
        <v>18590.9944</v>
      </c>
      <c r="E130" s="35">
        <v>159.2646</v>
      </c>
      <c r="F130" s="35">
        <v>0</v>
      </c>
      <c r="G130" s="35">
        <v>5.9999999999999991</v>
      </c>
      <c r="J130" s="42">
        <f t="shared" si="7"/>
        <v>1607.1</v>
      </c>
    </row>
    <row r="131" spans="2:10" x14ac:dyDescent="0.25">
      <c r="B131" s="27">
        <v>45444</v>
      </c>
      <c r="C131" s="35">
        <v>5258.0588999999991</v>
      </c>
      <c r="D131" s="35">
        <v>3653.4176000000002</v>
      </c>
      <c r="E131" s="35">
        <v>36.932700000000004</v>
      </c>
      <c r="F131" s="35">
        <v>0</v>
      </c>
      <c r="G131" s="35">
        <v>2</v>
      </c>
      <c r="J131" s="42">
        <f t="shared" si="7"/>
        <v>535.70000000000005</v>
      </c>
    </row>
    <row r="132" spans="2:10" x14ac:dyDescent="0.25">
      <c r="B132" s="27">
        <v>45474</v>
      </c>
      <c r="C132" s="35">
        <v>6029.9220500000001</v>
      </c>
      <c r="D132" s="35">
        <v>3948.1772000000001</v>
      </c>
      <c r="E132" s="35">
        <v>34.908149999999999</v>
      </c>
      <c r="F132" s="35">
        <v>0</v>
      </c>
      <c r="G132" s="35">
        <v>4</v>
      </c>
      <c r="J132" s="42">
        <f t="shared" si="7"/>
        <v>1071.4000000000001</v>
      </c>
    </row>
    <row r="133" spans="2:10" x14ac:dyDescent="0.25">
      <c r="B133" s="27">
        <v>45505</v>
      </c>
      <c r="C133" s="35">
        <v>3550.8997000000008</v>
      </c>
      <c r="D133" s="35">
        <v>2400.8247999999999</v>
      </c>
      <c r="E133" s="35">
        <v>21.2271</v>
      </c>
      <c r="F133" s="35">
        <v>0</v>
      </c>
      <c r="G133" s="35">
        <v>2</v>
      </c>
      <c r="J133" s="42">
        <f t="shared" si="7"/>
        <v>535.70000000000005</v>
      </c>
    </row>
    <row r="134" spans="2:10" x14ac:dyDescent="0.25">
      <c r="B134" s="27">
        <v>45536</v>
      </c>
      <c r="C134" s="35">
        <v>4062.3366299999998</v>
      </c>
      <c r="D134" s="35">
        <v>2442.1764999999996</v>
      </c>
      <c r="E134" s="35">
        <v>16.032029999999999</v>
      </c>
      <c r="F134" s="35">
        <v>0</v>
      </c>
      <c r="G134" s="35">
        <v>2.9999999999999996</v>
      </c>
      <c r="J134" s="42">
        <f t="shared" si="7"/>
        <v>803.55</v>
      </c>
    </row>
    <row r="135" spans="2:10" x14ac:dyDescent="0.25">
      <c r="B135" s="27">
        <v>45566</v>
      </c>
      <c r="C135" s="35">
        <v>6043.7977599999995</v>
      </c>
      <c r="D135" s="35">
        <v>3535.1419999999998</v>
      </c>
      <c r="E135" s="35">
        <v>10.788959999999999</v>
      </c>
      <c r="F135" s="35">
        <v>0</v>
      </c>
      <c r="G135" s="35">
        <v>4.9990666417771132</v>
      </c>
      <c r="J135" s="42">
        <f t="shared" si="7"/>
        <v>1339</v>
      </c>
    </row>
    <row r="136" spans="2:10" x14ac:dyDescent="0.25">
      <c r="B136" s="27">
        <v>45597</v>
      </c>
      <c r="C136" s="35">
        <v>4774.1938399999999</v>
      </c>
      <c r="D136" s="35">
        <v>3184.7654999999995</v>
      </c>
      <c r="E136" s="35">
        <v>9.7196399999999983</v>
      </c>
      <c r="F136" s="35">
        <v>0</v>
      </c>
      <c r="G136" s="35">
        <v>2</v>
      </c>
      <c r="J136" s="42">
        <f t="shared" si="7"/>
        <v>535.70000000000005</v>
      </c>
    </row>
    <row r="137" spans="2:10" x14ac:dyDescent="0.25">
      <c r="B137" s="27">
        <v>45627</v>
      </c>
      <c r="C137" s="40">
        <v>28389.55688</v>
      </c>
      <c r="D137" s="40">
        <v>20441.139600000002</v>
      </c>
      <c r="E137" s="40">
        <v>68.276879999999991</v>
      </c>
      <c r="F137" s="40">
        <v>0</v>
      </c>
      <c r="G137" s="40">
        <v>4</v>
      </c>
      <c r="J137" s="42">
        <f t="shared" si="7"/>
        <v>1071.4000000000001</v>
      </c>
    </row>
    <row r="138" spans="2:10" x14ac:dyDescent="0.25">
      <c r="C138" s="35">
        <f>SUM(C126:C137)</f>
        <v>290415.35441000003</v>
      </c>
      <c r="D138" s="10">
        <f>SUM(D126:D137)</f>
        <v>226914.96739999999</v>
      </c>
      <c r="E138" s="39">
        <f>SUM(E126:E137)</f>
        <v>1224.2096100000003</v>
      </c>
      <c r="G138" s="16">
        <f>SUM(G126:G137)</f>
        <v>43.999066641777112</v>
      </c>
      <c r="J138" s="42">
        <f t="shared" ref="J138" si="8">G138*E30</f>
        <v>0</v>
      </c>
    </row>
    <row r="141" spans="2:10" x14ac:dyDescent="0.25">
      <c r="C141" s="46" t="s">
        <v>48</v>
      </c>
      <c r="D141" s="30" t="s">
        <v>68</v>
      </c>
      <c r="E141" s="30" t="s">
        <v>68</v>
      </c>
    </row>
    <row r="142" spans="2:10" x14ac:dyDescent="0.25">
      <c r="B142" s="28" t="s">
        <v>41</v>
      </c>
      <c r="C142" s="46" t="s">
        <v>46</v>
      </c>
      <c r="D142" s="61" t="s">
        <v>46</v>
      </c>
      <c r="E142" s="61" t="s">
        <v>42</v>
      </c>
    </row>
    <row r="143" spans="2:10" x14ac:dyDescent="0.25">
      <c r="B143" s="27">
        <v>45292</v>
      </c>
      <c r="C143" s="39">
        <v>9581.43</v>
      </c>
      <c r="D143" s="35">
        <v>209583.44327000002</v>
      </c>
      <c r="E143" s="31">
        <v>32</v>
      </c>
      <c r="G143" s="2">
        <f>$E$18*E143</f>
        <v>8571.2000000000007</v>
      </c>
    </row>
    <row r="144" spans="2:10" x14ac:dyDescent="0.25">
      <c r="B144" s="27">
        <v>45323</v>
      </c>
      <c r="C144" s="39">
        <v>8756.0499999999993</v>
      </c>
      <c r="D144" s="35">
        <v>173307.87812999997</v>
      </c>
      <c r="E144" s="31">
        <v>32</v>
      </c>
      <c r="G144" s="2">
        <f t="shared" ref="G144:G154" si="9">$E$18*E144</f>
        <v>8571.2000000000007</v>
      </c>
    </row>
    <row r="145" spans="2:7" x14ac:dyDescent="0.25">
      <c r="B145" s="27">
        <v>45352</v>
      </c>
      <c r="C145" s="39">
        <v>9434.8799999999992</v>
      </c>
      <c r="D145" s="35">
        <v>185084.89122000002</v>
      </c>
      <c r="E145" s="31">
        <v>32</v>
      </c>
      <c r="G145" s="2">
        <f t="shared" si="9"/>
        <v>8571.2000000000007</v>
      </c>
    </row>
    <row r="146" spans="2:7" x14ac:dyDescent="0.25">
      <c r="B146" s="27">
        <v>45383</v>
      </c>
      <c r="C146" s="39">
        <v>8662.52</v>
      </c>
      <c r="D146" s="35">
        <v>182290.75685000001</v>
      </c>
      <c r="E146" s="31">
        <v>32</v>
      </c>
      <c r="G146" s="2">
        <f t="shared" si="9"/>
        <v>8571.2000000000007</v>
      </c>
    </row>
    <row r="147" spans="2:7" x14ac:dyDescent="0.25">
      <c r="B147" s="27">
        <v>45413</v>
      </c>
      <c r="C147" s="39">
        <v>8447.48</v>
      </c>
      <c r="D147" s="35">
        <v>173804.78148000003</v>
      </c>
      <c r="E147" s="31">
        <v>32</v>
      </c>
      <c r="G147" s="2">
        <f t="shared" si="9"/>
        <v>8571.2000000000007</v>
      </c>
    </row>
    <row r="148" spans="2:7" x14ac:dyDescent="0.25">
      <c r="B148" s="27">
        <v>45444</v>
      </c>
      <c r="C148" s="39">
        <v>6498.84</v>
      </c>
      <c r="D148" s="35">
        <v>145829.86416000003</v>
      </c>
      <c r="E148" s="31">
        <v>32</v>
      </c>
      <c r="G148" s="2">
        <f t="shared" si="9"/>
        <v>8571.2000000000007</v>
      </c>
    </row>
    <row r="149" spans="2:7" x14ac:dyDescent="0.25">
      <c r="B149" s="27">
        <v>45474</v>
      </c>
      <c r="C149" s="39">
        <v>5402.93</v>
      </c>
      <c r="D149" s="35">
        <v>136041.09477</v>
      </c>
      <c r="E149" s="31">
        <v>33</v>
      </c>
      <c r="G149" s="2">
        <f t="shared" si="9"/>
        <v>8839.0500000000011</v>
      </c>
    </row>
    <row r="150" spans="2:7" x14ac:dyDescent="0.25">
      <c r="B150" s="27">
        <v>45505</v>
      </c>
      <c r="C150" s="39">
        <v>1472.7699999999998</v>
      </c>
      <c r="D150" s="35">
        <v>134205.28753</v>
      </c>
      <c r="E150" s="31">
        <v>30</v>
      </c>
      <c r="G150" s="2">
        <f t="shared" si="9"/>
        <v>8035.5000000000009</v>
      </c>
    </row>
    <row r="151" spans="2:7" x14ac:dyDescent="0.25">
      <c r="B151" s="27">
        <v>45536</v>
      </c>
      <c r="C151" s="39">
        <v>-495.73</v>
      </c>
      <c r="D151" s="35">
        <v>109703.37824000001</v>
      </c>
      <c r="E151" s="31">
        <v>29</v>
      </c>
      <c r="G151" s="2">
        <f t="shared" si="9"/>
        <v>7767.6500000000005</v>
      </c>
    </row>
    <row r="152" spans="2:7" x14ac:dyDescent="0.25">
      <c r="B152" s="27">
        <v>45566</v>
      </c>
      <c r="C152" s="39">
        <v>-39771.89</v>
      </c>
      <c r="D152" s="35">
        <v>138254.44208000001</v>
      </c>
      <c r="E152" s="31">
        <v>33</v>
      </c>
      <c r="G152" s="2">
        <f t="shared" si="9"/>
        <v>8839.0500000000011</v>
      </c>
    </row>
    <row r="153" spans="2:7" x14ac:dyDescent="0.25">
      <c r="B153" s="27">
        <v>45597</v>
      </c>
      <c r="C153" s="39">
        <v>2793.29</v>
      </c>
      <c r="D153" s="35">
        <v>207951.55481000003</v>
      </c>
      <c r="E153" s="31">
        <v>32</v>
      </c>
      <c r="G153" s="2">
        <f t="shared" si="9"/>
        <v>8571.2000000000007</v>
      </c>
    </row>
    <row r="154" spans="2:7" x14ac:dyDescent="0.25">
      <c r="B154" s="27">
        <v>45627</v>
      </c>
      <c r="C154" s="40">
        <v>2512.1000000000004</v>
      </c>
      <c r="D154" s="40">
        <v>185348.64350999999</v>
      </c>
      <c r="E154" s="34">
        <v>32</v>
      </c>
      <c r="G154" s="2">
        <f t="shared" si="9"/>
        <v>8571.2000000000007</v>
      </c>
    </row>
    <row r="155" spans="2:7" x14ac:dyDescent="0.25">
      <c r="C155" s="39">
        <f>SUM(C143:C154)</f>
        <v>23294.669999999991</v>
      </c>
      <c r="D155" s="35">
        <f>SUM(D143:D154)</f>
        <v>1981406.0160500004</v>
      </c>
      <c r="E155" s="16">
        <f>SUM(E143:E154)</f>
        <v>381</v>
      </c>
      <c r="G155" s="2">
        <f>SUM(G143:G154)</f>
        <v>102050.84999999999</v>
      </c>
    </row>
    <row r="160" spans="2:7" x14ac:dyDescent="0.25">
      <c r="C160" s="28" t="s">
        <v>59</v>
      </c>
    </row>
    <row r="161" spans="3:3" x14ac:dyDescent="0.25">
      <c r="C161" s="28" t="s">
        <v>60</v>
      </c>
    </row>
    <row r="162" spans="3:3" x14ac:dyDescent="0.25">
      <c r="C162" s="16">
        <f t="shared" ref="C162:C173" si="10">C57+D57+E57+C74+D74+C92+D92+E92+C109+D109</f>
        <v>195994.3</v>
      </c>
    </row>
    <row r="163" spans="3:3" x14ac:dyDescent="0.25">
      <c r="C163" s="16">
        <f t="shared" si="10"/>
        <v>165657.49999999997</v>
      </c>
    </row>
    <row r="164" spans="3:3" x14ac:dyDescent="0.25">
      <c r="C164" s="16">
        <f t="shared" si="10"/>
        <v>146389.80000000002</v>
      </c>
    </row>
    <row r="165" spans="3:3" x14ac:dyDescent="0.25">
      <c r="C165" s="16">
        <f t="shared" si="10"/>
        <v>148136.59999999998</v>
      </c>
    </row>
    <row r="166" spans="3:3" x14ac:dyDescent="0.25">
      <c r="C166" s="16">
        <f t="shared" si="10"/>
        <v>142107.6</v>
      </c>
    </row>
    <row r="167" spans="3:3" x14ac:dyDescent="0.25">
      <c r="C167" s="16">
        <f t="shared" si="10"/>
        <v>108106.40000000002</v>
      </c>
    </row>
    <row r="168" spans="3:3" x14ac:dyDescent="0.25">
      <c r="C168" s="16">
        <f t="shared" si="10"/>
        <v>90192.7</v>
      </c>
    </row>
    <row r="169" spans="3:3" x14ac:dyDescent="0.25">
      <c r="C169" s="16">
        <f t="shared" si="10"/>
        <v>94159.9</v>
      </c>
    </row>
    <row r="170" spans="3:3" x14ac:dyDescent="0.25">
      <c r="C170" s="16">
        <f t="shared" si="10"/>
        <v>75029.8</v>
      </c>
    </row>
    <row r="171" spans="3:3" x14ac:dyDescent="0.25">
      <c r="C171" s="16">
        <f t="shared" si="10"/>
        <v>146363.19999999998</v>
      </c>
    </row>
    <row r="172" spans="3:3" x14ac:dyDescent="0.25">
      <c r="C172" s="16">
        <f t="shared" si="10"/>
        <v>177950.6</v>
      </c>
    </row>
    <row r="173" spans="3:3" x14ac:dyDescent="0.25">
      <c r="C173" s="16">
        <f t="shared" si="10"/>
        <v>163594.1</v>
      </c>
    </row>
  </sheetData>
  <mergeCells count="6">
    <mergeCell ref="D10:G11"/>
    <mergeCell ref="L10:O11"/>
    <mergeCell ref="T10:W11"/>
    <mergeCell ref="E13:F13"/>
    <mergeCell ref="M13:N13"/>
    <mergeCell ref="U13:V13"/>
  </mergeCells>
  <pageMargins left="0.75" right="0.75" top="1" bottom="1" header="0.5" footer="0.5"/>
  <pageSetup scale="3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18"/>
  <sheetViews>
    <sheetView tabSelected="1" view="pageBreakPreview" topLeftCell="A120" zoomScale="60" zoomScaleNormal="70" workbookViewId="0">
      <selection activeCell="G51" sqref="G51"/>
    </sheetView>
  </sheetViews>
  <sheetFormatPr defaultRowHeight="15.75" x14ac:dyDescent="0.25"/>
  <cols>
    <col min="1" max="1" width="4.7109375" style="2" customWidth="1"/>
    <col min="2" max="2" width="18.42578125" style="2" customWidth="1"/>
    <col min="3" max="3" width="33" style="2" customWidth="1"/>
    <col min="4" max="4" width="19.28515625" style="2" customWidth="1"/>
    <col min="5" max="5" width="18.7109375" style="2" customWidth="1"/>
    <col min="6" max="6" width="2.7109375" style="2" customWidth="1"/>
    <col min="7" max="7" width="21.5703125" style="2" customWidth="1"/>
    <col min="8" max="8" width="6.28515625" style="2" customWidth="1"/>
    <col min="9" max="9" width="4.42578125" style="2" customWidth="1"/>
    <col min="10" max="10" width="18.7109375" style="2" customWidth="1"/>
    <col min="11" max="11" width="29" style="2" customWidth="1"/>
    <col min="12" max="12" width="18" style="2" customWidth="1"/>
    <col min="13" max="13" width="16.7109375" style="2" customWidth="1"/>
    <col min="14" max="14" width="3" style="2" customWidth="1"/>
    <col min="15" max="15" width="20.85546875" style="2" customWidth="1"/>
    <col min="16" max="16" width="5.5703125" style="2" customWidth="1"/>
    <col min="17" max="17" width="4.7109375" style="2" customWidth="1"/>
    <col min="18" max="18" width="3.7109375" style="2" customWidth="1"/>
    <col min="19" max="19" width="22.5703125" style="2" customWidth="1"/>
    <col min="20" max="20" width="18.28515625" style="2" customWidth="1"/>
    <col min="21" max="21" width="17.42578125" style="2" customWidth="1"/>
    <col min="22" max="22" width="3.140625" style="2" customWidth="1"/>
    <col min="23" max="23" width="18.28515625" style="2" customWidth="1"/>
    <col min="24" max="24" width="6.28515625" style="2" customWidth="1"/>
    <col min="25" max="26" width="9.140625" style="2" customWidth="1"/>
    <col min="27" max="27" width="23.85546875" style="2" customWidth="1"/>
    <col min="28" max="28" width="3.5703125" style="2" customWidth="1"/>
    <col min="29" max="29" width="13.5703125" style="2" customWidth="1"/>
    <col min="30" max="30" width="3.5703125" style="2" customWidth="1"/>
    <col min="31" max="31" width="13.5703125" style="2" customWidth="1"/>
    <col min="32" max="16384" width="9.140625" style="2"/>
  </cols>
  <sheetData>
    <row r="1" spans="1:23" x14ac:dyDescent="0.25">
      <c r="I1" s="85" t="s">
        <v>84</v>
      </c>
    </row>
    <row r="2" spans="1:23" x14ac:dyDescent="0.25">
      <c r="I2" s="85" t="s">
        <v>93</v>
      </c>
    </row>
    <row r="3" spans="1:23" x14ac:dyDescent="0.25">
      <c r="I3" s="85" t="s">
        <v>96</v>
      </c>
    </row>
    <row r="4" spans="1:23" x14ac:dyDescent="0.25">
      <c r="I4" s="85" t="s">
        <v>95</v>
      </c>
    </row>
    <row r="5" spans="1:23" x14ac:dyDescent="0.25">
      <c r="W5" s="74" t="s">
        <v>74</v>
      </c>
    </row>
    <row r="6" spans="1:23" x14ac:dyDescent="0.25">
      <c r="A6" s="1"/>
      <c r="I6" s="73" t="s">
        <v>73</v>
      </c>
      <c r="Q6" s="1"/>
      <c r="W6" s="74" t="s">
        <v>91</v>
      </c>
    </row>
    <row r="7" spans="1:23" x14ac:dyDescent="0.25">
      <c r="I7" s="75" t="s">
        <v>75</v>
      </c>
      <c r="W7" s="74" t="s">
        <v>103</v>
      </c>
    </row>
    <row r="8" spans="1:23" x14ac:dyDescent="0.25">
      <c r="I8" s="75" t="s">
        <v>76</v>
      </c>
    </row>
    <row r="9" spans="1:23" ht="16.5" thickBot="1" x14ac:dyDescent="0.3"/>
    <row r="10" spans="1:23" x14ac:dyDescent="0.25">
      <c r="D10" s="92" t="s">
        <v>11</v>
      </c>
      <c r="E10" s="93"/>
      <c r="F10" s="93"/>
      <c r="G10" s="94"/>
      <c r="L10" s="92" t="s">
        <v>12</v>
      </c>
      <c r="M10" s="93"/>
      <c r="N10" s="93"/>
      <c r="O10" s="94"/>
      <c r="T10" s="92" t="s">
        <v>13</v>
      </c>
      <c r="U10" s="93"/>
      <c r="V10" s="93"/>
      <c r="W10" s="94"/>
    </row>
    <row r="11" spans="1:23" ht="16.5" thickBot="1" x14ac:dyDescent="0.3">
      <c r="A11" s="3"/>
      <c r="B11" s="3"/>
      <c r="C11" s="3"/>
      <c r="D11" s="95"/>
      <c r="E11" s="96"/>
      <c r="F11" s="96"/>
      <c r="G11" s="97"/>
      <c r="I11" s="3"/>
      <c r="J11" s="3"/>
      <c r="K11" s="3"/>
      <c r="L11" s="95"/>
      <c r="M11" s="96"/>
      <c r="N11" s="96"/>
      <c r="O11" s="97"/>
      <c r="Q11" s="3"/>
      <c r="R11" s="3"/>
      <c r="S11" s="3"/>
      <c r="T11" s="95"/>
      <c r="U11" s="96"/>
      <c r="V11" s="96"/>
      <c r="W11" s="97"/>
    </row>
    <row r="12" spans="1:23" x14ac:dyDescent="0.25">
      <c r="A12" s="4"/>
      <c r="B12" s="4"/>
      <c r="C12" s="4"/>
      <c r="D12" s="4" t="s">
        <v>14</v>
      </c>
      <c r="E12" s="4"/>
      <c r="F12" s="4"/>
      <c r="G12" s="4" t="s">
        <v>15</v>
      </c>
      <c r="I12" s="4"/>
      <c r="J12" s="4"/>
      <c r="K12" s="4"/>
      <c r="L12" s="4" t="s">
        <v>14</v>
      </c>
      <c r="M12" s="4"/>
      <c r="N12" s="4"/>
      <c r="O12" s="4" t="s">
        <v>15</v>
      </c>
      <c r="Q12" s="4"/>
      <c r="R12" s="4"/>
      <c r="S12" s="4"/>
      <c r="T12" s="4" t="s">
        <v>14</v>
      </c>
      <c r="U12" s="4"/>
      <c r="V12" s="4"/>
      <c r="W12" s="4" t="s">
        <v>15</v>
      </c>
    </row>
    <row r="13" spans="1:23" ht="16.5" thickBot="1" x14ac:dyDescent="0.3">
      <c r="A13" s="5"/>
      <c r="B13" s="5"/>
      <c r="C13" s="5"/>
      <c r="D13" s="5" t="s">
        <v>16</v>
      </c>
      <c r="E13" s="96" t="s">
        <v>17</v>
      </c>
      <c r="F13" s="96"/>
      <c r="G13" s="5" t="s">
        <v>18</v>
      </c>
      <c r="I13" s="5"/>
      <c r="J13" s="5"/>
      <c r="K13" s="5"/>
      <c r="L13" s="5" t="s">
        <v>16</v>
      </c>
      <c r="M13" s="96" t="s">
        <v>17</v>
      </c>
      <c r="N13" s="96"/>
      <c r="O13" s="5" t="s">
        <v>18</v>
      </c>
      <c r="Q13" s="5"/>
      <c r="R13" s="5"/>
      <c r="S13" s="5"/>
      <c r="T13" s="5" t="s">
        <v>16</v>
      </c>
      <c r="U13" s="96" t="s">
        <v>17</v>
      </c>
      <c r="V13" s="96"/>
      <c r="W13" s="5" t="s">
        <v>18</v>
      </c>
    </row>
    <row r="16" spans="1:23" x14ac:dyDescent="0.25">
      <c r="A16" s="1" t="s">
        <v>19</v>
      </c>
      <c r="I16" s="1" t="s">
        <v>19</v>
      </c>
      <c r="Q16" s="1" t="s">
        <v>19</v>
      </c>
    </row>
    <row r="17" spans="1:31" ht="31.5" x14ac:dyDescent="0.25">
      <c r="D17" s="6" t="s">
        <v>20</v>
      </c>
      <c r="E17" s="6" t="s">
        <v>21</v>
      </c>
      <c r="L17" s="6" t="s">
        <v>20</v>
      </c>
      <c r="M17" s="6" t="s">
        <v>21</v>
      </c>
      <c r="T17" s="6" t="s">
        <v>20</v>
      </c>
      <c r="U17" s="6" t="s">
        <v>21</v>
      </c>
    </row>
    <row r="18" spans="1:31" x14ac:dyDescent="0.25">
      <c r="B18" s="2" t="s">
        <v>22</v>
      </c>
      <c r="D18" s="8">
        <f>G118</f>
        <v>36</v>
      </c>
      <c r="E18" s="22">
        <v>0</v>
      </c>
      <c r="G18" s="10">
        <f>D18*E18</f>
        <v>0</v>
      </c>
      <c r="J18" s="2" t="s">
        <v>22</v>
      </c>
      <c r="L18" s="8">
        <f>D18</f>
        <v>36</v>
      </c>
      <c r="M18" s="22">
        <v>0</v>
      </c>
      <c r="O18" s="10">
        <f>L18*M18</f>
        <v>0</v>
      </c>
      <c r="R18" s="2" t="s">
        <v>22</v>
      </c>
      <c r="T18" s="8">
        <f>L18</f>
        <v>36</v>
      </c>
      <c r="U18" s="22">
        <v>0</v>
      </c>
      <c r="W18" s="9">
        <f>T18*U18</f>
        <v>0</v>
      </c>
      <c r="AC18" s="4"/>
      <c r="AD18" s="4"/>
      <c r="AE18" s="4"/>
    </row>
    <row r="19" spans="1:31" x14ac:dyDescent="0.25">
      <c r="D19" s="8"/>
      <c r="E19" s="22"/>
      <c r="G19" s="10"/>
      <c r="L19" s="8"/>
      <c r="M19" s="22"/>
      <c r="O19" s="10"/>
      <c r="T19" s="8"/>
      <c r="U19" s="22"/>
      <c r="W19" s="9"/>
      <c r="AC19" s="4"/>
      <c r="AD19" s="4"/>
      <c r="AE19" s="4"/>
    </row>
    <row r="20" spans="1:31" x14ac:dyDescent="0.25">
      <c r="D20" s="8"/>
      <c r="E20" s="22"/>
      <c r="G20" s="10"/>
      <c r="H20" s="9"/>
      <c r="L20" s="8"/>
      <c r="M20" s="42"/>
      <c r="O20" s="10"/>
      <c r="T20" s="8"/>
      <c r="U20" s="22"/>
      <c r="W20" s="9"/>
      <c r="AC20" s="9"/>
      <c r="AE20" s="9"/>
    </row>
    <row r="21" spans="1:31" x14ac:dyDescent="0.25">
      <c r="A21" s="1" t="s">
        <v>24</v>
      </c>
      <c r="D21" s="8"/>
      <c r="G21" s="10"/>
      <c r="H21" s="9"/>
      <c r="I21" s="1" t="s">
        <v>24</v>
      </c>
      <c r="L21" s="8"/>
      <c r="O21" s="10"/>
      <c r="P21" s="9"/>
      <c r="Q21" s="1" t="s">
        <v>24</v>
      </c>
      <c r="T21" s="8"/>
      <c r="W21" s="9"/>
    </row>
    <row r="22" spans="1:31" x14ac:dyDescent="0.25">
      <c r="D22" s="12" t="s">
        <v>25</v>
      </c>
      <c r="E22" s="11" t="s">
        <v>26</v>
      </c>
      <c r="G22" s="10"/>
      <c r="H22" s="9"/>
      <c r="L22" s="12" t="s">
        <v>25</v>
      </c>
      <c r="M22" s="11" t="s">
        <v>26</v>
      </c>
      <c r="O22" s="10"/>
      <c r="P22" s="9"/>
      <c r="T22" s="12" t="s">
        <v>25</v>
      </c>
      <c r="U22" s="11" t="s">
        <v>27</v>
      </c>
      <c r="W22" s="9"/>
      <c r="AA22" s="1"/>
      <c r="AC22" s="41"/>
      <c r="AE22" s="41"/>
    </row>
    <row r="23" spans="1:31" x14ac:dyDescent="0.25">
      <c r="B23" s="2" t="s">
        <v>106</v>
      </c>
      <c r="D23" s="8">
        <f>C66</f>
        <v>1148548.5999999999</v>
      </c>
      <c r="E23" s="36">
        <v>0.1331</v>
      </c>
      <c r="G23" s="10">
        <f>D23*E23</f>
        <v>152871.81865999999</v>
      </c>
      <c r="H23" s="9"/>
      <c r="J23" s="2" t="s">
        <v>106</v>
      </c>
      <c r="L23" s="8">
        <f t="shared" ref="L23:M26" si="0">D23</f>
        <v>1148548.5999999999</v>
      </c>
      <c r="M23" s="36">
        <f t="shared" si="0"/>
        <v>0.1331</v>
      </c>
      <c r="O23" s="10">
        <f>L23*M23</f>
        <v>152871.81865999999</v>
      </c>
      <c r="P23" s="9"/>
      <c r="R23" s="2" t="s">
        <v>106</v>
      </c>
      <c r="T23" s="8">
        <f t="shared" ref="T23:T26" si="1">L23</f>
        <v>1148548.5999999999</v>
      </c>
      <c r="U23" s="36">
        <v>0.16389999999999999</v>
      </c>
      <c r="W23" s="10">
        <f>T23*U23</f>
        <v>188247.11553999997</v>
      </c>
      <c r="AC23" s="18"/>
      <c r="AE23" s="18"/>
    </row>
    <row r="24" spans="1:31" x14ac:dyDescent="0.25">
      <c r="B24" s="2" t="s">
        <v>107</v>
      </c>
      <c r="D24" s="8">
        <f>C84</f>
        <v>290434.09999999998</v>
      </c>
      <c r="E24" s="36">
        <v>0.62139999999999995</v>
      </c>
      <c r="G24" s="10">
        <f t="shared" ref="G24:G26" si="2">D24*E24</f>
        <v>180475.74973999997</v>
      </c>
      <c r="H24" s="9"/>
      <c r="J24" s="2" t="s">
        <v>107</v>
      </c>
      <c r="L24" s="8">
        <f t="shared" si="0"/>
        <v>290434.09999999998</v>
      </c>
      <c r="M24" s="36">
        <f t="shared" si="0"/>
        <v>0.62139999999999995</v>
      </c>
      <c r="O24" s="10">
        <f t="shared" ref="O24:O26" si="3">L24*M24</f>
        <v>180475.74973999997</v>
      </c>
      <c r="P24" s="9"/>
      <c r="R24" s="2" t="s">
        <v>110</v>
      </c>
      <c r="T24" s="8">
        <f t="shared" si="1"/>
        <v>290434.09999999998</v>
      </c>
      <c r="U24" s="36">
        <v>0.76549999999999996</v>
      </c>
      <c r="W24" s="10">
        <f t="shared" ref="W24:W26" si="4">T24*U24</f>
        <v>222327.30354999998</v>
      </c>
      <c r="AC24" s="18"/>
      <c r="AE24" s="18"/>
    </row>
    <row r="25" spans="1:31" x14ac:dyDescent="0.25">
      <c r="B25" s="2" t="s">
        <v>108</v>
      </c>
      <c r="D25" s="8">
        <f>D84</f>
        <v>180000</v>
      </c>
      <c r="E25" s="36">
        <v>0.30470000000000003</v>
      </c>
      <c r="G25" s="10">
        <f t="shared" si="2"/>
        <v>54846.000000000007</v>
      </c>
      <c r="H25" s="9"/>
      <c r="J25" s="2" t="s">
        <v>108</v>
      </c>
      <c r="L25" s="8">
        <f t="shared" si="0"/>
        <v>180000</v>
      </c>
      <c r="M25" s="36">
        <f t="shared" si="0"/>
        <v>0.30470000000000003</v>
      </c>
      <c r="O25" s="10">
        <f t="shared" si="3"/>
        <v>54846.000000000007</v>
      </c>
      <c r="P25" s="9"/>
      <c r="R25" s="2" t="s">
        <v>108</v>
      </c>
      <c r="T25" s="8">
        <f t="shared" si="1"/>
        <v>180000</v>
      </c>
      <c r="U25" s="36">
        <v>0.37540000000000001</v>
      </c>
      <c r="W25" s="10">
        <f t="shared" si="4"/>
        <v>67572</v>
      </c>
      <c r="AC25" s="18"/>
      <c r="AE25" s="18"/>
    </row>
    <row r="26" spans="1:31" x14ac:dyDescent="0.25">
      <c r="B26" s="2" t="s">
        <v>109</v>
      </c>
      <c r="D26" s="8">
        <f>E84</f>
        <v>694470.7</v>
      </c>
      <c r="E26" s="36">
        <v>9.3299999999999994E-2</v>
      </c>
      <c r="G26" s="10">
        <f t="shared" si="2"/>
        <v>64794.11630999999</v>
      </c>
      <c r="J26" s="2" t="s">
        <v>109</v>
      </c>
      <c r="L26" s="8">
        <f t="shared" si="0"/>
        <v>694470.7</v>
      </c>
      <c r="M26" s="36">
        <f t="shared" si="0"/>
        <v>9.3299999999999994E-2</v>
      </c>
      <c r="O26" s="10">
        <f t="shared" si="3"/>
        <v>64794.11630999999</v>
      </c>
      <c r="P26" s="9"/>
      <c r="R26" s="2" t="s">
        <v>109</v>
      </c>
      <c r="T26" s="8">
        <f t="shared" si="1"/>
        <v>694470.7</v>
      </c>
      <c r="U26" s="36">
        <v>0.1149</v>
      </c>
      <c r="W26" s="10">
        <f t="shared" si="4"/>
        <v>79794.68342999999</v>
      </c>
      <c r="AC26" s="18"/>
      <c r="AE26" s="18"/>
    </row>
    <row r="27" spans="1:31" x14ac:dyDescent="0.25">
      <c r="B27" s="7" t="s">
        <v>29</v>
      </c>
      <c r="C27" s="7"/>
      <c r="D27" s="7"/>
      <c r="E27" s="7"/>
      <c r="F27" s="7"/>
      <c r="G27" s="26">
        <f>E118</f>
        <v>0</v>
      </c>
      <c r="H27" s="10"/>
      <c r="J27" s="7" t="s">
        <v>29</v>
      </c>
      <c r="K27" s="7"/>
      <c r="L27" s="7"/>
      <c r="M27" s="7"/>
      <c r="N27" s="7"/>
      <c r="O27" s="26">
        <f>M122</f>
        <v>0</v>
      </c>
      <c r="P27" s="9"/>
      <c r="R27" s="7" t="s">
        <v>29</v>
      </c>
      <c r="S27" s="7"/>
      <c r="T27" s="7"/>
      <c r="U27" s="7"/>
      <c r="V27" s="7"/>
      <c r="W27" s="26">
        <f>U122</f>
        <v>0</v>
      </c>
    </row>
    <row r="28" spans="1:31" x14ac:dyDescent="0.25">
      <c r="D28" s="8">
        <f>SUM(D23:D26)</f>
        <v>2313453.3999999994</v>
      </c>
      <c r="E28" s="37"/>
      <c r="G28" s="10">
        <f>SUM(G23:G27)</f>
        <v>452987.68471</v>
      </c>
      <c r="H28" s="10"/>
      <c r="L28" s="8">
        <f>SUM(L23:L27)</f>
        <v>2313453.3999999994</v>
      </c>
      <c r="O28" s="10">
        <f>SUM(O23:O27)</f>
        <v>452987.68471</v>
      </c>
      <c r="P28" s="9"/>
      <c r="Q28" s="1"/>
      <c r="W28" s="10">
        <f>SUM(W23:W27)</f>
        <v>557941.10251999996</v>
      </c>
      <c r="AE28" s="10"/>
    </row>
    <row r="29" spans="1:31" x14ac:dyDescent="0.25">
      <c r="G29" s="10"/>
      <c r="H29" s="10"/>
      <c r="I29" s="1"/>
      <c r="L29" s="8"/>
      <c r="M29" s="15"/>
      <c r="O29" s="10"/>
      <c r="P29" s="9"/>
      <c r="Q29" s="1"/>
      <c r="T29" s="8"/>
      <c r="U29" s="15"/>
      <c r="W29" s="9"/>
    </row>
    <row r="30" spans="1:31" ht="16.5" thickBot="1" x14ac:dyDescent="0.3">
      <c r="A30" s="1" t="s">
        <v>30</v>
      </c>
      <c r="G30" s="48">
        <f>G18+G28</f>
        <v>452987.68471</v>
      </c>
      <c r="H30" s="10"/>
      <c r="I30" s="1" t="s">
        <v>31</v>
      </c>
      <c r="L30" s="8"/>
      <c r="M30" s="15"/>
      <c r="O30" s="32">
        <f>O18+O28</f>
        <v>452987.68471</v>
      </c>
      <c r="P30" s="9"/>
      <c r="Q30" s="1" t="s">
        <v>31</v>
      </c>
      <c r="T30" s="8"/>
      <c r="U30" s="15"/>
      <c r="W30" s="32">
        <f>W18+W28</f>
        <v>557941.10251999996</v>
      </c>
      <c r="AE30" s="42"/>
    </row>
    <row r="31" spans="1:31" ht="16.5" thickTop="1" x14ac:dyDescent="0.25">
      <c r="A31" s="1"/>
      <c r="D31" s="8"/>
      <c r="E31" s="15"/>
      <c r="G31" s="10"/>
      <c r="H31" s="10"/>
      <c r="I31" s="1"/>
      <c r="P31" s="9"/>
      <c r="Q31" s="1"/>
    </row>
    <row r="32" spans="1:31" x14ac:dyDescent="0.25">
      <c r="A32" s="1" t="s">
        <v>32</v>
      </c>
      <c r="G32" s="10">
        <f>C118-D118</f>
        <v>452987.68471000006</v>
      </c>
      <c r="H32" s="10"/>
      <c r="I32" s="1" t="s">
        <v>33</v>
      </c>
      <c r="O32" s="50">
        <f>G36</f>
        <v>1.0000000000000002</v>
      </c>
      <c r="P32" s="9"/>
      <c r="Q32" s="1" t="s">
        <v>33</v>
      </c>
      <c r="W32" s="50">
        <f>O32</f>
        <v>1.0000000000000002</v>
      </c>
      <c r="AE32" s="16"/>
    </row>
    <row r="33" spans="1:23" x14ac:dyDescent="0.25">
      <c r="H33" s="18"/>
      <c r="P33" s="9"/>
    </row>
    <row r="34" spans="1:23" x14ac:dyDescent="0.25">
      <c r="A34" s="1" t="s">
        <v>0</v>
      </c>
      <c r="G34" s="10">
        <f>G32-G30</f>
        <v>0</v>
      </c>
      <c r="I34" s="1" t="s">
        <v>34</v>
      </c>
      <c r="O34" s="10">
        <f>O30*O32</f>
        <v>452987.68471000012</v>
      </c>
      <c r="P34" s="18"/>
      <c r="Q34" s="1" t="s">
        <v>34</v>
      </c>
      <c r="W34" s="10">
        <f>W30*W32</f>
        <v>557941.10252000007</v>
      </c>
    </row>
    <row r="35" spans="1:23" x14ac:dyDescent="0.25">
      <c r="Q35" s="1"/>
      <c r="T35" s="25"/>
      <c r="U35" s="41"/>
      <c r="W35" s="22"/>
    </row>
    <row r="36" spans="1:23" x14ac:dyDescent="0.25">
      <c r="A36" s="1" t="s">
        <v>33</v>
      </c>
      <c r="G36" s="49">
        <f>G32/G30</f>
        <v>1.0000000000000002</v>
      </c>
      <c r="I36" s="1"/>
      <c r="O36" s="10"/>
      <c r="Q36" s="1" t="s">
        <v>39</v>
      </c>
      <c r="S36" s="21"/>
      <c r="U36" s="17"/>
      <c r="W36" s="10">
        <f>W34-O34</f>
        <v>104953.41780999996</v>
      </c>
    </row>
    <row r="37" spans="1:23" x14ac:dyDescent="0.25">
      <c r="O37" s="10"/>
      <c r="S37" s="21"/>
      <c r="U37" s="17"/>
    </row>
    <row r="38" spans="1:23" x14ac:dyDescent="0.25">
      <c r="A38" s="1" t="s">
        <v>37</v>
      </c>
      <c r="D38" s="8"/>
      <c r="E38" s="15"/>
      <c r="G38" s="10">
        <f>D118</f>
        <v>0</v>
      </c>
      <c r="I38" s="1"/>
      <c r="Q38" s="1" t="s">
        <v>28</v>
      </c>
      <c r="S38" s="21"/>
      <c r="U38" s="17"/>
      <c r="W38" s="56">
        <f>W36/O34</f>
        <v>0.23169154781148293</v>
      </c>
    </row>
    <row r="39" spans="1:23" x14ac:dyDescent="0.25">
      <c r="G39" s="10"/>
      <c r="Q39" s="1"/>
      <c r="W39" s="22"/>
    </row>
    <row r="40" spans="1:23" x14ac:dyDescent="0.25">
      <c r="A40" s="1" t="s">
        <v>38</v>
      </c>
      <c r="B40" s="1"/>
      <c r="G40" s="10">
        <f>G30+G38</f>
        <v>452987.68471</v>
      </c>
      <c r="I40" s="1"/>
      <c r="O40" s="10"/>
      <c r="Q40" s="1"/>
      <c r="R40" s="1"/>
      <c r="W40" s="9">
        <f>148863/O34</f>
        <v>0.32862482805752469</v>
      </c>
    </row>
    <row r="41" spans="1:23" x14ac:dyDescent="0.25">
      <c r="Q41" s="1"/>
      <c r="T41" s="8"/>
      <c r="U41" s="15"/>
      <c r="W41" s="9"/>
    </row>
    <row r="42" spans="1:23" x14ac:dyDescent="0.25">
      <c r="A42" s="1"/>
      <c r="D42" s="8"/>
      <c r="E42" s="15"/>
      <c r="G42" s="39"/>
      <c r="I42" s="1"/>
      <c r="O42" s="10"/>
      <c r="Q42" s="9"/>
      <c r="R42" s="9"/>
      <c r="W42" s="9"/>
    </row>
    <row r="43" spans="1:23" x14ac:dyDescent="0.25">
      <c r="A43" s="9"/>
      <c r="B43" s="9"/>
      <c r="G43" s="10"/>
      <c r="O43" s="10"/>
      <c r="Q43" s="1"/>
      <c r="T43" s="8"/>
      <c r="W43" s="20"/>
    </row>
    <row r="44" spans="1:23" x14ac:dyDescent="0.25">
      <c r="A44" s="1"/>
      <c r="D44" s="8"/>
      <c r="E44" s="15"/>
      <c r="G44" s="10"/>
      <c r="I44" s="1"/>
      <c r="L44" s="25"/>
      <c r="M44" s="41"/>
      <c r="O44" s="39"/>
    </row>
    <row r="45" spans="1:23" x14ac:dyDescent="0.25">
      <c r="Q45" s="1"/>
      <c r="T45" s="13"/>
      <c r="U45" s="41"/>
      <c r="W45" s="42"/>
    </row>
    <row r="46" spans="1:23" x14ac:dyDescent="0.25">
      <c r="A46" s="9"/>
      <c r="B46" s="9"/>
      <c r="G46" s="17"/>
    </row>
    <row r="47" spans="1:23" x14ac:dyDescent="0.25">
      <c r="A47" s="1"/>
      <c r="D47" s="8"/>
      <c r="G47" s="20"/>
      <c r="Q47" s="1"/>
      <c r="T47" s="13"/>
      <c r="U47" s="17"/>
      <c r="W47" s="42"/>
    </row>
    <row r="48" spans="1:23" x14ac:dyDescent="0.25">
      <c r="S48" s="21"/>
      <c r="U48" s="17"/>
    </row>
    <row r="49" spans="1:21" x14ac:dyDescent="0.25">
      <c r="H49" s="10"/>
      <c r="S49" s="21"/>
      <c r="U49" s="17"/>
    </row>
    <row r="50" spans="1:21" x14ac:dyDescent="0.25">
      <c r="A50" s="9"/>
      <c r="B50" s="9"/>
      <c r="G50" s="24"/>
      <c r="S50" s="21"/>
      <c r="U50" s="17"/>
    </row>
    <row r="51" spans="1:21" x14ac:dyDescent="0.25">
      <c r="A51" s="9"/>
      <c r="B51" s="9"/>
      <c r="C51" s="30"/>
      <c r="D51" s="30"/>
      <c r="E51" s="30"/>
      <c r="G51" s="10"/>
      <c r="H51" s="10"/>
      <c r="S51" s="21"/>
      <c r="U51" s="17"/>
    </row>
    <row r="52" spans="1:21" x14ac:dyDescent="0.25">
      <c r="A52" s="10"/>
      <c r="B52" s="10"/>
      <c r="C52" s="30" t="s">
        <v>25</v>
      </c>
      <c r="D52" s="30"/>
      <c r="E52" s="30"/>
      <c r="H52" s="10"/>
      <c r="O52" s="10"/>
      <c r="S52" s="21"/>
      <c r="U52" s="17"/>
    </row>
    <row r="53" spans="1:21" x14ac:dyDescent="0.25">
      <c r="A53" s="9"/>
      <c r="B53" s="28" t="s">
        <v>41</v>
      </c>
      <c r="C53" s="28"/>
      <c r="D53" s="28"/>
      <c r="E53" s="28"/>
      <c r="H53" s="10"/>
      <c r="I53" s="1"/>
      <c r="O53" s="39"/>
      <c r="S53" s="21"/>
      <c r="U53" s="17"/>
    </row>
    <row r="54" spans="1:21" x14ac:dyDescent="0.25">
      <c r="A54" s="19"/>
      <c r="B54" s="27">
        <v>43831</v>
      </c>
      <c r="C54" s="31">
        <v>103378.6</v>
      </c>
      <c r="D54" s="33"/>
      <c r="E54" s="33"/>
      <c r="H54" s="10"/>
      <c r="I54" s="1"/>
      <c r="J54" s="1"/>
      <c r="O54" s="10"/>
      <c r="S54" s="21"/>
      <c r="U54" s="17"/>
    </row>
    <row r="55" spans="1:21" x14ac:dyDescent="0.25">
      <c r="A55" s="10"/>
      <c r="B55" s="27">
        <v>43862</v>
      </c>
      <c r="C55" s="31">
        <v>87396.7</v>
      </c>
      <c r="D55" s="33"/>
      <c r="E55" s="33"/>
      <c r="H55" s="10"/>
      <c r="I55" s="1"/>
      <c r="L55" s="8"/>
      <c r="M55" s="15"/>
      <c r="O55" s="10"/>
      <c r="S55" s="21"/>
      <c r="U55" s="17"/>
    </row>
    <row r="56" spans="1:21" x14ac:dyDescent="0.25">
      <c r="B56" s="27">
        <v>43891</v>
      </c>
      <c r="C56" s="31">
        <v>91937</v>
      </c>
      <c r="D56" s="33"/>
      <c r="E56" s="33"/>
      <c r="I56" s="9"/>
      <c r="J56" s="9"/>
      <c r="O56" s="9"/>
      <c r="S56" s="21"/>
      <c r="U56" s="17"/>
    </row>
    <row r="57" spans="1:21" x14ac:dyDescent="0.25">
      <c r="B57" s="27">
        <v>43922</v>
      </c>
      <c r="C57" s="31">
        <v>89053.6</v>
      </c>
      <c r="D57" s="33"/>
      <c r="E57" s="33"/>
      <c r="I57" s="1"/>
      <c r="L57" s="8"/>
      <c r="O57" s="20"/>
      <c r="S57" s="21"/>
      <c r="U57" s="17"/>
    </row>
    <row r="58" spans="1:21" x14ac:dyDescent="0.25">
      <c r="B58" s="27">
        <v>43952</v>
      </c>
      <c r="C58" s="31">
        <v>97807.8</v>
      </c>
      <c r="D58" s="33"/>
      <c r="E58" s="33"/>
      <c r="M58" s="17"/>
      <c r="S58" s="21"/>
      <c r="U58" s="17"/>
    </row>
    <row r="59" spans="1:21" x14ac:dyDescent="0.25">
      <c r="B59" s="27">
        <v>43983</v>
      </c>
      <c r="C59" s="31">
        <v>92705.5</v>
      </c>
      <c r="D59" s="33"/>
      <c r="E59" s="33"/>
      <c r="O59" s="10"/>
      <c r="S59" s="17"/>
    </row>
    <row r="60" spans="1:21" x14ac:dyDescent="0.25">
      <c r="B60" s="27">
        <v>44013</v>
      </c>
      <c r="C60" s="31">
        <v>102225.1</v>
      </c>
      <c r="D60" s="33"/>
      <c r="E60" s="33"/>
    </row>
    <row r="61" spans="1:21" x14ac:dyDescent="0.25">
      <c r="B61" s="27">
        <v>44044</v>
      </c>
      <c r="C61" s="31">
        <v>100311.7</v>
      </c>
      <c r="D61" s="33"/>
      <c r="E61" s="33"/>
    </row>
    <row r="62" spans="1:21" x14ac:dyDescent="0.25">
      <c r="B62" s="27">
        <v>44075</v>
      </c>
      <c r="C62" s="31">
        <v>87157.3</v>
      </c>
      <c r="D62" s="33"/>
      <c r="E62" s="33"/>
      <c r="L62" s="28"/>
      <c r="M62" s="28"/>
    </row>
    <row r="63" spans="1:21" x14ac:dyDescent="0.25">
      <c r="B63" s="27">
        <v>44105</v>
      </c>
      <c r="C63" s="31">
        <v>108304.4</v>
      </c>
      <c r="D63" s="33"/>
      <c r="E63" s="33"/>
      <c r="J63" s="28"/>
      <c r="K63" s="28"/>
      <c r="L63" s="28"/>
      <c r="M63" s="28"/>
    </row>
    <row r="64" spans="1:21" x14ac:dyDescent="0.25">
      <c r="B64" s="27">
        <v>44136</v>
      </c>
      <c r="C64" s="31">
        <v>97401.2</v>
      </c>
      <c r="D64" s="33"/>
      <c r="E64" s="33"/>
      <c r="J64" s="27"/>
      <c r="K64" s="45"/>
      <c r="L64" s="23"/>
      <c r="M64" s="21"/>
    </row>
    <row r="65" spans="2:13" x14ac:dyDescent="0.25">
      <c r="B65" s="27">
        <v>44166</v>
      </c>
      <c r="C65" s="34">
        <v>90869.7</v>
      </c>
      <c r="D65" s="33"/>
      <c r="E65" s="33"/>
      <c r="J65" s="27"/>
      <c r="K65" s="45"/>
      <c r="L65" s="23"/>
      <c r="M65" s="21"/>
    </row>
    <row r="66" spans="2:13" x14ac:dyDescent="0.25">
      <c r="C66" s="16">
        <f>SUM(C54:C65)</f>
        <v>1148548.5999999999</v>
      </c>
      <c r="D66" s="16"/>
      <c r="E66" s="16"/>
      <c r="J66" s="27"/>
      <c r="K66" s="45"/>
      <c r="L66" s="23"/>
      <c r="M66" s="21"/>
    </row>
    <row r="67" spans="2:13" x14ac:dyDescent="0.25">
      <c r="G67" s="17"/>
      <c r="J67" s="27"/>
      <c r="K67" s="45"/>
      <c r="L67" s="23"/>
      <c r="M67" s="21"/>
    </row>
    <row r="68" spans="2:13" x14ac:dyDescent="0.25">
      <c r="G68" s="17"/>
      <c r="J68" s="27"/>
      <c r="K68" s="45"/>
      <c r="L68" s="23"/>
      <c r="M68" s="21"/>
    </row>
    <row r="69" spans="2:13" x14ac:dyDescent="0.25">
      <c r="B69" s="9"/>
      <c r="C69" s="30"/>
      <c r="D69" s="30" t="s">
        <v>10</v>
      </c>
      <c r="E69" s="30" t="s">
        <v>10</v>
      </c>
      <c r="G69" s="17"/>
      <c r="J69" s="27"/>
      <c r="K69" s="45"/>
      <c r="L69" s="23"/>
      <c r="M69" s="21"/>
    </row>
    <row r="70" spans="2:13" x14ac:dyDescent="0.25">
      <c r="B70" s="10"/>
      <c r="C70" s="30" t="s">
        <v>25</v>
      </c>
      <c r="D70" s="30" t="s">
        <v>25</v>
      </c>
      <c r="E70" s="30" t="s">
        <v>25</v>
      </c>
      <c r="G70" s="17"/>
      <c r="J70" s="27"/>
      <c r="K70" s="45"/>
      <c r="L70" s="23"/>
      <c r="M70" s="21"/>
    </row>
    <row r="71" spans="2:13" x14ac:dyDescent="0.25">
      <c r="B71" s="28" t="s">
        <v>41</v>
      </c>
      <c r="C71" s="28" t="s">
        <v>49</v>
      </c>
      <c r="D71" s="28" t="s">
        <v>51</v>
      </c>
      <c r="E71" s="28" t="s">
        <v>52</v>
      </c>
      <c r="G71" s="17"/>
      <c r="J71" s="27"/>
      <c r="K71" s="45"/>
      <c r="L71" s="23"/>
      <c r="M71" s="21"/>
    </row>
    <row r="72" spans="2:13" x14ac:dyDescent="0.25">
      <c r="B72" s="27">
        <v>43831</v>
      </c>
      <c r="C72" s="31">
        <v>26490.2</v>
      </c>
      <c r="D72" s="31">
        <v>15000</v>
      </c>
      <c r="E72" s="31">
        <v>53343.199999999997</v>
      </c>
      <c r="G72" s="17"/>
      <c r="J72" s="27"/>
      <c r="K72" s="45"/>
      <c r="L72" s="23"/>
      <c r="M72" s="21"/>
    </row>
    <row r="73" spans="2:13" x14ac:dyDescent="0.25">
      <c r="B73" s="27">
        <v>43862</v>
      </c>
      <c r="C73" s="31">
        <v>24764.400000000001</v>
      </c>
      <c r="D73" s="31">
        <v>15000</v>
      </c>
      <c r="E73" s="31">
        <v>60768.1</v>
      </c>
      <c r="G73" s="17"/>
    </row>
    <row r="74" spans="2:13" x14ac:dyDescent="0.25">
      <c r="B74" s="27">
        <v>43891</v>
      </c>
      <c r="C74" s="31">
        <v>25237.599999999999</v>
      </c>
      <c r="D74" s="31">
        <v>15000</v>
      </c>
      <c r="E74" s="31">
        <v>46681</v>
      </c>
      <c r="G74" s="17"/>
    </row>
    <row r="75" spans="2:13" x14ac:dyDescent="0.25">
      <c r="B75" s="27">
        <v>43922</v>
      </c>
      <c r="C75" s="31">
        <v>24575.9</v>
      </c>
      <c r="D75" s="31">
        <v>15000</v>
      </c>
      <c r="E75" s="31">
        <v>58595.8</v>
      </c>
      <c r="G75" s="17"/>
    </row>
    <row r="76" spans="2:13" x14ac:dyDescent="0.25">
      <c r="B76" s="27">
        <v>43952</v>
      </c>
      <c r="C76" s="31">
        <v>23572.1</v>
      </c>
      <c r="D76" s="31">
        <v>15000</v>
      </c>
      <c r="E76" s="31">
        <v>64776.5</v>
      </c>
      <c r="G76" s="17"/>
    </row>
    <row r="77" spans="2:13" x14ac:dyDescent="0.25">
      <c r="B77" s="27">
        <v>43983</v>
      </c>
      <c r="C77" s="31">
        <v>23925</v>
      </c>
      <c r="D77" s="31">
        <v>15000</v>
      </c>
      <c r="E77" s="31">
        <v>63073.9</v>
      </c>
      <c r="G77" s="17"/>
    </row>
    <row r="78" spans="2:13" x14ac:dyDescent="0.25">
      <c r="B78" s="27">
        <v>44013</v>
      </c>
      <c r="C78" s="31">
        <v>25184.5</v>
      </c>
      <c r="D78" s="31">
        <v>15000</v>
      </c>
      <c r="E78" s="31">
        <v>66686</v>
      </c>
      <c r="G78" s="17"/>
    </row>
    <row r="79" spans="2:13" x14ac:dyDescent="0.25">
      <c r="B79" s="27">
        <v>44044</v>
      </c>
      <c r="C79" s="31">
        <v>24642.400000000001</v>
      </c>
      <c r="D79" s="31">
        <v>15000</v>
      </c>
      <c r="E79" s="31">
        <v>67300.5</v>
      </c>
      <c r="G79" s="17"/>
    </row>
    <row r="80" spans="2:13" x14ac:dyDescent="0.25">
      <c r="B80" s="27">
        <v>44075</v>
      </c>
      <c r="C80" s="31">
        <v>23034.3</v>
      </c>
      <c r="D80" s="31">
        <v>15000</v>
      </c>
      <c r="E80" s="31">
        <v>56340.2</v>
      </c>
      <c r="G80" s="17"/>
    </row>
    <row r="81" spans="2:7" x14ac:dyDescent="0.25">
      <c r="B81" s="27">
        <v>44105</v>
      </c>
      <c r="C81" s="31">
        <v>24137.4</v>
      </c>
      <c r="D81" s="31">
        <v>15000</v>
      </c>
      <c r="E81" s="31">
        <v>36106</v>
      </c>
      <c r="G81" s="17"/>
    </row>
    <row r="82" spans="2:7" x14ac:dyDescent="0.25">
      <c r="B82" s="27">
        <v>44136</v>
      </c>
      <c r="C82" s="31">
        <v>22791.7</v>
      </c>
      <c r="D82" s="31">
        <v>15000</v>
      </c>
      <c r="E82" s="31">
        <v>63373.2</v>
      </c>
      <c r="G82" s="17"/>
    </row>
    <row r="83" spans="2:7" x14ac:dyDescent="0.25">
      <c r="B83" s="27">
        <v>44166</v>
      </c>
      <c r="C83" s="34">
        <v>22078.6</v>
      </c>
      <c r="D83" s="34">
        <v>15000</v>
      </c>
      <c r="E83" s="34">
        <v>57426.3</v>
      </c>
      <c r="G83" s="17"/>
    </row>
    <row r="84" spans="2:7" x14ac:dyDescent="0.25">
      <c r="C84" s="16">
        <f>SUM(C72:C83)</f>
        <v>290434.09999999998</v>
      </c>
      <c r="D84" s="16">
        <f>SUM(D72:D83)</f>
        <v>180000</v>
      </c>
      <c r="E84" s="16">
        <f>SUM(E72:E83)</f>
        <v>694470.7</v>
      </c>
      <c r="G84" s="17"/>
    </row>
    <row r="85" spans="2:7" x14ac:dyDescent="0.25">
      <c r="G85" s="17"/>
    </row>
    <row r="86" spans="2:7" x14ac:dyDescent="0.25">
      <c r="C86" s="30" t="s">
        <v>10</v>
      </c>
      <c r="D86" s="30" t="s">
        <v>10</v>
      </c>
      <c r="G86" s="17"/>
    </row>
    <row r="87" spans="2:7" x14ac:dyDescent="0.25">
      <c r="C87" s="30" t="s">
        <v>25</v>
      </c>
      <c r="D87" s="30" t="s">
        <v>25</v>
      </c>
      <c r="E87" s="28"/>
      <c r="G87" s="17"/>
    </row>
    <row r="88" spans="2:7" x14ac:dyDescent="0.25">
      <c r="B88" s="28" t="s">
        <v>41</v>
      </c>
      <c r="C88" s="28" t="s">
        <v>53</v>
      </c>
      <c r="D88" s="28" t="s">
        <v>54</v>
      </c>
      <c r="E88" s="28"/>
      <c r="G88" s="17"/>
    </row>
    <row r="89" spans="2:7" x14ac:dyDescent="0.25">
      <c r="B89" s="27">
        <v>43831</v>
      </c>
      <c r="C89" s="13">
        <v>0</v>
      </c>
      <c r="D89" s="13">
        <v>0</v>
      </c>
      <c r="G89" s="17"/>
    </row>
    <row r="90" spans="2:7" x14ac:dyDescent="0.25">
      <c r="B90" s="27">
        <v>43862</v>
      </c>
      <c r="C90" s="13">
        <v>0</v>
      </c>
      <c r="D90" s="13">
        <v>0</v>
      </c>
      <c r="G90" s="17"/>
    </row>
    <row r="91" spans="2:7" x14ac:dyDescent="0.25">
      <c r="B91" s="27">
        <v>43891</v>
      </c>
      <c r="C91" s="13">
        <v>0</v>
      </c>
      <c r="D91" s="13">
        <v>0</v>
      </c>
      <c r="G91" s="17"/>
    </row>
    <row r="92" spans="2:7" x14ac:dyDescent="0.25">
      <c r="B92" s="27">
        <v>43922</v>
      </c>
      <c r="C92" s="13">
        <v>0</v>
      </c>
      <c r="D92" s="13">
        <v>0</v>
      </c>
      <c r="G92" s="17"/>
    </row>
    <row r="93" spans="2:7" x14ac:dyDescent="0.25">
      <c r="B93" s="27">
        <v>43952</v>
      </c>
      <c r="C93" s="13">
        <v>0</v>
      </c>
      <c r="D93" s="13">
        <v>0</v>
      </c>
      <c r="G93" s="17"/>
    </row>
    <row r="94" spans="2:7" x14ac:dyDescent="0.25">
      <c r="B94" s="27">
        <v>43983</v>
      </c>
      <c r="C94" s="13">
        <v>0</v>
      </c>
      <c r="D94" s="13">
        <v>0</v>
      </c>
      <c r="G94" s="17"/>
    </row>
    <row r="95" spans="2:7" x14ac:dyDescent="0.25">
      <c r="B95" s="27">
        <v>44013</v>
      </c>
      <c r="C95" s="13">
        <v>0</v>
      </c>
      <c r="D95" s="13">
        <v>0</v>
      </c>
      <c r="G95" s="17"/>
    </row>
    <row r="96" spans="2:7" x14ac:dyDescent="0.25">
      <c r="B96" s="27">
        <v>44044</v>
      </c>
      <c r="C96" s="13">
        <v>0</v>
      </c>
      <c r="D96" s="13">
        <v>0</v>
      </c>
      <c r="G96" s="17"/>
    </row>
    <row r="97" spans="2:7" x14ac:dyDescent="0.25">
      <c r="B97" s="27">
        <v>44075</v>
      </c>
      <c r="C97" s="13">
        <v>0</v>
      </c>
      <c r="D97" s="13">
        <v>0</v>
      </c>
      <c r="G97" s="17"/>
    </row>
    <row r="98" spans="2:7" x14ac:dyDescent="0.25">
      <c r="B98" s="27">
        <v>44105</v>
      </c>
      <c r="C98" s="13">
        <v>0</v>
      </c>
      <c r="D98" s="13">
        <v>0</v>
      </c>
      <c r="G98" s="17"/>
    </row>
    <row r="99" spans="2:7" x14ac:dyDescent="0.25">
      <c r="B99" s="27">
        <v>44136</v>
      </c>
      <c r="C99" s="13">
        <v>0</v>
      </c>
      <c r="D99" s="13">
        <v>0</v>
      </c>
      <c r="G99" s="17"/>
    </row>
    <row r="100" spans="2:7" x14ac:dyDescent="0.25">
      <c r="B100" s="27">
        <v>44166</v>
      </c>
      <c r="C100" s="47">
        <v>0</v>
      </c>
      <c r="D100" s="47">
        <v>0</v>
      </c>
      <c r="G100" s="17"/>
    </row>
    <row r="101" spans="2:7" x14ac:dyDescent="0.25">
      <c r="C101" s="13">
        <f>SUM(C89:C100)</f>
        <v>0</v>
      </c>
      <c r="D101" s="13">
        <f>SUM(D89:D100)</f>
        <v>0</v>
      </c>
      <c r="G101" s="17"/>
    </row>
    <row r="104" spans="2:7" x14ac:dyDescent="0.25">
      <c r="B104" s="27"/>
      <c r="C104" s="30" t="s">
        <v>8</v>
      </c>
      <c r="D104" s="28" t="s">
        <v>44</v>
      </c>
      <c r="E104" s="46" t="s">
        <v>29</v>
      </c>
      <c r="G104" s="30" t="s">
        <v>8</v>
      </c>
    </row>
    <row r="105" spans="2:7" x14ac:dyDescent="0.25">
      <c r="B105" s="28" t="s">
        <v>41</v>
      </c>
      <c r="C105" s="30" t="s">
        <v>46</v>
      </c>
      <c r="D105" s="28" t="s">
        <v>46</v>
      </c>
      <c r="E105" s="46" t="s">
        <v>46</v>
      </c>
      <c r="G105" s="30" t="s">
        <v>42</v>
      </c>
    </row>
    <row r="106" spans="2:7" x14ac:dyDescent="0.25">
      <c r="B106" s="27">
        <v>43831</v>
      </c>
      <c r="C106" s="35">
        <v>39768.122499999998</v>
      </c>
      <c r="D106" s="35">
        <v>0</v>
      </c>
      <c r="E106" s="39">
        <v>0</v>
      </c>
      <c r="G106" s="31">
        <v>3</v>
      </c>
    </row>
    <row r="107" spans="2:7" x14ac:dyDescent="0.25">
      <c r="B107" s="27">
        <v>43862</v>
      </c>
      <c r="C107" s="35">
        <v>37261.26266</v>
      </c>
      <c r="D107" s="35">
        <v>0</v>
      </c>
      <c r="E107" s="39">
        <v>0</v>
      </c>
      <c r="G107" s="31">
        <v>3</v>
      </c>
    </row>
    <row r="108" spans="2:7" x14ac:dyDescent="0.25">
      <c r="B108" s="27">
        <v>43891</v>
      </c>
      <c r="C108" s="35">
        <v>36845.29664</v>
      </c>
      <c r="D108" s="35">
        <v>0</v>
      </c>
      <c r="E108" s="39">
        <v>0</v>
      </c>
      <c r="G108" s="31">
        <v>3</v>
      </c>
    </row>
    <row r="109" spans="2:7" x14ac:dyDescent="0.25">
      <c r="B109" s="27">
        <v>43922</v>
      </c>
      <c r="C109" s="35">
        <v>37161.986560000005</v>
      </c>
      <c r="D109" s="35">
        <v>0</v>
      </c>
      <c r="E109" s="39">
        <v>0</v>
      </c>
      <c r="G109" s="31">
        <v>3</v>
      </c>
    </row>
    <row r="110" spans="2:7" x14ac:dyDescent="0.25">
      <c r="B110" s="27">
        <v>43952</v>
      </c>
      <c r="C110" s="35">
        <v>38280.068570000003</v>
      </c>
      <c r="D110" s="35">
        <v>0</v>
      </c>
      <c r="E110" s="39">
        <v>0</v>
      </c>
      <c r="G110" s="31">
        <v>3</v>
      </c>
    </row>
    <row r="111" spans="2:7" x14ac:dyDescent="0.25">
      <c r="B111" s="27">
        <v>43983</v>
      </c>
      <c r="C111" s="35">
        <v>37661.391919999995</v>
      </c>
      <c r="D111" s="35">
        <v>0</v>
      </c>
      <c r="E111" s="39">
        <v>0</v>
      </c>
      <c r="G111" s="31">
        <v>3</v>
      </c>
    </row>
    <row r="112" spans="2:7" x14ac:dyDescent="0.25">
      <c r="B112" s="27">
        <v>44013</v>
      </c>
      <c r="C112" s="35">
        <v>40048.112910000003</v>
      </c>
      <c r="D112" s="35">
        <v>0</v>
      </c>
      <c r="E112" s="39">
        <v>0</v>
      </c>
      <c r="G112" s="31">
        <v>3</v>
      </c>
    </row>
    <row r="113" spans="2:7" x14ac:dyDescent="0.25">
      <c r="B113" s="27">
        <v>44044</v>
      </c>
      <c r="C113" s="35">
        <v>39513.91128</v>
      </c>
      <c r="D113" s="35">
        <v>0</v>
      </c>
      <c r="E113" s="39">
        <v>0</v>
      </c>
      <c r="G113" s="31">
        <v>3</v>
      </c>
    </row>
    <row r="114" spans="2:7" x14ac:dyDescent="0.25">
      <c r="B114" s="27">
        <v>44075</v>
      </c>
      <c r="C114" s="35">
        <v>35741.191309999995</v>
      </c>
      <c r="D114" s="35">
        <v>0</v>
      </c>
      <c r="E114" s="39">
        <v>0</v>
      </c>
      <c r="G114" s="31">
        <v>3</v>
      </c>
    </row>
    <row r="115" spans="2:7" x14ac:dyDescent="0.25">
      <c r="B115" s="27">
        <v>44105</v>
      </c>
      <c r="C115" s="35">
        <v>37353.485800000002</v>
      </c>
      <c r="D115" s="35">
        <v>0</v>
      </c>
      <c r="E115" s="39">
        <v>0</v>
      </c>
      <c r="G115" s="31">
        <v>3</v>
      </c>
    </row>
    <row r="116" spans="2:7" x14ac:dyDescent="0.25">
      <c r="B116" s="27">
        <v>44136</v>
      </c>
      <c r="C116" s="35">
        <v>37610.081659999996</v>
      </c>
      <c r="D116" s="35">
        <v>0</v>
      </c>
      <c r="E116" s="39">
        <v>0</v>
      </c>
      <c r="G116" s="31">
        <v>3</v>
      </c>
    </row>
    <row r="117" spans="2:7" x14ac:dyDescent="0.25">
      <c r="B117" s="27">
        <v>44166</v>
      </c>
      <c r="C117" s="40">
        <v>35742.772899999996</v>
      </c>
      <c r="D117" s="40">
        <v>0</v>
      </c>
      <c r="E117" s="40">
        <v>0</v>
      </c>
      <c r="G117" s="34">
        <v>3</v>
      </c>
    </row>
    <row r="118" spans="2:7" x14ac:dyDescent="0.25">
      <c r="C118" s="35">
        <f>SUM(C106:C117)</f>
        <v>452987.68471000006</v>
      </c>
      <c r="D118" s="10">
        <f>SUM(D106:D117)</f>
        <v>0</v>
      </c>
      <c r="E118" s="39">
        <f>SUM(E106:E117)</f>
        <v>0</v>
      </c>
      <c r="G118" s="16">
        <f>SUM(G106:G117)</f>
        <v>36</v>
      </c>
    </row>
  </sheetData>
  <mergeCells count="6">
    <mergeCell ref="D10:G11"/>
    <mergeCell ref="L10:O11"/>
    <mergeCell ref="T10:W11"/>
    <mergeCell ref="E13:F13"/>
    <mergeCell ref="M13:N13"/>
    <mergeCell ref="U13:V13"/>
  </mergeCells>
  <phoneticPr fontId="6" type="noConversion"/>
  <pageMargins left="0.75" right="0.75" top="1" bottom="1" header="0.5" footer="0.5"/>
  <pageSetup scale="3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24"/>
  <sheetViews>
    <sheetView view="pageBreakPreview" zoomScale="60" zoomScaleNormal="100" workbookViewId="0">
      <selection activeCell="U24" sqref="U24"/>
    </sheetView>
  </sheetViews>
  <sheetFormatPr defaultRowHeight="15.75" x14ac:dyDescent="0.25"/>
  <cols>
    <col min="1" max="1" width="4.7109375" style="2" customWidth="1"/>
    <col min="2" max="2" width="18.42578125" style="2" customWidth="1"/>
    <col min="3" max="3" width="21" style="2" customWidth="1"/>
    <col min="4" max="4" width="19.28515625" style="2" customWidth="1"/>
    <col min="5" max="5" width="18.7109375" style="2" customWidth="1"/>
    <col min="6" max="6" width="2.7109375" style="2" customWidth="1"/>
    <col min="7" max="7" width="21.5703125" style="2" customWidth="1"/>
    <col min="8" max="8" width="6.28515625" style="2" customWidth="1"/>
    <col min="9" max="9" width="4.42578125" style="2" customWidth="1"/>
    <col min="10" max="10" width="18.7109375" style="2" customWidth="1"/>
    <col min="11" max="11" width="19.42578125" style="2" customWidth="1"/>
    <col min="12" max="12" width="18" style="2" customWidth="1"/>
    <col min="13" max="13" width="16.7109375" style="2" customWidth="1"/>
    <col min="14" max="14" width="3" style="2" customWidth="1"/>
    <col min="15" max="15" width="20.85546875" style="2" customWidth="1"/>
    <col min="16" max="16" width="5.5703125" style="2" customWidth="1"/>
    <col min="17" max="17" width="4.7109375" style="2" customWidth="1"/>
    <col min="18" max="18" width="3.7109375" style="2" customWidth="1"/>
    <col min="19" max="19" width="22.5703125" style="2" customWidth="1"/>
    <col min="20" max="20" width="18.28515625" style="2" customWidth="1"/>
    <col min="21" max="21" width="17.42578125" style="2" customWidth="1"/>
    <col min="22" max="22" width="3.140625" style="2" customWidth="1"/>
    <col min="23" max="23" width="18.28515625" style="2" customWidth="1"/>
    <col min="24" max="24" width="6.28515625" style="2" customWidth="1"/>
    <col min="25" max="26" width="9.140625" style="2" customWidth="1"/>
    <col min="27" max="27" width="21.5703125" style="2" customWidth="1"/>
    <col min="28" max="28" width="3.5703125" style="2" customWidth="1"/>
    <col min="29" max="29" width="13.5703125" style="2" customWidth="1"/>
    <col min="30" max="30" width="3.5703125" style="2" customWidth="1"/>
    <col min="31" max="31" width="13.5703125" style="2" customWidth="1"/>
    <col min="32" max="16384" width="9.140625" style="2"/>
  </cols>
  <sheetData>
    <row r="1" spans="1:23" x14ac:dyDescent="0.25">
      <c r="I1" s="85" t="s">
        <v>84</v>
      </c>
    </row>
    <row r="2" spans="1:23" x14ac:dyDescent="0.25">
      <c r="I2" s="85" t="s">
        <v>93</v>
      </c>
    </row>
    <row r="3" spans="1:23" x14ac:dyDescent="0.25">
      <c r="I3" s="85" t="s">
        <v>96</v>
      </c>
    </row>
    <row r="4" spans="1:23" x14ac:dyDescent="0.25">
      <c r="I4" s="85" t="s">
        <v>95</v>
      </c>
    </row>
    <row r="5" spans="1:23" x14ac:dyDescent="0.25">
      <c r="W5" s="74" t="s">
        <v>74</v>
      </c>
    </row>
    <row r="6" spans="1:23" x14ac:dyDescent="0.25">
      <c r="A6" s="1"/>
      <c r="I6" s="73" t="s">
        <v>73</v>
      </c>
      <c r="Q6" s="1"/>
      <c r="W6" s="74" t="s">
        <v>91</v>
      </c>
    </row>
    <row r="7" spans="1:23" x14ac:dyDescent="0.25">
      <c r="I7" s="75" t="s">
        <v>75</v>
      </c>
      <c r="W7" s="74" t="s">
        <v>104</v>
      </c>
    </row>
    <row r="8" spans="1:23" x14ac:dyDescent="0.25">
      <c r="I8" s="75" t="s">
        <v>76</v>
      </c>
    </row>
    <row r="9" spans="1:23" ht="16.5" thickBot="1" x14ac:dyDescent="0.3"/>
    <row r="10" spans="1:23" x14ac:dyDescent="0.25">
      <c r="D10" s="92" t="s">
        <v>11</v>
      </c>
      <c r="E10" s="93"/>
      <c r="F10" s="93"/>
      <c r="G10" s="94"/>
      <c r="L10" s="92" t="s">
        <v>12</v>
      </c>
      <c r="M10" s="93"/>
      <c r="N10" s="93"/>
      <c r="O10" s="94"/>
      <c r="T10" s="92" t="s">
        <v>13</v>
      </c>
      <c r="U10" s="93"/>
      <c r="V10" s="93"/>
      <c r="W10" s="94"/>
    </row>
    <row r="11" spans="1:23" ht="16.5" thickBot="1" x14ac:dyDescent="0.3">
      <c r="A11" s="3"/>
      <c r="B11" s="3"/>
      <c r="C11" s="3"/>
      <c r="D11" s="95"/>
      <c r="E11" s="96"/>
      <c r="F11" s="96"/>
      <c r="G11" s="97"/>
      <c r="I11" s="3"/>
      <c r="J11" s="3"/>
      <c r="K11" s="3"/>
      <c r="L11" s="95"/>
      <c r="M11" s="96"/>
      <c r="N11" s="96"/>
      <c r="O11" s="97"/>
      <c r="Q11" s="3"/>
      <c r="R11" s="3"/>
      <c r="S11" s="3"/>
      <c r="T11" s="95"/>
      <c r="U11" s="96"/>
      <c r="V11" s="96"/>
      <c r="W11" s="97"/>
    </row>
    <row r="12" spans="1:23" x14ac:dyDescent="0.25">
      <c r="A12" s="4"/>
      <c r="B12" s="4"/>
      <c r="C12" s="4"/>
      <c r="D12" s="4" t="s">
        <v>14</v>
      </c>
      <c r="E12" s="4"/>
      <c r="F12" s="4"/>
      <c r="G12" s="4" t="s">
        <v>15</v>
      </c>
      <c r="I12" s="4"/>
      <c r="J12" s="4"/>
      <c r="K12" s="4"/>
      <c r="L12" s="4" t="s">
        <v>14</v>
      </c>
      <c r="M12" s="4"/>
      <c r="N12" s="4"/>
      <c r="O12" s="4" t="s">
        <v>15</v>
      </c>
      <c r="Q12" s="4"/>
      <c r="R12" s="4"/>
      <c r="S12" s="4"/>
      <c r="T12" s="4" t="s">
        <v>14</v>
      </c>
      <c r="U12" s="4"/>
      <c r="V12" s="4"/>
      <c r="W12" s="4" t="s">
        <v>15</v>
      </c>
    </row>
    <row r="13" spans="1:23" ht="16.5" thickBot="1" x14ac:dyDescent="0.3">
      <c r="A13" s="5"/>
      <c r="B13" s="5"/>
      <c r="C13" s="5"/>
      <c r="D13" s="5" t="s">
        <v>16</v>
      </c>
      <c r="E13" s="96" t="s">
        <v>17</v>
      </c>
      <c r="F13" s="96"/>
      <c r="G13" s="5" t="s">
        <v>18</v>
      </c>
      <c r="I13" s="5"/>
      <c r="J13" s="5"/>
      <c r="K13" s="5"/>
      <c r="L13" s="5" t="s">
        <v>16</v>
      </c>
      <c r="M13" s="96" t="s">
        <v>17</v>
      </c>
      <c r="N13" s="96"/>
      <c r="O13" s="5" t="s">
        <v>18</v>
      </c>
      <c r="Q13" s="5"/>
      <c r="R13" s="5"/>
      <c r="S13" s="5"/>
      <c r="T13" s="5" t="s">
        <v>16</v>
      </c>
      <c r="U13" s="96" t="s">
        <v>17</v>
      </c>
      <c r="V13" s="96"/>
      <c r="W13" s="5" t="s">
        <v>18</v>
      </c>
    </row>
    <row r="16" spans="1:23" x14ac:dyDescent="0.25">
      <c r="A16" s="1" t="s">
        <v>19</v>
      </c>
      <c r="I16" s="1" t="s">
        <v>19</v>
      </c>
      <c r="Q16" s="1" t="s">
        <v>19</v>
      </c>
    </row>
    <row r="17" spans="1:31" ht="31.5" x14ac:dyDescent="0.25">
      <c r="D17" s="6" t="s">
        <v>20</v>
      </c>
      <c r="E17" s="6" t="s">
        <v>21</v>
      </c>
      <c r="L17" s="6" t="s">
        <v>20</v>
      </c>
      <c r="M17" s="6" t="s">
        <v>21</v>
      </c>
      <c r="T17" s="6" t="s">
        <v>20</v>
      </c>
      <c r="U17" s="6" t="s">
        <v>21</v>
      </c>
    </row>
    <row r="18" spans="1:31" x14ac:dyDescent="0.25">
      <c r="B18" s="2" t="s">
        <v>22</v>
      </c>
      <c r="D18" s="8">
        <f>G68</f>
        <v>34486.406296677487</v>
      </c>
      <c r="E18" s="22">
        <v>24</v>
      </c>
      <c r="G18" s="10">
        <f>D18*E18</f>
        <v>827673.75112025975</v>
      </c>
      <c r="J18" s="2" t="s">
        <v>22</v>
      </c>
      <c r="L18" s="8">
        <f>D18</f>
        <v>34486.406296677487</v>
      </c>
      <c r="M18" s="22">
        <v>24</v>
      </c>
      <c r="O18" s="10">
        <f>L18*M18</f>
        <v>827673.75112025975</v>
      </c>
      <c r="R18" s="2" t="s">
        <v>22</v>
      </c>
      <c r="T18" s="8">
        <f>L18</f>
        <v>34486.406296677487</v>
      </c>
      <c r="U18" s="22">
        <f>'M 2.3 Res'!U18</f>
        <v>29.95</v>
      </c>
      <c r="W18" s="10">
        <f>T18*U18</f>
        <v>1032867.8685854907</v>
      </c>
      <c r="AC18" s="4"/>
      <c r="AD18" s="4"/>
      <c r="AE18" s="4"/>
    </row>
    <row r="19" spans="1:31" x14ac:dyDescent="0.25">
      <c r="D19" s="8"/>
      <c r="E19" s="22"/>
      <c r="G19" s="10"/>
      <c r="L19" s="8"/>
      <c r="M19" s="22"/>
      <c r="O19" s="10"/>
      <c r="T19" s="8"/>
      <c r="U19" s="22"/>
      <c r="W19" s="10"/>
      <c r="AC19" s="4"/>
      <c r="AD19" s="4"/>
      <c r="AE19" s="4"/>
    </row>
    <row r="20" spans="1:31" x14ac:dyDescent="0.25">
      <c r="D20" s="8"/>
      <c r="E20" s="22"/>
      <c r="G20" s="10"/>
      <c r="L20" s="8"/>
      <c r="M20" s="22"/>
      <c r="O20" s="10"/>
      <c r="T20" s="8"/>
      <c r="U20" s="22"/>
      <c r="W20" s="10"/>
      <c r="AC20" s="9"/>
      <c r="AE20" s="9"/>
    </row>
    <row r="21" spans="1:31" x14ac:dyDescent="0.25">
      <c r="A21" s="1" t="s">
        <v>24</v>
      </c>
      <c r="D21" s="8"/>
      <c r="G21" s="10"/>
      <c r="H21" s="9"/>
      <c r="I21" s="1" t="s">
        <v>24</v>
      </c>
      <c r="L21" s="8"/>
      <c r="O21" s="10"/>
      <c r="P21" s="9"/>
      <c r="Q21" s="1" t="s">
        <v>24</v>
      </c>
      <c r="W21" s="9"/>
    </row>
    <row r="22" spans="1:31" x14ac:dyDescent="0.25">
      <c r="D22" s="12" t="s">
        <v>25</v>
      </c>
      <c r="E22" s="11" t="s">
        <v>26</v>
      </c>
      <c r="G22" s="10"/>
      <c r="H22" s="9"/>
      <c r="L22" s="12" t="s">
        <v>25</v>
      </c>
      <c r="M22" s="11" t="s">
        <v>26</v>
      </c>
      <c r="O22" s="10"/>
      <c r="P22" s="9"/>
      <c r="T22" s="12" t="s">
        <v>25</v>
      </c>
      <c r="U22" s="11" t="s">
        <v>27</v>
      </c>
      <c r="W22" s="9"/>
      <c r="AC22" s="41"/>
      <c r="AE22" s="41"/>
    </row>
    <row r="23" spans="1:31" x14ac:dyDescent="0.25">
      <c r="B23" s="2" t="s">
        <v>9</v>
      </c>
      <c r="D23" s="8">
        <f>C68+E68</f>
        <v>208492.1</v>
      </c>
      <c r="E23" s="36">
        <v>3.2109999999999999</v>
      </c>
      <c r="G23" s="10">
        <f>D23*E23</f>
        <v>669468.13309999998</v>
      </c>
      <c r="H23" s="9"/>
      <c r="J23" s="2" t="s">
        <v>9</v>
      </c>
      <c r="L23" s="8">
        <f>D23</f>
        <v>208492.1</v>
      </c>
      <c r="M23" s="36">
        <v>3.2109999999999999</v>
      </c>
      <c r="O23" s="10">
        <f>L23*M23</f>
        <v>669468.13309999998</v>
      </c>
      <c r="P23" s="9"/>
      <c r="R23" s="2" t="s">
        <v>9</v>
      </c>
      <c r="T23" s="8">
        <f>L23</f>
        <v>208492.1</v>
      </c>
      <c r="U23" s="58">
        <v>2.5878999999999999</v>
      </c>
      <c r="W23" s="10">
        <f>T23*U23</f>
        <v>539556.70559000003</v>
      </c>
    </row>
    <row r="24" spans="1:31" x14ac:dyDescent="0.25">
      <c r="B24" s="2" t="s">
        <v>7</v>
      </c>
      <c r="D24" s="8">
        <f>D68</f>
        <v>0</v>
      </c>
      <c r="E24" s="36">
        <v>3.2109999999999999</v>
      </c>
      <c r="G24" s="10">
        <f>D24*E24</f>
        <v>0</v>
      </c>
      <c r="H24" s="9"/>
      <c r="J24" s="2" t="s">
        <v>7</v>
      </c>
      <c r="L24" s="8">
        <f>D24</f>
        <v>0</v>
      </c>
      <c r="M24" s="36">
        <v>3.2109999999999999</v>
      </c>
      <c r="O24" s="10">
        <f>L24*M24</f>
        <v>0</v>
      </c>
      <c r="P24" s="9"/>
      <c r="R24" s="2" t="s">
        <v>7</v>
      </c>
      <c r="T24" s="8">
        <f>L24</f>
        <v>0</v>
      </c>
      <c r="U24" s="36">
        <f>U23</f>
        <v>2.5878999999999999</v>
      </c>
      <c r="W24" s="10">
        <f>T24*U24</f>
        <v>0</v>
      </c>
      <c r="AE24" s="43"/>
    </row>
    <row r="25" spans="1:31" x14ac:dyDescent="0.25">
      <c r="B25" s="7" t="s">
        <v>29</v>
      </c>
      <c r="C25" s="7"/>
      <c r="D25" s="7"/>
      <c r="E25" s="7"/>
      <c r="F25" s="7"/>
      <c r="G25" s="26">
        <f>E87</f>
        <v>74755.640166539699</v>
      </c>
      <c r="H25" s="9"/>
      <c r="J25" s="7" t="s">
        <v>29</v>
      </c>
      <c r="K25" s="7"/>
      <c r="L25" s="47">
        <f>O25/M25</f>
        <v>23281.108740747339</v>
      </c>
      <c r="M25" s="64">
        <v>3.2109999999999999</v>
      </c>
      <c r="N25" s="7"/>
      <c r="O25" s="26">
        <f>G25</f>
        <v>74755.640166539699</v>
      </c>
      <c r="P25" s="9"/>
      <c r="R25" s="7" t="s">
        <v>29</v>
      </c>
      <c r="S25" s="7"/>
      <c r="T25" s="14">
        <f>L25</f>
        <v>23281.108740747339</v>
      </c>
      <c r="U25" s="64">
        <f>U23</f>
        <v>2.5878999999999999</v>
      </c>
      <c r="V25" s="7"/>
      <c r="W25" s="26">
        <f>T25*U25</f>
        <v>60249.181310180036</v>
      </c>
    </row>
    <row r="26" spans="1:31" x14ac:dyDescent="0.25">
      <c r="D26" s="8">
        <f>SUM(D23:D24)</f>
        <v>208492.1</v>
      </c>
      <c r="E26" s="37"/>
      <c r="G26" s="10">
        <f>SUM(G23:G25)</f>
        <v>744223.77326653968</v>
      </c>
      <c r="H26" s="9"/>
      <c r="O26" s="10">
        <f>SUM(O23:O25)</f>
        <v>744223.77326653968</v>
      </c>
      <c r="P26" s="9"/>
      <c r="W26" s="10">
        <f>SUM(W23:W25)</f>
        <v>599805.88690018002</v>
      </c>
      <c r="AE26" s="42"/>
    </row>
    <row r="27" spans="1:31" x14ac:dyDescent="0.25">
      <c r="G27" s="10"/>
      <c r="I27" s="1"/>
      <c r="L27" s="8"/>
      <c r="M27" s="15"/>
      <c r="O27" s="10"/>
      <c r="P27" s="9"/>
      <c r="Q27" s="1"/>
      <c r="T27" s="8"/>
      <c r="U27" s="15"/>
      <c r="W27" s="9"/>
    </row>
    <row r="28" spans="1:31" ht="16.5" thickBot="1" x14ac:dyDescent="0.3">
      <c r="A28" s="1" t="s">
        <v>30</v>
      </c>
      <c r="G28" s="48">
        <f>G18+G26</f>
        <v>1571897.5243867994</v>
      </c>
      <c r="H28" s="10"/>
      <c r="I28" s="1" t="s">
        <v>31</v>
      </c>
      <c r="L28" s="8"/>
      <c r="M28" s="15"/>
      <c r="O28" s="32">
        <f>O18+O26</f>
        <v>1571897.5243867994</v>
      </c>
      <c r="P28" s="9"/>
      <c r="Q28" s="1" t="s">
        <v>31</v>
      </c>
      <c r="T28" s="8"/>
      <c r="U28" s="15"/>
      <c r="W28" s="32">
        <f>W18+W26</f>
        <v>1632673.7554856706</v>
      </c>
      <c r="AE28" s="16"/>
    </row>
    <row r="29" spans="1:31" ht="16.5" thickTop="1" x14ac:dyDescent="0.25">
      <c r="A29" s="1"/>
      <c r="D29" s="8"/>
      <c r="E29" s="15"/>
      <c r="G29" s="10"/>
      <c r="H29" s="10"/>
      <c r="I29" s="1"/>
      <c r="P29" s="9"/>
      <c r="Q29" s="1"/>
    </row>
    <row r="30" spans="1:31" x14ac:dyDescent="0.25">
      <c r="A30" s="1" t="s">
        <v>32</v>
      </c>
      <c r="G30" s="10">
        <f>C87-D87</f>
        <v>1571897.5243867999</v>
      </c>
      <c r="H30" s="10"/>
      <c r="I30" s="1" t="s">
        <v>33</v>
      </c>
      <c r="O30" s="50">
        <f>G34</f>
        <v>1.0000000000000002</v>
      </c>
      <c r="P30" s="9"/>
      <c r="Q30" s="1" t="s">
        <v>33</v>
      </c>
      <c r="W30" s="50">
        <f>O30</f>
        <v>1.0000000000000002</v>
      </c>
    </row>
    <row r="31" spans="1:31" x14ac:dyDescent="0.25">
      <c r="H31" s="18"/>
      <c r="P31" s="18"/>
    </row>
    <row r="32" spans="1:31" x14ac:dyDescent="0.25">
      <c r="A32" s="1" t="s">
        <v>0</v>
      </c>
      <c r="G32" s="10">
        <f>G30-G28</f>
        <v>0</v>
      </c>
      <c r="I32" s="1" t="s">
        <v>34</v>
      </c>
      <c r="O32" s="10">
        <f>O28*O30</f>
        <v>1571897.5243867997</v>
      </c>
      <c r="Q32" s="1" t="s">
        <v>34</v>
      </c>
      <c r="W32" s="10">
        <f>W28*W30</f>
        <v>1632673.7554856711</v>
      </c>
    </row>
    <row r="34" spans="1:23" x14ac:dyDescent="0.25">
      <c r="A34" s="1" t="s">
        <v>33</v>
      </c>
      <c r="G34" s="49">
        <f>G30/G28</f>
        <v>1.0000000000000002</v>
      </c>
      <c r="I34" s="1" t="s">
        <v>1</v>
      </c>
      <c r="L34" s="25">
        <v>7303.2956291390728</v>
      </c>
      <c r="M34" s="36">
        <v>3.2109999999999999</v>
      </c>
      <c r="O34" s="10">
        <f>L34*M34</f>
        <v>23450.882265165561</v>
      </c>
      <c r="Q34" s="1" t="s">
        <v>1</v>
      </c>
      <c r="T34" s="25">
        <f>L34</f>
        <v>7303.2956291390728</v>
      </c>
      <c r="U34" s="36">
        <f>U23</f>
        <v>2.5878999999999999</v>
      </c>
      <c r="W34" s="10">
        <f>T34*U34</f>
        <v>18900.198758649007</v>
      </c>
    </row>
    <row r="35" spans="1:23" x14ac:dyDescent="0.25">
      <c r="W35" s="10"/>
    </row>
    <row r="36" spans="1:23" x14ac:dyDescent="0.25">
      <c r="A36" s="1" t="s">
        <v>37</v>
      </c>
      <c r="D36" s="8"/>
      <c r="E36" s="15"/>
      <c r="G36" s="10">
        <f>D87</f>
        <v>1388570.5200499999</v>
      </c>
      <c r="I36" s="1" t="s">
        <v>31</v>
      </c>
      <c r="O36" s="10">
        <f>O32+O34</f>
        <v>1595348.4066519651</v>
      </c>
      <c r="Q36" s="1" t="s">
        <v>31</v>
      </c>
      <c r="W36" s="10">
        <f>W32+W34</f>
        <v>1651573.95424432</v>
      </c>
    </row>
    <row r="37" spans="1:23" x14ac:dyDescent="0.25">
      <c r="G37" s="10"/>
    </row>
    <row r="38" spans="1:23" x14ac:dyDescent="0.25">
      <c r="A38" s="1" t="s">
        <v>38</v>
      </c>
      <c r="B38" s="1"/>
      <c r="G38" s="10">
        <f>G28+G36</f>
        <v>2960468.0444367994</v>
      </c>
      <c r="I38" s="1" t="s">
        <v>37</v>
      </c>
      <c r="L38" s="8">
        <f>L23+L25+L34</f>
        <v>239076.50436988642</v>
      </c>
      <c r="M38" s="58">
        <f>7.2435+0.87</f>
        <v>8.1135000000000002</v>
      </c>
      <c r="O38" s="10">
        <f>(((14964/208448)*L38)*4.6564)+(((193484/208448)*L38)*4.5264)</f>
        <v>1084387.0468171083</v>
      </c>
      <c r="Q38" s="1" t="s">
        <v>37</v>
      </c>
      <c r="W38" s="10">
        <f>O38</f>
        <v>1084387.0468171083</v>
      </c>
    </row>
    <row r="39" spans="1:23" x14ac:dyDescent="0.25">
      <c r="O39" s="10"/>
      <c r="W39" s="10"/>
    </row>
    <row r="40" spans="1:23" x14ac:dyDescent="0.25">
      <c r="I40" s="1" t="s">
        <v>6</v>
      </c>
      <c r="L40" s="25"/>
      <c r="M40" s="41"/>
      <c r="O40" s="39">
        <f>O36+O38</f>
        <v>2679735.4534690734</v>
      </c>
      <c r="Q40" s="1" t="s">
        <v>6</v>
      </c>
      <c r="T40" s="25"/>
      <c r="U40" s="41"/>
      <c r="W40" s="39">
        <f>W36+W38</f>
        <v>2735961.0010614283</v>
      </c>
    </row>
    <row r="41" spans="1:23" x14ac:dyDescent="0.25">
      <c r="D41" s="17"/>
      <c r="Q41" s="1"/>
      <c r="T41" s="13"/>
      <c r="U41" s="41"/>
      <c r="W41" s="42"/>
    </row>
    <row r="42" spans="1:23" x14ac:dyDescent="0.25">
      <c r="I42" s="1"/>
      <c r="O42" s="10"/>
      <c r="Q42" s="1" t="s">
        <v>39</v>
      </c>
      <c r="S42" s="21"/>
      <c r="U42" s="17"/>
      <c r="W42" s="10">
        <f>W40-O40</f>
        <v>56225.547592354938</v>
      </c>
    </row>
    <row r="43" spans="1:23" x14ac:dyDescent="0.25">
      <c r="L43" s="21"/>
      <c r="S43" s="21"/>
      <c r="U43" s="17"/>
    </row>
    <row r="44" spans="1:23" x14ac:dyDescent="0.25">
      <c r="G44" s="10"/>
      <c r="Q44" s="1" t="s">
        <v>28</v>
      </c>
      <c r="S44" s="21"/>
      <c r="U44" s="17"/>
      <c r="W44" s="56">
        <f>W42/O40</f>
        <v>2.0981753075501427E-2</v>
      </c>
    </row>
    <row r="45" spans="1:23" x14ac:dyDescent="0.25">
      <c r="A45" s="1"/>
      <c r="D45" s="8"/>
      <c r="E45" s="15"/>
      <c r="G45" s="39"/>
    </row>
    <row r="46" spans="1:23" x14ac:dyDescent="0.25">
      <c r="A46" s="9"/>
      <c r="B46" s="9"/>
      <c r="D46" s="17"/>
      <c r="G46" s="10"/>
      <c r="Q46" s="1"/>
      <c r="W46" s="10"/>
    </row>
    <row r="47" spans="1:23" x14ac:dyDescent="0.25">
      <c r="A47" s="1"/>
      <c r="D47" s="8"/>
      <c r="E47" s="15"/>
      <c r="G47" s="10"/>
      <c r="H47" s="10"/>
      <c r="S47" s="21"/>
      <c r="U47" s="17"/>
    </row>
    <row r="48" spans="1:23" x14ac:dyDescent="0.25">
      <c r="A48" s="9"/>
      <c r="B48" s="9"/>
      <c r="G48" s="17"/>
      <c r="H48" s="10"/>
      <c r="I48" s="1"/>
      <c r="L48" s="25"/>
      <c r="M48" s="17"/>
      <c r="O48" s="17"/>
      <c r="Q48" s="1"/>
      <c r="S48" s="21"/>
      <c r="U48" s="17"/>
      <c r="W48" s="10"/>
    </row>
    <row r="49" spans="1:23" x14ac:dyDescent="0.25">
      <c r="A49" s="1"/>
      <c r="D49" s="8"/>
      <c r="G49" s="20"/>
      <c r="H49" s="10"/>
      <c r="O49" s="17"/>
      <c r="S49" s="21"/>
      <c r="U49" s="17"/>
    </row>
    <row r="50" spans="1:23" x14ac:dyDescent="0.25">
      <c r="H50" s="10"/>
      <c r="I50" s="1"/>
      <c r="O50" s="9"/>
      <c r="Q50" s="1"/>
      <c r="S50" s="21"/>
      <c r="U50" s="17"/>
      <c r="W50" s="56"/>
    </row>
    <row r="51" spans="1:23" x14ac:dyDescent="0.25">
      <c r="H51" s="10"/>
      <c r="I51" s="1"/>
      <c r="J51" s="1"/>
      <c r="O51" s="10"/>
      <c r="S51" s="21"/>
      <c r="U51" s="17"/>
    </row>
    <row r="52" spans="1:23" x14ac:dyDescent="0.25">
      <c r="A52" s="9"/>
      <c r="B52" s="9"/>
      <c r="G52" s="24"/>
      <c r="H52" s="10"/>
      <c r="I52" s="1"/>
      <c r="L52" s="8"/>
      <c r="M52" s="15"/>
      <c r="O52" s="10"/>
      <c r="S52" s="21"/>
      <c r="U52" s="17"/>
    </row>
    <row r="53" spans="1:23" x14ac:dyDescent="0.25">
      <c r="A53" s="52" t="s">
        <v>5</v>
      </c>
      <c r="B53" s="9"/>
      <c r="D53" s="28"/>
      <c r="E53" s="28"/>
      <c r="G53" s="10"/>
      <c r="I53" s="9"/>
      <c r="J53" s="9"/>
      <c r="O53" s="9"/>
      <c r="S53" s="21"/>
      <c r="U53" s="17"/>
    </row>
    <row r="54" spans="1:23" x14ac:dyDescent="0.25">
      <c r="A54" s="10"/>
      <c r="B54" s="10"/>
      <c r="C54" s="30" t="s">
        <v>9</v>
      </c>
      <c r="D54" s="28" t="s">
        <v>7</v>
      </c>
      <c r="E54" s="28" t="s">
        <v>40</v>
      </c>
      <c r="G54" s="30" t="s">
        <v>8</v>
      </c>
      <c r="I54" s="1"/>
      <c r="L54" s="8"/>
      <c r="O54" s="20"/>
      <c r="S54" s="21"/>
      <c r="U54" s="17"/>
      <c r="W54" s="17"/>
    </row>
    <row r="55" spans="1:23" x14ac:dyDescent="0.25">
      <c r="A55" s="9"/>
      <c r="B55" s="28" t="s">
        <v>41</v>
      </c>
      <c r="C55" s="30" t="s">
        <v>25</v>
      </c>
      <c r="D55" s="30" t="s">
        <v>25</v>
      </c>
      <c r="E55" s="30" t="s">
        <v>25</v>
      </c>
      <c r="G55" s="30" t="s">
        <v>42</v>
      </c>
      <c r="M55" s="17"/>
      <c r="S55" s="21"/>
      <c r="U55" s="17"/>
      <c r="W55" s="9"/>
    </row>
    <row r="56" spans="1:23" x14ac:dyDescent="0.25">
      <c r="A56" s="19"/>
      <c r="B56" s="27">
        <v>43831</v>
      </c>
      <c r="C56" s="31">
        <v>43535.1</v>
      </c>
      <c r="D56" s="31">
        <v>0</v>
      </c>
      <c r="E56" s="31">
        <v>0</v>
      </c>
      <c r="G56" s="31">
        <v>2926.1674493414284</v>
      </c>
      <c r="J56" s="42"/>
      <c r="K56" s="42"/>
      <c r="L56" s="17"/>
      <c r="O56" s="10"/>
      <c r="S56" s="17"/>
    </row>
    <row r="57" spans="1:23" x14ac:dyDescent="0.25">
      <c r="A57" s="10"/>
      <c r="B57" s="27">
        <v>43862</v>
      </c>
      <c r="C57" s="31">
        <v>18172</v>
      </c>
      <c r="D57" s="31">
        <v>0</v>
      </c>
      <c r="E57" s="31">
        <v>0</v>
      </c>
      <c r="G57" s="31">
        <v>1655</v>
      </c>
      <c r="J57" s="42"/>
      <c r="K57" s="42"/>
      <c r="L57" s="17"/>
    </row>
    <row r="58" spans="1:23" x14ac:dyDescent="0.25">
      <c r="B58" s="27">
        <v>43891</v>
      </c>
      <c r="C58" s="31">
        <v>46336</v>
      </c>
      <c r="D58" s="31">
        <v>0</v>
      </c>
      <c r="E58" s="31">
        <v>0</v>
      </c>
      <c r="G58" s="31">
        <v>4502.973052931593</v>
      </c>
      <c r="J58" s="42"/>
      <c r="K58" s="42"/>
      <c r="L58" s="17"/>
    </row>
    <row r="59" spans="1:23" x14ac:dyDescent="0.25">
      <c r="B59" s="27">
        <v>43922</v>
      </c>
      <c r="C59" s="31">
        <v>11853</v>
      </c>
      <c r="D59" s="31">
        <v>0</v>
      </c>
      <c r="E59" s="31">
        <v>0</v>
      </c>
      <c r="G59" s="31">
        <v>1378.5631841459401</v>
      </c>
      <c r="J59" s="42"/>
      <c r="K59" s="42"/>
      <c r="L59" s="17"/>
      <c r="M59" s="28"/>
    </row>
    <row r="60" spans="1:23" x14ac:dyDescent="0.25">
      <c r="B60" s="27">
        <v>43952</v>
      </c>
      <c r="C60" s="31">
        <v>21530</v>
      </c>
      <c r="D60" s="31">
        <v>0</v>
      </c>
      <c r="E60" s="31">
        <v>0</v>
      </c>
      <c r="G60" s="31">
        <v>4481.438732608578</v>
      </c>
      <c r="J60" s="42"/>
      <c r="K60" s="42"/>
      <c r="L60" s="17"/>
      <c r="M60" s="28"/>
    </row>
    <row r="61" spans="1:23" x14ac:dyDescent="0.25">
      <c r="B61" s="27">
        <v>43983</v>
      </c>
      <c r="C61" s="31">
        <v>6239</v>
      </c>
      <c r="D61" s="31">
        <v>0</v>
      </c>
      <c r="E61" s="31">
        <v>0</v>
      </c>
      <c r="G61" s="31">
        <v>2888.2990470396562</v>
      </c>
      <c r="J61" s="42"/>
      <c r="K61" s="42"/>
      <c r="L61" s="17"/>
      <c r="M61" s="21"/>
    </row>
    <row r="62" spans="1:23" x14ac:dyDescent="0.25">
      <c r="B62" s="27">
        <v>44013</v>
      </c>
      <c r="C62" s="31">
        <v>5368</v>
      </c>
      <c r="D62" s="31">
        <v>0</v>
      </c>
      <c r="E62" s="31">
        <v>0</v>
      </c>
      <c r="G62" s="31">
        <v>2869.0314972769588</v>
      </c>
      <c r="J62" s="42"/>
      <c r="K62" s="42"/>
      <c r="L62" s="17"/>
      <c r="M62" s="21"/>
    </row>
    <row r="63" spans="1:23" x14ac:dyDescent="0.25">
      <c r="B63" s="27">
        <v>44044</v>
      </c>
      <c r="C63" s="31">
        <v>3422</v>
      </c>
      <c r="D63" s="31">
        <v>0</v>
      </c>
      <c r="E63" s="31">
        <v>0</v>
      </c>
      <c r="G63" s="31">
        <v>2853</v>
      </c>
      <c r="J63" s="42"/>
      <c r="K63" s="42"/>
      <c r="L63" s="17"/>
      <c r="M63" s="21"/>
    </row>
    <row r="64" spans="1:23" x14ac:dyDescent="0.25">
      <c r="B64" s="27">
        <v>44075</v>
      </c>
      <c r="C64" s="31">
        <v>3514</v>
      </c>
      <c r="D64" s="31">
        <v>0</v>
      </c>
      <c r="E64" s="31">
        <v>0</v>
      </c>
      <c r="G64" s="31">
        <v>2849.9333333333329</v>
      </c>
      <c r="J64" s="42"/>
      <c r="K64" s="42"/>
      <c r="L64" s="17"/>
      <c r="M64" s="21"/>
    </row>
    <row r="65" spans="2:13" x14ac:dyDescent="0.25">
      <c r="B65" s="27">
        <v>44105</v>
      </c>
      <c r="C65" s="31">
        <v>5845</v>
      </c>
      <c r="D65" s="31">
        <v>0</v>
      </c>
      <c r="E65" s="31">
        <v>0</v>
      </c>
      <c r="G65" s="31">
        <v>2861</v>
      </c>
      <c r="J65" s="42"/>
      <c r="K65" s="42"/>
      <c r="L65" s="17"/>
      <c r="M65" s="21"/>
    </row>
    <row r="66" spans="2:13" x14ac:dyDescent="0.25">
      <c r="B66" s="27">
        <v>44136</v>
      </c>
      <c r="C66" s="31">
        <v>10613</v>
      </c>
      <c r="D66" s="31">
        <v>0</v>
      </c>
      <c r="E66" s="31">
        <v>0</v>
      </c>
      <c r="G66" s="31">
        <v>2304.8333333333335</v>
      </c>
      <c r="J66" s="42"/>
      <c r="K66" s="42"/>
      <c r="L66" s="17"/>
      <c r="M66" s="21"/>
    </row>
    <row r="67" spans="2:13" x14ac:dyDescent="0.25">
      <c r="B67" s="27">
        <v>44166</v>
      </c>
      <c r="C67" s="34">
        <v>32065</v>
      </c>
      <c r="D67" s="34">
        <v>0</v>
      </c>
      <c r="E67" s="34">
        <v>0</v>
      </c>
      <c r="G67" s="34">
        <v>2916.1666666666665</v>
      </c>
      <c r="J67" s="42"/>
      <c r="K67" s="42"/>
      <c r="L67" s="17"/>
      <c r="M67" s="21"/>
    </row>
    <row r="68" spans="2:13" x14ac:dyDescent="0.25">
      <c r="C68" s="16">
        <f>SUM(C56:C67)</f>
        <v>208492.1</v>
      </c>
      <c r="D68" s="16">
        <f>SUM(D56:D67)</f>
        <v>0</v>
      </c>
      <c r="E68" s="16">
        <f>SUM(E56:E67)</f>
        <v>0</v>
      </c>
      <c r="G68" s="16">
        <f>SUM(G56:G67)</f>
        <v>34486.406296677487</v>
      </c>
      <c r="J68" s="27"/>
      <c r="K68" s="45"/>
      <c r="L68" s="23"/>
      <c r="M68" s="21"/>
    </row>
    <row r="69" spans="2:13" x14ac:dyDescent="0.25">
      <c r="G69" s="17"/>
      <c r="J69" s="27"/>
      <c r="K69" s="45"/>
      <c r="L69" s="23"/>
      <c r="M69" s="21"/>
    </row>
    <row r="70" spans="2:13" x14ac:dyDescent="0.25">
      <c r="G70" s="17"/>
      <c r="J70" s="27"/>
      <c r="K70" s="45"/>
      <c r="L70" s="23"/>
      <c r="M70" s="21"/>
    </row>
    <row r="71" spans="2:13" x14ac:dyDescent="0.25">
      <c r="D71" s="28"/>
      <c r="E71" s="28"/>
      <c r="J71" s="27"/>
      <c r="K71" s="45"/>
      <c r="L71" s="23"/>
      <c r="M71" s="21"/>
    </row>
    <row r="72" spans="2:13" x14ac:dyDescent="0.25">
      <c r="B72" s="28"/>
      <c r="C72" s="28"/>
      <c r="D72" s="28"/>
      <c r="E72" s="28"/>
      <c r="J72" s="27"/>
      <c r="K72" s="45"/>
      <c r="L72" s="23"/>
      <c r="M72" s="23"/>
    </row>
    <row r="73" spans="2:13" x14ac:dyDescent="0.25">
      <c r="B73" s="27"/>
      <c r="C73" s="30" t="s">
        <v>8</v>
      </c>
      <c r="D73" s="28" t="s">
        <v>44</v>
      </c>
      <c r="E73" s="46" t="s">
        <v>29</v>
      </c>
      <c r="G73" s="22"/>
      <c r="L73" s="23"/>
      <c r="M73" s="21"/>
    </row>
    <row r="74" spans="2:13" x14ac:dyDescent="0.25">
      <c r="B74" s="28" t="s">
        <v>41</v>
      </c>
      <c r="C74" s="30" t="s">
        <v>46</v>
      </c>
      <c r="D74" s="28" t="s">
        <v>46</v>
      </c>
      <c r="E74" s="46" t="s">
        <v>46</v>
      </c>
      <c r="G74" s="22"/>
    </row>
    <row r="75" spans="2:13" x14ac:dyDescent="0.25">
      <c r="B75" s="27">
        <v>43831</v>
      </c>
      <c r="C75" s="35">
        <v>553050.80010955129</v>
      </c>
      <c r="D75" s="35">
        <v>336417.48524999997</v>
      </c>
      <c r="E75" s="39">
        <v>6614.0899753570557</v>
      </c>
      <c r="G75" s="22"/>
    </row>
    <row r="76" spans="2:13" x14ac:dyDescent="0.25">
      <c r="B76" s="27">
        <v>43862</v>
      </c>
      <c r="C76" s="35">
        <v>249164.02422692699</v>
      </c>
      <c r="D76" s="35">
        <v>137706.09220000001</v>
      </c>
      <c r="E76" s="39">
        <v>13387.640026926994</v>
      </c>
      <c r="G76" s="22"/>
    </row>
    <row r="77" spans="2:13" x14ac:dyDescent="0.25">
      <c r="B77" s="27">
        <v>43891</v>
      </c>
      <c r="C77" s="35">
        <v>634583.76990273129</v>
      </c>
      <c r="D77" s="35">
        <v>331830.63040000002</v>
      </c>
      <c r="E77" s="39">
        <v>45896.890232373029</v>
      </c>
      <c r="G77" s="22"/>
      <c r="J77" s="17"/>
    </row>
    <row r="78" spans="2:13" x14ac:dyDescent="0.25">
      <c r="B78" s="27">
        <v>43922</v>
      </c>
      <c r="C78" s="35">
        <v>152515.93373082855</v>
      </c>
      <c r="D78" s="35">
        <v>84884.074200000003</v>
      </c>
      <c r="E78" s="39">
        <v>-3513.6398886740203</v>
      </c>
      <c r="G78" s="22"/>
    </row>
    <row r="79" spans="2:13" x14ac:dyDescent="0.25">
      <c r="B79" s="27">
        <v>43952</v>
      </c>
      <c r="C79" s="35">
        <v>325297.48158260592</v>
      </c>
      <c r="D79" s="35">
        <v>148610.12199999997</v>
      </c>
      <c r="E79" s="39">
        <v>0</v>
      </c>
      <c r="G79" s="22"/>
    </row>
    <row r="80" spans="2:13" x14ac:dyDescent="0.25">
      <c r="B80" s="27">
        <v>43983</v>
      </c>
      <c r="C80" s="35">
        <v>130687.29352895173</v>
      </c>
      <c r="D80" s="35">
        <v>41334.687399999995</v>
      </c>
      <c r="E80" s="39">
        <v>0</v>
      </c>
      <c r="G80" s="22"/>
    </row>
    <row r="81" spans="1:7" x14ac:dyDescent="0.25">
      <c r="B81" s="27">
        <v>44013</v>
      </c>
      <c r="C81" s="35">
        <v>122643.04233464702</v>
      </c>
      <c r="D81" s="35">
        <v>36549.638400000003</v>
      </c>
      <c r="E81" s="39">
        <v>0</v>
      </c>
      <c r="G81" s="22"/>
    </row>
    <row r="82" spans="1:7" x14ac:dyDescent="0.25">
      <c r="B82" s="27">
        <v>44044</v>
      </c>
      <c r="C82" s="35">
        <v>99806.085200000001</v>
      </c>
      <c r="D82" s="35">
        <v>20346.0432</v>
      </c>
      <c r="E82" s="39">
        <v>0</v>
      </c>
      <c r="G82" s="22"/>
    </row>
    <row r="83" spans="1:7" x14ac:dyDescent="0.25">
      <c r="B83" s="27">
        <v>44075</v>
      </c>
      <c r="C83" s="35">
        <v>97601.497000000003</v>
      </c>
      <c r="D83" s="35">
        <v>17919.642999999996</v>
      </c>
      <c r="E83" s="39">
        <v>0</v>
      </c>
      <c r="G83" s="22"/>
    </row>
    <row r="84" spans="1:7" x14ac:dyDescent="0.25">
      <c r="B84" s="27">
        <v>44105</v>
      </c>
      <c r="C84" s="35">
        <v>117238.87249999998</v>
      </c>
      <c r="D84" s="35">
        <v>29806.577499999999</v>
      </c>
      <c r="E84" s="39">
        <v>0</v>
      </c>
      <c r="G84" s="22"/>
    </row>
    <row r="85" spans="1:7" x14ac:dyDescent="0.25">
      <c r="B85" s="27">
        <v>44136</v>
      </c>
      <c r="C85" s="35">
        <v>143515.33649999998</v>
      </c>
      <c r="D85" s="35">
        <v>54120.993500000004</v>
      </c>
      <c r="E85" s="39">
        <v>0</v>
      </c>
      <c r="G85" s="22"/>
    </row>
    <row r="86" spans="1:7" x14ac:dyDescent="0.25">
      <c r="B86" s="27">
        <v>44166</v>
      </c>
      <c r="C86" s="40">
        <v>334363.90782055666</v>
      </c>
      <c r="D86" s="40">
        <v>149044.533</v>
      </c>
      <c r="E86" s="40">
        <v>12370.659820556637</v>
      </c>
      <c r="G86" s="17"/>
    </row>
    <row r="87" spans="1:7" x14ac:dyDescent="0.25">
      <c r="C87" s="35">
        <f>SUM(C75:C86)</f>
        <v>2960468.0444367998</v>
      </c>
      <c r="D87" s="10">
        <f>SUM(D75:D86)</f>
        <v>1388570.5200499999</v>
      </c>
      <c r="E87" s="39">
        <f>SUM(E75:E86)</f>
        <v>74755.640166539699</v>
      </c>
      <c r="G87" s="17"/>
    </row>
    <row r="90" spans="1:7" x14ac:dyDescent="0.25">
      <c r="A90" s="52"/>
      <c r="B90" s="9"/>
      <c r="D90" s="28"/>
      <c r="E90" s="28"/>
      <c r="G90" s="10"/>
    </row>
    <row r="91" spans="1:7" x14ac:dyDescent="0.25">
      <c r="A91" s="10"/>
      <c r="B91" s="10"/>
      <c r="C91" s="30"/>
      <c r="D91" s="28"/>
      <c r="E91" s="28"/>
      <c r="G91" s="30"/>
    </row>
    <row r="92" spans="1:7" x14ac:dyDescent="0.25">
      <c r="A92" s="9"/>
      <c r="B92" s="28"/>
      <c r="C92" s="30"/>
      <c r="D92" s="30"/>
      <c r="E92" s="30"/>
      <c r="G92" s="30"/>
    </row>
    <row r="93" spans="1:7" x14ac:dyDescent="0.25">
      <c r="A93" s="63"/>
      <c r="B93" s="27"/>
      <c r="C93" s="33"/>
      <c r="D93" s="33"/>
      <c r="E93" s="33"/>
      <c r="G93" s="33"/>
    </row>
    <row r="94" spans="1:7" x14ac:dyDescent="0.25">
      <c r="A94" s="10"/>
      <c r="B94" s="27"/>
      <c r="C94" s="33"/>
      <c r="D94" s="33"/>
      <c r="E94" s="33"/>
      <c r="G94" s="33"/>
    </row>
    <row r="95" spans="1:7" x14ac:dyDescent="0.25">
      <c r="B95" s="27"/>
      <c r="C95" s="33"/>
      <c r="D95" s="33"/>
      <c r="E95" s="33"/>
      <c r="G95" s="33"/>
    </row>
    <row r="96" spans="1:7" x14ac:dyDescent="0.25">
      <c r="B96" s="27"/>
      <c r="C96" s="33"/>
      <c r="D96" s="33"/>
      <c r="E96" s="33"/>
      <c r="G96" s="33"/>
    </row>
    <row r="97" spans="2:7" x14ac:dyDescent="0.25">
      <c r="B97" s="27"/>
      <c r="C97" s="33"/>
      <c r="D97" s="33"/>
      <c r="E97" s="33"/>
      <c r="G97" s="33"/>
    </row>
    <row r="98" spans="2:7" x14ac:dyDescent="0.25">
      <c r="B98" s="27"/>
      <c r="C98" s="33"/>
      <c r="D98" s="33"/>
      <c r="E98" s="33"/>
      <c r="G98" s="33"/>
    </row>
    <row r="99" spans="2:7" x14ac:dyDescent="0.25">
      <c r="B99" s="27"/>
      <c r="C99" s="33"/>
      <c r="D99" s="33"/>
      <c r="E99" s="33"/>
      <c r="G99" s="33"/>
    </row>
    <row r="100" spans="2:7" x14ac:dyDescent="0.25">
      <c r="B100" s="27"/>
      <c r="C100" s="33"/>
      <c r="D100" s="33"/>
      <c r="E100" s="33"/>
      <c r="G100" s="33"/>
    </row>
    <row r="101" spans="2:7" x14ac:dyDescent="0.25">
      <c r="B101" s="27"/>
      <c r="C101" s="33"/>
      <c r="D101" s="33"/>
      <c r="E101" s="33"/>
      <c r="G101" s="33"/>
    </row>
    <row r="102" spans="2:7" x14ac:dyDescent="0.25">
      <c r="B102" s="27"/>
      <c r="C102" s="33"/>
      <c r="D102" s="33"/>
      <c r="E102" s="33"/>
      <c r="G102" s="33"/>
    </row>
    <row r="103" spans="2:7" x14ac:dyDescent="0.25">
      <c r="B103" s="27"/>
      <c r="C103" s="33"/>
      <c r="D103" s="33"/>
      <c r="E103" s="33"/>
      <c r="G103" s="33"/>
    </row>
    <row r="104" spans="2:7" x14ac:dyDescent="0.25">
      <c r="B104" s="27"/>
      <c r="C104" s="33"/>
      <c r="D104" s="33"/>
      <c r="E104" s="33"/>
      <c r="G104" s="33"/>
    </row>
    <row r="105" spans="2:7" x14ac:dyDescent="0.25">
      <c r="C105" s="16"/>
      <c r="D105" s="16"/>
      <c r="E105" s="16"/>
      <c r="G105" s="16"/>
    </row>
    <row r="106" spans="2:7" x14ac:dyDescent="0.25">
      <c r="C106" s="16"/>
      <c r="G106" s="17"/>
    </row>
    <row r="107" spans="2:7" x14ac:dyDescent="0.25">
      <c r="G107" s="17"/>
    </row>
    <row r="108" spans="2:7" x14ac:dyDescent="0.25">
      <c r="D108" s="28"/>
      <c r="E108" s="28"/>
    </row>
    <row r="109" spans="2:7" x14ac:dyDescent="0.25">
      <c r="B109" s="28"/>
      <c r="C109" s="28"/>
      <c r="D109" s="28"/>
      <c r="E109" s="28"/>
    </row>
    <row r="110" spans="2:7" x14ac:dyDescent="0.25">
      <c r="B110" s="27"/>
      <c r="C110" s="30"/>
      <c r="D110" s="28"/>
      <c r="E110" s="46"/>
      <c r="G110" s="22"/>
    </row>
    <row r="111" spans="2:7" x14ac:dyDescent="0.25">
      <c r="B111" s="28"/>
      <c r="C111" s="30"/>
      <c r="D111" s="28"/>
      <c r="E111" s="46"/>
      <c r="G111" s="22"/>
    </row>
    <row r="112" spans="2:7" x14ac:dyDescent="0.25">
      <c r="B112" s="27"/>
      <c r="C112" s="39"/>
      <c r="D112" s="39"/>
      <c r="E112" s="39"/>
      <c r="G112" s="22"/>
    </row>
    <row r="113" spans="2:7" x14ac:dyDescent="0.25">
      <c r="B113" s="27"/>
      <c r="C113" s="39"/>
      <c r="D113" s="39"/>
      <c r="E113" s="39"/>
      <c r="G113" s="22"/>
    </row>
    <row r="114" spans="2:7" x14ac:dyDescent="0.25">
      <c r="B114" s="27"/>
      <c r="C114" s="39"/>
      <c r="D114" s="39"/>
      <c r="E114" s="39"/>
      <c r="G114" s="22"/>
    </row>
    <row r="115" spans="2:7" x14ac:dyDescent="0.25">
      <c r="B115" s="27"/>
      <c r="C115" s="39"/>
      <c r="D115" s="39"/>
      <c r="E115" s="39"/>
      <c r="G115" s="22"/>
    </row>
    <row r="116" spans="2:7" x14ac:dyDescent="0.25">
      <c r="B116" s="27"/>
      <c r="C116" s="39"/>
      <c r="D116" s="39"/>
      <c r="E116" s="39"/>
      <c r="G116" s="22"/>
    </row>
    <row r="117" spans="2:7" x14ac:dyDescent="0.25">
      <c r="B117" s="27"/>
      <c r="C117" s="39"/>
      <c r="D117" s="39"/>
      <c r="E117" s="39"/>
      <c r="G117" s="22"/>
    </row>
    <row r="118" spans="2:7" x14ac:dyDescent="0.25">
      <c r="B118" s="27"/>
      <c r="C118" s="39"/>
      <c r="D118" s="39"/>
      <c r="E118" s="39"/>
      <c r="G118" s="22"/>
    </row>
    <row r="119" spans="2:7" x14ac:dyDescent="0.25">
      <c r="B119" s="27"/>
      <c r="C119" s="39"/>
      <c r="D119" s="39"/>
      <c r="E119" s="39"/>
      <c r="G119" s="22"/>
    </row>
    <row r="120" spans="2:7" x14ac:dyDescent="0.25">
      <c r="B120" s="27"/>
      <c r="C120" s="39"/>
      <c r="D120" s="39"/>
      <c r="E120" s="39"/>
      <c r="G120" s="22"/>
    </row>
    <row r="121" spans="2:7" x14ac:dyDescent="0.25">
      <c r="B121" s="27"/>
      <c r="C121" s="39"/>
      <c r="D121" s="39"/>
      <c r="E121" s="39"/>
      <c r="G121" s="22"/>
    </row>
    <row r="122" spans="2:7" x14ac:dyDescent="0.25">
      <c r="B122" s="27"/>
      <c r="C122" s="39"/>
      <c r="D122" s="39"/>
      <c r="E122" s="39"/>
      <c r="G122" s="22"/>
    </row>
    <row r="123" spans="2:7" x14ac:dyDescent="0.25">
      <c r="B123" s="27"/>
      <c r="C123" s="39"/>
      <c r="D123" s="39"/>
      <c r="E123" s="39"/>
      <c r="G123" s="17"/>
    </row>
    <row r="124" spans="2:7" x14ac:dyDescent="0.25">
      <c r="C124" s="39"/>
      <c r="D124" s="10"/>
      <c r="E124" s="39"/>
      <c r="G124" s="17"/>
    </row>
  </sheetData>
  <mergeCells count="6">
    <mergeCell ref="D10:G11"/>
    <mergeCell ref="L10:O11"/>
    <mergeCell ref="T10:W11"/>
    <mergeCell ref="E13:F13"/>
    <mergeCell ref="M13:N13"/>
    <mergeCell ref="U13:V13"/>
  </mergeCells>
  <pageMargins left="0.7" right="0.7" top="0.75" bottom="0.75" header="0.3" footer="0.3"/>
  <pageSetup scale="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63"/>
  <sheetViews>
    <sheetView view="pageBreakPreview" zoomScale="60" zoomScaleNormal="100" workbookViewId="0">
      <selection activeCell="M25" sqref="M25"/>
    </sheetView>
  </sheetViews>
  <sheetFormatPr defaultRowHeight="15.75" x14ac:dyDescent="0.25"/>
  <cols>
    <col min="1" max="1" width="4.7109375" style="2" customWidth="1"/>
    <col min="2" max="2" width="18.42578125" style="2" customWidth="1"/>
    <col min="3" max="3" width="21" style="2" customWidth="1"/>
    <col min="4" max="4" width="19.28515625" style="2" customWidth="1"/>
    <col min="5" max="5" width="18.7109375" style="2" customWidth="1"/>
    <col min="6" max="6" width="2.7109375" style="2" customWidth="1"/>
    <col min="7" max="7" width="21.5703125" style="2" customWidth="1"/>
    <col min="8" max="8" width="6.28515625" style="2" customWidth="1"/>
    <col min="9" max="9" width="4.42578125" style="2" customWidth="1"/>
    <col min="10" max="10" width="18.7109375" style="2" customWidth="1"/>
    <col min="11" max="11" width="19.42578125" style="2" customWidth="1"/>
    <col min="12" max="12" width="18" style="2" customWidth="1"/>
    <col min="13" max="13" width="16.7109375" style="2" customWidth="1"/>
    <col min="14" max="14" width="3" style="2" customWidth="1"/>
    <col min="15" max="15" width="20.85546875" style="2" customWidth="1"/>
    <col min="16" max="16" width="5.5703125" style="2" customWidth="1"/>
    <col min="17" max="18" width="9.140625" style="2"/>
    <col min="19" max="19" width="21.5703125" style="2" customWidth="1"/>
    <col min="20" max="20" width="3.5703125" style="2" customWidth="1"/>
    <col min="21" max="21" width="13.5703125" style="2" customWidth="1"/>
    <col min="22" max="22" width="3.5703125" style="2" customWidth="1"/>
    <col min="23" max="23" width="17.85546875" style="2" customWidth="1"/>
    <col min="24" max="16384" width="9.140625" style="2"/>
  </cols>
  <sheetData>
    <row r="1" spans="1:15" x14ac:dyDescent="0.25">
      <c r="A1" s="85" t="s">
        <v>84</v>
      </c>
    </row>
    <row r="2" spans="1:15" x14ac:dyDescent="0.25">
      <c r="A2" s="85" t="s">
        <v>93</v>
      </c>
    </row>
    <row r="3" spans="1:15" x14ac:dyDescent="0.25">
      <c r="A3" s="85" t="s">
        <v>96</v>
      </c>
    </row>
    <row r="4" spans="1:15" x14ac:dyDescent="0.25">
      <c r="A4" s="85" t="s">
        <v>95</v>
      </c>
    </row>
    <row r="5" spans="1:15" x14ac:dyDescent="0.25">
      <c r="O5" s="74" t="s">
        <v>74</v>
      </c>
    </row>
    <row r="6" spans="1:15" x14ac:dyDescent="0.25">
      <c r="A6" s="73" t="s">
        <v>73</v>
      </c>
      <c r="I6" s="1"/>
      <c r="O6" s="74" t="s">
        <v>91</v>
      </c>
    </row>
    <row r="7" spans="1:15" x14ac:dyDescent="0.25">
      <c r="A7" s="75" t="s">
        <v>75</v>
      </c>
      <c r="O7" s="74" t="s">
        <v>105</v>
      </c>
    </row>
    <row r="8" spans="1:15" x14ac:dyDescent="0.25">
      <c r="A8" s="75" t="s">
        <v>76</v>
      </c>
    </row>
    <row r="9" spans="1:15" ht="16.5" thickBot="1" x14ac:dyDescent="0.3"/>
    <row r="10" spans="1:15" x14ac:dyDescent="0.25">
      <c r="D10" s="92" t="s">
        <v>94</v>
      </c>
      <c r="E10" s="93"/>
      <c r="F10" s="93"/>
      <c r="G10" s="94"/>
      <c r="L10" s="92" t="s">
        <v>13</v>
      </c>
      <c r="M10" s="93"/>
      <c r="N10" s="93"/>
      <c r="O10" s="94"/>
    </row>
    <row r="11" spans="1:15" ht="16.5" thickBot="1" x14ac:dyDescent="0.3">
      <c r="A11" s="3"/>
      <c r="B11" s="3"/>
      <c r="C11" s="3"/>
      <c r="D11" s="95"/>
      <c r="E11" s="96"/>
      <c r="F11" s="96"/>
      <c r="G11" s="97"/>
      <c r="I11" s="3"/>
      <c r="J11" s="3"/>
      <c r="K11" s="3"/>
      <c r="L11" s="95"/>
      <c r="M11" s="96"/>
      <c r="N11" s="96"/>
      <c r="O11" s="97"/>
    </row>
    <row r="12" spans="1:15" x14ac:dyDescent="0.25">
      <c r="A12" s="4"/>
      <c r="B12" s="4"/>
      <c r="C12" s="4"/>
      <c r="D12" s="4" t="s">
        <v>14</v>
      </c>
      <c r="E12" s="4"/>
      <c r="F12" s="4"/>
      <c r="G12" s="4" t="s">
        <v>15</v>
      </c>
      <c r="I12" s="4"/>
      <c r="J12" s="4"/>
      <c r="K12" s="4"/>
      <c r="L12" s="4" t="s">
        <v>14</v>
      </c>
      <c r="M12" s="4"/>
      <c r="N12" s="4"/>
      <c r="O12" s="4" t="s">
        <v>15</v>
      </c>
    </row>
    <row r="13" spans="1:15" ht="16.5" thickBot="1" x14ac:dyDescent="0.3">
      <c r="A13" s="5"/>
      <c r="B13" s="5"/>
      <c r="C13" s="5"/>
      <c r="D13" s="5" t="s">
        <v>16</v>
      </c>
      <c r="E13" s="96" t="s">
        <v>17</v>
      </c>
      <c r="F13" s="96"/>
      <c r="G13" s="5" t="s">
        <v>18</v>
      </c>
      <c r="I13" s="5"/>
      <c r="J13" s="5"/>
      <c r="K13" s="5"/>
      <c r="L13" s="5" t="s">
        <v>16</v>
      </c>
      <c r="M13" s="96" t="s">
        <v>17</v>
      </c>
      <c r="N13" s="96"/>
      <c r="O13" s="5" t="s">
        <v>18</v>
      </c>
    </row>
    <row r="16" spans="1:15" x14ac:dyDescent="0.25">
      <c r="A16" s="1" t="s">
        <v>19</v>
      </c>
      <c r="I16" s="1" t="s">
        <v>19</v>
      </c>
    </row>
    <row r="17" spans="1:23" ht="31.5" x14ac:dyDescent="0.25">
      <c r="D17" s="6" t="s">
        <v>20</v>
      </c>
      <c r="E17" s="6" t="s">
        <v>21</v>
      </c>
      <c r="L17" s="6" t="s">
        <v>20</v>
      </c>
      <c r="M17" s="6" t="s">
        <v>21</v>
      </c>
    </row>
    <row r="18" spans="1:23" x14ac:dyDescent="0.25">
      <c r="B18" s="2" t="s">
        <v>22</v>
      </c>
      <c r="D18" s="8">
        <f>G68</f>
        <v>108</v>
      </c>
      <c r="E18" s="22">
        <v>0</v>
      </c>
      <c r="G18" s="10">
        <f>D18*E18</f>
        <v>0</v>
      </c>
      <c r="J18" s="2" t="s">
        <v>22</v>
      </c>
      <c r="L18" s="8">
        <f>D18</f>
        <v>108</v>
      </c>
      <c r="M18" s="22">
        <v>0</v>
      </c>
      <c r="O18" s="10">
        <f>L18*M18</f>
        <v>0</v>
      </c>
      <c r="U18" s="4"/>
      <c r="V18" s="4"/>
      <c r="W18" s="4"/>
    </row>
    <row r="19" spans="1:23" x14ac:dyDescent="0.25">
      <c r="D19" s="16"/>
      <c r="E19" s="22"/>
      <c r="G19" s="10"/>
      <c r="L19" s="8"/>
      <c r="M19" s="22"/>
      <c r="O19" s="10"/>
      <c r="U19" s="4"/>
      <c r="V19" s="4"/>
      <c r="W19" s="4"/>
    </row>
    <row r="20" spans="1:23" x14ac:dyDescent="0.25">
      <c r="G20" s="10"/>
      <c r="L20" s="8"/>
      <c r="M20" s="22"/>
      <c r="O20" s="10"/>
      <c r="U20" s="9"/>
      <c r="W20" s="9"/>
    </row>
    <row r="21" spans="1:23" x14ac:dyDescent="0.25">
      <c r="G21" s="10"/>
      <c r="H21" s="9"/>
      <c r="O21" s="10"/>
      <c r="P21" s="9"/>
    </row>
    <row r="22" spans="1:23" x14ac:dyDescent="0.25">
      <c r="A22" s="1" t="s">
        <v>24</v>
      </c>
      <c r="D22" s="8"/>
      <c r="G22" s="10"/>
      <c r="H22" s="9"/>
      <c r="I22" s="1" t="s">
        <v>24</v>
      </c>
      <c r="L22" s="8"/>
      <c r="O22" s="10"/>
      <c r="P22" s="9"/>
      <c r="U22" s="41"/>
      <c r="W22" s="41"/>
    </row>
    <row r="23" spans="1:23" x14ac:dyDescent="0.25">
      <c r="D23" s="12" t="s">
        <v>25</v>
      </c>
      <c r="E23" s="11" t="s">
        <v>26</v>
      </c>
      <c r="G23" s="10"/>
      <c r="H23" s="9"/>
      <c r="L23" s="12" t="s">
        <v>25</v>
      </c>
      <c r="M23" s="11" t="s">
        <v>26</v>
      </c>
      <c r="O23" s="10"/>
      <c r="P23" s="9"/>
    </row>
    <row r="24" spans="1:23" x14ac:dyDescent="0.25">
      <c r="B24" s="2" t="s">
        <v>9</v>
      </c>
      <c r="D24" s="8">
        <v>0</v>
      </c>
      <c r="E24" s="36">
        <v>0.31419999999999998</v>
      </c>
      <c r="G24" s="10">
        <f>D24*E24</f>
        <v>0</v>
      </c>
      <c r="H24" s="9"/>
      <c r="J24" s="2" t="s">
        <v>9</v>
      </c>
      <c r="L24" s="8">
        <f>D24</f>
        <v>0</v>
      </c>
      <c r="M24" s="36">
        <v>0.33810000000000001</v>
      </c>
      <c r="O24" s="10">
        <f>L24*M24</f>
        <v>0</v>
      </c>
      <c r="P24" s="9"/>
      <c r="W24" s="43"/>
    </row>
    <row r="25" spans="1:23" x14ac:dyDescent="0.25">
      <c r="B25" s="2" t="s">
        <v>7</v>
      </c>
      <c r="D25" s="8">
        <f>C68</f>
        <v>8855999.7388890591</v>
      </c>
      <c r="E25" s="36">
        <v>0.31419999999999998</v>
      </c>
      <c r="G25" s="10">
        <f>D25*E25</f>
        <v>2782555.117958942</v>
      </c>
      <c r="H25" s="9"/>
      <c r="J25" s="2" t="s">
        <v>7</v>
      </c>
      <c r="L25" s="8">
        <f>D25</f>
        <v>8855999.7388890591</v>
      </c>
      <c r="M25" s="36">
        <f>M24</f>
        <v>0.33810000000000001</v>
      </c>
      <c r="O25" s="10">
        <f>L25*M25</f>
        <v>2994213.511718391</v>
      </c>
      <c r="P25" s="9"/>
    </row>
    <row r="26" spans="1:23" x14ac:dyDescent="0.25">
      <c r="B26" s="7" t="s">
        <v>29</v>
      </c>
      <c r="C26" s="7"/>
      <c r="D26" s="7"/>
      <c r="E26" s="7"/>
      <c r="F26" s="7"/>
      <c r="G26" s="26">
        <f>E87</f>
        <v>0</v>
      </c>
      <c r="H26" s="9"/>
      <c r="J26" s="7" t="s">
        <v>29</v>
      </c>
      <c r="K26" s="7"/>
      <c r="L26" s="7"/>
      <c r="M26" s="7"/>
      <c r="N26" s="7"/>
      <c r="O26" s="26">
        <f>G26</f>
        <v>0</v>
      </c>
      <c r="P26" s="9"/>
      <c r="W26" s="42"/>
    </row>
    <row r="27" spans="1:23" x14ac:dyDescent="0.25">
      <c r="D27" s="8">
        <f>SUM(D24:D25)</f>
        <v>8855999.7388890591</v>
      </c>
      <c r="E27" s="37"/>
      <c r="G27" s="10">
        <f>SUM(G24:G26)</f>
        <v>2782555.117958942</v>
      </c>
      <c r="O27" s="10">
        <f>SUM(O24:O26)</f>
        <v>2994213.511718391</v>
      </c>
      <c r="P27" s="9"/>
    </row>
    <row r="28" spans="1:23" x14ac:dyDescent="0.25">
      <c r="G28" s="10"/>
      <c r="H28" s="10"/>
      <c r="I28" s="1"/>
      <c r="L28" s="8"/>
      <c r="M28" s="15"/>
      <c r="O28" s="10"/>
      <c r="P28" s="9"/>
      <c r="W28" s="16"/>
    </row>
    <row r="29" spans="1:23" ht="16.5" thickBot="1" x14ac:dyDescent="0.3">
      <c r="A29" s="1" t="s">
        <v>30</v>
      </c>
      <c r="G29" s="48">
        <f>G18+G27</f>
        <v>2782555.117958942</v>
      </c>
      <c r="H29" s="10"/>
      <c r="I29" s="1" t="s">
        <v>31</v>
      </c>
      <c r="L29" s="8"/>
      <c r="M29" s="15"/>
      <c r="O29" s="32">
        <f>O18+O27</f>
        <v>2994213.511718391</v>
      </c>
      <c r="P29" s="9"/>
    </row>
    <row r="30" spans="1:23" ht="16.5" thickTop="1" x14ac:dyDescent="0.25">
      <c r="A30" s="1"/>
      <c r="D30" s="8"/>
      <c r="E30" s="15"/>
      <c r="G30" s="10"/>
      <c r="H30" s="10"/>
      <c r="I30" s="1"/>
      <c r="P30" s="9"/>
    </row>
    <row r="31" spans="1:23" x14ac:dyDescent="0.25">
      <c r="A31" s="1" t="s">
        <v>32</v>
      </c>
      <c r="G31" s="10">
        <f>C87-D87-C103-D103</f>
        <v>2782555.1179589415</v>
      </c>
      <c r="H31" s="18"/>
      <c r="I31" s="1" t="s">
        <v>33</v>
      </c>
      <c r="O31" s="50">
        <f>G35</f>
        <v>0.99999999999999978</v>
      </c>
      <c r="P31" s="18"/>
    </row>
    <row r="33" spans="1:15" x14ac:dyDescent="0.25">
      <c r="A33" s="1" t="s">
        <v>0</v>
      </c>
      <c r="G33" s="10">
        <f>G31-G29</f>
        <v>0</v>
      </c>
      <c r="I33" s="1" t="s">
        <v>34</v>
      </c>
      <c r="O33" s="10">
        <f>O29*O31</f>
        <v>2994213.5117183905</v>
      </c>
    </row>
    <row r="35" spans="1:15" x14ac:dyDescent="0.25">
      <c r="A35" s="1" t="s">
        <v>33</v>
      </c>
      <c r="G35" s="49">
        <f>G31/G29</f>
        <v>0.99999999999999978</v>
      </c>
      <c r="I35" s="1" t="s">
        <v>36</v>
      </c>
      <c r="L35" s="8"/>
      <c r="M35" s="22"/>
      <c r="O35" s="10">
        <v>0</v>
      </c>
    </row>
    <row r="37" spans="1:15" x14ac:dyDescent="0.25">
      <c r="A37" s="1" t="s">
        <v>36</v>
      </c>
      <c r="G37" s="10">
        <f>C103+D103</f>
        <v>0</v>
      </c>
      <c r="I37" s="1" t="s">
        <v>37</v>
      </c>
      <c r="O37" s="10">
        <f>G39</f>
        <v>0</v>
      </c>
    </row>
    <row r="38" spans="1:15" x14ac:dyDescent="0.25">
      <c r="O38" s="10"/>
    </row>
    <row r="39" spans="1:15" x14ac:dyDescent="0.25">
      <c r="A39" s="1" t="s">
        <v>37</v>
      </c>
      <c r="D39" s="8"/>
      <c r="E39" s="15"/>
      <c r="G39" s="10">
        <f>D87</f>
        <v>0</v>
      </c>
      <c r="I39" s="1" t="s">
        <v>6</v>
      </c>
      <c r="L39" s="25"/>
      <c r="M39" s="41"/>
      <c r="O39" s="39">
        <f>O33+O35+O37</f>
        <v>2994213.5117183905</v>
      </c>
    </row>
    <row r="40" spans="1:15" x14ac:dyDescent="0.25">
      <c r="G40" s="10"/>
    </row>
    <row r="41" spans="1:15" x14ac:dyDescent="0.25">
      <c r="A41" s="1" t="s">
        <v>38</v>
      </c>
      <c r="B41" s="1"/>
      <c r="G41" s="10">
        <f>G29+G37+G39</f>
        <v>2782555.117958942</v>
      </c>
      <c r="I41" s="1" t="s">
        <v>39</v>
      </c>
      <c r="K41" s="21"/>
      <c r="M41" s="17"/>
      <c r="O41" s="10">
        <f>O39-G41</f>
        <v>211658.39375944855</v>
      </c>
    </row>
    <row r="42" spans="1:15" x14ac:dyDescent="0.25">
      <c r="K42" s="21"/>
      <c r="M42" s="17"/>
    </row>
    <row r="43" spans="1:15" x14ac:dyDescent="0.25">
      <c r="D43" s="8"/>
      <c r="I43" s="1" t="s">
        <v>28</v>
      </c>
      <c r="K43" s="21"/>
      <c r="M43" s="17"/>
      <c r="O43" s="56">
        <f>O41/G41</f>
        <v>7.6066199872692572E-2</v>
      </c>
    </row>
    <row r="47" spans="1:15" x14ac:dyDescent="0.25">
      <c r="H47" s="10"/>
    </row>
    <row r="48" spans="1:15" x14ac:dyDescent="0.25">
      <c r="A48" s="9"/>
      <c r="B48" s="9"/>
      <c r="G48" s="17"/>
      <c r="H48" s="10"/>
    </row>
    <row r="49" spans="1:15" x14ac:dyDescent="0.25">
      <c r="A49" s="1"/>
      <c r="D49" s="8"/>
      <c r="G49" s="20"/>
      <c r="H49" s="10"/>
    </row>
    <row r="50" spans="1:15" x14ac:dyDescent="0.25">
      <c r="H50" s="10"/>
    </row>
    <row r="51" spans="1:15" x14ac:dyDescent="0.25">
      <c r="H51" s="10"/>
    </row>
    <row r="52" spans="1:15" x14ac:dyDescent="0.25">
      <c r="A52" s="9"/>
      <c r="B52" s="9"/>
      <c r="G52" s="24"/>
      <c r="H52" s="10"/>
    </row>
    <row r="53" spans="1:15" x14ac:dyDescent="0.25">
      <c r="A53" s="9"/>
      <c r="B53" s="9"/>
      <c r="D53" s="28"/>
      <c r="E53" s="28"/>
      <c r="G53" s="10"/>
      <c r="I53" s="9"/>
      <c r="J53" s="9"/>
      <c r="O53" s="9"/>
    </row>
    <row r="54" spans="1:15" x14ac:dyDescent="0.25">
      <c r="A54" s="10"/>
      <c r="B54" s="10"/>
      <c r="C54" s="28" t="s">
        <v>7</v>
      </c>
      <c r="D54" s="28" t="s">
        <v>7</v>
      </c>
      <c r="E54" s="28" t="s">
        <v>40</v>
      </c>
      <c r="G54" s="30" t="s">
        <v>8</v>
      </c>
      <c r="I54" s="1"/>
      <c r="L54" s="8"/>
      <c r="O54" s="20"/>
    </row>
    <row r="55" spans="1:15" x14ac:dyDescent="0.25">
      <c r="A55" s="9"/>
      <c r="B55" s="28" t="s">
        <v>41</v>
      </c>
      <c r="C55" s="30" t="s">
        <v>62</v>
      </c>
      <c r="D55" s="30" t="s">
        <v>25</v>
      </c>
      <c r="E55" s="30" t="s">
        <v>25</v>
      </c>
      <c r="G55" s="30" t="s">
        <v>42</v>
      </c>
      <c r="M55" s="17"/>
    </row>
    <row r="56" spans="1:15" x14ac:dyDescent="0.25">
      <c r="A56" s="19"/>
      <c r="B56" s="27">
        <v>43831</v>
      </c>
      <c r="C56" s="31">
        <v>1471964.3693522266</v>
      </c>
      <c r="D56" s="31">
        <v>1342733</v>
      </c>
      <c r="E56" s="31">
        <v>0</v>
      </c>
      <c r="G56" s="31">
        <v>9</v>
      </c>
      <c r="O56" s="10"/>
    </row>
    <row r="57" spans="1:15" x14ac:dyDescent="0.25">
      <c r="A57" s="10"/>
      <c r="B57" s="27">
        <v>43862</v>
      </c>
      <c r="C57" s="31">
        <v>730176.82321000006</v>
      </c>
      <c r="D57" s="31">
        <v>665908</v>
      </c>
      <c r="E57" s="31">
        <v>0</v>
      </c>
      <c r="G57" s="31">
        <v>9</v>
      </c>
    </row>
    <row r="58" spans="1:15" x14ac:dyDescent="0.25">
      <c r="B58" s="27">
        <v>43891</v>
      </c>
      <c r="C58" s="31">
        <v>494099.39772563998</v>
      </c>
      <c r="D58" s="31">
        <v>450032</v>
      </c>
      <c r="E58" s="31">
        <v>0</v>
      </c>
      <c r="G58" s="31">
        <v>9</v>
      </c>
    </row>
    <row r="59" spans="1:15" x14ac:dyDescent="0.25">
      <c r="B59" s="27">
        <v>43922</v>
      </c>
      <c r="C59" s="31">
        <v>212604.29689999999</v>
      </c>
      <c r="D59" s="31">
        <v>204816</v>
      </c>
      <c r="E59" s="31">
        <v>0</v>
      </c>
      <c r="G59" s="31">
        <v>9</v>
      </c>
      <c r="L59" s="28"/>
      <c r="M59" s="28"/>
    </row>
    <row r="60" spans="1:15" x14ac:dyDescent="0.25">
      <c r="B60" s="27">
        <v>43952</v>
      </c>
      <c r="C60" s="31">
        <v>261193.34394116802</v>
      </c>
      <c r="D60" s="31">
        <v>254129</v>
      </c>
      <c r="E60" s="31">
        <v>0</v>
      </c>
      <c r="G60" s="31">
        <v>9</v>
      </c>
      <c r="J60" s="28"/>
      <c r="K60" s="28"/>
      <c r="L60" s="28"/>
      <c r="M60" s="28"/>
    </row>
    <row r="61" spans="1:15" x14ac:dyDescent="0.25">
      <c r="B61" s="27">
        <v>43983</v>
      </c>
      <c r="C61" s="31">
        <v>845187.36111135606</v>
      </c>
      <c r="D61" s="31">
        <v>782802</v>
      </c>
      <c r="E61" s="31">
        <v>0</v>
      </c>
      <c r="G61" s="31">
        <v>9</v>
      </c>
      <c r="J61" s="27"/>
      <c r="K61" s="45"/>
      <c r="L61" s="23"/>
      <c r="M61" s="21"/>
    </row>
    <row r="62" spans="1:15" x14ac:dyDescent="0.25">
      <c r="B62" s="27">
        <v>44013</v>
      </c>
      <c r="C62" s="31">
        <v>830392.55714285723</v>
      </c>
      <c r="D62" s="31">
        <v>766706</v>
      </c>
      <c r="E62" s="31">
        <v>0</v>
      </c>
      <c r="G62" s="31">
        <v>9</v>
      </c>
      <c r="J62" s="27"/>
      <c r="K62" s="45"/>
      <c r="L62" s="23"/>
      <c r="M62" s="21"/>
    </row>
    <row r="63" spans="1:15" x14ac:dyDescent="0.25">
      <c r="B63" s="27">
        <v>44044</v>
      </c>
      <c r="C63" s="31">
        <v>773675.37450980395</v>
      </c>
      <c r="D63" s="31">
        <v>709030</v>
      </c>
      <c r="E63" s="31">
        <v>0</v>
      </c>
      <c r="G63" s="31">
        <v>9</v>
      </c>
      <c r="J63" s="27"/>
      <c r="K63" s="45"/>
      <c r="L63" s="23"/>
      <c r="M63" s="21"/>
    </row>
    <row r="64" spans="1:15" x14ac:dyDescent="0.25">
      <c r="B64" s="27">
        <v>44075</v>
      </c>
      <c r="C64" s="31">
        <v>657956.63846166106</v>
      </c>
      <c r="D64" s="31">
        <v>596316</v>
      </c>
      <c r="E64" s="31">
        <v>0</v>
      </c>
      <c r="G64" s="31">
        <v>9</v>
      </c>
      <c r="J64" s="27"/>
      <c r="K64" s="45"/>
      <c r="L64" s="23"/>
      <c r="M64" s="21"/>
    </row>
    <row r="65" spans="2:13" x14ac:dyDescent="0.25">
      <c r="B65" s="27">
        <v>44105</v>
      </c>
      <c r="C65" s="31">
        <v>710711.09781021893</v>
      </c>
      <c r="D65" s="31">
        <v>656842</v>
      </c>
      <c r="E65" s="31">
        <v>0</v>
      </c>
      <c r="G65" s="31">
        <v>9</v>
      </c>
      <c r="J65" s="27"/>
      <c r="K65" s="45"/>
      <c r="L65" s="23"/>
      <c r="M65" s="21"/>
    </row>
    <row r="66" spans="2:13" x14ac:dyDescent="0.25">
      <c r="B66" s="27">
        <v>44136</v>
      </c>
      <c r="C66" s="31">
        <v>464341.23222168605</v>
      </c>
      <c r="D66" s="31">
        <v>426516</v>
      </c>
      <c r="E66" s="31">
        <v>0</v>
      </c>
      <c r="G66" s="31">
        <v>9</v>
      </c>
      <c r="J66" s="27"/>
      <c r="K66" s="45"/>
      <c r="L66" s="23"/>
      <c r="M66" s="21"/>
    </row>
    <row r="67" spans="2:13" x14ac:dyDescent="0.25">
      <c r="B67" s="27">
        <v>44166</v>
      </c>
      <c r="C67" s="34">
        <v>1403697.24650244</v>
      </c>
      <c r="D67" s="34">
        <v>1254554</v>
      </c>
      <c r="E67" s="34">
        <v>0</v>
      </c>
      <c r="G67" s="34">
        <v>9</v>
      </c>
      <c r="J67" s="27"/>
      <c r="K67" s="45"/>
      <c r="L67" s="23"/>
      <c r="M67" s="21"/>
    </row>
    <row r="68" spans="2:13" x14ac:dyDescent="0.25">
      <c r="C68" s="16">
        <f>SUM(C56:C67)</f>
        <v>8855999.7388890591</v>
      </c>
      <c r="D68" s="16">
        <f>SUM(D56:D67)</f>
        <v>8110384</v>
      </c>
      <c r="E68" s="16">
        <f>SUM(E56:E67)</f>
        <v>0</v>
      </c>
      <c r="G68" s="16">
        <f>SUM(G56:G67)</f>
        <v>108</v>
      </c>
      <c r="J68" s="27"/>
      <c r="K68" s="45"/>
      <c r="L68" s="23"/>
      <c r="M68" s="21"/>
    </row>
    <row r="69" spans="2:13" x14ac:dyDescent="0.25">
      <c r="G69" s="17"/>
      <c r="J69" s="27"/>
      <c r="K69" s="45"/>
      <c r="L69" s="23"/>
      <c r="M69" s="21"/>
    </row>
    <row r="70" spans="2:13" x14ac:dyDescent="0.25">
      <c r="G70" s="17"/>
      <c r="J70" s="27"/>
      <c r="K70" s="45"/>
      <c r="L70" s="23"/>
      <c r="M70" s="21"/>
    </row>
    <row r="71" spans="2:13" x14ac:dyDescent="0.25">
      <c r="D71" s="28"/>
      <c r="E71" s="28"/>
      <c r="J71" s="27"/>
      <c r="K71" s="45"/>
      <c r="L71" s="23"/>
      <c r="M71" s="21"/>
    </row>
    <row r="72" spans="2:13" x14ac:dyDescent="0.25">
      <c r="B72" s="28"/>
      <c r="C72" s="28"/>
      <c r="D72" s="28"/>
      <c r="E72" s="28"/>
      <c r="J72" s="27"/>
      <c r="K72" s="45"/>
      <c r="L72" s="23"/>
      <c r="M72" s="23"/>
    </row>
    <row r="73" spans="2:13" x14ac:dyDescent="0.25">
      <c r="B73" s="27"/>
      <c r="C73" s="30" t="s">
        <v>43</v>
      </c>
      <c r="D73" s="28" t="s">
        <v>44</v>
      </c>
      <c r="E73" s="46" t="s">
        <v>29</v>
      </c>
      <c r="G73" s="22" t="s">
        <v>45</v>
      </c>
      <c r="L73" s="23"/>
      <c r="M73" s="21"/>
    </row>
    <row r="74" spans="2:13" x14ac:dyDescent="0.25">
      <c r="B74" s="28" t="s">
        <v>41</v>
      </c>
      <c r="C74" s="30" t="s">
        <v>46</v>
      </c>
      <c r="D74" s="28" t="s">
        <v>46</v>
      </c>
      <c r="E74" s="46" t="s">
        <v>46</v>
      </c>
      <c r="G74" s="22" t="s">
        <v>46</v>
      </c>
    </row>
    <row r="75" spans="2:13" x14ac:dyDescent="0.25">
      <c r="B75" s="27">
        <v>43831</v>
      </c>
      <c r="C75" s="35">
        <v>462491.2048504696</v>
      </c>
      <c r="D75" s="35">
        <v>0</v>
      </c>
      <c r="E75" s="39">
        <v>0</v>
      </c>
      <c r="G75" s="22"/>
    </row>
    <row r="76" spans="2:13" x14ac:dyDescent="0.25">
      <c r="B76" s="27">
        <v>43862</v>
      </c>
      <c r="C76" s="35">
        <v>229421.55785258202</v>
      </c>
      <c r="D76" s="35">
        <v>0</v>
      </c>
      <c r="E76" s="39">
        <v>0</v>
      </c>
      <c r="G76" s="22"/>
    </row>
    <row r="77" spans="2:13" x14ac:dyDescent="0.25">
      <c r="B77" s="27">
        <v>43891</v>
      </c>
      <c r="C77" s="35">
        <v>155246.03076539608</v>
      </c>
      <c r="D77" s="35">
        <v>0</v>
      </c>
      <c r="E77" s="39">
        <v>0</v>
      </c>
      <c r="G77" s="22"/>
      <c r="J77" s="17"/>
    </row>
    <row r="78" spans="2:13" x14ac:dyDescent="0.25">
      <c r="B78" s="27">
        <v>43922</v>
      </c>
      <c r="C78" s="35">
        <v>66800.270085979995</v>
      </c>
      <c r="D78" s="35">
        <v>0</v>
      </c>
      <c r="E78" s="39">
        <v>0</v>
      </c>
      <c r="G78" s="22"/>
    </row>
    <row r="79" spans="2:13" x14ac:dyDescent="0.25">
      <c r="B79" s="27">
        <v>43952</v>
      </c>
      <c r="C79" s="35">
        <v>82066.948666314987</v>
      </c>
      <c r="D79" s="35">
        <v>0</v>
      </c>
      <c r="E79" s="39">
        <v>0</v>
      </c>
      <c r="G79" s="22"/>
    </row>
    <row r="80" spans="2:13" x14ac:dyDescent="0.25">
      <c r="B80" s="27">
        <v>43983</v>
      </c>
      <c r="C80" s="35">
        <v>265557.86886118806</v>
      </c>
      <c r="D80" s="35">
        <v>0</v>
      </c>
      <c r="E80" s="39">
        <v>0</v>
      </c>
      <c r="G80" s="22"/>
    </row>
    <row r="81" spans="2:7" x14ac:dyDescent="0.25">
      <c r="B81" s="27">
        <v>44013</v>
      </c>
      <c r="C81" s="35">
        <v>260909.34145428572</v>
      </c>
      <c r="D81" s="35">
        <v>0</v>
      </c>
      <c r="E81" s="39">
        <v>0</v>
      </c>
      <c r="G81" s="22"/>
    </row>
    <row r="82" spans="2:7" x14ac:dyDescent="0.25">
      <c r="B82" s="27">
        <v>44044</v>
      </c>
      <c r="C82" s="35">
        <v>243088.8026709804</v>
      </c>
      <c r="D82" s="35">
        <v>0</v>
      </c>
      <c r="E82" s="39">
        <v>0</v>
      </c>
      <c r="G82" s="22"/>
    </row>
    <row r="83" spans="2:7" x14ac:dyDescent="0.25">
      <c r="B83" s="27">
        <v>44075</v>
      </c>
      <c r="C83" s="35">
        <v>206729.97580465389</v>
      </c>
      <c r="D83" s="35">
        <v>0</v>
      </c>
      <c r="E83" s="39">
        <v>0</v>
      </c>
      <c r="G83" s="22"/>
    </row>
    <row r="84" spans="2:7" x14ac:dyDescent="0.25">
      <c r="B84" s="27">
        <v>44105</v>
      </c>
      <c r="C84" s="35">
        <v>223305.42693197078</v>
      </c>
      <c r="D84" s="35">
        <v>0</v>
      </c>
      <c r="E84" s="39">
        <v>0</v>
      </c>
      <c r="G84" s="22"/>
    </row>
    <row r="85" spans="2:7" x14ac:dyDescent="0.25">
      <c r="B85" s="27">
        <v>44136</v>
      </c>
      <c r="C85" s="35">
        <v>145896.01516405374</v>
      </c>
      <c r="D85" s="35">
        <v>0</v>
      </c>
      <c r="E85" s="39">
        <v>0</v>
      </c>
      <c r="G85" s="22"/>
    </row>
    <row r="86" spans="2:7" x14ac:dyDescent="0.25">
      <c r="B86" s="27">
        <v>44166</v>
      </c>
      <c r="C86" s="40">
        <v>441041.67485106661</v>
      </c>
      <c r="D86" s="40">
        <v>0</v>
      </c>
      <c r="E86" s="40">
        <v>0</v>
      </c>
      <c r="G86" s="17"/>
    </row>
    <row r="87" spans="2:7" x14ac:dyDescent="0.25">
      <c r="C87" s="35">
        <f>SUM(C75:C86)</f>
        <v>2782555.1179589415</v>
      </c>
      <c r="D87" s="10">
        <f>SUM(D75:D86)</f>
        <v>0</v>
      </c>
      <c r="E87" s="39">
        <f>SUM(E75:E86)</f>
        <v>0</v>
      </c>
      <c r="G87" s="22">
        <v>0</v>
      </c>
    </row>
    <row r="88" spans="2:7" x14ac:dyDescent="0.25">
      <c r="C88" s="35"/>
      <c r="D88" s="10"/>
      <c r="E88" s="39"/>
      <c r="G88" s="22"/>
    </row>
    <row r="89" spans="2:7" x14ac:dyDescent="0.25">
      <c r="C89" s="53" t="s">
        <v>47</v>
      </c>
      <c r="D89" s="53" t="s">
        <v>48</v>
      </c>
      <c r="E89" s="39"/>
      <c r="G89" s="22"/>
    </row>
    <row r="90" spans="2:7" x14ac:dyDescent="0.25">
      <c r="B90" s="28" t="s">
        <v>41</v>
      </c>
      <c r="C90" s="53" t="s">
        <v>46</v>
      </c>
      <c r="D90" s="53" t="s">
        <v>46</v>
      </c>
      <c r="E90" s="39"/>
      <c r="G90" s="22"/>
    </row>
    <row r="91" spans="2:7" x14ac:dyDescent="0.25">
      <c r="B91" s="27">
        <v>43831</v>
      </c>
      <c r="C91" s="35">
        <v>0</v>
      </c>
      <c r="D91" s="10">
        <v>0</v>
      </c>
      <c r="E91" s="39"/>
      <c r="G91" s="22"/>
    </row>
    <row r="92" spans="2:7" x14ac:dyDescent="0.25">
      <c r="B92" s="27">
        <v>43862</v>
      </c>
      <c r="C92" s="35">
        <v>0</v>
      </c>
      <c r="D92" s="10">
        <v>0</v>
      </c>
      <c r="E92" s="39"/>
      <c r="G92" s="22"/>
    </row>
    <row r="93" spans="2:7" x14ac:dyDescent="0.25">
      <c r="B93" s="27">
        <v>43891</v>
      </c>
      <c r="C93" s="35">
        <v>0</v>
      </c>
      <c r="D93" s="10">
        <v>0</v>
      </c>
      <c r="E93" s="39"/>
      <c r="G93" s="22"/>
    </row>
    <row r="94" spans="2:7" x14ac:dyDescent="0.25">
      <c r="B94" s="27">
        <v>43922</v>
      </c>
      <c r="C94" s="35">
        <v>0</v>
      </c>
      <c r="D94" s="10">
        <v>0</v>
      </c>
      <c r="E94" s="39"/>
      <c r="G94" s="22"/>
    </row>
    <row r="95" spans="2:7" x14ac:dyDescent="0.25">
      <c r="B95" s="27">
        <v>43952</v>
      </c>
      <c r="C95" s="35">
        <v>0</v>
      </c>
      <c r="D95" s="10">
        <v>0</v>
      </c>
      <c r="E95" s="39"/>
      <c r="G95" s="22"/>
    </row>
    <row r="96" spans="2:7" x14ac:dyDescent="0.25">
      <c r="B96" s="27">
        <v>43983</v>
      </c>
      <c r="C96" s="35">
        <v>0</v>
      </c>
      <c r="D96" s="10">
        <v>0</v>
      </c>
      <c r="E96" s="39"/>
      <c r="G96" s="22"/>
    </row>
    <row r="97" spans="1:7" x14ac:dyDescent="0.25">
      <c r="B97" s="27">
        <v>44013</v>
      </c>
      <c r="C97" s="35">
        <v>0</v>
      </c>
      <c r="D97" s="10">
        <v>0</v>
      </c>
      <c r="E97" s="39"/>
      <c r="G97" s="22"/>
    </row>
    <row r="98" spans="1:7" x14ac:dyDescent="0.25">
      <c r="B98" s="27">
        <v>44044</v>
      </c>
      <c r="C98" s="35">
        <v>0</v>
      </c>
      <c r="D98" s="10">
        <v>0</v>
      </c>
      <c r="E98" s="39"/>
      <c r="G98" s="22"/>
    </row>
    <row r="99" spans="1:7" x14ac:dyDescent="0.25">
      <c r="B99" s="27">
        <v>44075</v>
      </c>
      <c r="C99" s="35">
        <v>0</v>
      </c>
      <c r="D99" s="10">
        <v>0</v>
      </c>
      <c r="E99" s="39"/>
      <c r="G99" s="22"/>
    </row>
    <row r="100" spans="1:7" x14ac:dyDescent="0.25">
      <c r="B100" s="27">
        <v>44105</v>
      </c>
      <c r="C100" s="35">
        <v>0</v>
      </c>
      <c r="D100" s="10">
        <v>0</v>
      </c>
      <c r="E100" s="39"/>
      <c r="G100" s="22"/>
    </row>
    <row r="101" spans="1:7" x14ac:dyDescent="0.25">
      <c r="B101" s="27">
        <v>44136</v>
      </c>
      <c r="C101" s="35">
        <v>0</v>
      </c>
      <c r="D101" s="10">
        <v>0</v>
      </c>
      <c r="E101" s="39"/>
      <c r="G101" s="22"/>
    </row>
    <row r="102" spans="1:7" x14ac:dyDescent="0.25">
      <c r="B102" s="27">
        <v>44166</v>
      </c>
      <c r="C102" s="40">
        <v>0</v>
      </c>
      <c r="D102" s="26">
        <v>0</v>
      </c>
      <c r="E102" s="39"/>
      <c r="G102" s="22"/>
    </row>
    <row r="103" spans="1:7" x14ac:dyDescent="0.25">
      <c r="C103" s="35">
        <f>SUM(C91:C102)</f>
        <v>0</v>
      </c>
      <c r="D103" s="10">
        <f>SUM(D91:D102)</f>
        <v>0</v>
      </c>
      <c r="E103" s="39"/>
      <c r="G103" s="22"/>
    </row>
    <row r="104" spans="1:7" x14ac:dyDescent="0.25">
      <c r="C104" s="35"/>
      <c r="D104" s="10"/>
      <c r="E104" s="39"/>
      <c r="G104" s="22"/>
    </row>
    <row r="105" spans="1:7" x14ac:dyDescent="0.25">
      <c r="C105" s="35"/>
      <c r="D105" s="10"/>
      <c r="E105" s="39"/>
      <c r="G105" s="22"/>
    </row>
    <row r="106" spans="1:7" x14ac:dyDescent="0.25">
      <c r="C106" s="35"/>
      <c r="D106" s="10"/>
      <c r="E106" s="39"/>
      <c r="G106" s="22"/>
    </row>
    <row r="107" spans="1:7" x14ac:dyDescent="0.25">
      <c r="C107" s="35"/>
      <c r="D107" s="10"/>
      <c r="E107" s="39"/>
      <c r="G107" s="22"/>
    </row>
    <row r="108" spans="1:7" x14ac:dyDescent="0.25">
      <c r="A108" s="1"/>
      <c r="G108" s="22"/>
    </row>
    <row r="109" spans="1:7" x14ac:dyDescent="0.25">
      <c r="G109" s="22"/>
    </row>
    <row r="110" spans="1:7" x14ac:dyDescent="0.25">
      <c r="B110" s="10"/>
      <c r="C110" s="30"/>
      <c r="D110" s="30"/>
      <c r="E110" s="28"/>
      <c r="G110" s="22"/>
    </row>
    <row r="111" spans="1:7" x14ac:dyDescent="0.25">
      <c r="B111" s="28"/>
      <c r="C111" s="30"/>
      <c r="D111" s="30"/>
      <c r="E111" s="30"/>
      <c r="G111" s="22"/>
    </row>
    <row r="112" spans="1:7" x14ac:dyDescent="0.25">
      <c r="B112" s="27"/>
      <c r="C112" s="33"/>
      <c r="D112" s="33"/>
      <c r="E112" s="33"/>
      <c r="G112" s="22"/>
    </row>
    <row r="113" spans="2:7" x14ac:dyDescent="0.25">
      <c r="B113" s="27"/>
      <c r="C113" s="33"/>
      <c r="D113" s="33"/>
      <c r="E113" s="33"/>
      <c r="G113" s="22"/>
    </row>
    <row r="114" spans="2:7" x14ac:dyDescent="0.25">
      <c r="B114" s="27"/>
      <c r="C114" s="33"/>
      <c r="D114" s="33"/>
      <c r="E114" s="33"/>
      <c r="G114" s="22"/>
    </row>
    <row r="115" spans="2:7" x14ac:dyDescent="0.25">
      <c r="B115" s="27"/>
      <c r="C115" s="33"/>
      <c r="D115" s="33"/>
      <c r="E115" s="33"/>
      <c r="G115" s="22"/>
    </row>
    <row r="116" spans="2:7" x14ac:dyDescent="0.25">
      <c r="B116" s="27"/>
      <c r="C116" s="33"/>
      <c r="D116" s="33"/>
      <c r="E116" s="33"/>
      <c r="G116" s="22"/>
    </row>
    <row r="117" spans="2:7" x14ac:dyDescent="0.25">
      <c r="B117" s="27"/>
      <c r="C117" s="33"/>
      <c r="D117" s="33"/>
      <c r="E117" s="33"/>
      <c r="G117" s="22"/>
    </row>
    <row r="118" spans="2:7" x14ac:dyDescent="0.25">
      <c r="B118" s="27"/>
      <c r="C118" s="33"/>
      <c r="D118" s="33"/>
      <c r="E118" s="33"/>
      <c r="G118" s="22"/>
    </row>
    <row r="119" spans="2:7" x14ac:dyDescent="0.25">
      <c r="B119" s="27"/>
      <c r="C119" s="33"/>
      <c r="D119" s="33"/>
      <c r="E119" s="33"/>
      <c r="G119" s="22"/>
    </row>
    <row r="120" spans="2:7" x14ac:dyDescent="0.25">
      <c r="B120" s="27"/>
      <c r="C120" s="33"/>
      <c r="D120" s="33"/>
      <c r="E120" s="33"/>
      <c r="G120" s="22"/>
    </row>
    <row r="121" spans="2:7" x14ac:dyDescent="0.25">
      <c r="B121" s="27"/>
      <c r="C121" s="33"/>
      <c r="D121" s="33"/>
      <c r="E121" s="33"/>
      <c r="G121" s="22"/>
    </row>
    <row r="122" spans="2:7" x14ac:dyDescent="0.25">
      <c r="B122" s="27"/>
      <c r="C122" s="33"/>
      <c r="D122" s="33"/>
      <c r="E122" s="33"/>
      <c r="G122" s="22"/>
    </row>
    <row r="123" spans="2:7" x14ac:dyDescent="0.25">
      <c r="B123" s="27"/>
      <c r="C123" s="33"/>
      <c r="D123" s="33"/>
      <c r="E123" s="33"/>
      <c r="G123" s="22"/>
    </row>
    <row r="124" spans="2:7" x14ac:dyDescent="0.25">
      <c r="C124" s="16"/>
      <c r="D124" s="16"/>
      <c r="E124" s="16"/>
      <c r="G124" s="22"/>
    </row>
    <row r="125" spans="2:7" x14ac:dyDescent="0.25">
      <c r="C125" s="16"/>
      <c r="G125" s="22"/>
    </row>
    <row r="127" spans="2:7" x14ac:dyDescent="0.25">
      <c r="D127" s="28"/>
      <c r="E127" s="28"/>
    </row>
    <row r="128" spans="2:7" x14ac:dyDescent="0.25">
      <c r="B128" s="28"/>
      <c r="C128" s="28"/>
      <c r="D128" s="28"/>
      <c r="E128" s="28"/>
    </row>
    <row r="129" spans="2:5" x14ac:dyDescent="0.25">
      <c r="B129" s="27"/>
      <c r="C129" s="30"/>
      <c r="D129" s="28"/>
      <c r="E129" s="46"/>
    </row>
    <row r="130" spans="2:5" x14ac:dyDescent="0.25">
      <c r="B130" s="28"/>
      <c r="C130" s="30"/>
      <c r="D130" s="28"/>
      <c r="E130" s="46"/>
    </row>
    <row r="131" spans="2:5" x14ac:dyDescent="0.25">
      <c r="B131" s="27"/>
      <c r="C131" s="39"/>
      <c r="D131" s="39"/>
      <c r="E131" s="39"/>
    </row>
    <row r="132" spans="2:5" x14ac:dyDescent="0.25">
      <c r="B132" s="27"/>
      <c r="C132" s="39"/>
      <c r="D132" s="39"/>
      <c r="E132" s="39"/>
    </row>
    <row r="133" spans="2:5" x14ac:dyDescent="0.25">
      <c r="B133" s="27"/>
      <c r="C133" s="39"/>
      <c r="D133" s="39"/>
      <c r="E133" s="39"/>
    </row>
    <row r="134" spans="2:5" x14ac:dyDescent="0.25">
      <c r="B134" s="27"/>
      <c r="C134" s="39"/>
      <c r="D134" s="39"/>
      <c r="E134" s="39"/>
    </row>
    <row r="135" spans="2:5" x14ac:dyDescent="0.25">
      <c r="B135" s="27"/>
      <c r="C135" s="39"/>
      <c r="D135" s="39"/>
      <c r="E135" s="39"/>
    </row>
    <row r="136" spans="2:5" x14ac:dyDescent="0.25">
      <c r="B136" s="27"/>
      <c r="C136" s="39"/>
      <c r="D136" s="39"/>
      <c r="E136" s="39"/>
    </row>
    <row r="137" spans="2:5" x14ac:dyDescent="0.25">
      <c r="B137" s="27"/>
      <c r="C137" s="39"/>
      <c r="D137" s="39"/>
      <c r="E137" s="39"/>
    </row>
    <row r="138" spans="2:5" x14ac:dyDescent="0.25">
      <c r="B138" s="27"/>
      <c r="C138" s="39"/>
      <c r="D138" s="39"/>
      <c r="E138" s="39"/>
    </row>
    <row r="139" spans="2:5" x14ac:dyDescent="0.25">
      <c r="B139" s="27"/>
      <c r="C139" s="39"/>
      <c r="D139" s="39"/>
      <c r="E139" s="39"/>
    </row>
    <row r="140" spans="2:5" x14ac:dyDescent="0.25">
      <c r="B140" s="27"/>
      <c r="C140" s="39"/>
      <c r="D140" s="39"/>
      <c r="E140" s="39"/>
    </row>
    <row r="141" spans="2:5" x14ac:dyDescent="0.25">
      <c r="B141" s="27"/>
      <c r="C141" s="39"/>
      <c r="D141" s="39"/>
      <c r="E141" s="39"/>
    </row>
    <row r="142" spans="2:5" x14ac:dyDescent="0.25">
      <c r="B142" s="27"/>
      <c r="C142" s="39"/>
      <c r="D142" s="39"/>
      <c r="E142" s="39"/>
    </row>
    <row r="143" spans="2:5" x14ac:dyDescent="0.25">
      <c r="C143" s="39"/>
      <c r="D143" s="10"/>
      <c r="E143" s="39"/>
    </row>
    <row r="145" spans="7:7" x14ac:dyDescent="0.25">
      <c r="G145" s="17"/>
    </row>
    <row r="146" spans="7:7" x14ac:dyDescent="0.25">
      <c r="G146" s="17"/>
    </row>
    <row r="149" spans="7:7" x14ac:dyDescent="0.25">
      <c r="G149" s="22"/>
    </row>
    <row r="150" spans="7:7" x14ac:dyDescent="0.25">
      <c r="G150" s="22"/>
    </row>
    <row r="151" spans="7:7" x14ac:dyDescent="0.25">
      <c r="G151" s="22"/>
    </row>
    <row r="152" spans="7:7" x14ac:dyDescent="0.25">
      <c r="G152" s="22"/>
    </row>
    <row r="153" spans="7:7" x14ac:dyDescent="0.25">
      <c r="G153" s="22"/>
    </row>
    <row r="154" spans="7:7" x14ac:dyDescent="0.25">
      <c r="G154" s="22"/>
    </row>
    <row r="155" spans="7:7" x14ac:dyDescent="0.25">
      <c r="G155" s="22"/>
    </row>
    <row r="156" spans="7:7" x14ac:dyDescent="0.25">
      <c r="G156" s="22"/>
    </row>
    <row r="157" spans="7:7" x14ac:dyDescent="0.25">
      <c r="G157" s="22"/>
    </row>
    <row r="158" spans="7:7" x14ac:dyDescent="0.25">
      <c r="G158" s="22"/>
    </row>
    <row r="159" spans="7:7" x14ac:dyDescent="0.25">
      <c r="G159" s="22"/>
    </row>
    <row r="160" spans="7:7" x14ac:dyDescent="0.25">
      <c r="G160" s="22"/>
    </row>
    <row r="161" spans="7:7" x14ac:dyDescent="0.25">
      <c r="G161" s="22"/>
    </row>
    <row r="162" spans="7:7" x14ac:dyDescent="0.25">
      <c r="G162" s="17"/>
    </row>
    <row r="163" spans="7:7" x14ac:dyDescent="0.25">
      <c r="G163" s="22"/>
    </row>
  </sheetData>
  <mergeCells count="4">
    <mergeCell ref="D10:G11"/>
    <mergeCell ref="L10:O11"/>
    <mergeCell ref="E13:F13"/>
    <mergeCell ref="M13:N13"/>
  </mergeCells>
  <pageMargins left="0.7" right="0.7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9e1b56-1bc3-4bb6-83f9-6df8fea7da23">
      <Terms xmlns="http://schemas.microsoft.com/office/infopath/2007/PartnerControls"/>
    </lcf76f155ced4ddcb4097134ff3c332f>
    <TaxCatchAll xmlns="7e1690bc-552b-4878-9693-ea0d85c5988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933265210834EA74734FDD2FA6C5F" ma:contentTypeVersion="17" ma:contentTypeDescription="Create a new document." ma:contentTypeScope="" ma:versionID="75e6e7946b85771cbaa29a0721cad354">
  <xsd:schema xmlns:xsd="http://www.w3.org/2001/XMLSchema" xmlns:xs="http://www.w3.org/2001/XMLSchema" xmlns:p="http://schemas.microsoft.com/office/2006/metadata/properties" xmlns:ns2="2b9e1b56-1bc3-4bb6-83f9-6df8fea7da23" xmlns:ns3="0a97646d-5e46-4532-99d2-95b688ae3204" xmlns:ns4="7e1690bc-552b-4878-9693-ea0d85c5988a" targetNamespace="http://schemas.microsoft.com/office/2006/metadata/properties" ma:root="true" ma:fieldsID="94ebf635098fdd561c0479b2bcbfa228" ns2:_="" ns3:_="" ns4:_="">
    <xsd:import namespace="2b9e1b56-1bc3-4bb6-83f9-6df8fea7da23"/>
    <xsd:import namespace="0a97646d-5e46-4532-99d2-95b688ae3204"/>
    <xsd:import namespace="7e1690bc-552b-4878-9693-ea0d85c598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e1b56-1bc3-4bb6-83f9-6df8fea7da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c56b774-9262-4638-b104-23720403d9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7646d-5e46-4532-99d2-95b688ae3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690bc-552b-4878-9693-ea0d85c5988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5ce5316-0ab3-46a3-b207-9be9b69fead6}" ma:internalName="TaxCatchAll" ma:showField="CatchAllData" ma:web="7e1690bc-552b-4878-9693-ea0d85c598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233392-3A66-41DF-BE41-CB5F4E2965F0}">
  <ds:schemaRefs>
    <ds:schemaRef ds:uri="http://schemas.microsoft.com/office/2006/metadata/properties"/>
    <ds:schemaRef ds:uri="http://schemas.microsoft.com/office/infopath/2007/PartnerControls"/>
    <ds:schemaRef ds:uri="2b9e1b56-1bc3-4bb6-83f9-6df8fea7da23"/>
    <ds:schemaRef ds:uri="7e1690bc-552b-4878-9693-ea0d85c5988a"/>
  </ds:schemaRefs>
</ds:datastoreItem>
</file>

<file path=customXml/itemProps2.xml><?xml version="1.0" encoding="utf-8"?>
<ds:datastoreItem xmlns:ds="http://schemas.openxmlformats.org/officeDocument/2006/customXml" ds:itemID="{716F79BC-CBCA-4D4A-B6F6-4AB4F8975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e1b56-1bc3-4bb6-83f9-6df8fea7da23"/>
    <ds:schemaRef ds:uri="0a97646d-5e46-4532-99d2-95b688ae3204"/>
    <ds:schemaRef ds:uri="7e1690bc-552b-4878-9693-ea0d85c59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5FD363-D0BE-4CC0-8316-FF9B53A398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M 2.1</vt:lpstr>
      <vt:lpstr>M 2.3</vt:lpstr>
      <vt:lpstr>M 2.3 Res</vt:lpstr>
      <vt:lpstr>M 2.3 SM</vt:lpstr>
      <vt:lpstr>M 2.3 Large</vt:lpstr>
      <vt:lpstr>M 2.3 Int</vt:lpstr>
      <vt:lpstr>M 2.3 Special</vt:lpstr>
      <vt:lpstr>M 2.3 Farm Tap</vt:lpstr>
      <vt:lpstr>M 2.3 Off</vt:lpstr>
      <vt:lpstr>'M 2.1'!Print_Area</vt:lpstr>
      <vt:lpstr>'M 2.3'!Print_Area</vt:lpstr>
      <vt:lpstr>'M 2.3 Farm Tap'!Print_Area</vt:lpstr>
      <vt:lpstr>'M 2.3 Int'!Print_Area</vt:lpstr>
      <vt:lpstr>'M 2.3 Large'!Print_Area</vt:lpstr>
      <vt:lpstr>'M 2.3 Off'!Print_Area</vt:lpstr>
      <vt:lpstr>'M 2.3 Res'!Print_Area</vt:lpstr>
      <vt:lpstr>'M 2.3 SM'!Print_Area</vt:lpstr>
      <vt:lpstr>'M 2.3 Special'!Print_Area</vt:lpstr>
    </vt:vector>
  </TitlesOfParts>
  <Manager/>
  <Company>Dell Computer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Preferred Customer</dc:creator>
  <cp:keywords/>
  <dc:description/>
  <cp:lastModifiedBy>Molly Loy</cp:lastModifiedBy>
  <cp:revision/>
  <cp:lastPrinted>2025-04-16T23:49:51Z</cp:lastPrinted>
  <dcterms:created xsi:type="dcterms:W3CDTF">2000-07-10T18:54:31Z</dcterms:created>
  <dcterms:modified xsi:type="dcterms:W3CDTF">2025-06-18T19:42:23Z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0x010100475933265210834EA74734FDD2FA6C5F</vt:lpwstr>
  </property>
  <property fmtid="{D5CDD505-2E9C-101B-9397-08002B2CF9AE}" pid="3" name="MediaServiceImageTags">
    <vt:lpwstr/>
  </property>
</Properties>
</file>