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brynmawrfile\Shared\Alluser\Kentucky\Delta Rate Case\2024\Post Hearing DR\"/>
    </mc:Choice>
  </mc:AlternateContent>
  <xr:revisionPtr revIDLastSave="0" documentId="13_ncr:1_{CAC12BF1-98B0-4408-A383-1364E7B8423A}" xr6:coauthVersionLast="47" xr6:coauthVersionMax="47" xr10:uidLastSave="{00000000-0000-0000-0000-000000000000}"/>
  <bookViews>
    <workbookView xWindow="28680" yWindow="-120" windowWidth="29040" windowHeight="15840" xr2:uid="{4ACD2A44-B093-407E-BB89-5820436F2BA7}"/>
  </bookViews>
  <sheets>
    <sheet name="Stipulation Exhibit 1" sheetId="1" r:id="rId1"/>
    <sheet name="Settlement Exhibit" sheetId="4" r:id="rId2"/>
  </sheets>
  <externalReferences>
    <externalReference r:id="rId3"/>
  </externalReferences>
  <definedNames>
    <definedName name="_xlnm.Print_Area" localSheetId="0">'Stipulation Exhibit 1'!$A$1:$L$48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J29" i="1"/>
  <c r="L16" i="1"/>
  <c r="L17" i="1"/>
  <c r="L18" i="1"/>
  <c r="L19" i="1"/>
  <c r="L20" i="1"/>
  <c r="L21" i="1"/>
  <c r="L22" i="1"/>
  <c r="L23" i="1"/>
  <c r="H13" i="1"/>
  <c r="H29" i="1" s="1"/>
  <c r="H15" i="1"/>
  <c r="H25" i="1"/>
  <c r="H27" i="1"/>
  <c r="D47" i="1"/>
  <c r="D44" i="1"/>
  <c r="D46" i="1" s="1"/>
  <c r="D48" i="1" s="1"/>
  <c r="J26" i="1" s="1"/>
  <c r="J28" i="1" s="1"/>
  <c r="J30" i="1" s="1"/>
  <c r="D13" i="1"/>
  <c r="F13" i="1" s="1"/>
  <c r="F29" i="1" s="1"/>
  <c r="D12" i="1"/>
  <c r="D14" i="1" s="1"/>
  <c r="D20" i="1"/>
  <c r="H20" i="1" s="1"/>
  <c r="D19" i="1"/>
  <c r="D18" i="1"/>
  <c r="D16" i="1"/>
  <c r="F24" i="1"/>
  <c r="H24" i="1" s="1"/>
  <c r="K42" i="4"/>
  <c r="K41" i="4"/>
  <c r="K40" i="4"/>
  <c r="K39" i="4"/>
  <c r="M50" i="4"/>
  <c r="K45" i="4"/>
  <c r="I22" i="4"/>
  <c r="I23" i="4"/>
  <c r="I24" i="4"/>
  <c r="I25" i="4"/>
  <c r="I26" i="4"/>
  <c r="I27" i="4"/>
  <c r="I35" i="4"/>
  <c r="K22" i="4"/>
  <c r="I19" i="4"/>
  <c r="I16" i="4"/>
  <c r="K16" i="4"/>
  <c r="V15" i="4"/>
  <c r="V16" i="4"/>
  <c r="V18" i="4"/>
  <c r="V21" i="4"/>
  <c r="Q12" i="4"/>
  <c r="M14" i="4"/>
  <c r="O12" i="4"/>
  <c r="K19" i="4"/>
  <c r="D17" i="1" s="1"/>
  <c r="K23" i="4"/>
  <c r="K24" i="4"/>
  <c r="K26" i="4"/>
  <c r="D22" i="1" s="1"/>
  <c r="K27" i="4"/>
  <c r="D23" i="1" s="1"/>
  <c r="H23" i="1" s="1"/>
  <c r="I36" i="4"/>
  <c r="I37" i="4"/>
  <c r="K35" i="4"/>
  <c r="F16" i="1" s="1"/>
  <c r="K25" i="4"/>
  <c r="D21" i="1" s="1"/>
  <c r="H21" i="1" s="1"/>
  <c r="I39" i="4"/>
  <c r="I38" i="4"/>
  <c r="K37" i="4"/>
  <c r="I40" i="4"/>
  <c r="K38" i="4"/>
  <c r="F17" i="1" s="1"/>
  <c r="I41" i="4"/>
  <c r="I42" i="4"/>
  <c r="I43" i="4"/>
  <c r="K43" i="4"/>
  <c r="F22" i="1" s="1"/>
  <c r="I44" i="4"/>
  <c r="K44" i="4"/>
  <c r="K36" i="4"/>
  <c r="D29" i="1"/>
  <c r="H16" i="1" l="1"/>
  <c r="H14" i="1"/>
  <c r="L29" i="1"/>
  <c r="H12" i="1"/>
  <c r="L12" i="1" s="1"/>
  <c r="L14" i="1" s="1"/>
  <c r="D26" i="1"/>
  <c r="D28" i="1" s="1"/>
  <c r="D30" i="1" s="1"/>
  <c r="H22" i="1"/>
  <c r="H17" i="1"/>
  <c r="M29" i="4"/>
  <c r="M31" i="4" s="1"/>
  <c r="M47" i="4"/>
  <c r="M49" i="4" s="1"/>
  <c r="M51" i="4" s="1"/>
  <c r="F18" i="1"/>
  <c r="F19" i="1"/>
  <c r="H19" i="1" s="1"/>
  <c r="Q31" i="4" l="1"/>
  <c r="O31" i="4"/>
  <c r="F12" i="1"/>
  <c r="F14" i="1" s="1"/>
  <c r="F26" i="1"/>
  <c r="H18" i="1"/>
  <c r="H26" i="1" s="1"/>
  <c r="H28" i="1" s="1"/>
  <c r="H30" i="1" s="1"/>
  <c r="Q51" i="4"/>
  <c r="O51" i="4"/>
  <c r="F28" i="1" l="1"/>
  <c r="F30" i="1" s="1"/>
  <c r="L26" i="1"/>
  <c r="L28" i="1" s="1"/>
  <c r="L30" i="1" s="1"/>
</calcChain>
</file>

<file path=xl/sharedStrings.xml><?xml version="1.0" encoding="utf-8"?>
<sst xmlns="http://schemas.openxmlformats.org/spreadsheetml/2006/main" count="158" uniqueCount="123">
  <si>
    <t>Delta Natural Gas Company, Inc.</t>
  </si>
  <si>
    <t>Case No. 2024-00346</t>
  </si>
  <si>
    <t>For the Fully Projected Test Period Beginning July 1, 2025</t>
  </si>
  <si>
    <t>Stipulated Revenue Requirement and Adjustments</t>
  </si>
  <si>
    <t>6/</t>
  </si>
  <si>
    <t>Original</t>
  </si>
  <si>
    <t>AG Testimony</t>
  </si>
  <si>
    <t>Rate Case</t>
  </si>
  <si>
    <t>Line</t>
  </si>
  <si>
    <t>Filing to</t>
  </si>
  <si>
    <t>to Final</t>
  </si>
  <si>
    <t>Filing to Final</t>
  </si>
  <si>
    <t>Expense</t>
  </si>
  <si>
    <t>No.</t>
  </si>
  <si>
    <t>Item</t>
  </si>
  <si>
    <t>Settlement</t>
  </si>
  <si>
    <t>True-Up</t>
  </si>
  <si>
    <t>Total Revenue Increase</t>
  </si>
  <si>
    <t>Other Revenue Increase</t>
  </si>
  <si>
    <t>Base Rate Increase</t>
  </si>
  <si>
    <t>AG ROE and Capital Structure Changes</t>
  </si>
  <si>
    <t>1/</t>
  </si>
  <si>
    <t>To Correct Cash Working Capital Calculation</t>
  </si>
  <si>
    <t>2/</t>
  </si>
  <si>
    <t>To eliminate Short Term Incentive Compensation</t>
  </si>
  <si>
    <t>3/</t>
  </si>
  <si>
    <t>To eliminate Long-Term Incentive Compensation</t>
  </si>
  <si>
    <t>4/</t>
  </si>
  <si>
    <t>To Correct Employee Medical Benefits Forecast</t>
  </si>
  <si>
    <t>To Eliminate External and Allocated Lobbying Charges</t>
  </si>
  <si>
    <t>To Eliminate Overhead Labor Associated with Lobbying</t>
  </si>
  <si>
    <t>To Eliminate AGA Dues</t>
  </si>
  <si>
    <t>Correction - to add expense gross up of bad debt &amp; reg fees</t>
  </si>
  <si>
    <t>5/</t>
  </si>
  <si>
    <t>Net Changes</t>
  </si>
  <si>
    <t>1/ Settlement Reconciliation, Lines 16 + 17</t>
  </si>
  <si>
    <t>2/ Settlement Exhibit Line 18A</t>
  </si>
  <si>
    <t>3/ Settlement Exhibit Line 19</t>
  </si>
  <si>
    <t>4/ Settlement Exhibit Lines 20+21+22</t>
  </si>
  <si>
    <t>5/ Settlement Exhibit Line 25</t>
  </si>
  <si>
    <t>6/ Rate Case Expense True-Up</t>
  </si>
  <si>
    <t>Total Estimated Case Expenses</t>
  </si>
  <si>
    <t>Case Expenses through 6-5-25</t>
  </si>
  <si>
    <t>Total difference</t>
  </si>
  <si>
    <t>Divided by amortization period</t>
  </si>
  <si>
    <t>Gross-Up Factor</t>
  </si>
  <si>
    <t>Decrease in Revenue Requirement</t>
  </si>
  <si>
    <t>CONFIDENTIAL</t>
  </si>
  <si>
    <t>KRE 408 COMMUNICATION</t>
  </si>
  <si>
    <t>Settlement Reconciliation</t>
  </si>
  <si>
    <t>Gross</t>
  </si>
  <si>
    <t>Case</t>
  </si>
  <si>
    <t>Nominal</t>
  </si>
  <si>
    <t xml:space="preserve">Revenue </t>
  </si>
  <si>
    <t>Revenue</t>
  </si>
  <si>
    <t>Total</t>
  </si>
  <si>
    <t>Increase</t>
  </si>
  <si>
    <t>Adjustment</t>
  </si>
  <si>
    <t>Conversion</t>
  </si>
  <si>
    <t>Requirement</t>
  </si>
  <si>
    <t xml:space="preserve">At </t>
  </si>
  <si>
    <t>Line No.</t>
  </si>
  <si>
    <t>Exhibit No.</t>
  </si>
  <si>
    <t>Amount</t>
  </si>
  <si>
    <t>Factor</t>
  </si>
  <si>
    <t>Change</t>
  </si>
  <si>
    <t>At Filing</t>
  </si>
  <si>
    <t>Implementation</t>
  </si>
  <si>
    <t>Revenues at present rates at filing</t>
  </si>
  <si>
    <t>Total Rate Increase Requested by Company:</t>
  </si>
  <si>
    <t>Cost of gas at filing</t>
  </si>
  <si>
    <t>Other Revenue Increase Requested by Company:</t>
  </si>
  <si>
    <t>GCR Rate at filing</t>
  </si>
  <si>
    <t>Base Rate Increase Requested by the Company</t>
  </si>
  <si>
    <t>GCR Rate at implementation</t>
  </si>
  <si>
    <t>Increase in GCR</t>
  </si>
  <si>
    <t>DND-3</t>
  </si>
  <si>
    <t>Increase %</t>
  </si>
  <si>
    <t>\</t>
  </si>
  <si>
    <t>Rate Base Adjustments</t>
  </si>
  <si>
    <t>Total Increase</t>
  </si>
  <si>
    <t>DND-4</t>
  </si>
  <si>
    <t>AG Operating Income Adjustments</t>
  </si>
  <si>
    <t>Revenues at present rates at implementation</t>
  </si>
  <si>
    <t>DND-5</t>
  </si>
  <si>
    <t>DND-6</t>
  </si>
  <si>
    <t>DND-7</t>
  </si>
  <si>
    <t>DND-8</t>
  </si>
  <si>
    <t>DND-9</t>
  </si>
  <si>
    <t>OAG Reductions</t>
  </si>
  <si>
    <t>OAG Recommended Rate Increase - Direct Testimony</t>
  </si>
  <si>
    <t>Modifications Reached in Settlement</t>
  </si>
  <si>
    <t>Return on Equity from 9.55% to 9.75%</t>
  </si>
  <si>
    <t>OAG-1</t>
  </si>
  <si>
    <t>Restore Capital Structure to 52.76% Equity</t>
  </si>
  <si>
    <t>DNG-2</t>
  </si>
  <si>
    <t xml:space="preserve">2/ </t>
  </si>
  <si>
    <t>Working Capital at $0 (per prior case agreement)</t>
  </si>
  <si>
    <t>18A</t>
  </si>
  <si>
    <t>To modify CWC impact due to OAG Cap Structure/ROE modifications</t>
  </si>
  <si>
    <t>DNG-3</t>
  </si>
  <si>
    <t>Restore 50% of Essential STI</t>
  </si>
  <si>
    <t>OAG-4</t>
  </si>
  <si>
    <t>Restore 65% LTIC - Delta</t>
  </si>
  <si>
    <t>Restore 50% of LTIC - Essential</t>
  </si>
  <si>
    <t>Restore 50% of LTIC - People's</t>
  </si>
  <si>
    <t>7/</t>
  </si>
  <si>
    <t>Restore Overhead Labor Associated with Lobbying</t>
  </si>
  <si>
    <t>Restore AGA Dues</t>
  </si>
  <si>
    <t>Correction - to add Expense gross up of bad debt &amp; reg fees</t>
  </si>
  <si>
    <t>DNG-5</t>
  </si>
  <si>
    <t>Additional Revenue per Settlement</t>
  </si>
  <si>
    <t>Settlement - Base Rates</t>
  </si>
  <si>
    <t>Company Settlement Position - Other Revenue</t>
  </si>
  <si>
    <t>1/ See OAG-1, Line 13</t>
  </si>
  <si>
    <t>2/ DNG-2 Cap Struct, Line 10</t>
  </si>
  <si>
    <t>3/ DNG-3 CWC, Line 39</t>
  </si>
  <si>
    <t>4/ OAG-4 Incent Comp, Line 4</t>
  </si>
  <si>
    <t>5/ OAG-4 Incent Comp, Line 7</t>
  </si>
  <si>
    <t>6/ OAG-4 Incent Comp, Line 8</t>
  </si>
  <si>
    <t>7/ OAG-4 Incent Comp, Line 9</t>
  </si>
  <si>
    <t>Post-Hearing</t>
  </si>
  <si>
    <t>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</si>
</sst>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8" formatCode="_([$$-409]* #,##0_);_([$$-409]* \(#,##0\);_([$$-409]* &quot;-&quot;_);_(@_)"/>
    <numFmt numFmtId="169" formatCode="_([$$-409]* #,##0_);_([$$-409]* \(#,##0\);_([$$-409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Helv"/>
    </font>
    <font>
      <b/>
      <sz val="10"/>
      <name val="Arial"/>
      <family val="2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11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theme="1"/>
      <name val="Arial"/>
      <family val="2"/>
    </font>
    <font>
      <u/>
      <sz val="11"/>
      <color theme="1"/>
      <name val="Times New Roman"/>
      <family val="1"/>
    </font>
    <font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</cellStyleXfs>
  <cellXfs count="60">
    <xf numFmtId="0" fontId="0" fillId="0" borderId="0" xfId="0"/>
    <xf numFmtId="0" fontId="3" fillId="0" borderId="0" xfId="3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8" fillId="0" borderId="0" xfId="1" applyNumberFormat="1" applyFont="1"/>
    <xf numFmtId="164" fontId="8" fillId="0" borderId="0" xfId="0" applyNumberFormat="1" applyFont="1"/>
    <xf numFmtId="164" fontId="8" fillId="0" borderId="0" xfId="1" applyNumberFormat="1" applyFont="1" applyFill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4" fontId="12" fillId="0" borderId="0" xfId="1" applyNumberFormat="1" applyFont="1"/>
    <xf numFmtId="164" fontId="12" fillId="0" borderId="0" xfId="1" applyNumberFormat="1" applyFont="1" applyBorder="1"/>
    <xf numFmtId="164" fontId="12" fillId="0" borderId="1" xfId="1" applyNumberFormat="1" applyFont="1" applyBorder="1"/>
    <xf numFmtId="164" fontId="8" fillId="0" borderId="0" xfId="1" applyNumberFormat="1" applyFont="1" applyFill="1" applyBorder="1"/>
    <xf numFmtId="164" fontId="8" fillId="0" borderId="1" xfId="0" applyNumberFormat="1" applyFont="1" applyBorder="1"/>
    <xf numFmtId="0" fontId="12" fillId="0" borderId="0" xfId="0" applyFont="1"/>
    <xf numFmtId="0" fontId="8" fillId="0" borderId="0" xfId="0" applyFont="1" applyAlignment="1">
      <alignment horizontal="left" indent="1"/>
    </xf>
    <xf numFmtId="164" fontId="8" fillId="0" borderId="1" xfId="1" applyNumberFormat="1" applyFont="1" applyFill="1" applyBorder="1"/>
    <xf numFmtId="164" fontId="8" fillId="0" borderId="2" xfId="0" applyNumberFormat="1" applyFont="1" applyBorder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164" fontId="11" fillId="0" borderId="0" xfId="1" applyNumberFormat="1" applyFont="1" applyFill="1" applyBorder="1"/>
    <xf numFmtId="14" fontId="7" fillId="0" borderId="0" xfId="0" applyNumberFormat="1" applyFont="1" applyAlignment="1">
      <alignment horizontal="center"/>
    </xf>
    <xf numFmtId="0" fontId="2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4" fontId="5" fillId="0" borderId="0" xfId="1" applyNumberFormat="1" applyFont="1" applyFill="1"/>
    <xf numFmtId="164" fontId="6" fillId="0" borderId="0" xfId="1" applyNumberFormat="1" applyFont="1" applyFill="1" applyBorder="1"/>
    <xf numFmtId="164" fontId="6" fillId="0" borderId="0" xfId="1" applyNumberFormat="1" applyFont="1" applyFill="1"/>
    <xf numFmtId="10" fontId="11" fillId="0" borderId="0" xfId="2" applyNumberFormat="1" applyFont="1" applyFill="1"/>
    <xf numFmtId="164" fontId="6" fillId="0" borderId="1" xfId="1" applyNumberFormat="1" applyFont="1" applyFill="1" applyBorder="1"/>
    <xf numFmtId="165" fontId="5" fillId="0" borderId="0" xfId="1" applyNumberFormat="1" applyFont="1" applyFill="1"/>
    <xf numFmtId="164" fontId="11" fillId="0" borderId="0" xfId="1" applyNumberFormat="1" applyFont="1" applyFill="1"/>
    <xf numFmtId="10" fontId="5" fillId="0" borderId="0" xfId="2" applyNumberFormat="1" applyFont="1" applyFill="1"/>
    <xf numFmtId="164" fontId="5" fillId="0" borderId="0" xfId="0" applyNumberFormat="1" applyFont="1"/>
    <xf numFmtId="164" fontId="11" fillId="0" borderId="1" xfId="1" applyNumberFormat="1" applyFont="1" applyFill="1" applyBorder="1"/>
    <xf numFmtId="164" fontId="11" fillId="0" borderId="1" xfId="0" applyNumberFormat="1" applyFont="1" applyBorder="1"/>
    <xf numFmtId="164" fontId="11" fillId="0" borderId="0" xfId="0" applyNumberFormat="1" applyFont="1"/>
    <xf numFmtId="0" fontId="11" fillId="0" borderId="0" xfId="0" applyFont="1"/>
    <xf numFmtId="0" fontId="5" fillId="0" borderId="0" xfId="0" applyFont="1" applyAlignment="1">
      <alignment wrapText="1"/>
    </xf>
    <xf numFmtId="164" fontId="11" fillId="0" borderId="2" xfId="0" applyNumberFormat="1" applyFont="1" applyBorder="1"/>
    <xf numFmtId="168" fontId="8" fillId="0" borderId="0" xfId="0" applyNumberFormat="1" applyFont="1"/>
    <xf numFmtId="169" fontId="8" fillId="0" borderId="0" xfId="0" applyNumberFormat="1" applyFont="1"/>
    <xf numFmtId="169" fontId="15" fillId="0" borderId="0" xfId="0" applyNumberFormat="1" applyFont="1"/>
    <xf numFmtId="0" fontId="15" fillId="0" borderId="0" xfId="0" applyFont="1"/>
    <xf numFmtId="164" fontId="16" fillId="0" borderId="0" xfId="1" applyNumberFormat="1" applyFont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8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8" fillId="0" borderId="1" xfId="0" applyFont="1" applyBorder="1"/>
    <xf numFmtId="0" fontId="15" fillId="0" borderId="1" xfId="0" applyFont="1" applyBorder="1"/>
  </cellXfs>
  <cellStyles count="9">
    <cellStyle name="Comma" xfId="1" builtinId="3"/>
    <cellStyle name="Comma 14" xfId="6" xr:uid="{1326BAE2-D000-4D76-A617-4466041DB448}"/>
    <cellStyle name="Currency 164 2" xfId="7" xr:uid="{7C619A66-0C22-4A4B-86AE-FE5652003223}"/>
    <cellStyle name="Currency 2" xfId="5" xr:uid="{8A54505D-1CC8-429C-A5B5-EE746B06FBCB}"/>
    <cellStyle name="Normal" xfId="0" builtinId="0"/>
    <cellStyle name="Normal 2 6" xfId="3" xr:uid="{D54868DA-25E0-4F05-8085-ED293FAC8FDA}"/>
    <cellStyle name="Normal 49" xfId="4" xr:uid="{A6E41DC6-AED2-4302-B507-14E6CE6739E6}"/>
    <cellStyle name="Normal 74 2" xfId="8" xr:uid="{99B3FE3C-10D7-469D-954E-CC4DDDD2416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279093</xdr:colOff>
      <xdr:row>38</xdr:row>
      <xdr:rowOff>105767</xdr:rowOff>
    </xdr:from>
    <xdr:to>
      <xdr:col>1</xdr:col>
      <xdr:colOff>292053</xdr:colOff>
      <xdr:row>38</xdr:row>
      <xdr:rowOff>118727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FEEE2BD-83FF-7E97-9B7D-F55AB0D199EC}"/>
                </a:ext>
              </a:extLst>
            </xdr14:cNvPr>
            <xdr14:cNvContentPartPr/>
          </xdr14:nvContentPartPr>
          <xdr14:nvPr macro=""/>
          <xdr14:xfrm>
            <a:off x="617760" y="7171200"/>
            <a:ext cx="12960" cy="129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3FEEE2BD-83FF-7E97-9B7D-F55AB0D199E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07320" y="7160400"/>
              <a:ext cx="34200" cy="34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entucky\Delta%2012%202024\Settlement%20Proposals\Settlement%20Reconcili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Reconciliation"/>
      <sheetName val="Proposal Comparison"/>
      <sheetName val="Delta Settlement Proposal"/>
      <sheetName val="OAG-1 ROE"/>
      <sheetName val="DNG-2 Cap Struct"/>
      <sheetName val="DNG-3 CWC "/>
      <sheetName val="OAG-4 Incent Comp"/>
      <sheetName val="DNG-4 Incent Comp"/>
      <sheetName val="DNG-5 GU Corrections"/>
      <sheetName val="Directory"/>
      <sheetName val="Exhibit DND-2.0 Rev Req"/>
      <sheetName val="DND-3 Cap Structure"/>
      <sheetName val="DND-4 CWC"/>
      <sheetName val="DND 4.1 Interest Sync"/>
      <sheetName val="DND-5 Inc Comp"/>
      <sheetName val="DND-6 Emp Benefits"/>
      <sheetName val="DND-7 Lobbying"/>
      <sheetName val="DND-8 Lobbying OH"/>
      <sheetName val="DND-9 AGA Dues"/>
      <sheetName val="DND-10 GRCF"/>
    </sheetNames>
    <sheetDataSet>
      <sheetData sheetId="0"/>
      <sheetData sheetId="1"/>
      <sheetData sheetId="2"/>
      <sheetData sheetId="3">
        <row r="16">
          <cell r="M16">
            <v>9.1605038200000016E-2</v>
          </cell>
        </row>
      </sheetData>
      <sheetData sheetId="4"/>
      <sheetData sheetId="5"/>
      <sheetData sheetId="6"/>
      <sheetData sheetId="7"/>
      <sheetData sheetId="8">
        <row r="14">
          <cell r="K14">
            <v>30602.572363986303</v>
          </cell>
        </row>
      </sheetData>
      <sheetData sheetId="9"/>
      <sheetData sheetId="10"/>
      <sheetData sheetId="11">
        <row r="33">
          <cell r="E33">
            <v>-2186575.4926904552</v>
          </cell>
        </row>
      </sheetData>
      <sheetData sheetId="12">
        <row r="56">
          <cell r="D56">
            <v>-196738.44781990291</v>
          </cell>
        </row>
      </sheetData>
      <sheetData sheetId="13"/>
      <sheetData sheetId="14">
        <row r="14">
          <cell r="L14">
            <v>203459</v>
          </cell>
        </row>
      </sheetData>
      <sheetData sheetId="15">
        <row r="16">
          <cell r="G16">
            <v>-1152293</v>
          </cell>
        </row>
      </sheetData>
      <sheetData sheetId="16">
        <row r="16">
          <cell r="G16">
            <v>-7871</v>
          </cell>
        </row>
      </sheetData>
      <sheetData sheetId="17">
        <row r="16">
          <cell r="G16">
            <v>-23330</v>
          </cell>
        </row>
      </sheetData>
      <sheetData sheetId="18">
        <row r="16">
          <cell r="G16">
            <v>-22582</v>
          </cell>
        </row>
      </sheetData>
      <sheetData sheetId="19">
        <row r="17">
          <cell r="E17">
            <v>1.0061313645354792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2T16:10:07.162"/>
    </inkml:context>
    <inkml:brush xml:id="br0">
      <inkml:brushProperty name="width" value="0.06" units="cm"/>
      <inkml:brushProperty name="height" value="0.06" units="cm"/>
    </inkml:brush>
  </inkml:definitions>
  <inkml:trace contextRef="#ctx0" brushRef="#br0">1 0 7888,'12'0'-1512,"-6"0"1290,-1 0 287,-5 5-65,0 2 0,6 5 0,0-1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11BC1-23BC-4CE3-87C2-C2744F300085}">
  <sheetPr>
    <pageSetUpPr fitToPage="1"/>
  </sheetPr>
  <dimension ref="A1:M48"/>
  <sheetViews>
    <sheetView tabSelected="1" workbookViewId="0">
      <selection activeCell="L26" sqref="L26"/>
    </sheetView>
  </sheetViews>
  <sheetFormatPr defaultColWidth="9.140625" defaultRowHeight="15.75" x14ac:dyDescent="0.25"/>
  <cols>
    <col min="1" max="1" width="4.7109375" style="7" bestFit="1" customWidth="1"/>
    <col min="2" max="2" width="53" style="2" customWidth="1"/>
    <col min="3" max="3" width="1" style="6" customWidth="1"/>
    <col min="4" max="4" width="13.42578125" style="6" bestFit="1" customWidth="1"/>
    <col min="5" max="5" width="1" style="6" customWidth="1"/>
    <col min="6" max="6" width="13.42578125" style="6" bestFit="1" customWidth="1"/>
    <col min="7" max="7" width="2.5703125" style="6" bestFit="1" customWidth="1"/>
    <col min="8" max="8" width="12.140625" style="6" bestFit="1" customWidth="1"/>
    <col min="9" max="9" width="0.85546875" style="2" customWidth="1"/>
    <col min="10" max="10" width="10" style="2" bestFit="1" customWidth="1"/>
    <col min="11" max="11" width="0.85546875" style="2" customWidth="1"/>
    <col min="12" max="12" width="12.5703125" style="2" customWidth="1"/>
    <col min="13" max="16384" width="9.140625" style="2"/>
  </cols>
  <sheetData>
    <row r="1" spans="1:13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3"/>
    </row>
    <row r="4" spans="1:13" x14ac:dyDescent="0.25">
      <c r="A4" s="1"/>
      <c r="B4" s="52"/>
      <c r="C4" s="52"/>
      <c r="D4" s="3"/>
      <c r="E4" s="3"/>
      <c r="F4" s="4"/>
      <c r="G4" s="5"/>
    </row>
    <row r="5" spans="1:13" ht="18" x14ac:dyDescent="0.25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 x14ac:dyDescent="0.25">
      <c r="B6" s="8"/>
    </row>
    <row r="7" spans="1:13" x14ac:dyDescent="0.25">
      <c r="D7" s="12"/>
      <c r="F7" s="12"/>
      <c r="J7" s="7" t="s">
        <v>4</v>
      </c>
      <c r="K7" s="7"/>
      <c r="L7" s="7" t="s">
        <v>5</v>
      </c>
    </row>
    <row r="8" spans="1:13" x14ac:dyDescent="0.25">
      <c r="A8" s="12"/>
      <c r="B8" s="6"/>
      <c r="D8" s="12" t="s">
        <v>5</v>
      </c>
      <c r="F8" s="12" t="s">
        <v>6</v>
      </c>
      <c r="H8" s="12" t="s">
        <v>5</v>
      </c>
      <c r="J8" s="7" t="s">
        <v>7</v>
      </c>
      <c r="K8" s="7"/>
      <c r="L8" s="7" t="s">
        <v>9</v>
      </c>
    </row>
    <row r="9" spans="1:13" x14ac:dyDescent="0.25">
      <c r="A9" s="12" t="s">
        <v>8</v>
      </c>
      <c r="B9" s="6"/>
      <c r="D9" s="12" t="s">
        <v>9</v>
      </c>
      <c r="F9" s="12" t="s">
        <v>10</v>
      </c>
      <c r="H9" s="12" t="s">
        <v>11</v>
      </c>
      <c r="J9" s="7" t="s">
        <v>12</v>
      </c>
      <c r="K9" s="57"/>
      <c r="L9" s="7" t="s">
        <v>121</v>
      </c>
    </row>
    <row r="10" spans="1:13" x14ac:dyDescent="0.25">
      <c r="A10" s="13" t="s">
        <v>13</v>
      </c>
      <c r="B10" s="13" t="s">
        <v>14</v>
      </c>
      <c r="D10" s="13" t="s">
        <v>6</v>
      </c>
      <c r="F10" s="13" t="s">
        <v>15</v>
      </c>
      <c r="H10" s="13" t="s">
        <v>15</v>
      </c>
      <c r="J10" s="51" t="s">
        <v>16</v>
      </c>
      <c r="K10" s="57"/>
      <c r="L10" s="51" t="s">
        <v>122</v>
      </c>
    </row>
    <row r="11" spans="1:13" x14ac:dyDescent="0.25">
      <c r="A11" s="12"/>
      <c r="B11" s="6"/>
      <c r="K11" s="56"/>
    </row>
    <row r="12" spans="1:13" x14ac:dyDescent="0.25">
      <c r="A12" s="12">
        <v>1</v>
      </c>
      <c r="B12" s="19" t="s">
        <v>17</v>
      </c>
      <c r="D12" s="14">
        <f>+'Settlement Exhibit'!M12</f>
        <v>10909513.104656029</v>
      </c>
      <c r="F12" s="15">
        <f>+D12+D26</f>
        <v>6836933.8662669268</v>
      </c>
      <c r="H12" s="14">
        <f>+D12</f>
        <v>10909513.104656029</v>
      </c>
      <c r="J12" s="14"/>
      <c r="K12" s="15"/>
      <c r="L12" s="14">
        <f>+H12+J12</f>
        <v>10909513.104656029</v>
      </c>
    </row>
    <row r="13" spans="1:13" x14ac:dyDescent="0.25">
      <c r="A13" s="12">
        <v>2</v>
      </c>
      <c r="B13" s="19" t="s">
        <v>18</v>
      </c>
      <c r="D13" s="16">
        <f>+'Settlement Exhibit'!M13</f>
        <v>28862</v>
      </c>
      <c r="F13" s="16">
        <f>+D13</f>
        <v>28862</v>
      </c>
      <c r="H13" s="16">
        <f t="shared" ref="H13:H27" si="0">+D13</f>
        <v>28862</v>
      </c>
      <c r="J13" s="50"/>
      <c r="K13" s="50"/>
      <c r="L13" s="16">
        <f>+H13+J13</f>
        <v>28862</v>
      </c>
    </row>
    <row r="14" spans="1:13" x14ac:dyDescent="0.25">
      <c r="A14" s="12">
        <v>3</v>
      </c>
      <c r="B14" s="6" t="s">
        <v>19</v>
      </c>
      <c r="D14" s="9">
        <f>+D12-D13</f>
        <v>10880651.104656029</v>
      </c>
      <c r="F14" s="9">
        <f>+F12-F13</f>
        <v>6808071.8662669268</v>
      </c>
      <c r="H14" s="14">
        <f t="shared" si="0"/>
        <v>10880651.104656029</v>
      </c>
      <c r="J14" s="14"/>
      <c r="K14" s="14"/>
      <c r="L14" s="9">
        <f>+L12-L13</f>
        <v>10880651.104656029</v>
      </c>
    </row>
    <row r="15" spans="1:13" x14ac:dyDescent="0.25">
      <c r="A15" s="12">
        <v>4</v>
      </c>
      <c r="B15" s="6"/>
      <c r="F15" s="9"/>
      <c r="H15" s="14">
        <f t="shared" si="0"/>
        <v>0</v>
      </c>
      <c r="J15" s="14">
        <v>0</v>
      </c>
      <c r="K15" s="14"/>
      <c r="L15" s="6"/>
    </row>
    <row r="16" spans="1:13" x14ac:dyDescent="0.25">
      <c r="A16" s="12">
        <v>5</v>
      </c>
      <c r="B16" s="6" t="s">
        <v>20</v>
      </c>
      <c r="D16" s="11">
        <f>+'Settlement Exhibit'!K16</f>
        <v>-2199982.1841204856</v>
      </c>
      <c r="F16" s="11">
        <f>+'Settlement Exhibit'!K35+'Settlement Exhibit'!K36</f>
        <v>667355.03129716497</v>
      </c>
      <c r="G16" s="12" t="s">
        <v>21</v>
      </c>
      <c r="H16" s="14">
        <f>+F16+D16</f>
        <v>-1532627.1528233206</v>
      </c>
      <c r="J16" s="14"/>
      <c r="K16" s="14"/>
      <c r="L16" s="11">
        <f>+'Settlement Exhibit'!R16</f>
        <v>0</v>
      </c>
    </row>
    <row r="17" spans="1:12" x14ac:dyDescent="0.25">
      <c r="A17" s="12">
        <v>6</v>
      </c>
      <c r="B17" s="20" t="s">
        <v>22</v>
      </c>
      <c r="D17" s="11">
        <f>+'Settlement Exhibit'!K19</f>
        <v>-197944.72296163111</v>
      </c>
      <c r="F17" s="11">
        <f>+'Settlement Exhibit'!K38</f>
        <v>-8437.5275392212316</v>
      </c>
      <c r="G17" s="12" t="s">
        <v>23</v>
      </c>
      <c r="H17" s="14">
        <f t="shared" ref="H17:H24" si="1">+F17+D17</f>
        <v>-206382.25050085233</v>
      </c>
      <c r="J17" s="14"/>
      <c r="K17" s="14"/>
      <c r="L17" s="11">
        <f>+'Settlement Exhibit'!R19</f>
        <v>0</v>
      </c>
    </row>
    <row r="18" spans="1:12" x14ac:dyDescent="0.25">
      <c r="A18" s="12">
        <v>7</v>
      </c>
      <c r="B18" s="20" t="s">
        <v>24</v>
      </c>
      <c r="D18" s="11">
        <f>+'Settlement Exhibit'!K22</f>
        <v>-204706.48129702406</v>
      </c>
      <c r="F18" s="11">
        <f>+'Settlement Exhibit'!K39</f>
        <v>79025.581896074684</v>
      </c>
      <c r="G18" s="12" t="s">
        <v>25</v>
      </c>
      <c r="H18" s="14">
        <f t="shared" si="1"/>
        <v>-125680.89940094938</v>
      </c>
      <c r="J18" s="14"/>
      <c r="K18" s="14"/>
      <c r="L18" s="11">
        <f>+'Settlement Exhibit'!R22</f>
        <v>0</v>
      </c>
    </row>
    <row r="19" spans="1:12" x14ac:dyDescent="0.25">
      <c r="A19" s="12">
        <v>8</v>
      </c>
      <c r="B19" s="20" t="s">
        <v>26</v>
      </c>
      <c r="D19" s="11">
        <f>+'Settlement Exhibit'!K23</f>
        <v>-256474.95839646808</v>
      </c>
      <c r="F19" s="11">
        <f>+'Settlement Exhibit'!K40+'Settlement Exhibit'!K41+'Settlement Exhibit'!K42</f>
        <v>143979.41052775615</v>
      </c>
      <c r="G19" s="12" t="s">
        <v>27</v>
      </c>
      <c r="H19" s="14">
        <f t="shared" si="1"/>
        <v>-112495.54786871193</v>
      </c>
      <c r="J19" s="14"/>
      <c r="K19" s="14"/>
      <c r="L19" s="11">
        <f>+'Settlement Exhibit'!R23</f>
        <v>0</v>
      </c>
    </row>
    <row r="20" spans="1:12" x14ac:dyDescent="0.25">
      <c r="A20" s="12">
        <v>9</v>
      </c>
      <c r="B20" s="20" t="s">
        <v>28</v>
      </c>
      <c r="D20" s="11">
        <f>+'Settlement Exhibit'!K24</f>
        <v>-1159358.1284346811</v>
      </c>
      <c r="F20" s="11"/>
      <c r="H20" s="14">
        <f t="shared" si="1"/>
        <v>-1159358.1284346811</v>
      </c>
      <c r="J20" s="14"/>
      <c r="K20" s="14"/>
      <c r="L20" s="11">
        <f>+'Settlement Exhibit'!R24</f>
        <v>0</v>
      </c>
    </row>
    <row r="21" spans="1:12" x14ac:dyDescent="0.25">
      <c r="A21" s="12">
        <v>10</v>
      </c>
      <c r="B21" s="20" t="s">
        <v>29</v>
      </c>
      <c r="D21" s="11">
        <f>+'Settlement Exhibit'!K25</f>
        <v>-7919.2599702587568</v>
      </c>
      <c r="F21" s="11"/>
      <c r="H21" s="14">
        <f t="shared" si="1"/>
        <v>-7919.2599702587568</v>
      </c>
      <c r="J21" s="14"/>
      <c r="K21" s="14"/>
      <c r="L21" s="11">
        <f>+'Settlement Exhibit'!R25</f>
        <v>0</v>
      </c>
    </row>
    <row r="22" spans="1:12" x14ac:dyDescent="0.25">
      <c r="A22" s="12">
        <v>11</v>
      </c>
      <c r="B22" s="20" t="s">
        <v>30</v>
      </c>
      <c r="D22" s="11">
        <f>+'Settlement Exhibit'!K26</f>
        <v>-23473.044734612729</v>
      </c>
      <c r="F22" s="11">
        <f>+'Settlement Exhibit'!K43</f>
        <v>23473.044734612729</v>
      </c>
      <c r="H22" s="14">
        <f t="shared" si="1"/>
        <v>0</v>
      </c>
      <c r="J22" s="14"/>
      <c r="K22" s="14"/>
      <c r="L22" s="11">
        <f>+'Settlement Exhibit'!R26</f>
        <v>0</v>
      </c>
    </row>
    <row r="23" spans="1:12" x14ac:dyDescent="0.25">
      <c r="A23" s="12">
        <v>12</v>
      </c>
      <c r="B23" s="20" t="s">
        <v>31</v>
      </c>
      <c r="D23" s="17">
        <f>+'Settlement Exhibit'!K27</f>
        <v>-22720.458473940191</v>
      </c>
      <c r="F23" s="11"/>
      <c r="H23" s="14">
        <f t="shared" si="1"/>
        <v>-22720.458473940191</v>
      </c>
      <c r="J23" s="14"/>
      <c r="K23" s="14"/>
      <c r="L23" s="17">
        <f>+'Settlement Exhibit'!R27</f>
        <v>0</v>
      </c>
    </row>
    <row r="24" spans="1:12" x14ac:dyDescent="0.25">
      <c r="A24" s="12">
        <v>13</v>
      </c>
      <c r="B24" s="20" t="s">
        <v>32</v>
      </c>
      <c r="D24" s="58"/>
      <c r="F24" s="21">
        <f>+'Settlement Exhibit'!K45</f>
        <v>30602.572363986303</v>
      </c>
      <c r="G24" s="12" t="s">
        <v>33</v>
      </c>
      <c r="H24" s="16">
        <f t="shared" si="1"/>
        <v>30602.572363986303</v>
      </c>
      <c r="J24" s="16">
        <v>0</v>
      </c>
      <c r="K24" s="14"/>
      <c r="L24" s="59"/>
    </row>
    <row r="25" spans="1:12" x14ac:dyDescent="0.25">
      <c r="A25" s="12"/>
      <c r="B25" s="20"/>
      <c r="F25" s="17"/>
      <c r="H25" s="14">
        <f t="shared" si="0"/>
        <v>0</v>
      </c>
      <c r="J25" s="14">
        <v>0</v>
      </c>
      <c r="K25" s="14"/>
      <c r="L25" s="6"/>
    </row>
    <row r="26" spans="1:12" x14ac:dyDescent="0.25">
      <c r="A26" s="12">
        <v>14</v>
      </c>
      <c r="B26" s="6" t="s">
        <v>34</v>
      </c>
      <c r="D26" s="21">
        <f>SUM(D16:D25)</f>
        <v>-4072579.2383891023</v>
      </c>
      <c r="F26" s="21">
        <f>SUM(F16:F25)</f>
        <v>935998.11328037363</v>
      </c>
      <c r="H26" s="16">
        <f>SUM(H16:H25)</f>
        <v>-3136581.1251087287</v>
      </c>
      <c r="J26" s="16">
        <f>-D48</f>
        <v>-72515.911967530134</v>
      </c>
      <c r="K26" s="14"/>
      <c r="L26" s="16">
        <f>+H26+J26</f>
        <v>-3209097.0370762586</v>
      </c>
    </row>
    <row r="27" spans="1:12" ht="9" customHeight="1" x14ac:dyDescent="0.25">
      <c r="A27" s="12"/>
      <c r="B27" s="6"/>
      <c r="F27" s="9"/>
      <c r="H27" s="14">
        <f t="shared" si="0"/>
        <v>0</v>
      </c>
      <c r="J27" s="14">
        <v>0</v>
      </c>
      <c r="K27" s="15"/>
      <c r="L27" s="6"/>
    </row>
    <row r="28" spans="1:12" x14ac:dyDescent="0.25">
      <c r="A28" s="12">
        <v>15</v>
      </c>
      <c r="B28" s="19" t="s">
        <v>19</v>
      </c>
      <c r="D28" s="10">
        <f>+D14+D26</f>
        <v>6808071.8662669268</v>
      </c>
      <c r="F28" s="10">
        <f>+F14+F26</f>
        <v>7744069.9795473004</v>
      </c>
      <c r="H28" s="10">
        <f>+H14+H26</f>
        <v>7744069.9795473013</v>
      </c>
      <c r="J28" s="10">
        <f>+J14+J26</f>
        <v>-72515.911967530134</v>
      </c>
      <c r="K28" s="55"/>
      <c r="L28" s="10">
        <f>+L14+L26</f>
        <v>7671554.0675797705</v>
      </c>
    </row>
    <row r="29" spans="1:12" x14ac:dyDescent="0.25">
      <c r="A29" s="7">
        <v>16</v>
      </c>
      <c r="B29" s="19" t="s">
        <v>18</v>
      </c>
      <c r="D29" s="18">
        <f>+D13</f>
        <v>28862</v>
      </c>
      <c r="F29" s="18">
        <f>+F13</f>
        <v>28862</v>
      </c>
      <c r="H29" s="18">
        <f>+H13</f>
        <v>28862</v>
      </c>
      <c r="J29" s="18">
        <f>+J13</f>
        <v>0</v>
      </c>
      <c r="K29" s="55"/>
      <c r="L29" s="18">
        <f>+L13</f>
        <v>28862</v>
      </c>
    </row>
    <row r="30" spans="1:12" ht="16.5" thickBot="1" x14ac:dyDescent="0.3">
      <c r="A30" s="7">
        <v>17</v>
      </c>
      <c r="B30" s="6" t="s">
        <v>17</v>
      </c>
      <c r="D30" s="22">
        <f>+D28+D29</f>
        <v>6836933.8662669268</v>
      </c>
      <c r="F30" s="22">
        <f>+F28+F29</f>
        <v>7772931.9795473004</v>
      </c>
      <c r="H30" s="22">
        <f>+H28+H29</f>
        <v>7772931.9795473013</v>
      </c>
      <c r="J30" s="22">
        <f>+J28+J29</f>
        <v>-72515.911967530134</v>
      </c>
      <c r="K30" s="55"/>
      <c r="L30" s="22">
        <f>+L28+L29</f>
        <v>7700416.0675797705</v>
      </c>
    </row>
    <row r="31" spans="1:12" ht="16.5" thickTop="1" x14ac:dyDescent="0.25">
      <c r="K31" s="56"/>
    </row>
    <row r="32" spans="1:12" x14ac:dyDescent="0.25">
      <c r="K32" s="56"/>
    </row>
    <row r="33" spans="2:11" x14ac:dyDescent="0.25">
      <c r="B33" s="2" t="s">
        <v>35</v>
      </c>
      <c r="K33" s="56"/>
    </row>
    <row r="34" spans="2:11" x14ac:dyDescent="0.25">
      <c r="B34" s="2" t="s">
        <v>36</v>
      </c>
      <c r="K34" s="56"/>
    </row>
    <row r="35" spans="2:11" x14ac:dyDescent="0.25">
      <c r="B35" s="2" t="s">
        <v>37</v>
      </c>
    </row>
    <row r="36" spans="2:11" x14ac:dyDescent="0.25">
      <c r="B36" s="2" t="s">
        <v>38</v>
      </c>
    </row>
    <row r="37" spans="2:11" x14ac:dyDescent="0.25">
      <c r="B37" s="2" t="s">
        <v>39</v>
      </c>
    </row>
    <row r="39" spans="2:11" x14ac:dyDescent="0.25">
      <c r="B39" s="2" t="s">
        <v>40</v>
      </c>
    </row>
    <row r="41" spans="2:11" x14ac:dyDescent="0.25">
      <c r="B41" s="2" t="s">
        <v>41</v>
      </c>
      <c r="D41" s="46">
        <v>1000000</v>
      </c>
    </row>
    <row r="42" spans="2:11" x14ac:dyDescent="0.25">
      <c r="B42" s="2" t="s">
        <v>42</v>
      </c>
      <c r="D42" s="48">
        <v>783778</v>
      </c>
    </row>
    <row r="44" spans="2:11" x14ac:dyDescent="0.25">
      <c r="B44" s="2" t="s">
        <v>43</v>
      </c>
      <c r="D44" s="47">
        <f>+D41-D42</f>
        <v>216222</v>
      </c>
    </row>
    <row r="45" spans="2:11" x14ac:dyDescent="0.25">
      <c r="B45" s="2" t="s">
        <v>44</v>
      </c>
      <c r="D45" s="48">
        <v>3</v>
      </c>
    </row>
    <row r="46" spans="2:11" x14ac:dyDescent="0.25">
      <c r="D46" s="48">
        <f>+D44/D45</f>
        <v>72074</v>
      </c>
    </row>
    <row r="47" spans="2:11" x14ac:dyDescent="0.25">
      <c r="B47" s="2" t="s">
        <v>45</v>
      </c>
      <c r="D47" s="49">
        <f>+'Settlement Exhibit'!I38</f>
        <v>1.0061313645354792</v>
      </c>
    </row>
    <row r="48" spans="2:11" x14ac:dyDescent="0.25">
      <c r="B48" s="2" t="s">
        <v>46</v>
      </c>
      <c r="D48" s="48">
        <f>+D46*D47</f>
        <v>72515.911967530134</v>
      </c>
    </row>
  </sheetData>
  <mergeCells count="5">
    <mergeCell ref="B4:C4"/>
    <mergeCell ref="A5:L5"/>
    <mergeCell ref="A3:L3"/>
    <mergeCell ref="A2:L2"/>
    <mergeCell ref="A1:L1"/>
  </mergeCells>
  <pageMargins left="0.7" right="0.7" top="0.75" bottom="0.75" header="0.3" footer="0.3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25FC-45BB-4076-8F01-395B4B6C6091}">
  <sheetPr>
    <pageSetUpPr fitToPage="1"/>
  </sheetPr>
  <dimension ref="A1:V66"/>
  <sheetViews>
    <sheetView topLeftCell="A26" workbookViewId="0">
      <selection activeCell="G52" sqref="G52"/>
    </sheetView>
  </sheetViews>
  <sheetFormatPr defaultColWidth="9.140625" defaultRowHeight="15.75" x14ac:dyDescent="0.25"/>
  <cols>
    <col min="1" max="1" width="9.140625" style="2"/>
    <col min="2" max="2" width="9" style="7" customWidth="1"/>
    <col min="3" max="3" width="53" style="2" customWidth="1"/>
    <col min="4" max="4" width="2.42578125" style="2" customWidth="1"/>
    <col min="5" max="5" width="11.7109375" style="2" bestFit="1" customWidth="1"/>
    <col min="6" max="6" width="2.5703125" style="2" customWidth="1"/>
    <col min="7" max="7" width="11.85546875" style="6" bestFit="1" customWidth="1"/>
    <col min="8" max="8" width="3.7109375" style="6" customWidth="1"/>
    <col min="9" max="9" width="10.85546875" style="6" customWidth="1"/>
    <col min="10" max="10" width="2.85546875" style="6" customWidth="1"/>
    <col min="11" max="11" width="13.85546875" style="6" customWidth="1"/>
    <col min="12" max="12" width="2.5703125" style="6" customWidth="1"/>
    <col min="13" max="13" width="13.42578125" style="6" bestFit="1" customWidth="1"/>
    <col min="14" max="14" width="2.7109375" style="6" customWidth="1"/>
    <col min="15" max="15" width="0" style="6" hidden="1" customWidth="1"/>
    <col min="16" max="16" width="1.42578125" style="6" hidden="1" customWidth="1"/>
    <col min="17" max="17" width="15.85546875" style="6" hidden="1" customWidth="1"/>
    <col min="18" max="19" width="9.140625" style="6"/>
    <col min="20" max="20" width="0" style="6" hidden="1" customWidth="1"/>
    <col min="21" max="21" width="29" style="6" hidden="1" customWidth="1"/>
    <col min="22" max="22" width="15.7109375" style="2" hidden="1" customWidth="1"/>
    <col min="23" max="16384" width="9.140625" style="2"/>
  </cols>
  <sheetData>
    <row r="1" spans="1:22" x14ac:dyDescent="0.25">
      <c r="A1" s="1"/>
      <c r="B1" s="1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27">
        <v>45742</v>
      </c>
    </row>
    <row r="2" spans="1:22" x14ac:dyDescent="0.25">
      <c r="A2" s="1"/>
      <c r="B2" s="1"/>
      <c r="C2" s="52" t="s">
        <v>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8" t="s">
        <v>47</v>
      </c>
      <c r="R2" s="28"/>
    </row>
    <row r="3" spans="1:22" x14ac:dyDescent="0.25">
      <c r="A3" s="1"/>
      <c r="B3" s="1"/>
      <c r="C3" s="52" t="s">
        <v>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8" t="s">
        <v>48</v>
      </c>
      <c r="R3" s="28"/>
    </row>
    <row r="4" spans="1:22" x14ac:dyDescent="0.25">
      <c r="A4" s="1"/>
      <c r="B4" s="1"/>
      <c r="C4" s="52"/>
      <c r="D4" s="52"/>
      <c r="E4" s="52"/>
      <c r="F4" s="52"/>
      <c r="G4" s="52"/>
      <c r="H4" s="52"/>
      <c r="I4" s="52"/>
      <c r="J4" s="52"/>
      <c r="K4" s="4"/>
      <c r="L4" s="5"/>
    </row>
    <row r="5" spans="1:22" ht="18" x14ac:dyDescent="0.25">
      <c r="A5" s="1"/>
      <c r="B5" s="1"/>
      <c r="C5" s="54" t="s">
        <v>49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2" x14ac:dyDescent="0.25">
      <c r="C6" s="8"/>
    </row>
    <row r="7" spans="1:22" x14ac:dyDescent="0.25">
      <c r="I7" s="29" t="s">
        <v>50</v>
      </c>
      <c r="O7" s="29"/>
      <c r="P7" s="29"/>
      <c r="Q7" s="29" t="s">
        <v>51</v>
      </c>
      <c r="R7" s="29"/>
    </row>
    <row r="8" spans="1:22" x14ac:dyDescent="0.25">
      <c r="E8" s="8"/>
      <c r="F8" s="8"/>
      <c r="G8" s="29" t="s">
        <v>52</v>
      </c>
      <c r="I8" s="29" t="s">
        <v>53</v>
      </c>
      <c r="K8" s="29" t="s">
        <v>54</v>
      </c>
      <c r="M8" s="29" t="s">
        <v>55</v>
      </c>
      <c r="O8" s="29" t="s">
        <v>51</v>
      </c>
      <c r="P8" s="29"/>
      <c r="Q8" s="29" t="s">
        <v>56</v>
      </c>
      <c r="R8" s="29"/>
    </row>
    <row r="9" spans="1:22" x14ac:dyDescent="0.25">
      <c r="E9" s="23"/>
      <c r="F9" s="8"/>
      <c r="G9" s="29" t="s">
        <v>57</v>
      </c>
      <c r="I9" s="29" t="s">
        <v>58</v>
      </c>
      <c r="K9" s="29" t="s">
        <v>59</v>
      </c>
      <c r="M9" s="29" t="s">
        <v>54</v>
      </c>
      <c r="O9" s="29" t="s">
        <v>56</v>
      </c>
      <c r="P9" s="29"/>
      <c r="Q9" s="29" t="s">
        <v>60</v>
      </c>
      <c r="R9" s="29"/>
    </row>
    <row r="10" spans="1:22" x14ac:dyDescent="0.25">
      <c r="B10" s="24" t="s">
        <v>61</v>
      </c>
      <c r="C10" s="24" t="s">
        <v>14</v>
      </c>
      <c r="E10" s="24" t="s">
        <v>62</v>
      </c>
      <c r="F10" s="8"/>
      <c r="G10" s="30" t="s">
        <v>63</v>
      </c>
      <c r="I10" s="30" t="s">
        <v>64</v>
      </c>
      <c r="K10" s="30" t="s">
        <v>65</v>
      </c>
      <c r="M10" s="30" t="s">
        <v>59</v>
      </c>
      <c r="O10" s="30" t="s">
        <v>66</v>
      </c>
      <c r="P10" s="29"/>
      <c r="Q10" s="30" t="s">
        <v>67</v>
      </c>
      <c r="R10" s="29"/>
      <c r="T10" s="6" t="s">
        <v>68</v>
      </c>
      <c r="V10" s="31">
        <v>57360378</v>
      </c>
    </row>
    <row r="11" spans="1:22" x14ac:dyDescent="0.25">
      <c r="V11" s="31"/>
    </row>
    <row r="12" spans="1:22" x14ac:dyDescent="0.25">
      <c r="B12" s="7">
        <v>1</v>
      </c>
      <c r="C12" s="5" t="s">
        <v>69</v>
      </c>
      <c r="K12" s="32"/>
      <c r="M12" s="33">
        <v>10909513.104656029</v>
      </c>
      <c r="O12" s="34">
        <f>+M12/V10</f>
        <v>0.19019248974712177</v>
      </c>
      <c r="P12" s="34"/>
      <c r="Q12" s="34">
        <f>+M12/V21</f>
        <v>0.16435808195382895</v>
      </c>
      <c r="T12" s="6" t="s">
        <v>70</v>
      </c>
      <c r="V12" s="31">
        <v>16227683</v>
      </c>
    </row>
    <row r="13" spans="1:22" x14ac:dyDescent="0.25">
      <c r="B13" s="7">
        <v>2</v>
      </c>
      <c r="C13" s="5" t="s">
        <v>71</v>
      </c>
      <c r="K13" s="32"/>
      <c r="M13" s="35">
        <v>28862</v>
      </c>
      <c r="T13" s="6" t="s">
        <v>72</v>
      </c>
      <c r="V13" s="36">
        <v>4.6563999999999997</v>
      </c>
    </row>
    <row r="14" spans="1:22" x14ac:dyDescent="0.25">
      <c r="B14" s="7">
        <v>3</v>
      </c>
      <c r="C14" s="23" t="s">
        <v>73</v>
      </c>
      <c r="K14" s="26"/>
      <c r="M14" s="37">
        <f>+M12-M13</f>
        <v>10880651.104656029</v>
      </c>
      <c r="T14" s="6" t="s">
        <v>74</v>
      </c>
      <c r="V14" s="36">
        <v>7.2435</v>
      </c>
    </row>
    <row r="15" spans="1:22" x14ac:dyDescent="0.25">
      <c r="C15" s="23"/>
      <c r="K15" s="37"/>
      <c r="T15" s="6" t="s">
        <v>75</v>
      </c>
      <c r="V15" s="36">
        <f>+V14-V13</f>
        <v>2.5871000000000004</v>
      </c>
    </row>
    <row r="16" spans="1:22" x14ac:dyDescent="0.25">
      <c r="B16" s="7">
        <v>4</v>
      </c>
      <c r="C16" s="23" t="s">
        <v>20</v>
      </c>
      <c r="E16" s="7" t="s">
        <v>76</v>
      </c>
      <c r="G16" s="17">
        <v>-2186575.4926904552</v>
      </c>
      <c r="I16" s="6">
        <f>'[1]DND-10 GRCF'!$E$17</f>
        <v>1.0061313645354792</v>
      </c>
      <c r="K16" s="37">
        <f>G16*I16</f>
        <v>-2199982.1841204856</v>
      </c>
      <c r="T16" s="6" t="s">
        <v>77</v>
      </c>
      <c r="V16" s="38">
        <f>+V15/V13</f>
        <v>0.5556008933940384</v>
      </c>
    </row>
    <row r="17" spans="2:22" ht="6.75" customHeight="1" x14ac:dyDescent="0.25">
      <c r="C17" s="23"/>
      <c r="E17" s="7"/>
      <c r="G17" s="11" t="s">
        <v>78</v>
      </c>
      <c r="K17" s="37"/>
      <c r="V17" s="31"/>
    </row>
    <row r="18" spans="2:22" x14ac:dyDescent="0.25">
      <c r="B18" s="7">
        <v>5</v>
      </c>
      <c r="C18" s="23" t="s">
        <v>79</v>
      </c>
      <c r="E18" s="7"/>
      <c r="G18" s="11"/>
      <c r="K18" s="37"/>
      <c r="T18" s="6" t="s">
        <v>80</v>
      </c>
      <c r="V18" s="31">
        <f>+V16*V12</f>
        <v>9016115.1725152489</v>
      </c>
    </row>
    <row r="19" spans="2:22" x14ac:dyDescent="0.25">
      <c r="B19" s="7">
        <v>6</v>
      </c>
      <c r="C19" s="25" t="s">
        <v>22</v>
      </c>
      <c r="E19" s="7" t="s">
        <v>81</v>
      </c>
      <c r="G19" s="11">
        <v>-196738.44781990291</v>
      </c>
      <c r="I19" s="6">
        <f>'[1]DND-10 GRCF'!$E$17</f>
        <v>1.0061313645354792</v>
      </c>
      <c r="K19" s="37">
        <f>G19*I19</f>
        <v>-197944.72296163111</v>
      </c>
      <c r="V19" s="31"/>
    </row>
    <row r="20" spans="2:22" ht="6.75" customHeight="1" x14ac:dyDescent="0.25">
      <c r="E20" s="7"/>
      <c r="G20" s="11"/>
      <c r="K20" s="37"/>
      <c r="V20" s="31"/>
    </row>
    <row r="21" spans="2:22" x14ac:dyDescent="0.25">
      <c r="B21" s="7">
        <v>7</v>
      </c>
      <c r="C21" s="23" t="s">
        <v>82</v>
      </c>
      <c r="E21" s="7"/>
      <c r="G21" s="11"/>
      <c r="K21" s="37"/>
      <c r="T21" s="6" t="s">
        <v>83</v>
      </c>
      <c r="V21" s="39">
        <f>+V18+V10</f>
        <v>66376493.172515251</v>
      </c>
    </row>
    <row r="22" spans="2:22" x14ac:dyDescent="0.25">
      <c r="B22" s="7">
        <v>8</v>
      </c>
      <c r="C22" s="25" t="s">
        <v>24</v>
      </c>
      <c r="E22" s="7" t="s">
        <v>84</v>
      </c>
      <c r="G22" s="11">
        <v>-203459</v>
      </c>
      <c r="I22" s="6">
        <f>'[1]DND-10 GRCF'!$E$17</f>
        <v>1.0061313645354792</v>
      </c>
      <c r="K22" s="37">
        <f t="shared" ref="K22:K27" si="0">G22*I22</f>
        <v>-204706.48129702406</v>
      </c>
    </row>
    <row r="23" spans="2:22" x14ac:dyDescent="0.25">
      <c r="B23" s="7">
        <v>9</v>
      </c>
      <c r="C23" s="25" t="s">
        <v>26</v>
      </c>
      <c r="E23" s="7" t="s">
        <v>84</v>
      </c>
      <c r="G23" s="11">
        <v>-254912</v>
      </c>
      <c r="I23" s="6">
        <f>I22</f>
        <v>1.0061313645354792</v>
      </c>
      <c r="K23" s="37">
        <f t="shared" si="0"/>
        <v>-256474.95839646808</v>
      </c>
    </row>
    <row r="24" spans="2:22" x14ac:dyDescent="0.25">
      <c r="B24" s="7">
        <v>10</v>
      </c>
      <c r="C24" s="25" t="s">
        <v>28</v>
      </c>
      <c r="E24" s="7" t="s">
        <v>85</v>
      </c>
      <c r="G24" s="11">
        <v>-1152293</v>
      </c>
      <c r="I24" s="6">
        <f>I23</f>
        <v>1.0061313645354792</v>
      </c>
      <c r="K24" s="37">
        <f t="shared" si="0"/>
        <v>-1159358.1284346811</v>
      </c>
    </row>
    <row r="25" spans="2:22" x14ac:dyDescent="0.25">
      <c r="B25" s="7">
        <v>11</v>
      </c>
      <c r="C25" s="25" t="s">
        <v>29</v>
      </c>
      <c r="E25" s="7" t="s">
        <v>86</v>
      </c>
      <c r="G25" s="11">
        <v>-7871</v>
      </c>
      <c r="I25" s="6">
        <f>I24</f>
        <v>1.0061313645354792</v>
      </c>
      <c r="K25" s="37">
        <f t="shared" si="0"/>
        <v>-7919.2599702587568</v>
      </c>
    </row>
    <row r="26" spans="2:22" x14ac:dyDescent="0.25">
      <c r="B26" s="7">
        <v>12</v>
      </c>
      <c r="C26" s="25" t="s">
        <v>30</v>
      </c>
      <c r="E26" s="7" t="s">
        <v>87</v>
      </c>
      <c r="G26" s="11">
        <v>-23330</v>
      </c>
      <c r="I26" s="6">
        <f>I25</f>
        <v>1.0061313645354792</v>
      </c>
      <c r="K26" s="37">
        <f t="shared" si="0"/>
        <v>-23473.044734612729</v>
      </c>
    </row>
    <row r="27" spans="2:22" x14ac:dyDescent="0.25">
      <c r="B27" s="7">
        <v>13</v>
      </c>
      <c r="C27" s="25" t="s">
        <v>31</v>
      </c>
      <c r="E27" s="7" t="s">
        <v>88</v>
      </c>
      <c r="G27" s="11">
        <v>-22582</v>
      </c>
      <c r="I27" s="6">
        <f>I26</f>
        <v>1.0061313645354792</v>
      </c>
      <c r="K27" s="40">
        <f t="shared" si="0"/>
        <v>-22720.458473940191</v>
      </c>
    </row>
    <row r="28" spans="2:22" ht="6" customHeight="1" x14ac:dyDescent="0.25">
      <c r="C28" s="25"/>
      <c r="E28" s="7"/>
      <c r="G28" s="11"/>
      <c r="K28" s="26"/>
    </row>
    <row r="29" spans="2:22" x14ac:dyDescent="0.25">
      <c r="B29" s="7">
        <v>14</v>
      </c>
      <c r="C29" s="2" t="s">
        <v>89</v>
      </c>
      <c r="K29" s="37"/>
      <c r="M29" s="41">
        <f>SUM(K16:K27)</f>
        <v>-4072579.2383891023</v>
      </c>
    </row>
    <row r="30" spans="2:22" ht="9" customHeight="1" x14ac:dyDescent="0.25">
      <c r="K30" s="37"/>
      <c r="M30" s="42"/>
    </row>
    <row r="31" spans="2:22" x14ac:dyDescent="0.25">
      <c r="B31" s="7">
        <v>15</v>
      </c>
      <c r="C31" s="23" t="s">
        <v>90</v>
      </c>
      <c r="K31" s="26"/>
      <c r="M31" s="42">
        <f>SUM(M14:M29)</f>
        <v>6808071.8662669268</v>
      </c>
      <c r="O31" s="34">
        <f>+M31/V10</f>
        <v>0.1186894526090279</v>
      </c>
      <c r="P31" s="34"/>
      <c r="Q31" s="34">
        <f>+M31/V21</f>
        <v>0.10256751360112482</v>
      </c>
    </row>
    <row r="32" spans="2:22" ht="8.25" customHeight="1" x14ac:dyDescent="0.25">
      <c r="M32" s="43"/>
    </row>
    <row r="33" spans="2:13" ht="16.5" customHeight="1" x14ac:dyDescent="0.25">
      <c r="C33" s="23" t="s">
        <v>91</v>
      </c>
      <c r="M33" s="43"/>
    </row>
    <row r="34" spans="2:13" ht="8.25" customHeight="1" x14ac:dyDescent="0.25">
      <c r="M34" s="43"/>
    </row>
    <row r="35" spans="2:13" x14ac:dyDescent="0.25">
      <c r="B35" s="7">
        <v>16</v>
      </c>
      <c r="C35" s="2" t="s">
        <v>92</v>
      </c>
      <c r="E35" s="7" t="s">
        <v>93</v>
      </c>
      <c r="G35" s="11">
        <v>253881.22049233838</v>
      </c>
      <c r="H35" s="6" t="s">
        <v>21</v>
      </c>
      <c r="I35" s="6">
        <f>+I27</f>
        <v>1.0061313645354792</v>
      </c>
      <c r="K35" s="37">
        <f t="shared" ref="K35:K44" si="1">G35*I35</f>
        <v>255437.85880388931</v>
      </c>
      <c r="M35" s="43"/>
    </row>
    <row r="36" spans="2:13" x14ac:dyDescent="0.25">
      <c r="B36" s="7">
        <v>17</v>
      </c>
      <c r="C36" s="2" t="s">
        <v>94</v>
      </c>
      <c r="E36" s="7" t="s">
        <v>95</v>
      </c>
      <c r="G36" s="11">
        <v>409406.94924410165</v>
      </c>
      <c r="H36" s="6" t="s">
        <v>96</v>
      </c>
      <c r="I36" s="6">
        <f t="shared" ref="I36:I37" si="2">+I35</f>
        <v>1.0061313645354792</v>
      </c>
      <c r="K36" s="37">
        <f t="shared" si="1"/>
        <v>411917.17249327566</v>
      </c>
      <c r="M36" s="43"/>
    </row>
    <row r="37" spans="2:13" x14ac:dyDescent="0.25">
      <c r="B37" s="7">
        <v>18</v>
      </c>
      <c r="C37" s="2" t="s">
        <v>97</v>
      </c>
      <c r="E37" s="7"/>
      <c r="G37" s="11">
        <v>0</v>
      </c>
      <c r="I37" s="6">
        <f t="shared" si="2"/>
        <v>1.0061313645354792</v>
      </c>
      <c r="K37" s="37">
        <f t="shared" si="1"/>
        <v>0</v>
      </c>
      <c r="M37" s="43"/>
    </row>
    <row r="38" spans="2:13" ht="31.5" x14ac:dyDescent="0.25">
      <c r="B38" s="7" t="s">
        <v>98</v>
      </c>
      <c r="C38" s="44" t="s">
        <v>99</v>
      </c>
      <c r="E38" s="7" t="s">
        <v>100</v>
      </c>
      <c r="G38" s="11">
        <v>-8386.1092463972163</v>
      </c>
      <c r="H38" s="6" t="s">
        <v>25</v>
      </c>
      <c r="I38" s="6">
        <f>I37</f>
        <v>1.0061313645354792</v>
      </c>
      <c r="K38" s="37">
        <f>G38*I38</f>
        <v>-8437.5275392212316</v>
      </c>
      <c r="M38" s="43"/>
    </row>
    <row r="39" spans="2:13" x14ac:dyDescent="0.25">
      <c r="B39" s="7">
        <v>19</v>
      </c>
      <c r="C39" s="2" t="s">
        <v>101</v>
      </c>
      <c r="E39" s="7" t="s">
        <v>102</v>
      </c>
      <c r="G39" s="11">
        <v>78544</v>
      </c>
      <c r="H39" s="6" t="s">
        <v>27</v>
      </c>
      <c r="I39" s="6">
        <f>+I37</f>
        <v>1.0061313645354792</v>
      </c>
      <c r="K39" s="37">
        <f t="shared" si="1"/>
        <v>79025.581896074684</v>
      </c>
      <c r="M39" s="43"/>
    </row>
    <row r="40" spans="2:13" x14ac:dyDescent="0.25">
      <c r="B40" s="7">
        <v>20</v>
      </c>
      <c r="C40" s="2" t="s">
        <v>103</v>
      </c>
      <c r="E40" s="7" t="s">
        <v>102</v>
      </c>
      <c r="G40" s="11">
        <v>67798</v>
      </c>
      <c r="H40" s="6" t="s">
        <v>33</v>
      </c>
      <c r="I40" s="6">
        <f t="shared" ref="I40:I44" si="3">+I38</f>
        <v>1.0061313645354792</v>
      </c>
      <c r="K40" s="37">
        <f t="shared" si="1"/>
        <v>68213.694252776419</v>
      </c>
      <c r="M40" s="43"/>
    </row>
    <row r="41" spans="2:13" x14ac:dyDescent="0.25">
      <c r="B41" s="7">
        <v>21</v>
      </c>
      <c r="C41" s="2" t="s">
        <v>104</v>
      </c>
      <c r="E41" s="7" t="s">
        <v>102</v>
      </c>
      <c r="G41" s="11">
        <v>17490</v>
      </c>
      <c r="H41" s="6" t="s">
        <v>4</v>
      </c>
      <c r="I41" s="6">
        <f t="shared" si="3"/>
        <v>1.0061313645354792</v>
      </c>
      <c r="K41" s="37">
        <f t="shared" si="1"/>
        <v>17597.237565725532</v>
      </c>
      <c r="M41" s="43"/>
    </row>
    <row r="42" spans="2:13" x14ac:dyDescent="0.25">
      <c r="B42" s="7">
        <v>22</v>
      </c>
      <c r="C42" s="2" t="s">
        <v>105</v>
      </c>
      <c r="E42" s="7" t="s">
        <v>102</v>
      </c>
      <c r="G42" s="11">
        <v>57814</v>
      </c>
      <c r="H42" s="6" t="s">
        <v>106</v>
      </c>
      <c r="I42" s="6">
        <f t="shared" si="3"/>
        <v>1.0061313645354792</v>
      </c>
      <c r="K42" s="37">
        <f t="shared" si="1"/>
        <v>58168.478709254196</v>
      </c>
      <c r="M42" s="43"/>
    </row>
    <row r="43" spans="2:13" x14ac:dyDescent="0.25">
      <c r="B43" s="7">
        <v>23</v>
      </c>
      <c r="C43" s="2" t="s">
        <v>107</v>
      </c>
      <c r="E43" s="7" t="s">
        <v>87</v>
      </c>
      <c r="G43" s="11">
        <v>23330</v>
      </c>
      <c r="I43" s="6">
        <f t="shared" si="3"/>
        <v>1.0061313645354792</v>
      </c>
      <c r="K43" s="37">
        <f t="shared" si="1"/>
        <v>23473.044734612729</v>
      </c>
      <c r="M43" s="43"/>
    </row>
    <row r="44" spans="2:13" x14ac:dyDescent="0.25">
      <c r="B44" s="7">
        <v>24</v>
      </c>
      <c r="C44" s="2" t="s">
        <v>108</v>
      </c>
      <c r="E44" s="7"/>
      <c r="G44" s="11">
        <v>0</v>
      </c>
      <c r="I44" s="6">
        <f t="shared" si="3"/>
        <v>1.0061313645354792</v>
      </c>
      <c r="K44" s="37">
        <f t="shared" si="1"/>
        <v>0</v>
      </c>
      <c r="M44" s="43"/>
    </row>
    <row r="45" spans="2:13" x14ac:dyDescent="0.25">
      <c r="B45" s="7">
        <v>25</v>
      </c>
      <c r="C45" s="2" t="s">
        <v>109</v>
      </c>
      <c r="E45" s="7" t="s">
        <v>110</v>
      </c>
      <c r="G45" s="11"/>
      <c r="K45" s="40">
        <f>+'[1]DNG-5 GU Corrections'!K14</f>
        <v>30602.572363986303</v>
      </c>
      <c r="M45" s="43"/>
    </row>
    <row r="46" spans="2:13" ht="15" customHeight="1" x14ac:dyDescent="0.25">
      <c r="E46" s="7"/>
      <c r="G46" s="11"/>
      <c r="K46" s="26"/>
      <c r="M46" s="43"/>
    </row>
    <row r="47" spans="2:13" x14ac:dyDescent="0.25">
      <c r="B47" s="7">
        <v>26</v>
      </c>
      <c r="C47" s="2" t="s">
        <v>111</v>
      </c>
      <c r="E47" s="7"/>
      <c r="K47" s="37"/>
      <c r="M47" s="41">
        <f>SUM(K35:K45)</f>
        <v>935998.11328037363</v>
      </c>
    </row>
    <row r="48" spans="2:13" ht="7.5" customHeight="1" x14ac:dyDescent="0.25">
      <c r="E48" s="7"/>
      <c r="K48" s="37"/>
      <c r="M48" s="42"/>
    </row>
    <row r="49" spans="2:17" x14ac:dyDescent="0.25">
      <c r="B49" s="7">
        <v>27</v>
      </c>
      <c r="C49" s="23" t="s">
        <v>112</v>
      </c>
      <c r="E49" s="7"/>
      <c r="M49" s="42">
        <f>+M47+M31</f>
        <v>7744069.9795473004</v>
      </c>
    </row>
    <row r="50" spans="2:17" x14ac:dyDescent="0.25">
      <c r="B50" s="7">
        <v>28</v>
      </c>
      <c r="C50" s="23" t="s">
        <v>113</v>
      </c>
      <c r="E50" s="7"/>
      <c r="M50" s="41">
        <f>+M13</f>
        <v>28862</v>
      </c>
    </row>
    <row r="51" spans="2:17" ht="16.5" thickBot="1" x14ac:dyDescent="0.3">
      <c r="B51" s="7">
        <v>29</v>
      </c>
      <c r="C51" s="23" t="s">
        <v>17</v>
      </c>
      <c r="E51" s="7"/>
      <c r="M51" s="45">
        <f>+M49+M50</f>
        <v>7772931.9795473004</v>
      </c>
      <c r="O51" s="34">
        <f>+M51/V10</f>
        <v>0.1355104734412193</v>
      </c>
      <c r="P51" s="34"/>
      <c r="Q51" s="34">
        <f>+M51/V21</f>
        <v>0.117103685477103</v>
      </c>
    </row>
    <row r="52" spans="2:17" ht="16.5" thickTop="1" x14ac:dyDescent="0.25">
      <c r="C52" s="23"/>
      <c r="E52" s="7"/>
      <c r="M52" s="42"/>
      <c r="O52" s="34"/>
      <c r="P52" s="34"/>
      <c r="Q52" s="34"/>
    </row>
    <row r="53" spans="2:17" x14ac:dyDescent="0.25">
      <c r="C53" s="2" t="s">
        <v>114</v>
      </c>
      <c r="E53" s="7"/>
    </row>
    <row r="54" spans="2:17" x14ac:dyDescent="0.25">
      <c r="C54" s="2" t="s">
        <v>115</v>
      </c>
      <c r="E54" s="7"/>
    </row>
    <row r="55" spans="2:17" x14ac:dyDescent="0.25">
      <c r="C55" s="2" t="s">
        <v>116</v>
      </c>
      <c r="E55" s="7"/>
    </row>
    <row r="56" spans="2:17" x14ac:dyDescent="0.25">
      <c r="C56" s="2" t="s">
        <v>117</v>
      </c>
      <c r="E56" s="7"/>
    </row>
    <row r="57" spans="2:17" x14ac:dyDescent="0.25">
      <c r="C57" s="2" t="s">
        <v>118</v>
      </c>
      <c r="E57" s="7"/>
    </row>
    <row r="58" spans="2:17" x14ac:dyDescent="0.25">
      <c r="C58" s="2" t="s">
        <v>119</v>
      </c>
      <c r="E58" s="7"/>
    </row>
    <row r="59" spans="2:17" x14ac:dyDescent="0.25">
      <c r="C59" s="2" t="s">
        <v>120</v>
      </c>
      <c r="E59" s="7"/>
    </row>
    <row r="60" spans="2:17" x14ac:dyDescent="0.25">
      <c r="E60" s="7"/>
    </row>
    <row r="61" spans="2:17" x14ac:dyDescent="0.25">
      <c r="E61" s="7"/>
    </row>
    <row r="62" spans="2:17" x14ac:dyDescent="0.25">
      <c r="E62" s="7"/>
    </row>
    <row r="63" spans="2:17" x14ac:dyDescent="0.25">
      <c r="E63" s="7"/>
    </row>
    <row r="64" spans="2:17" x14ac:dyDescent="0.25">
      <c r="E64" s="7"/>
    </row>
    <row r="65" spans="5:5" x14ac:dyDescent="0.25">
      <c r="E65" s="7"/>
    </row>
    <row r="66" spans="5:5" x14ac:dyDescent="0.25">
      <c r="E66" s="7"/>
    </row>
  </sheetData>
  <mergeCells count="5">
    <mergeCell ref="C1:P1"/>
    <mergeCell ref="C2:P2"/>
    <mergeCell ref="C3:P3"/>
    <mergeCell ref="C4:J4"/>
    <mergeCell ref="C5:P5"/>
  </mergeCells>
  <pageMargins left="0.7" right="0.7" top="0.75" bottom="0.75" header="0.3" footer="0.3"/>
  <pageSetup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Stipulation Exhibit 1</vt:lpstr>
      <vt:lpstr>Settlement Exhibit</vt:lpstr>
      <vt:lpstr>'Stipulation Exhibit 1'!Print_Area</vt:lpstr>
    </vt:vector>
  </TitlesOfParts>
  <Manager/>
  <Company>Essential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John B</dc:creator>
  <cp:keywords/>
  <dc:description/>
  <cp:lastModifiedBy>Brown, John B</cp:lastModifiedBy>
  <cp:revision/>
  <cp:lastPrinted>2025-06-16T19:59:04Z</cp:lastPrinted>
  <dcterms:created xsi:type="dcterms:W3CDTF">2025-04-10T18:29:51Z</dcterms:created>
  <dcterms:modified xsi:type="dcterms:W3CDTF">2025-06-16T20:00:14Z</dcterms:modified>
  <cp:category/>
  <cp:contentStatus/>
</cp:coreProperties>
</file>