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count\PUBLIC\2024 Rate Case\CIMP Files\AG-II-19\"/>
    </mc:Choice>
  </mc:AlternateContent>
  <xr:revisionPtr revIDLastSave="0" documentId="13_ncr:1_{08F5A0AE-ECE1-49C7-892B-4A1E0871906F}" xr6:coauthVersionLast="47" xr6:coauthVersionMax="47" xr10:uidLastSave="{00000000-0000-0000-0000-000000000000}"/>
  <bookViews>
    <workbookView xWindow="-28920" yWindow="-120" windowWidth="29040" windowHeight="15840" xr2:uid="{C7182F4A-FCD2-4FE9-A7FE-160CFF5A0344}"/>
  </bookViews>
  <sheets>
    <sheet name="8402004-G&amp;A FPFTY" sheetId="2" r:id="rId1"/>
    <sheet name="8400000-M&amp;S FPFTY" sheetId="9" r:id="rId2"/>
    <sheet name="8402004 - G&amp;A Calculation" sheetId="6" r:id="rId3"/>
    <sheet name="8400000 - M&amp;S Calculation" sheetId="7" r:id="rId4"/>
    <sheet name="Jan G&amp;A_Surcharge" sheetId="10" r:id="rId5"/>
    <sheet name="Feb G&amp;A_Surcharge" sheetId="12" r:id="rId6"/>
    <sheet name="Mar G&amp;A_Surcharge" sheetId="14" r:id="rId7"/>
    <sheet name="Apr G&amp;A_Surcharge" sheetId="16" r:id="rId8"/>
    <sheet name="May G&amp;A_Surcharge" sheetId="18" r:id="rId9"/>
    <sheet name="Jun G&amp;A_Surcharge" sheetId="20" r:id="rId10"/>
    <sheet name="Jul G&amp;A_Surcharge" sheetId="22" r:id="rId11"/>
    <sheet name="Aug G&amp;A_Surcharge" sheetId="24" r:id="rId12"/>
    <sheet name="Sep G&amp;A_Surcharge" sheetId="26" r:id="rId13"/>
    <sheet name="Oct G&amp;A_Surcharge" sheetId="28" r:id="rId14"/>
    <sheet name="Nov G&amp;A_Surcharge" sheetId="30" r:id="rId15"/>
    <sheet name="Dec G&amp;A_Surcharge" sheetId="32" r:id="rId16"/>
  </sheets>
  <definedNames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0" l="1"/>
  <c r="J40" i="14"/>
  <c r="J40" i="16"/>
  <c r="J40" i="18"/>
  <c r="J40" i="20"/>
  <c r="J40" i="22"/>
  <c r="J40" i="24"/>
  <c r="J40" i="26"/>
  <c r="J40" i="28"/>
  <c r="J40" i="30"/>
  <c r="J40" i="32"/>
  <c r="J40" i="12"/>
  <c r="J27" i="10"/>
  <c r="J27" i="14"/>
  <c r="J35" i="14" s="1"/>
  <c r="J27" i="16"/>
  <c r="J35" i="16" s="1"/>
  <c r="J27" i="18"/>
  <c r="J35" i="18" s="1"/>
  <c r="J27" i="20"/>
  <c r="J36" i="20" s="1"/>
  <c r="J27" i="22"/>
  <c r="J34" i="22" s="1"/>
  <c r="J27" i="24"/>
  <c r="J27" i="26"/>
  <c r="J27" i="28"/>
  <c r="J27" i="30"/>
  <c r="J36" i="30" s="1"/>
  <c r="J27" i="32"/>
  <c r="J34" i="32" s="1"/>
  <c r="J27" i="12"/>
  <c r="J34" i="12" s="1"/>
  <c r="J35" i="28"/>
  <c r="J35" i="30"/>
  <c r="J35" i="12"/>
  <c r="J36" i="14"/>
  <c r="J36" i="16"/>
  <c r="J36" i="28"/>
  <c r="J36" i="12"/>
  <c r="J34" i="14"/>
  <c r="J34" i="18"/>
  <c r="J34" i="20"/>
  <c r="J34" i="28"/>
  <c r="J34" i="30"/>
  <c r="J34" i="16"/>
  <c r="J29" i="12"/>
  <c r="J29" i="14"/>
  <c r="J29" i="16"/>
  <c r="J29" i="18"/>
  <c r="J29" i="20"/>
  <c r="J29" i="22"/>
  <c r="J29" i="24"/>
  <c r="J29" i="26"/>
  <c r="J29" i="28"/>
  <c r="J29" i="30"/>
  <c r="J29" i="32"/>
  <c r="J29" i="10"/>
  <c r="J42" i="12"/>
  <c r="J42" i="14"/>
  <c r="J42" i="16"/>
  <c r="J42" i="18"/>
  <c r="J42" i="20"/>
  <c r="J42" i="22"/>
  <c r="J42" i="24"/>
  <c r="J42" i="26"/>
  <c r="J42" i="28"/>
  <c r="J42" i="30"/>
  <c r="J42" i="32"/>
  <c r="J42" i="10"/>
  <c r="J41" i="12"/>
  <c r="J41" i="14"/>
  <c r="J41" i="16"/>
  <c r="J41" i="18"/>
  <c r="J41" i="20"/>
  <c r="J41" i="22"/>
  <c r="J41" i="24"/>
  <c r="J41" i="26"/>
  <c r="J41" i="28"/>
  <c r="J41" i="30"/>
  <c r="J41" i="32"/>
  <c r="J41" i="10"/>
  <c r="J15" i="12"/>
  <c r="J15" i="14"/>
  <c r="J15" i="16"/>
  <c r="J15" i="18"/>
  <c r="J15" i="20"/>
  <c r="J15" i="22"/>
  <c r="J15" i="24"/>
  <c r="J15" i="26"/>
  <c r="J15" i="28"/>
  <c r="J15" i="30"/>
  <c r="J15" i="32"/>
  <c r="J15" i="10"/>
  <c r="J16" i="12"/>
  <c r="J16" i="14"/>
  <c r="J16" i="16"/>
  <c r="J16" i="18"/>
  <c r="J16" i="20"/>
  <c r="J16" i="22"/>
  <c r="J16" i="24"/>
  <c r="J16" i="26"/>
  <c r="J16" i="28"/>
  <c r="J16" i="30"/>
  <c r="J16" i="32"/>
  <c r="J16" i="10"/>
  <c r="J14" i="12"/>
  <c r="J14" i="14"/>
  <c r="J14" i="16"/>
  <c r="J14" i="18"/>
  <c r="J14" i="20"/>
  <c r="J14" i="22"/>
  <c r="J14" i="24"/>
  <c r="J14" i="26"/>
  <c r="J14" i="28"/>
  <c r="J14" i="30"/>
  <c r="J14" i="32"/>
  <c r="J14" i="10"/>
  <c r="J22" i="12"/>
  <c r="J22" i="14"/>
  <c r="J22" i="16"/>
  <c r="J22" i="18"/>
  <c r="J22" i="20"/>
  <c r="J22" i="22"/>
  <c r="J22" i="24"/>
  <c r="J22" i="26"/>
  <c r="J22" i="28"/>
  <c r="J22" i="30"/>
  <c r="J22" i="32"/>
  <c r="J22" i="10"/>
  <c r="J5" i="12"/>
  <c r="J5" i="14"/>
  <c r="J5" i="16"/>
  <c r="J5" i="18"/>
  <c r="J5" i="20"/>
  <c r="J5" i="22"/>
  <c r="J5" i="24"/>
  <c r="J5" i="26"/>
  <c r="J5" i="28"/>
  <c r="J5" i="30"/>
  <c r="J5" i="32"/>
  <c r="J5" i="10"/>
  <c r="F40" i="12"/>
  <c r="F40" i="14"/>
  <c r="F40" i="16"/>
  <c r="F40" i="18"/>
  <c r="F40" i="20"/>
  <c r="F40" i="22"/>
  <c r="F40" i="24"/>
  <c r="F40" i="26"/>
  <c r="F40" i="28"/>
  <c r="F40" i="30"/>
  <c r="F40" i="32"/>
  <c r="F40" i="10"/>
  <c r="F28" i="10"/>
  <c r="F28" i="32"/>
  <c r="F28" i="30"/>
  <c r="F28" i="28"/>
  <c r="F30" i="28" s="1"/>
  <c r="F34" i="28" s="1"/>
  <c r="F36" i="28" s="1"/>
  <c r="F28" i="26"/>
  <c r="F30" i="26" s="1"/>
  <c r="F34" i="26" s="1"/>
  <c r="F36" i="26" s="1"/>
  <c r="F28" i="24"/>
  <c r="F30" i="24" s="1"/>
  <c r="F34" i="24" s="1"/>
  <c r="F36" i="24" s="1"/>
  <c r="F28" i="22"/>
  <c r="F28" i="20"/>
  <c r="F28" i="18"/>
  <c r="F28" i="16"/>
  <c r="F28" i="14"/>
  <c r="F28" i="12"/>
  <c r="F21" i="10"/>
  <c r="F30" i="10" s="1"/>
  <c r="F34" i="10" s="1"/>
  <c r="F36" i="10" s="1"/>
  <c r="F21" i="32"/>
  <c r="F30" i="32" s="1"/>
  <c r="F34" i="32" s="1"/>
  <c r="F36" i="32" s="1"/>
  <c r="F21" i="30"/>
  <c r="F21" i="28"/>
  <c r="F21" i="26"/>
  <c r="F21" i="24"/>
  <c r="F21" i="22"/>
  <c r="F21" i="20"/>
  <c r="F30" i="20" s="1"/>
  <c r="F34" i="20" s="1"/>
  <c r="F36" i="20" s="1"/>
  <c r="F21" i="18"/>
  <c r="F30" i="18" s="1"/>
  <c r="F34" i="18" s="1"/>
  <c r="F36" i="18" s="1"/>
  <c r="F21" i="16"/>
  <c r="F30" i="16" s="1"/>
  <c r="F34" i="16" s="1"/>
  <c r="F36" i="16" s="1"/>
  <c r="F21" i="14"/>
  <c r="F21" i="12"/>
  <c r="F30" i="12" s="1"/>
  <c r="F34" i="12" s="1"/>
  <c r="F36" i="12" s="1"/>
  <c r="F30" i="14"/>
  <c r="F34" i="14" s="1"/>
  <c r="F36" i="14" s="1"/>
  <c r="F30" i="30"/>
  <c r="F34" i="30" s="1"/>
  <c r="F36" i="30" s="1"/>
  <c r="F9" i="12"/>
  <c r="F9" i="14"/>
  <c r="F9" i="16"/>
  <c r="J8" i="16" s="1"/>
  <c r="J9" i="16" s="1"/>
  <c r="F9" i="18"/>
  <c r="J8" i="18" s="1"/>
  <c r="J9" i="18" s="1"/>
  <c r="F9" i="20"/>
  <c r="J8" i="20" s="1"/>
  <c r="J9" i="20" s="1"/>
  <c r="F9" i="22"/>
  <c r="J8" i="22" s="1"/>
  <c r="J9" i="22" s="1"/>
  <c r="F9" i="24"/>
  <c r="F9" i="26"/>
  <c r="F9" i="28"/>
  <c r="F9" i="30"/>
  <c r="F9" i="32"/>
  <c r="F9" i="10"/>
  <c r="J9" i="24"/>
  <c r="J9" i="26"/>
  <c r="J9" i="28"/>
  <c r="J9" i="30"/>
  <c r="J8" i="12"/>
  <c r="J9" i="12" s="1"/>
  <c r="J8" i="14"/>
  <c r="J9" i="14" s="1"/>
  <c r="J8" i="24"/>
  <c r="J8" i="26"/>
  <c r="J8" i="28"/>
  <c r="J8" i="30"/>
  <c r="J8" i="32"/>
  <c r="J9" i="32" s="1"/>
  <c r="J8" i="10"/>
  <c r="J9" i="10" s="1"/>
  <c r="J7" i="12"/>
  <c r="J7" i="14"/>
  <c r="J7" i="16"/>
  <c r="J7" i="18"/>
  <c r="J7" i="20"/>
  <c r="J7" i="22"/>
  <c r="J7" i="24"/>
  <c r="J7" i="26"/>
  <c r="J7" i="28"/>
  <c r="J7" i="30"/>
  <c r="J7" i="32"/>
  <c r="J7" i="10"/>
  <c r="M18" i="6"/>
  <c r="M17" i="6"/>
  <c r="M16" i="6"/>
  <c r="M12" i="6"/>
  <c r="M11" i="6"/>
  <c r="M10" i="6"/>
  <c r="M9" i="6"/>
  <c r="M6" i="6"/>
  <c r="M5" i="6"/>
  <c r="M4" i="6"/>
  <c r="N18" i="6"/>
  <c r="N17" i="6"/>
  <c r="N16" i="6"/>
  <c r="N12" i="6"/>
  <c r="N11" i="6"/>
  <c r="N10" i="6"/>
  <c r="N9" i="6"/>
  <c r="N6" i="6"/>
  <c r="N5" i="6"/>
  <c r="N4" i="6"/>
  <c r="L18" i="6"/>
  <c r="L17" i="6"/>
  <c r="L16" i="6"/>
  <c r="L12" i="6"/>
  <c r="L11" i="6"/>
  <c r="L10" i="6"/>
  <c r="L9" i="6"/>
  <c r="L6" i="6"/>
  <c r="L5" i="6"/>
  <c r="L4" i="6"/>
  <c r="K18" i="6"/>
  <c r="K17" i="6"/>
  <c r="K16" i="6"/>
  <c r="K12" i="6"/>
  <c r="K11" i="6"/>
  <c r="K10" i="6"/>
  <c r="K9" i="6"/>
  <c r="K6" i="6"/>
  <c r="K5" i="6"/>
  <c r="K4" i="6"/>
  <c r="J18" i="6"/>
  <c r="J17" i="6"/>
  <c r="J16" i="6"/>
  <c r="J12" i="6"/>
  <c r="J11" i="6"/>
  <c r="J10" i="6"/>
  <c r="J9" i="6"/>
  <c r="J6" i="6"/>
  <c r="J5" i="6"/>
  <c r="J4" i="6"/>
  <c r="H18" i="6"/>
  <c r="H17" i="6"/>
  <c r="H16" i="6"/>
  <c r="H12" i="6"/>
  <c r="H11" i="6"/>
  <c r="H10" i="6"/>
  <c r="H9" i="6"/>
  <c r="H6" i="6"/>
  <c r="H5" i="6"/>
  <c r="H4" i="6"/>
  <c r="I18" i="6"/>
  <c r="I17" i="6"/>
  <c r="I16" i="6"/>
  <c r="I12" i="6"/>
  <c r="I11" i="6"/>
  <c r="I10" i="6"/>
  <c r="I9" i="6"/>
  <c r="I6" i="6"/>
  <c r="I5" i="6"/>
  <c r="I4" i="6"/>
  <c r="G18" i="6"/>
  <c r="G17" i="6"/>
  <c r="G16" i="6"/>
  <c r="G12" i="6"/>
  <c r="G11" i="6"/>
  <c r="G10" i="6"/>
  <c r="G9" i="6"/>
  <c r="G6" i="6"/>
  <c r="G5" i="6"/>
  <c r="G4" i="6"/>
  <c r="F18" i="6"/>
  <c r="F17" i="6"/>
  <c r="F16" i="6"/>
  <c r="F12" i="6"/>
  <c r="F11" i="6"/>
  <c r="F10" i="6"/>
  <c r="F9" i="6"/>
  <c r="F6" i="6"/>
  <c r="F5" i="6"/>
  <c r="F4" i="6"/>
  <c r="E18" i="6"/>
  <c r="E17" i="6"/>
  <c r="E16" i="6"/>
  <c r="E12" i="6"/>
  <c r="E11" i="6"/>
  <c r="E10" i="6"/>
  <c r="E9" i="6"/>
  <c r="E6" i="6"/>
  <c r="E5" i="6"/>
  <c r="E4" i="6"/>
  <c r="D18" i="6"/>
  <c r="D17" i="6"/>
  <c r="D16" i="6"/>
  <c r="D12" i="6"/>
  <c r="D11" i="6"/>
  <c r="D10" i="6"/>
  <c r="D9" i="6"/>
  <c r="D6" i="6"/>
  <c r="D5" i="6"/>
  <c r="D4" i="6"/>
  <c r="C18" i="6"/>
  <c r="C17" i="6"/>
  <c r="C16" i="6"/>
  <c r="C12" i="6"/>
  <c r="C11" i="6"/>
  <c r="C10" i="6"/>
  <c r="C9" i="6"/>
  <c r="C6" i="6"/>
  <c r="C5" i="6"/>
  <c r="C4" i="6"/>
  <c r="O2" i="9"/>
  <c r="C3" i="9"/>
  <c r="D3" i="9"/>
  <c r="O3" i="9" s="1"/>
  <c r="E3" i="9"/>
  <c r="F3" i="9"/>
  <c r="G3" i="9"/>
  <c r="H3" i="9"/>
  <c r="I3" i="9"/>
  <c r="I4" i="9" s="1"/>
  <c r="I6" i="9" s="1"/>
  <c r="J3" i="9"/>
  <c r="K3" i="9"/>
  <c r="L3" i="9"/>
  <c r="M3" i="9"/>
  <c r="M4" i="9" s="1"/>
  <c r="M6" i="9" s="1"/>
  <c r="N3" i="9"/>
  <c r="P6" i="9"/>
  <c r="C10" i="9"/>
  <c r="D10" i="9"/>
  <c r="O10" i="9" s="1"/>
  <c r="E10" i="9"/>
  <c r="F10" i="9"/>
  <c r="G10" i="9"/>
  <c r="H10" i="9"/>
  <c r="I10" i="9"/>
  <c r="J10" i="9"/>
  <c r="K10" i="9"/>
  <c r="L10" i="9"/>
  <c r="M10" i="9"/>
  <c r="N10" i="9"/>
  <c r="C14" i="9"/>
  <c r="D14" i="9"/>
  <c r="E14" i="9"/>
  <c r="F14" i="9"/>
  <c r="G14" i="9"/>
  <c r="H14" i="9"/>
  <c r="J36" i="26" l="1"/>
  <c r="J35" i="22"/>
  <c r="J36" i="24"/>
  <c r="J35" i="20"/>
  <c r="J36" i="22"/>
  <c r="J35" i="24"/>
  <c r="J34" i="26"/>
  <c r="J36" i="18"/>
  <c r="J35" i="26"/>
  <c r="J34" i="24"/>
  <c r="J36" i="10"/>
  <c r="J35" i="10"/>
  <c r="J34" i="10"/>
  <c r="J35" i="32"/>
  <c r="J36" i="32"/>
  <c r="F30" i="22"/>
  <c r="F34" i="22" s="1"/>
  <c r="F36" i="22" s="1"/>
  <c r="G4" i="9"/>
  <c r="G6" i="9" s="1"/>
  <c r="M14" i="9" s="1"/>
  <c r="K4" i="9"/>
  <c r="K6" i="9" s="1"/>
  <c r="L4" i="9"/>
  <c r="L6" i="9" s="1"/>
  <c r="C4" i="9"/>
  <c r="C6" i="9" s="1"/>
  <c r="E4" i="9"/>
  <c r="E6" i="9" s="1"/>
  <c r="K14" i="9" s="1"/>
  <c r="H4" i="9"/>
  <c r="H6" i="9" s="1"/>
  <c r="N14" i="9" s="1"/>
  <c r="N4" i="9"/>
  <c r="N6" i="9" s="1"/>
  <c r="O4" i="9"/>
  <c r="C16" i="9"/>
  <c r="D4" i="9"/>
  <c r="D6" i="9" s="1"/>
  <c r="J14" i="9" s="1"/>
  <c r="F4" i="9"/>
  <c r="F6" i="9" s="1"/>
  <c r="L14" i="9" s="1"/>
  <c r="J4" i="9"/>
  <c r="J6" i="9" s="1"/>
  <c r="O6" i="9" l="1"/>
  <c r="O7" i="9" s="1"/>
  <c r="I14" i="9"/>
  <c r="O14" i="9" s="1"/>
  <c r="C17" i="9" s="1"/>
  <c r="C18" i="9" s="1"/>
  <c r="D10" i="2" l="1"/>
  <c r="C10" i="2"/>
  <c r="D13" i="6" l="1"/>
  <c r="D19" i="6" s="1"/>
  <c r="C13" i="6"/>
  <c r="C19" i="6" s="1"/>
  <c r="N13" i="6"/>
  <c r="N19" i="6" s="1"/>
  <c r="M13" i="6"/>
  <c r="M19" i="6" s="1"/>
  <c r="L13" i="6"/>
  <c r="L19" i="6" s="1"/>
  <c r="K13" i="6"/>
  <c r="K19" i="6" s="1"/>
  <c r="J13" i="6"/>
  <c r="J19" i="6" s="1"/>
  <c r="I13" i="6"/>
  <c r="I19" i="6" s="1"/>
  <c r="H13" i="6"/>
  <c r="H19" i="6" s="1"/>
  <c r="G13" i="6"/>
  <c r="G19" i="6" s="1"/>
  <c r="F13" i="6"/>
  <c r="F19" i="6" s="1"/>
  <c r="E13" i="6"/>
  <c r="E19" i="6" s="1"/>
  <c r="L10" i="2"/>
  <c r="H10" i="2"/>
  <c r="C3" i="7" l="1"/>
  <c r="E3" i="7"/>
  <c r="F3" i="7"/>
  <c r="K3" i="7"/>
  <c r="C4" i="7"/>
  <c r="E4" i="7"/>
  <c r="E15" i="7" s="1"/>
  <c r="C5" i="7"/>
  <c r="F5" i="7" s="1"/>
  <c r="E5" i="7"/>
  <c r="C6" i="7"/>
  <c r="F6" i="7" s="1"/>
  <c r="E6" i="7"/>
  <c r="C7" i="7"/>
  <c r="F7" i="7" s="1"/>
  <c r="E7" i="7"/>
  <c r="C8" i="7"/>
  <c r="F8" i="7" s="1"/>
  <c r="E8" i="7"/>
  <c r="C9" i="7"/>
  <c r="F9" i="7" s="1"/>
  <c r="E9" i="7"/>
  <c r="C10" i="7"/>
  <c r="E10" i="7"/>
  <c r="F10" i="7"/>
  <c r="C11" i="7"/>
  <c r="F11" i="7" s="1"/>
  <c r="E11" i="7"/>
  <c r="C12" i="7"/>
  <c r="E12" i="7"/>
  <c r="F12" i="7"/>
  <c r="C13" i="7"/>
  <c r="F13" i="7" s="1"/>
  <c r="E13" i="7"/>
  <c r="C14" i="7"/>
  <c r="F14" i="7" s="1"/>
  <c r="E14" i="7"/>
  <c r="B15" i="7"/>
  <c r="D15" i="7"/>
  <c r="B18" i="7"/>
  <c r="D18" i="7"/>
  <c r="N20" i="7"/>
  <c r="C58" i="6"/>
  <c r="E58" i="6"/>
  <c r="H58" i="6"/>
  <c r="C25" i="6"/>
  <c r="D25" i="6"/>
  <c r="E25" i="6"/>
  <c r="F25" i="6"/>
  <c r="G25" i="6"/>
  <c r="H25" i="6"/>
  <c r="I25" i="6"/>
  <c r="J25" i="6"/>
  <c r="K25" i="6"/>
  <c r="L25" i="6"/>
  <c r="M25" i="6"/>
  <c r="N25" i="6"/>
  <c r="O34" i="6"/>
  <c r="O39" i="6"/>
  <c r="D58" i="6"/>
  <c r="G20" i="6" l="1"/>
  <c r="G33" i="6" s="1"/>
  <c r="G35" i="6" s="1"/>
  <c r="H20" i="6"/>
  <c r="E20" i="6"/>
  <c r="E33" i="6" s="1"/>
  <c r="E35" i="6" s="1"/>
  <c r="J7" i="6"/>
  <c r="J59" i="6" s="1"/>
  <c r="F20" i="6"/>
  <c r="F33" i="6" s="1"/>
  <c r="F35" i="6" s="1"/>
  <c r="O16" i="6"/>
  <c r="O12" i="6"/>
  <c r="C7" i="6"/>
  <c r="C59" i="6" s="1"/>
  <c r="C60" i="6" s="1"/>
  <c r="M58" i="6"/>
  <c r="M7" i="6"/>
  <c r="M59" i="6" s="1"/>
  <c r="F58" i="6"/>
  <c r="F7" i="6"/>
  <c r="F59" i="6" s="1"/>
  <c r="N58" i="6"/>
  <c r="N7" i="6"/>
  <c r="N59" i="6" s="1"/>
  <c r="I20" i="6"/>
  <c r="I33" i="6" s="1"/>
  <c r="I35" i="6" s="1"/>
  <c r="L58" i="6"/>
  <c r="L7" i="6"/>
  <c r="L59" i="6" s="1"/>
  <c r="H7" i="6"/>
  <c r="H59" i="6" s="1"/>
  <c r="H60" i="6" s="1"/>
  <c r="K58" i="6"/>
  <c r="K7" i="6"/>
  <c r="K59" i="6" s="1"/>
  <c r="I7" i="6"/>
  <c r="I59" i="6" s="1"/>
  <c r="G58" i="6"/>
  <c r="G7" i="6"/>
  <c r="G59" i="6" s="1"/>
  <c r="J58" i="6"/>
  <c r="E7" i="6"/>
  <c r="E59" i="6" s="1"/>
  <c r="E60" i="6" s="1"/>
  <c r="I58" i="6"/>
  <c r="M20" i="6"/>
  <c r="M33" i="6" s="1"/>
  <c r="M35" i="6" s="1"/>
  <c r="O5" i="6"/>
  <c r="D7" i="6"/>
  <c r="O9" i="6"/>
  <c r="H33" i="6"/>
  <c r="H35" i="6" s="1"/>
  <c r="K20" i="6"/>
  <c r="O10" i="6"/>
  <c r="O18" i="6"/>
  <c r="O25" i="6" s="1"/>
  <c r="N20" i="6"/>
  <c r="L20" i="6"/>
  <c r="O11" i="6"/>
  <c r="O17" i="6"/>
  <c r="D20" i="6"/>
  <c r="C20" i="6"/>
  <c r="O6" i="6"/>
  <c r="F4" i="7"/>
  <c r="O4" i="6"/>
  <c r="Q4" i="6" s="1"/>
  <c r="J20" i="6"/>
  <c r="O19" i="6"/>
  <c r="C15" i="7"/>
  <c r="Q5" i="6" l="1"/>
  <c r="Q9" i="6"/>
  <c r="Q10" i="6"/>
  <c r="Q6" i="6"/>
  <c r="Q7" i="6" s="1"/>
  <c r="Q11" i="6"/>
  <c r="J60" i="6"/>
  <c r="G60" i="6"/>
  <c r="N60" i="6"/>
  <c r="L60" i="6"/>
  <c r="O20" i="6"/>
  <c r="F60" i="6"/>
  <c r="O7" i="6"/>
  <c r="D59" i="6"/>
  <c r="K60" i="6"/>
  <c r="O58" i="6"/>
  <c r="M60" i="6"/>
  <c r="I60" i="6"/>
  <c r="F15" i="7"/>
  <c r="L33" i="6"/>
  <c r="L35" i="6" s="1"/>
  <c r="N33" i="6"/>
  <c r="N35" i="6" s="1"/>
  <c r="C33" i="6"/>
  <c r="D33" i="6"/>
  <c r="D35" i="6" s="1"/>
  <c r="J33" i="6"/>
  <c r="J35" i="6" s="1"/>
  <c r="K33" i="6"/>
  <c r="K35" i="6" s="1"/>
  <c r="D60" i="6" l="1"/>
  <c r="O59" i="6"/>
  <c r="O60" i="6" s="1"/>
  <c r="O33" i="6"/>
  <c r="O35" i="6" s="1"/>
  <c r="C35" i="6"/>
  <c r="G3" i="7"/>
  <c r="G14" i="7"/>
  <c r="H14" i="7" s="1"/>
  <c r="I14" i="7" s="1"/>
  <c r="G12" i="7"/>
  <c r="H12" i="7" s="1"/>
  <c r="I12" i="7" s="1"/>
  <c r="G13" i="7"/>
  <c r="H13" i="7" s="1"/>
  <c r="I13" i="7" s="1"/>
  <c r="G11" i="7"/>
  <c r="H11" i="7" s="1"/>
  <c r="I11" i="7" s="1"/>
  <c r="G5" i="7"/>
  <c r="H5" i="7" s="1"/>
  <c r="I5" i="7" s="1"/>
  <c r="G7" i="7"/>
  <c r="H7" i="7" s="1"/>
  <c r="I7" i="7" s="1"/>
  <c r="G9" i="7"/>
  <c r="H9" i="7" s="1"/>
  <c r="I9" i="7" s="1"/>
  <c r="G6" i="7"/>
  <c r="H6" i="7" s="1"/>
  <c r="I6" i="7" s="1"/>
  <c r="G10" i="7"/>
  <c r="H10" i="7" s="1"/>
  <c r="I10" i="7" s="1"/>
  <c r="G8" i="7"/>
  <c r="H8" i="7" s="1"/>
  <c r="I8" i="7" s="1"/>
  <c r="G4" i="7"/>
  <c r="H4" i="7" s="1"/>
  <c r="I4" i="7" s="1"/>
  <c r="G15" i="7" l="1"/>
  <c r="H3" i="7"/>
  <c r="H15" i="7" l="1"/>
  <c r="I3" i="7"/>
  <c r="I15" i="7" s="1"/>
  <c r="G10" i="2"/>
  <c r="I10" i="2"/>
  <c r="J10" i="2"/>
  <c r="K10" i="2"/>
  <c r="E10" i="2"/>
  <c r="F10" i="2"/>
  <c r="O2" i="2"/>
  <c r="K4" i="7" l="1"/>
  <c r="E18" i="7"/>
  <c r="L4" i="7" l="1"/>
  <c r="Q19" i="6" s="1"/>
  <c r="Q20" i="6" l="1"/>
  <c r="L6" i="7"/>
  <c r="O13" i="6" l="1"/>
  <c r="D79" i="6"/>
  <c r="D14" i="6"/>
  <c r="D21" i="6" s="1"/>
  <c r="D23" i="6" s="1"/>
  <c r="D24" i="6" s="1"/>
  <c r="D26" i="6" s="1"/>
  <c r="N79" i="6"/>
  <c r="N14" i="6"/>
  <c r="N21" i="6" s="1"/>
  <c r="N23" i="6" s="1"/>
  <c r="N24" i="6" s="1"/>
  <c r="N26" i="6" s="1"/>
  <c r="L79" i="6"/>
  <c r="L14" i="6"/>
  <c r="L21" i="6" s="1"/>
  <c r="L23" i="6" s="1"/>
  <c r="L24" i="6" s="1"/>
  <c r="L26" i="6" s="1"/>
  <c r="J79" i="6"/>
  <c r="J14" i="6"/>
  <c r="J21" i="6" s="1"/>
  <c r="J23" i="6" s="1"/>
  <c r="J24" i="6" s="1"/>
  <c r="J26" i="6" s="1"/>
  <c r="K79" i="6"/>
  <c r="K14" i="6"/>
  <c r="K21" i="6" s="1"/>
  <c r="K23" i="6" s="1"/>
  <c r="K24" i="6" s="1"/>
  <c r="K26" i="6" s="1"/>
  <c r="H79" i="6"/>
  <c r="H14" i="6"/>
  <c r="H21" i="6" s="1"/>
  <c r="H23" i="6" s="1"/>
  <c r="H24" i="6" s="1"/>
  <c r="H26" i="6" s="1"/>
  <c r="F79" i="6"/>
  <c r="F14" i="6"/>
  <c r="F21" i="6" s="1"/>
  <c r="F23" i="6" s="1"/>
  <c r="F24" i="6" s="1"/>
  <c r="F26" i="6" s="1"/>
  <c r="M79" i="6"/>
  <c r="M14" i="6"/>
  <c r="M21" i="6" s="1"/>
  <c r="M23" i="6" s="1"/>
  <c r="M24" i="6" s="1"/>
  <c r="M26" i="6" s="1"/>
  <c r="E79" i="6"/>
  <c r="E14" i="6"/>
  <c r="E21" i="6" s="1"/>
  <c r="E23" i="6" s="1"/>
  <c r="E24" i="6" s="1"/>
  <c r="E26" i="6" s="1"/>
  <c r="G79" i="6"/>
  <c r="G14" i="6"/>
  <c r="G21" i="6" s="1"/>
  <c r="G23" i="6" s="1"/>
  <c r="G24" i="6" s="1"/>
  <c r="G26" i="6" s="1"/>
  <c r="C14" i="6"/>
  <c r="C21" i="6" s="1"/>
  <c r="C23" i="6" s="1"/>
  <c r="C24" i="6" s="1"/>
  <c r="I79" i="6"/>
  <c r="I14" i="6"/>
  <c r="I21" i="6" s="1"/>
  <c r="I23" i="6" s="1"/>
  <c r="I24" i="6" s="1"/>
  <c r="I26" i="6" s="1"/>
  <c r="C79" i="6"/>
  <c r="O79" i="6" l="1"/>
  <c r="L29" i="6"/>
  <c r="L38" i="6"/>
  <c r="L40" i="6" s="1"/>
  <c r="I29" i="6"/>
  <c r="I38" i="6"/>
  <c r="I40" i="6" s="1"/>
  <c r="N38" i="6"/>
  <c r="N40" i="6" s="1"/>
  <c r="N29" i="6"/>
  <c r="H29" i="6"/>
  <c r="H38" i="6"/>
  <c r="H40" i="6" s="1"/>
  <c r="G29" i="6"/>
  <c r="G38" i="6"/>
  <c r="G40" i="6" s="1"/>
  <c r="Q14" i="6"/>
  <c r="Q21" i="6" s="1"/>
  <c r="E38" i="6"/>
  <c r="E40" i="6" s="1"/>
  <c r="E29" i="6"/>
  <c r="M38" i="6"/>
  <c r="M40" i="6" s="1"/>
  <c r="M29" i="6"/>
  <c r="F38" i="6"/>
  <c r="F40" i="6" s="1"/>
  <c r="F29" i="6"/>
  <c r="D38" i="6"/>
  <c r="D40" i="6" s="1"/>
  <c r="D29" i="6"/>
  <c r="O24" i="6"/>
  <c r="O26" i="6" s="1"/>
  <c r="O29" i="6" s="1"/>
  <c r="C26" i="6"/>
  <c r="K29" i="6"/>
  <c r="K38" i="6"/>
  <c r="K40" i="6" s="1"/>
  <c r="J38" i="6"/>
  <c r="J40" i="6" s="1"/>
  <c r="J29" i="6"/>
  <c r="O14" i="6"/>
  <c r="O21" i="6" s="1"/>
  <c r="O23" i="6" s="1"/>
  <c r="Q23" i="6" l="1"/>
  <c r="Q24" i="6" s="1"/>
  <c r="K47" i="6"/>
  <c r="K3" i="2"/>
  <c r="K41" i="6"/>
  <c r="C38" i="6"/>
  <c r="C29" i="6"/>
  <c r="G3" i="2"/>
  <c r="G47" i="6"/>
  <c r="G41" i="6"/>
  <c r="D3" i="2"/>
  <c r="D47" i="6"/>
  <c r="D41" i="6"/>
  <c r="N47" i="6"/>
  <c r="N3" i="2"/>
  <c r="N41" i="6"/>
  <c r="I47" i="6"/>
  <c r="I3" i="2"/>
  <c r="I41" i="6"/>
  <c r="H47" i="6"/>
  <c r="H41" i="6"/>
  <c r="H3" i="2"/>
  <c r="F3" i="2"/>
  <c r="F47" i="6"/>
  <c r="F41" i="6"/>
  <c r="M47" i="6"/>
  <c r="M41" i="6"/>
  <c r="M3" i="2"/>
  <c r="L3" i="2"/>
  <c r="L47" i="6"/>
  <c r="L41" i="6"/>
  <c r="J3" i="2"/>
  <c r="J41" i="6"/>
  <c r="J47" i="6"/>
  <c r="E47" i="6"/>
  <c r="E41" i="6"/>
  <c r="E3" i="2"/>
  <c r="Q26" i="6" l="1"/>
  <c r="J64" i="6"/>
  <c r="J67" i="6" s="1"/>
  <c r="J73" i="6" s="1"/>
  <c r="D50" i="6"/>
  <c r="D51" i="6" s="1"/>
  <c r="H64" i="6"/>
  <c r="H67" i="6" s="1"/>
  <c r="H73" i="6" s="1"/>
  <c r="D14" i="2"/>
  <c r="L50" i="6"/>
  <c r="L51" i="6" s="1"/>
  <c r="N10" i="2"/>
  <c r="H50" i="6"/>
  <c r="L64" i="6"/>
  <c r="L67" i="6" s="1"/>
  <c r="L73" i="6" s="1"/>
  <c r="I64" i="6"/>
  <c r="I67" i="6" s="1"/>
  <c r="I73" i="6" s="1"/>
  <c r="G14" i="2"/>
  <c r="I50" i="6"/>
  <c r="I51" i="6" s="1"/>
  <c r="E50" i="6"/>
  <c r="E51" i="6"/>
  <c r="J50" i="6"/>
  <c r="J51" i="6" s="1"/>
  <c r="G64" i="6"/>
  <c r="G67" i="6" s="1"/>
  <c r="G73" i="6" s="1"/>
  <c r="D64" i="6"/>
  <c r="D67" i="6" s="1"/>
  <c r="D73" i="6" s="1"/>
  <c r="G50" i="6"/>
  <c r="G51" i="6" s="1"/>
  <c r="F14" i="2"/>
  <c r="C14" i="2"/>
  <c r="M64" i="6"/>
  <c r="M67" i="6" s="1"/>
  <c r="M73" i="6" s="1"/>
  <c r="O38" i="6"/>
  <c r="O40" i="6" s="1"/>
  <c r="C40" i="6"/>
  <c r="M50" i="6"/>
  <c r="M51" i="6" s="1"/>
  <c r="N64" i="6"/>
  <c r="N67" i="6" s="1"/>
  <c r="N73" i="6" s="1"/>
  <c r="K64" i="6"/>
  <c r="K67" i="6" s="1"/>
  <c r="K73" i="6" s="1"/>
  <c r="F64" i="6"/>
  <c r="F67" i="6" s="1"/>
  <c r="F73" i="6" s="1"/>
  <c r="H14" i="2"/>
  <c r="E14" i="2"/>
  <c r="E64" i="6"/>
  <c r="E67" i="6" s="1"/>
  <c r="E73" i="6" s="1"/>
  <c r="F50" i="6"/>
  <c r="F51" i="6" s="1"/>
  <c r="N50" i="6"/>
  <c r="N51" i="6" s="1"/>
  <c r="K50" i="6"/>
  <c r="F65" i="6" l="1"/>
  <c r="F68" i="6" s="1"/>
  <c r="F74" i="6" s="1"/>
  <c r="D65" i="6"/>
  <c r="D68" i="6" s="1"/>
  <c r="D74" i="6" s="1"/>
  <c r="M65" i="6"/>
  <c r="M68" i="6" s="1"/>
  <c r="M74" i="6" s="1"/>
  <c r="M75" i="6" s="1"/>
  <c r="J65" i="6"/>
  <c r="J68" i="6" s="1"/>
  <c r="J74" i="6" s="1"/>
  <c r="J75" i="6" s="1"/>
  <c r="H65" i="6"/>
  <c r="H68" i="6" s="1"/>
  <c r="H74" i="6" s="1"/>
  <c r="H75" i="6" s="1"/>
  <c r="I65" i="6"/>
  <c r="I68" i="6" s="1"/>
  <c r="I74" i="6" s="1"/>
  <c r="I75" i="6" s="1"/>
  <c r="G65" i="6"/>
  <c r="G68" i="6" s="1"/>
  <c r="G74" i="6" s="1"/>
  <c r="G75" i="6" s="1"/>
  <c r="O47" i="6"/>
  <c r="O41" i="6"/>
  <c r="F75" i="6"/>
  <c r="L65" i="6"/>
  <c r="L68" i="6" s="1"/>
  <c r="L74" i="6" s="1"/>
  <c r="L75" i="6" s="1"/>
  <c r="D75" i="6"/>
  <c r="N52" i="6"/>
  <c r="K65" i="6"/>
  <c r="K68" i="6" s="1"/>
  <c r="K74" i="6" s="1"/>
  <c r="K75" i="6" s="1"/>
  <c r="E52" i="6"/>
  <c r="H51" i="6"/>
  <c r="H52" i="6" s="1"/>
  <c r="D52" i="6"/>
  <c r="E65" i="6"/>
  <c r="E68" i="6" s="1"/>
  <c r="E74" i="6" s="1"/>
  <c r="E75" i="6" s="1"/>
  <c r="C3" i="2"/>
  <c r="C41" i="6"/>
  <c r="C47" i="6"/>
  <c r="J52" i="6"/>
  <c r="K51" i="6"/>
  <c r="K52" i="6" s="1"/>
  <c r="N65" i="6"/>
  <c r="N68" i="6" s="1"/>
  <c r="N74" i="6" s="1"/>
  <c r="N75" i="6" s="1"/>
  <c r="M52" i="6"/>
  <c r="L52" i="6"/>
  <c r="F52" i="6"/>
  <c r="G52" i="6"/>
  <c r="I52" i="6"/>
  <c r="C50" i="6" l="1"/>
  <c r="C51" i="6"/>
  <c r="C64" i="6"/>
  <c r="C67" i="6" s="1"/>
  <c r="O64" i="6"/>
  <c r="O65" i="6" s="1"/>
  <c r="O50" i="6"/>
  <c r="O3" i="2"/>
  <c r="C16" i="2" s="1"/>
  <c r="M10" i="2"/>
  <c r="O10" i="2" s="1"/>
  <c r="C65" i="6" l="1"/>
  <c r="C68" i="6" s="1"/>
  <c r="O68" i="6" s="1"/>
  <c r="O4" i="2"/>
  <c r="D4" i="2"/>
  <c r="D6" i="2" s="1"/>
  <c r="J14" i="2" s="1"/>
  <c r="K4" i="2"/>
  <c r="K6" i="2" s="1"/>
  <c r="G4" i="2"/>
  <c r="G6" i="2" s="1"/>
  <c r="M14" i="2" s="1"/>
  <c r="M4" i="2"/>
  <c r="M6" i="2" s="1"/>
  <c r="L4" i="2"/>
  <c r="L6" i="2" s="1"/>
  <c r="I4" i="2"/>
  <c r="I6" i="2" s="1"/>
  <c r="N4" i="2"/>
  <c r="N6" i="2" s="1"/>
  <c r="E4" i="2"/>
  <c r="E6" i="2" s="1"/>
  <c r="K14" i="2" s="1"/>
  <c r="H4" i="2"/>
  <c r="H6" i="2" s="1"/>
  <c r="N14" i="2" s="1"/>
  <c r="J4" i="2"/>
  <c r="J6" i="2" s="1"/>
  <c r="F4" i="2"/>
  <c r="F6" i="2" s="1"/>
  <c r="L14" i="2" s="1"/>
  <c r="C4" i="2"/>
  <c r="C6" i="2" s="1"/>
  <c r="O51" i="6"/>
  <c r="O52" i="6" s="1"/>
  <c r="C73" i="6"/>
  <c r="O67" i="6"/>
  <c r="C52" i="6"/>
  <c r="C74" i="6" l="1"/>
  <c r="O74" i="6" s="1"/>
  <c r="O70" i="6"/>
  <c r="O6" i="2"/>
  <c r="I14" i="2"/>
  <c r="O14" i="2" s="1"/>
  <c r="C17" i="2" s="1"/>
  <c r="C18" i="2" s="1"/>
  <c r="C75" i="6"/>
  <c r="O73" i="6"/>
  <c r="O75" i="6" s="1"/>
  <c r="O76" i="6" s="1"/>
  <c r="O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aze4964</author>
  </authors>
  <commentList>
    <comment ref="D18" authorId="0" shapeId="0" xr:uid="{4F4DD113-362A-4256-B5E8-F79F53B094BF}">
      <text>
        <r>
          <rPr>
            <b/>
            <sz val="9"/>
            <color indexed="81"/>
            <rFont val="Tahoma"/>
            <family val="2"/>
          </rPr>
          <t>aze4964:</t>
        </r>
        <r>
          <rPr>
            <sz val="9"/>
            <color indexed="81"/>
            <rFont val="Tahoma"/>
            <family val="2"/>
          </rPr>
          <t xml:space="preserve">
Add $9.6m Reimbursible Project</t>
        </r>
      </text>
    </comment>
  </commentList>
</comments>
</file>

<file path=xl/sharedStrings.xml><?xml version="1.0" encoding="utf-8"?>
<sst xmlns="http://schemas.openxmlformats.org/spreadsheetml/2006/main" count="1269" uniqueCount="199">
  <si>
    <t>FPFTY</t>
  </si>
  <si>
    <t>Total</t>
  </si>
  <si>
    <t>Jun 2026</t>
  </si>
  <si>
    <t>May 2026</t>
  </si>
  <si>
    <t>Apr 2026</t>
  </si>
  <si>
    <t>Mar 2026</t>
  </si>
  <si>
    <t>Feb 2026</t>
  </si>
  <si>
    <t>Jan 2026</t>
  </si>
  <si>
    <t>Dec 2025</t>
  </si>
  <si>
    <t>Nov 2025</t>
  </si>
  <si>
    <t>Oct 2025</t>
  </si>
  <si>
    <t>Sep 2025</t>
  </si>
  <si>
    <t>Aug 2025</t>
  </si>
  <si>
    <t>Jul 2025</t>
  </si>
  <si>
    <t>Description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</si>
  <si>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</si>
  <si>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</si>
  <si>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</si>
  <si>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</si>
  <si>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</si>
  <si>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</si>
  <si>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</si>
  <si>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</si>
  <si>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</si>
  <si>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</si>
  <si>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</si>
  <si>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</si>
  <si>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</si>
  <si>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</si>
  <si>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</si>
  <si>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</si>
  <si>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</si>
  <si>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</si>
  <si>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</si>
  <si>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</si>
  <si>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</si>
  <si>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</si>
  <si>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</si>
  <si>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</si>
  <si>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Base Year</t>
  </si>
  <si>
    <t>2024 G&amp;A</t>
  </si>
  <si>
    <t>2025 Monthly Ratio</t>
  </si>
  <si>
    <t>2024 M&amp;S</t>
  </si>
  <si>
    <t>2025 M&amp;S</t>
  </si>
  <si>
    <t>2026 M&amp;S</t>
  </si>
  <si>
    <t>8400000</t>
  </si>
  <si>
    <t>162222 - 8400000</t>
  </si>
  <si>
    <t>8402004 - TOTAL</t>
  </si>
  <si>
    <t>161510 - 8402004</t>
  </si>
  <si>
    <t>161510L - 8402004</t>
  </si>
  <si>
    <t>FOR TEMPLATE</t>
  </si>
  <si>
    <t>Non Labor</t>
  </si>
  <si>
    <t>Labor</t>
  </si>
  <si>
    <t>Rate</t>
  </si>
  <si>
    <t>Indirect Labor % of Total Indirect Costs</t>
  </si>
  <si>
    <t>Total Indirect Costs</t>
  </si>
  <si>
    <t>Indirect Labor</t>
  </si>
  <si>
    <t>For SAP Load</t>
  </si>
  <si>
    <t>Non-labor</t>
  </si>
  <si>
    <t>SAP</t>
  </si>
  <si>
    <t>rate excl. CA</t>
  </si>
  <si>
    <t xml:space="preserve">new rate </t>
  </si>
  <si>
    <t>Net Add'l G&amp;A to absorb</t>
  </si>
  <si>
    <t>GA adjustment==&gt;</t>
  </si>
  <si>
    <t>Add'l G&amp;A to absorb</t>
  </si>
  <si>
    <t>Capex bal excl. CA</t>
  </si>
  <si>
    <t>CA Budget ==&gt;</t>
  </si>
  <si>
    <t>Capex balance</t>
  </si>
  <si>
    <t>Actual GA Surcharge</t>
  </si>
  <si>
    <t>G&amp;A % of Capex</t>
  </si>
  <si>
    <t>check</t>
  </si>
  <si>
    <t>Total G&amp;A</t>
  </si>
  <si>
    <t>Fixed assets dept</t>
  </si>
  <si>
    <t>G&amp;A capitalization s/b</t>
  </si>
  <si>
    <t>Capex % subtotal</t>
  </si>
  <si>
    <t>Total Direct Costs + Net Capex</t>
  </si>
  <si>
    <t>Net Capex</t>
  </si>
  <si>
    <t>Less: G&amp;A in Material Handling</t>
  </si>
  <si>
    <t>Less: Fixed Assets Labor (from G&amp;A)</t>
  </si>
  <si>
    <t>Less: G&amp;A embedded in capital</t>
  </si>
  <si>
    <t>Capital subject to G&amp;A (gross)</t>
  </si>
  <si>
    <t>Total Direct Costs</t>
  </si>
  <si>
    <t>Less: Material Handling</t>
  </si>
  <si>
    <t>CapEx - Construction Assessment</t>
  </si>
  <si>
    <t>ICO O&amp;M Labor</t>
  </si>
  <si>
    <t>Direct O&amp;M Labor</t>
  </si>
  <si>
    <t>Direct Non-Labor</t>
  </si>
  <si>
    <t>Essential Management Fee</t>
  </si>
  <si>
    <t>Indirect Non-Labor</t>
  </si>
  <si>
    <t>26 Budget</t>
  </si>
  <si>
    <t>25 Budget Total</t>
  </si>
  <si>
    <t>Dec 25</t>
  </si>
  <si>
    <t>Nov 25</t>
  </si>
  <si>
    <t>Oct 25</t>
  </si>
  <si>
    <t>Sep 25</t>
  </si>
  <si>
    <t>Aug 25</t>
  </si>
  <si>
    <t>Jul 25</t>
  </si>
  <si>
    <t>Jun 25</t>
  </si>
  <si>
    <t>May 25</t>
  </si>
  <si>
    <t>Apr 25</t>
  </si>
  <si>
    <t>Mar 25</t>
  </si>
  <si>
    <t>Feb 25</t>
  </si>
  <si>
    <t>Jan 25</t>
  </si>
  <si>
    <t>Delta</t>
  </si>
  <si>
    <t>Sept</t>
  </si>
  <si>
    <t>July</t>
  </si>
  <si>
    <t>June</t>
  </si>
  <si>
    <t>Budget</t>
  </si>
  <si>
    <t>Change</t>
  </si>
  <si>
    <t>M&amp;S CAP - 14.9%?</t>
  </si>
  <si>
    <t>M&amp;S 2025 BUD ($3.1m)</t>
  </si>
  <si>
    <t>Combined</t>
  </si>
  <si>
    <t>2025 Transm</t>
  </si>
  <si>
    <t>2025 Dist</t>
  </si>
  <si>
    <t>Months</t>
  </si>
  <si>
    <t>2025 Budget</t>
  </si>
  <si>
    <t>Forcasted Test Year</t>
  </si>
  <si>
    <t>2025 BUD Vs FPFTY</t>
  </si>
  <si>
    <t>Forecasted Test Year</t>
  </si>
  <si>
    <t>total</t>
  </si>
  <si>
    <t>check: G&amp;A included in CapEx</t>
  </si>
  <si>
    <t>non-labor</t>
  </si>
  <si>
    <t>labor</t>
  </si>
  <si>
    <t>G&amp;A to be capitalized as % of CapEx</t>
  </si>
  <si>
    <t>Total G&amp;A to be capitalized</t>
  </si>
  <si>
    <t>Fixed Assets Labor (from G&amp;A)</t>
  </si>
  <si>
    <t>SAP:  Non-Labor</t>
  </si>
  <si>
    <t>GA in Fixed Assets (Rate* Net CapEx)</t>
  </si>
  <si>
    <t>SAP:  Labor</t>
  </si>
  <si>
    <t>Adjusted Budgets</t>
  </si>
  <si>
    <t xml:space="preserve">Overall </t>
  </si>
  <si>
    <t>Rate (Indirect as % of (Direct + Capital)</t>
  </si>
  <si>
    <t/>
  </si>
  <si>
    <t>Total Exclusions</t>
  </si>
  <si>
    <t>SAP SURCHAGE RATES</t>
  </si>
  <si>
    <t>Overheads</t>
  </si>
  <si>
    <t>Donations, Mgmt Fee, Gas Costs</t>
  </si>
  <si>
    <t>TOTAL DIRECT COSTS &amp; CAPEX</t>
  </si>
  <si>
    <t>Bad debts</t>
  </si>
  <si>
    <t>G&amp;A to be capitalized</t>
  </si>
  <si>
    <t>Fixed Assets</t>
  </si>
  <si>
    <t>Net CapEx</t>
  </si>
  <si>
    <t>Warehousing</t>
  </si>
  <si>
    <t xml:space="preserve">Adjusted CapEx </t>
  </si>
  <si>
    <t>PNG/EGC Rider Expenses</t>
  </si>
  <si>
    <t>Land</t>
  </si>
  <si>
    <t>EXCLUDED FROM CALCULATION</t>
  </si>
  <si>
    <t>Construction Assessment Total</t>
  </si>
  <si>
    <t>CA:  Non-Labor</t>
  </si>
  <si>
    <r>
      <t>Capital subject to G&amp;A (</t>
    </r>
    <r>
      <rPr>
        <i/>
        <sz val="11"/>
        <color theme="1"/>
        <rFont val="Calibri"/>
        <family val="2"/>
        <scheme val="minor"/>
      </rPr>
      <t>gross</t>
    </r>
    <r>
      <rPr>
        <sz val="11"/>
        <color theme="1"/>
        <rFont val="Calibri"/>
        <family val="2"/>
        <scheme val="minor"/>
      </rPr>
      <t>)</t>
    </r>
  </si>
  <si>
    <t>CA:  Labor</t>
  </si>
  <si>
    <t>CAPITAL SPENDING</t>
  </si>
  <si>
    <t xml:space="preserve">   ICO O&amp;M Labor</t>
  </si>
  <si>
    <t>Net CapEx (without G&amp;A)</t>
  </si>
  <si>
    <t>Subtotal Labor (row 4)</t>
  </si>
  <si>
    <t xml:space="preserve">   Direct O&amp;M Labor</t>
  </si>
  <si>
    <t>Remove Construction Assessment from CapEx to derive a rate for SAP</t>
  </si>
  <si>
    <t xml:space="preserve">   FA</t>
  </si>
  <si>
    <t xml:space="preserve">   Indirect Labor</t>
  </si>
  <si>
    <t xml:space="preserve">   Direct CapEx Labor</t>
  </si>
  <si>
    <t>LABOR ONLY</t>
  </si>
  <si>
    <t>Non-Labor</t>
  </si>
  <si>
    <t>DIRECT COSTS</t>
  </si>
  <si>
    <t>DIRECT COSTS &amp; CAPITAL SPENDING</t>
  </si>
  <si>
    <t>Intercompany O&amp;M Labor</t>
  </si>
  <si>
    <t>Management Fee</t>
  </si>
  <si>
    <t>Overhead</t>
  </si>
  <si>
    <t>Exclude - donations, etc.</t>
  </si>
  <si>
    <t>Bad Debt</t>
  </si>
  <si>
    <t xml:space="preserve">Indirect Labor </t>
  </si>
  <si>
    <t>Residual costs in Cost Ctr 220001</t>
  </si>
  <si>
    <t>CapEx - Activity Allocations</t>
  </si>
  <si>
    <t>INDIRECT COSTS</t>
  </si>
  <si>
    <t>Total Labor</t>
  </si>
  <si>
    <t>2025B</t>
  </si>
  <si>
    <t>Bud YTD</t>
  </si>
  <si>
    <t>January 2025 Plan</t>
  </si>
  <si>
    <t>Face Value $</t>
  </si>
  <si>
    <t>Numbers are presented in:</t>
  </si>
  <si>
    <t>G&amp;A SURCHARGE RATE</t>
  </si>
  <si>
    <t>DIRECT vs. INDIRECT COSTS</t>
  </si>
  <si>
    <t>TOTAL G&amp;A COSTS</t>
  </si>
  <si>
    <t>February 2025 Plan</t>
  </si>
  <si>
    <t>March 2025 Plan</t>
  </si>
  <si>
    <t>Mar 2025</t>
  </si>
  <si>
    <t>April 2025 Plan</t>
  </si>
  <si>
    <t>Apr 2025</t>
  </si>
  <si>
    <t>May 2025 Plan</t>
  </si>
  <si>
    <t>May 2025</t>
  </si>
  <si>
    <t>June 2025 Plan</t>
  </si>
  <si>
    <t>Jun 2025</t>
  </si>
  <si>
    <t>July 2025 Plan</t>
  </si>
  <si>
    <t>August 2025 Plan</t>
  </si>
  <si>
    <t>September 2025 Plan</t>
  </si>
  <si>
    <t>October 2025 Plan</t>
  </si>
  <si>
    <t>November 2025 Plan</t>
  </si>
  <si>
    <t>December 2025 Plan</t>
  </si>
  <si>
    <t>2026 G&amp;A Budget</t>
  </si>
  <si>
    <t>2025 G&amp;A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</si>
</sst>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  <numFmt numFmtId="167" formatCode="0.000%"/>
    <numFmt numFmtId="168" formatCode="_(* #,##0.000_);_(* \(#,##0.000\);_(* &quot;-&quot;??_);_(@_)"/>
    <numFmt numFmtId="169" formatCode="0.0"/>
    <numFmt numFmtId="170" formatCode="_(&quot;$&quot;* #,##0_);_(&quot;$&quot;* \(#,##0\);_(&quot;$&quot;* &quot;-&quot;??_);_(@_)"/>
    <numFmt numFmtId="171" formatCode="_(* #,##0.0_);_(* \(#,##0.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8"/>
      <color rgb="FF0000FF"/>
      <name val="Calibri"/>
      <family val="2"/>
      <scheme val="minor"/>
    </font>
    <font>
      <i/>
      <sz val="8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5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" fontId="37" fillId="0" borderId="17" applyNumberFormat="0" applyProtection="0">
      <alignment horizontal="right" vertical="center"/>
    </xf>
    <xf numFmtId="0" fontId="37" fillId="11" borderId="18" applyNumberFormat="0" applyProtection="0">
      <alignment horizontal="left" vertical="top" indent="1"/>
    </xf>
  </cellStyleXfs>
  <cellXfs count="2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0" fontId="2" fillId="0" borderId="1" xfId="0" applyFont="1" applyBorder="1"/>
    <xf numFmtId="0" fontId="2" fillId="0" borderId="2" xfId="0" quotePrefix="1" applyFont="1" applyBorder="1" applyAlignment="1">
      <alignment horizontal="center"/>
    </xf>
    <xf numFmtId="0" fontId="2" fillId="0" borderId="4" xfId="0" applyFont="1" applyBorder="1"/>
    <xf numFmtId="0" fontId="3" fillId="0" borderId="0" xfId="0" applyFont="1" applyAlignment="1">
      <alignment horizontal="center"/>
    </xf>
    <xf numFmtId="43" fontId="3" fillId="0" borderId="0" xfId="0" applyNumberFormat="1" applyFont="1"/>
    <xf numFmtId="0" fontId="4" fillId="0" borderId="0" xfId="0" applyFont="1"/>
    <xf numFmtId="0" fontId="3" fillId="0" borderId="3" xfId="0" applyFont="1" applyBorder="1" applyAlignment="1">
      <alignment horizontal="center"/>
    </xf>
    <xf numFmtId="164" fontId="0" fillId="0" borderId="5" xfId="0" applyNumberFormat="1" applyBorder="1"/>
    <xf numFmtId="164" fontId="3" fillId="2" borderId="6" xfId="0" applyNumberFormat="1" applyFont="1" applyFill="1" applyBorder="1"/>
    <xf numFmtId="164" fontId="1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10" fontId="0" fillId="0" borderId="0" xfId="2" applyNumberFormat="1" applyFont="1"/>
    <xf numFmtId="164" fontId="2" fillId="0" borderId="0" xfId="1" applyNumberFormat="1" applyFont="1"/>
    <xf numFmtId="164" fontId="2" fillId="0" borderId="0" xfId="0" applyNumberFormat="1" applyFont="1"/>
    <xf numFmtId="164" fontId="2" fillId="0" borderId="7" xfId="0" applyNumberFormat="1" applyFont="1" applyBorder="1"/>
    <xf numFmtId="0" fontId="7" fillId="3" borderId="0" xfId="0" applyFont="1" applyFill="1"/>
    <xf numFmtId="0" fontId="0" fillId="0" borderId="5" xfId="0" applyBorder="1"/>
    <xf numFmtId="0" fontId="0" fillId="0" borderId="0" xfId="0" applyAlignment="1">
      <alignment wrapText="1"/>
    </xf>
    <xf numFmtId="0" fontId="0" fillId="0" borderId="8" xfId="0" applyBorder="1"/>
    <xf numFmtId="0" fontId="2" fillId="0" borderId="8" xfId="0" applyFont="1" applyBorder="1"/>
    <xf numFmtId="165" fontId="0" fillId="0" borderId="9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0" xfId="2" applyNumberFormat="1" applyFont="1" applyFill="1" applyBorder="1" applyAlignment="1">
      <alignment horizontal="center"/>
    </xf>
    <xf numFmtId="165" fontId="0" fillId="0" borderId="11" xfId="2" applyNumberFormat="1" applyFont="1" applyFill="1" applyBorder="1" applyAlignment="1">
      <alignment horizontal="center"/>
    </xf>
    <xf numFmtId="164" fontId="0" fillId="0" borderId="0" xfId="1" applyNumberFormat="1" applyFont="1" applyAlignment="1">
      <alignment horizontal="left"/>
    </xf>
    <xf numFmtId="165" fontId="0" fillId="0" borderId="9" xfId="2" applyNumberFormat="1" applyFont="1" applyFill="1" applyBorder="1" applyAlignment="1">
      <alignment horizontal="center"/>
    </xf>
    <xf numFmtId="165" fontId="0" fillId="0" borderId="0" xfId="2" applyNumberFormat="1" applyFont="1" applyFill="1" applyAlignment="1">
      <alignment horizontal="center"/>
    </xf>
    <xf numFmtId="38" fontId="8" fillId="0" borderId="9" xfId="0" applyNumberFormat="1" applyFont="1" applyBorder="1" applyAlignment="1">
      <alignment horizontal="center"/>
    </xf>
    <xf numFmtId="38" fontId="8" fillId="0" borderId="0" xfId="0" applyNumberFormat="1" applyFont="1" applyAlignment="1">
      <alignment horizontal="center"/>
    </xf>
    <xf numFmtId="0" fontId="0" fillId="0" borderId="9" xfId="0" applyBorder="1"/>
    <xf numFmtId="165" fontId="0" fillId="0" borderId="9" xfId="2" applyNumberFormat="1" applyFont="1" applyBorder="1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0" borderId="12" xfId="0" applyBorder="1"/>
    <xf numFmtId="38" fontId="0" fillId="0" borderId="9" xfId="1" applyNumberFormat="1" applyFont="1" applyBorder="1" applyAlignment="1">
      <alignment horizontal="right" indent="1"/>
    </xf>
    <xf numFmtId="38" fontId="0" fillId="0" borderId="0" xfId="1" applyNumberFormat="1" applyFont="1" applyBorder="1" applyAlignment="1">
      <alignment horizontal="right" indent="1"/>
    </xf>
    <xf numFmtId="165" fontId="6" fillId="4" borderId="9" xfId="2" applyNumberFormat="1" applyFont="1" applyFill="1" applyBorder="1" applyAlignment="1">
      <alignment horizontal="right" indent="1"/>
    </xf>
    <xf numFmtId="165" fontId="6" fillId="4" borderId="0" xfId="2" applyNumberFormat="1" applyFont="1" applyFill="1" applyBorder="1" applyAlignment="1">
      <alignment horizontal="right" indent="1"/>
    </xf>
    <xf numFmtId="38" fontId="0" fillId="0" borderId="0" xfId="0" applyNumberFormat="1"/>
    <xf numFmtId="38" fontId="0" fillId="0" borderId="0" xfId="1" applyNumberFormat="1" applyFont="1" applyFill="1" applyBorder="1" applyAlignment="1">
      <alignment horizontal="right" indent="1"/>
    </xf>
    <xf numFmtId="43" fontId="0" fillId="0" borderId="0" xfId="0" applyNumberFormat="1"/>
    <xf numFmtId="164" fontId="0" fillId="0" borderId="10" xfId="1" applyNumberFormat="1" applyFont="1" applyFill="1" applyBorder="1" applyAlignment="1">
      <alignment horizontal="right"/>
    </xf>
    <xf numFmtId="164" fontId="0" fillId="0" borderId="11" xfId="1" applyNumberFormat="1" applyFont="1" applyFill="1" applyBorder="1" applyAlignment="1">
      <alignment horizontal="right"/>
    </xf>
    <xf numFmtId="38" fontId="0" fillId="0" borderId="0" xfId="0" applyNumberFormat="1" applyAlignment="1">
      <alignment horizontal="left" indent="6"/>
    </xf>
    <xf numFmtId="38" fontId="0" fillId="0" borderId="9" xfId="1" applyNumberFormat="1" applyFont="1" applyFill="1" applyBorder="1" applyAlignment="1">
      <alignment horizontal="right"/>
    </xf>
    <xf numFmtId="38" fontId="0" fillId="0" borderId="0" xfId="1" applyNumberFormat="1" applyFont="1" applyFill="1" applyBorder="1" applyAlignment="1">
      <alignment horizontal="right"/>
    </xf>
    <xf numFmtId="38" fontId="0" fillId="0" borderId="8" xfId="0" applyNumberFormat="1" applyBorder="1"/>
    <xf numFmtId="0" fontId="2" fillId="0" borderId="9" xfId="0" applyFont="1" applyBorder="1"/>
    <xf numFmtId="0" fontId="9" fillId="0" borderId="9" xfId="0" applyFont="1" applyBorder="1"/>
    <xf numFmtId="0" fontId="9" fillId="0" borderId="0" xfId="0" applyFont="1"/>
    <xf numFmtId="0" fontId="10" fillId="0" borderId="0" xfId="0" applyFont="1"/>
    <xf numFmtId="38" fontId="0" fillId="0" borderId="0" xfId="1" applyNumberFormat="1" applyFont="1" applyFill="1" applyAlignment="1">
      <alignment horizontal="right"/>
    </xf>
    <xf numFmtId="38" fontId="11" fillId="0" borderId="10" xfId="0" applyNumberFormat="1" applyFont="1" applyBorder="1" applyAlignment="1">
      <alignment horizontal="right"/>
    </xf>
    <xf numFmtId="38" fontId="11" fillId="0" borderId="11" xfId="0" applyNumberFormat="1" applyFont="1" applyBorder="1" applyAlignment="1">
      <alignment horizontal="right"/>
    </xf>
    <xf numFmtId="164" fontId="11" fillId="0" borderId="9" xfId="1" applyNumberFormat="1" applyFont="1" applyFill="1" applyBorder="1" applyAlignment="1">
      <alignment horizontal="right"/>
    </xf>
    <xf numFmtId="164" fontId="11" fillId="0" borderId="0" xfId="1" applyNumberFormat="1" applyFont="1" applyFill="1" applyAlignment="1">
      <alignment horizontal="right"/>
    </xf>
    <xf numFmtId="0" fontId="11" fillId="0" borderId="0" xfId="0" applyFont="1"/>
    <xf numFmtId="38" fontId="0" fillId="0" borderId="9" xfId="0" applyNumberFormat="1" applyBorder="1"/>
    <xf numFmtId="164" fontId="0" fillId="0" borderId="9" xfId="1" applyNumberFormat="1" applyFont="1" applyFill="1" applyBorder="1" applyAlignment="1">
      <alignment horizontal="right" indent="1"/>
    </xf>
    <xf numFmtId="164" fontId="0" fillId="0" borderId="0" xfId="1" applyNumberFormat="1" applyFont="1" applyFill="1" applyAlignment="1">
      <alignment horizontal="right" indent="1"/>
    </xf>
    <xf numFmtId="165" fontId="10" fillId="0" borderId="9" xfId="2" applyNumberFormat="1" applyFont="1" applyFill="1" applyBorder="1" applyAlignment="1">
      <alignment horizontal="right" indent="1"/>
    </xf>
    <xf numFmtId="165" fontId="10" fillId="0" borderId="0" xfId="2" applyNumberFormat="1" applyFont="1" applyFill="1" applyAlignment="1">
      <alignment horizontal="right" indent="1"/>
    </xf>
    <xf numFmtId="0" fontId="10" fillId="0" borderId="9" xfId="0" applyFont="1" applyBorder="1"/>
    <xf numFmtId="0" fontId="12" fillId="0" borderId="0" xfId="0" applyFont="1"/>
    <xf numFmtId="164" fontId="12" fillId="0" borderId="9" xfId="0" applyNumberFormat="1" applyFont="1" applyBorder="1"/>
    <xf numFmtId="164" fontId="12" fillId="0" borderId="0" xfId="0" applyNumberFormat="1" applyFont="1"/>
    <xf numFmtId="0" fontId="13" fillId="0" borderId="0" xfId="0" applyFont="1"/>
    <xf numFmtId="0" fontId="14" fillId="0" borderId="0" xfId="0" applyFont="1"/>
    <xf numFmtId="164" fontId="14" fillId="0" borderId="8" xfId="0" applyNumberFormat="1" applyFont="1" applyBorder="1"/>
    <xf numFmtId="164" fontId="14" fillId="0" borderId="9" xfId="0" applyNumberFormat="1" applyFont="1" applyBorder="1"/>
    <xf numFmtId="164" fontId="14" fillId="0" borderId="0" xfId="0" applyNumberFormat="1" applyFont="1"/>
    <xf numFmtId="164" fontId="11" fillId="0" borderId="10" xfId="1" applyNumberFormat="1" applyFont="1" applyFill="1" applyBorder="1" applyAlignment="1">
      <alignment horizontal="right" indent="1"/>
    </xf>
    <xf numFmtId="164" fontId="11" fillId="0" borderId="11" xfId="1" applyNumberFormat="1" applyFont="1" applyFill="1" applyBorder="1" applyAlignment="1">
      <alignment horizontal="right" indent="1"/>
    </xf>
    <xf numFmtId="164" fontId="11" fillId="0" borderId="9" xfId="1" applyNumberFormat="1" applyFont="1" applyFill="1" applyBorder="1" applyAlignment="1">
      <alignment horizontal="right" indent="1"/>
    </xf>
    <xf numFmtId="164" fontId="11" fillId="0" borderId="0" xfId="1" applyNumberFormat="1" applyFont="1" applyFill="1" applyAlignment="1">
      <alignment horizontal="right" indent="1"/>
    </xf>
    <xf numFmtId="0" fontId="15" fillId="0" borderId="0" xfId="0" applyFont="1"/>
    <xf numFmtId="165" fontId="16" fillId="0" borderId="0" xfId="2" applyNumberFormat="1" applyFont="1" applyFill="1" applyAlignment="1">
      <alignment horizontal="right" indent="1"/>
    </xf>
    <xf numFmtId="165" fontId="16" fillId="0" borderId="9" xfId="2" applyNumberFormat="1" applyFont="1" applyFill="1" applyBorder="1" applyAlignment="1">
      <alignment horizontal="right" indent="1"/>
    </xf>
    <xf numFmtId="0" fontId="16" fillId="0" borderId="0" xfId="0" applyFont="1"/>
    <xf numFmtId="164" fontId="0" fillId="0" borderId="13" xfId="1" applyNumberFormat="1" applyFont="1" applyBorder="1"/>
    <xf numFmtId="164" fontId="0" fillId="0" borderId="14" xfId="1" applyNumberFormat="1" applyFont="1" applyFill="1" applyBorder="1"/>
    <xf numFmtId="164" fontId="0" fillId="0" borderId="13" xfId="1" applyNumberFormat="1" applyFont="1" applyFill="1" applyBorder="1"/>
    <xf numFmtId="0" fontId="17" fillId="0" borderId="0" xfId="0" applyFont="1"/>
    <xf numFmtId="164" fontId="18" fillId="0" borderId="0" xfId="1" applyNumberFormat="1" applyFont="1"/>
    <xf numFmtId="0" fontId="18" fillId="0" borderId="0" xfId="0" applyFont="1"/>
    <xf numFmtId="164" fontId="18" fillId="0" borderId="9" xfId="1" applyNumberFormat="1" applyFont="1" applyFill="1" applyBorder="1"/>
    <xf numFmtId="164" fontId="18" fillId="0" borderId="0" xfId="1" applyNumberFormat="1" applyFont="1" applyFill="1"/>
    <xf numFmtId="0" fontId="18" fillId="0" borderId="0" xfId="0" applyFont="1" applyAlignment="1">
      <alignment horizontal="left" indent="2"/>
    </xf>
    <xf numFmtId="164" fontId="0" fillId="0" borderId="9" xfId="1" applyNumberFormat="1" applyFont="1" applyFill="1" applyBorder="1"/>
    <xf numFmtId="164" fontId="0" fillId="0" borderId="0" xfId="1" applyNumberFormat="1" applyFont="1" applyFill="1"/>
    <xf numFmtId="164" fontId="0" fillId="0" borderId="11" xfId="0" applyNumberFormat="1" applyBorder="1"/>
    <xf numFmtId="164" fontId="19" fillId="0" borderId="10" xfId="1" applyNumberFormat="1" applyFont="1" applyFill="1" applyBorder="1"/>
    <xf numFmtId="164" fontId="19" fillId="0" borderId="11" xfId="1" applyNumberFormat="1" applyFont="1" applyFill="1" applyBorder="1"/>
    <xf numFmtId="0" fontId="20" fillId="0" borderId="0" xfId="0" applyFont="1"/>
    <xf numFmtId="164" fontId="19" fillId="0" borderId="9" xfId="1" applyNumberFormat="1" applyFont="1" applyFill="1" applyBorder="1"/>
    <xf numFmtId="164" fontId="19" fillId="0" borderId="0" xfId="1" applyNumberFormat="1" applyFont="1" applyFill="1"/>
    <xf numFmtId="164" fontId="19" fillId="0" borderId="10" xfId="1" applyNumberFormat="1" applyFont="1" applyBorder="1"/>
    <xf numFmtId="164" fontId="19" fillId="0" borderId="11" xfId="1" applyNumberFormat="1" applyFont="1" applyBorder="1"/>
    <xf numFmtId="0" fontId="19" fillId="0" borderId="0" xfId="0" applyFont="1"/>
    <xf numFmtId="164" fontId="19" fillId="0" borderId="9" xfId="1" applyNumberFormat="1" applyFont="1" applyBorder="1"/>
    <xf numFmtId="164" fontId="19" fillId="0" borderId="0" xfId="1" applyNumberFormat="1" applyFont="1"/>
    <xf numFmtId="164" fontId="0" fillId="0" borderId="9" xfId="1" applyNumberFormat="1" applyFont="1" applyBorder="1"/>
    <xf numFmtId="164" fontId="0" fillId="0" borderId="0" xfId="1" applyNumberFormat="1" applyFont="1"/>
    <xf numFmtId="16" fontId="21" fillId="0" borderId="0" xfId="0" quotePrefix="1" applyNumberFormat="1" applyFont="1" applyAlignment="1">
      <alignment horizontal="center" wrapText="1"/>
    </xf>
    <xf numFmtId="164" fontId="2" fillId="0" borderId="0" xfId="1" applyNumberFormat="1" applyFont="1" applyBorder="1" applyAlignment="1"/>
    <xf numFmtId="0" fontId="5" fillId="6" borderId="16" xfId="0" applyFont="1" applyFill="1" applyBorder="1"/>
    <xf numFmtId="0" fontId="22" fillId="0" borderId="0" xfId="3" applyAlignment="1">
      <alignment vertical="top"/>
    </xf>
    <xf numFmtId="164" fontId="23" fillId="0" borderId="0" xfId="3" applyNumberFormat="1" applyFont="1" applyAlignment="1">
      <alignment vertical="top"/>
    </xf>
    <xf numFmtId="164" fontId="22" fillId="0" borderId="0" xfId="3" applyNumberFormat="1" applyAlignment="1">
      <alignment vertical="top"/>
    </xf>
    <xf numFmtId="0" fontId="22" fillId="0" borderId="0" xfId="3" applyAlignment="1">
      <alignment horizontal="center" vertical="top"/>
    </xf>
    <xf numFmtId="0" fontId="2" fillId="0" borderId="0" xfId="4" applyFont="1" applyAlignment="1">
      <alignment horizontal="center"/>
    </xf>
    <xf numFmtId="10" fontId="0" fillId="0" borderId="0" xfId="5" applyNumberFormat="1" applyFont="1" applyAlignment="1">
      <alignment vertical="top"/>
    </xf>
    <xf numFmtId="164" fontId="1" fillId="0" borderId="0" xfId="4" applyNumberFormat="1"/>
    <xf numFmtId="0" fontId="1" fillId="0" borderId="0" xfId="4"/>
    <xf numFmtId="164" fontId="24" fillId="7" borderId="7" xfId="6" applyNumberFormat="1" applyFont="1" applyFill="1" applyBorder="1" applyAlignment="1">
      <alignment horizontal="center"/>
    </xf>
    <xf numFmtId="164" fontId="24" fillId="7" borderId="7" xfId="6" applyNumberFormat="1" applyFont="1" applyFill="1" applyBorder="1"/>
    <xf numFmtId="164" fontId="24" fillId="0" borderId="7" xfId="6" applyNumberFormat="1" applyFont="1" applyFill="1" applyBorder="1"/>
    <xf numFmtId="43" fontId="22" fillId="7" borderId="0" xfId="3" applyNumberFormat="1" applyFill="1" applyAlignment="1">
      <alignment horizontal="center" vertical="top"/>
    </xf>
    <xf numFmtId="43" fontId="0" fillId="7" borderId="0" xfId="6" applyFont="1" applyFill="1" applyAlignment="1">
      <alignment vertical="top"/>
    </xf>
    <xf numFmtId="164" fontId="11" fillId="0" borderId="0" xfId="6" applyNumberFormat="1" applyFont="1" applyFill="1"/>
    <xf numFmtId="164" fontId="22" fillId="5" borderId="0" xfId="3" applyNumberFormat="1" applyFill="1" applyAlignment="1">
      <alignment vertical="top"/>
    </xf>
    <xf numFmtId="0" fontId="22" fillId="5" borderId="0" xfId="3" applyFill="1" applyAlignment="1">
      <alignment vertical="top"/>
    </xf>
    <xf numFmtId="164" fontId="0" fillId="0" borderId="0" xfId="6" applyNumberFormat="1" applyFont="1" applyAlignment="1">
      <alignment vertical="top"/>
    </xf>
    <xf numFmtId="0" fontId="23" fillId="0" borderId="0" xfId="3" applyFont="1" applyAlignment="1">
      <alignment horizontal="center" vertical="center"/>
    </xf>
    <xf numFmtId="10" fontId="23" fillId="7" borderId="0" xfId="3" applyNumberFormat="1" applyFont="1" applyFill="1" applyAlignment="1">
      <alignment horizontal="center" vertical="center" wrapText="1"/>
    </xf>
    <xf numFmtId="166" fontId="23" fillId="7" borderId="0" xfId="3" applyNumberFormat="1" applyFont="1" applyFill="1" applyAlignment="1">
      <alignment horizontal="center" vertical="center" wrapText="1"/>
    </xf>
    <xf numFmtId="0" fontId="23" fillId="0" borderId="0" xfId="3" applyFont="1" applyAlignment="1">
      <alignment horizontal="center" vertical="center" wrapText="1"/>
    </xf>
    <xf numFmtId="0" fontId="2" fillId="0" borderId="0" xfId="4" applyFont="1" applyAlignment="1">
      <alignment horizontal="center" vertical="center" wrapText="1"/>
    </xf>
    <xf numFmtId="0" fontId="2" fillId="0" borderId="0" xfId="4" applyFont="1" applyAlignment="1">
      <alignment vertical="center"/>
    </xf>
    <xf numFmtId="164" fontId="3" fillId="0" borderId="6" xfId="0" applyNumberFormat="1" applyFont="1" applyFill="1" applyBorder="1"/>
    <xf numFmtId="164" fontId="3" fillId="2" borderId="0" xfId="0" applyNumberFormat="1" applyFont="1" applyFill="1"/>
    <xf numFmtId="38" fontId="0" fillId="0" borderId="9" xfId="1" applyNumberFormat="1" applyFont="1" applyFill="1" applyBorder="1" applyAlignment="1"/>
    <xf numFmtId="164" fontId="0" fillId="0" borderId="0" xfId="0" applyNumberFormat="1" applyFill="1"/>
    <xf numFmtId="164" fontId="1" fillId="0" borderId="0" xfId="1" applyNumberFormat="1" applyFont="1" applyFill="1" applyAlignment="1">
      <alignment horizontal="center"/>
    </xf>
    <xf numFmtId="10" fontId="11" fillId="0" borderId="0" xfId="5" applyNumberFormat="1" applyFont="1" applyFill="1" applyAlignment="1">
      <alignment horizontal="center"/>
    </xf>
    <xf numFmtId="10" fontId="2" fillId="0" borderId="7" xfId="4" applyNumberFormat="1" applyFont="1" applyBorder="1" applyAlignment="1">
      <alignment horizontal="center"/>
    </xf>
    <xf numFmtId="167" fontId="11" fillId="0" borderId="0" xfId="5" applyNumberFormat="1" applyFont="1" applyFill="1" applyAlignment="1">
      <alignment horizontal="center"/>
    </xf>
    <xf numFmtId="167" fontId="11" fillId="0" borderId="0" xfId="5" applyNumberFormat="1" applyFont="1" applyFill="1"/>
    <xf numFmtId="167" fontId="2" fillId="0" borderId="7" xfId="4" applyNumberFormat="1" applyFont="1" applyBorder="1"/>
    <xf numFmtId="16" fontId="25" fillId="0" borderId="15" xfId="0" quotePrefix="1" applyNumberFormat="1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/>
    </xf>
    <xf numFmtId="164" fontId="3" fillId="0" borderId="6" xfId="0" applyNumberFormat="1" applyFont="1" applyBorder="1"/>
    <xf numFmtId="168" fontId="0" fillId="0" borderId="0" xfId="1" applyNumberFormat="1" applyFont="1"/>
    <xf numFmtId="169" fontId="0" fillId="0" borderId="0" xfId="0" applyNumberFormat="1"/>
    <xf numFmtId="170" fontId="0" fillId="0" borderId="0" xfId="0" applyNumberFormat="1"/>
    <xf numFmtId="171" fontId="0" fillId="0" borderId="0" xfId="1" applyNumberFormat="1" applyFont="1"/>
    <xf numFmtId="0" fontId="0" fillId="8" borderId="0" xfId="0" applyFill="1"/>
    <xf numFmtId="43" fontId="0" fillId="0" borderId="0" xfId="1" applyFont="1"/>
    <xf numFmtId="165" fontId="1" fillId="9" borderId="0" xfId="2" applyNumberFormat="1" applyFont="1" applyFill="1"/>
    <xf numFmtId="164" fontId="0" fillId="9" borderId="0" xfId="1" applyNumberFormat="1" applyFont="1" applyFill="1" applyBorder="1" applyAlignment="1">
      <alignment horizontal="right"/>
    </xf>
    <xf numFmtId="164" fontId="2" fillId="9" borderId="0" xfId="0" applyNumberFormat="1" applyFont="1" applyFill="1"/>
    <xf numFmtId="164" fontId="2" fillId="9" borderId="0" xfId="1" applyNumberFormat="1" applyFont="1" applyFill="1" applyAlignment="1">
      <alignment horizontal="right"/>
    </xf>
    <xf numFmtId="164" fontId="26" fillId="0" borderId="0" xfId="1" applyNumberFormat="1" applyFont="1"/>
    <xf numFmtId="0" fontId="26" fillId="0" borderId="0" xfId="0" applyFont="1"/>
    <xf numFmtId="164" fontId="1" fillId="9" borderId="11" xfId="1" applyNumberFormat="1" applyFont="1" applyFill="1" applyBorder="1"/>
    <xf numFmtId="164" fontId="1" fillId="9" borderId="0" xfId="1" applyNumberFormat="1" applyFont="1" applyFill="1"/>
    <xf numFmtId="164" fontId="1" fillId="9" borderId="0" xfId="1" applyNumberFormat="1" applyFont="1" applyFill="1" applyAlignment="1">
      <alignment horizontal="right"/>
    </xf>
    <xf numFmtId="164" fontId="2" fillId="9" borderId="11" xfId="1" applyNumberFormat="1" applyFont="1" applyFill="1" applyBorder="1" applyAlignment="1"/>
    <xf numFmtId="170" fontId="27" fillId="0" borderId="0" xfId="7" applyNumberFormat="1" applyFont="1"/>
    <xf numFmtId="0" fontId="27" fillId="0" borderId="0" xfId="0" applyFont="1"/>
    <xf numFmtId="170" fontId="0" fillId="0" borderId="0" xfId="7" applyNumberFormat="1" applyFont="1" applyBorder="1"/>
    <xf numFmtId="170" fontId="0" fillId="0" borderId="11" xfId="7" applyNumberFormat="1" applyFont="1" applyBorder="1"/>
    <xf numFmtId="170" fontId="28" fillId="10" borderId="0" xfId="7" applyNumberFormat="1" applyFont="1" applyFill="1"/>
    <xf numFmtId="0" fontId="27" fillId="0" borderId="0" xfId="0" applyFont="1" applyAlignment="1">
      <alignment horizontal="left" indent="2"/>
    </xf>
    <xf numFmtId="170" fontId="0" fillId="0" borderId="0" xfId="7" applyNumberFormat="1" applyFont="1"/>
    <xf numFmtId="170" fontId="0" fillId="0" borderId="0" xfId="7" applyNumberFormat="1" applyFont="1" applyFill="1"/>
    <xf numFmtId="44" fontId="28" fillId="10" borderId="0" xfId="7" applyFont="1" applyFill="1"/>
    <xf numFmtId="0" fontId="10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29" fillId="0" borderId="0" xfId="0" applyFont="1"/>
    <xf numFmtId="170" fontId="2" fillId="0" borderId="13" xfId="7" applyNumberFormat="1" applyFont="1" applyBorder="1"/>
    <xf numFmtId="0" fontId="2" fillId="0" borderId="0" xfId="0" applyFont="1" applyAlignment="1">
      <alignment horizontal="left" indent="2"/>
    </xf>
    <xf numFmtId="0" fontId="30" fillId="0" borderId="0" xfId="0" applyFont="1"/>
    <xf numFmtId="164" fontId="0" fillId="0" borderId="5" xfId="1" applyNumberFormat="1" applyFont="1" applyBorder="1"/>
    <xf numFmtId="170" fontId="2" fillId="0" borderId="0" xfId="7" applyNumberFormat="1" applyFont="1"/>
    <xf numFmtId="170" fontId="0" fillId="0" borderId="11" xfId="7" applyNumberFormat="1" applyFont="1" applyFill="1" applyBorder="1"/>
    <xf numFmtId="0" fontId="0" fillId="0" borderId="0" xfId="0" applyAlignment="1">
      <alignment horizontal="left" indent="1"/>
    </xf>
    <xf numFmtId="164" fontId="0" fillId="0" borderId="11" xfId="1" applyNumberFormat="1" applyFont="1" applyBorder="1"/>
    <xf numFmtId="170" fontId="31" fillId="0" borderId="0" xfId="7" applyNumberFormat="1" applyFont="1" applyFill="1"/>
    <xf numFmtId="164" fontId="10" fillId="0" borderId="0" xfId="1" applyNumberFormat="1" applyFont="1"/>
    <xf numFmtId="170" fontId="0" fillId="0" borderId="0" xfId="7" quotePrefix="1" applyNumberFormat="1" applyFont="1" applyFill="1" applyBorder="1"/>
    <xf numFmtId="170" fontId="0" fillId="0" borderId="13" xfId="7" applyNumberFormat="1" applyFont="1" applyBorder="1"/>
    <xf numFmtId="170" fontId="0" fillId="3" borderId="11" xfId="7" applyNumberFormat="1" applyFont="1" applyFill="1" applyBorder="1"/>
    <xf numFmtId="170" fontId="0" fillId="0" borderId="0" xfId="7" applyNumberFormat="1" applyFont="1" applyFill="1" applyBorder="1"/>
    <xf numFmtId="164" fontId="0" fillId="0" borderId="0" xfId="1" applyNumberFormat="1" applyFont="1" applyBorder="1"/>
    <xf numFmtId="170" fontId="10" fillId="0" borderId="0" xfId="7" applyNumberFormat="1" applyFont="1"/>
    <xf numFmtId="0" fontId="10" fillId="0" borderId="0" xfId="0" applyFont="1" applyAlignment="1">
      <alignment horizontal="left" indent="4"/>
    </xf>
    <xf numFmtId="0" fontId="10" fillId="0" borderId="0" xfId="0" applyFont="1" applyAlignment="1">
      <alignment vertical="center"/>
    </xf>
    <xf numFmtId="170" fontId="1" fillId="0" borderId="11" xfId="7" applyNumberFormat="1" applyFont="1" applyFill="1" applyBorder="1"/>
    <xf numFmtId="0" fontId="0" fillId="0" borderId="0" xfId="0" applyAlignment="1">
      <alignment horizontal="left" indent="4"/>
    </xf>
    <xf numFmtId="170" fontId="11" fillId="0" borderId="0" xfId="7" applyNumberFormat="1" applyFont="1" applyFill="1"/>
    <xf numFmtId="164" fontId="0" fillId="8" borderId="0" xfId="0" applyNumberFormat="1" applyFill="1"/>
    <xf numFmtId="165" fontId="0" fillId="0" borderId="11" xfId="2" applyNumberFormat="1" applyFont="1" applyBorder="1"/>
    <xf numFmtId="165" fontId="0" fillId="0" borderId="0" xfId="2" applyNumberFormat="1" applyFont="1"/>
    <xf numFmtId="170" fontId="32" fillId="0" borderId="13" xfId="7" applyNumberFormat="1" applyFont="1" applyFill="1" applyBorder="1"/>
    <xf numFmtId="0" fontId="10" fillId="0" borderId="0" xfId="0" applyFont="1" applyAlignment="1">
      <alignment vertical="center" wrapText="1"/>
    </xf>
    <xf numFmtId="0" fontId="0" fillId="0" borderId="11" xfId="0" applyBorder="1"/>
    <xf numFmtId="165" fontId="33" fillId="0" borderId="0" xfId="2" applyNumberFormat="1" applyFont="1"/>
    <xf numFmtId="0" fontId="33" fillId="0" borderId="0" xfId="0" applyFont="1" applyAlignment="1">
      <alignment horizontal="left" indent="2"/>
    </xf>
    <xf numFmtId="164" fontId="34" fillId="0" borderId="0" xfId="1" applyNumberFormat="1" applyFont="1"/>
    <xf numFmtId="0" fontId="34" fillId="0" borderId="0" xfId="0" applyFont="1" applyAlignment="1">
      <alignment horizontal="left" indent="2"/>
    </xf>
    <xf numFmtId="170" fontId="1" fillId="0" borderId="0" xfId="7" applyNumberFormat="1" applyFont="1" applyFill="1"/>
    <xf numFmtId="44" fontId="0" fillId="0" borderId="0" xfId="0" applyNumberFormat="1"/>
    <xf numFmtId="0" fontId="0" fillId="3" borderId="0" xfId="0" applyFill="1"/>
    <xf numFmtId="165" fontId="16" fillId="0" borderId="0" xfId="2" applyNumberFormat="1" applyFont="1"/>
    <xf numFmtId="0" fontId="30" fillId="0" borderId="0" xfId="1" quotePrefix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5" fillId="8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17" fontId="36" fillId="0" borderId="0" xfId="0" applyNumberFormat="1" applyFont="1" applyAlignment="1">
      <alignment horizontal="center" vertical="center"/>
    </xf>
    <xf numFmtId="170" fontId="2" fillId="0" borderId="19" xfId="7" applyNumberFormat="1" applyFont="1" applyBorder="1"/>
    <xf numFmtId="170" fontId="0" fillId="0" borderId="19" xfId="7" applyNumberFormat="1" applyFont="1" applyBorder="1"/>
    <xf numFmtId="170" fontId="32" fillId="0" borderId="19" xfId="7" applyNumberFormat="1" applyFont="1" applyFill="1" applyBorder="1"/>
    <xf numFmtId="0" fontId="0" fillId="0" borderId="0" xfId="0" applyFill="1"/>
    <xf numFmtId="0" fontId="2" fillId="0" borderId="0" xfId="0" applyFont="1" applyFill="1"/>
    <xf numFmtId="170" fontId="2" fillId="0" borderId="0" xfId="7" applyNumberFormat="1" applyFont="1" applyFill="1"/>
    <xf numFmtId="170" fontId="10" fillId="0" borderId="0" xfId="7" applyNumberFormat="1" applyFont="1" applyFill="1"/>
    <xf numFmtId="0" fontId="30" fillId="0" borderId="0" xfId="0" applyFont="1" applyFill="1"/>
    <xf numFmtId="170" fontId="0" fillId="0" borderId="13" xfId="7" applyNumberFormat="1" applyFont="1" applyFill="1" applyBorder="1"/>
    <xf numFmtId="0" fontId="0" fillId="0" borderId="0" xfId="0" applyFill="1" applyAlignment="1">
      <alignment horizontal="left" indent="1"/>
    </xf>
    <xf numFmtId="164" fontId="0" fillId="12" borderId="0" xfId="1" applyNumberFormat="1" applyFont="1" applyFill="1"/>
    <xf numFmtId="0" fontId="5" fillId="12" borderId="0" xfId="0" applyFont="1" applyFill="1" applyAlignment="1">
      <alignment wrapText="1"/>
    </xf>
    <xf numFmtId="164" fontId="2" fillId="12" borderId="0" xfId="0" applyNumberFormat="1" applyFont="1" applyFill="1" applyAlignment="1">
      <alignment wrapText="1"/>
    </xf>
    <xf numFmtId="0" fontId="0" fillId="12" borderId="0" xfId="0" applyFill="1"/>
    <xf numFmtId="10" fontId="27" fillId="0" borderId="0" xfId="2" applyNumberFormat="1" applyFont="1"/>
    <xf numFmtId="10" fontId="29" fillId="0" borderId="0" xfId="2" applyNumberFormat="1" applyFont="1"/>
    <xf numFmtId="10" fontId="16" fillId="0" borderId="0" xfId="2" applyNumberFormat="1" applyFont="1"/>
    <xf numFmtId="10" fontId="14" fillId="0" borderId="0" xfId="2" applyNumberFormat="1" applyFont="1"/>
    <xf numFmtId="164" fontId="3" fillId="0" borderId="7" xfId="0" applyNumberFormat="1" applyFont="1" applyBorder="1"/>
  </cellXfs>
  <cellStyles count="10">
    <cellStyle name="Comma" xfId="1" builtinId="3"/>
    <cellStyle name="Comma 3" xfId="6" xr:uid="{6B753B34-F929-4BE4-B3B6-6CA87744D0B2}"/>
    <cellStyle name="Currency" xfId="7" builtinId="4"/>
    <cellStyle name="Normal" xfId="0" builtinId="0"/>
    <cellStyle name="Normal 3" xfId="3" xr:uid="{652F80D7-2D12-48E6-BA13-8357297EBE51}"/>
    <cellStyle name="Normal_Sheet5" xfId="4" xr:uid="{271EAD9F-A8E2-4B02-B418-2B333F4CB9B3}"/>
    <cellStyle name="Percent" xfId="2" builtinId="5"/>
    <cellStyle name="Percent 2" xfId="5" xr:uid="{2B8ABD93-9212-481A-A0C6-B3D8EDD89AD7}"/>
    <cellStyle name="SAPBEXHLevel0X" xfId="9" xr:uid="{30BC1561-8C18-4116-A91D-83E865770E4E}"/>
    <cellStyle name="SAPBEXstdData" xfId="8" xr:uid="{90FF9E73-C6AB-4B18-ACAD-16BE3569C162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3B2CE-BD27-405B-B647-267C91B72FFB}">
  <dimension ref="B1:P1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20" sqref="D20"/>
    </sheetView>
  </sheetViews>
  <sheetFormatPr defaultRowHeight="14.4" x14ac:dyDescent="0.3"/>
  <cols>
    <col min="1" max="1" width="3.21875" customWidth="1"/>
    <col min="2" max="2" width="19.33203125" customWidth="1"/>
    <col min="3" max="3" width="12.109375" customWidth="1"/>
    <col min="4" max="4" width="10.77734375" bestFit="1" customWidth="1"/>
    <col min="5" max="7" width="10.109375" bestFit="1" customWidth="1"/>
    <col min="8" max="8" width="11.5546875" customWidth="1"/>
    <col min="9" max="9" width="10.109375" bestFit="1" customWidth="1"/>
    <col min="10" max="10" width="10.6640625" bestFit="1" customWidth="1"/>
    <col min="11" max="11" width="10.109375" bestFit="1" customWidth="1"/>
    <col min="12" max="12" width="11.6640625" customWidth="1"/>
    <col min="13" max="13" width="10.6640625" bestFit="1" customWidth="1"/>
    <col min="14" max="14" width="10.5546875" bestFit="1" customWidth="1"/>
    <col min="15" max="15" width="11.88671875" customWidth="1"/>
    <col min="16" max="16" width="12.5546875" bestFit="1" customWidth="1"/>
  </cols>
  <sheetData>
    <row r="1" spans="2:16" ht="15.6" x14ac:dyDescent="0.3">
      <c r="B1" s="1" t="s">
        <v>14</v>
      </c>
      <c r="C1" s="2" t="s">
        <v>26</v>
      </c>
      <c r="D1" s="2" t="s">
        <v>25</v>
      </c>
      <c r="E1" s="2" t="s">
        <v>24</v>
      </c>
      <c r="F1" s="2" t="s">
        <v>23</v>
      </c>
      <c r="G1" s="2" t="s">
        <v>22</v>
      </c>
      <c r="H1" s="2" t="s">
        <v>21</v>
      </c>
      <c r="I1" s="2" t="s">
        <v>20</v>
      </c>
      <c r="J1" s="2" t="s">
        <v>19</v>
      </c>
      <c r="K1" s="2" t="s">
        <v>18</v>
      </c>
      <c r="L1" s="2" t="s">
        <v>17</v>
      </c>
      <c r="M1" s="2" t="s">
        <v>16</v>
      </c>
      <c r="N1" s="2" t="s">
        <v>15</v>
      </c>
      <c r="O1" s="7" t="s">
        <v>1</v>
      </c>
    </row>
    <row r="2" spans="2:16" ht="15.6" x14ac:dyDescent="0.3">
      <c r="B2" s="1" t="s">
        <v>40</v>
      </c>
      <c r="C2" s="13">
        <v>-173208.81</v>
      </c>
      <c r="D2" s="13">
        <v>-127773.38</v>
      </c>
      <c r="E2" s="137">
        <v>-186154.15</v>
      </c>
      <c r="F2" s="137">
        <v>-132331.29</v>
      </c>
      <c r="G2" s="137">
        <v>-431660.04</v>
      </c>
      <c r="H2" s="137">
        <v>-446429.73</v>
      </c>
      <c r="I2" s="137">
        <v>-960471.66</v>
      </c>
      <c r="J2" s="137">
        <v>-257280.26</v>
      </c>
      <c r="K2" s="137">
        <v>-508798.65</v>
      </c>
      <c r="L2" s="137">
        <v>-485739.8</v>
      </c>
      <c r="M2" s="137">
        <v>-348389.23</v>
      </c>
      <c r="N2" s="137">
        <v>-129831.38</v>
      </c>
      <c r="O2" s="14">
        <f>SUM(C2:N2)</f>
        <v>-4188068.38</v>
      </c>
    </row>
    <row r="3" spans="2:16" ht="15.6" x14ac:dyDescent="0.3">
      <c r="B3" s="1" t="s">
        <v>198</v>
      </c>
      <c r="C3" s="3">
        <f>-'8402004 - G&amp;A Calculation'!C$40</f>
        <v>-314222.30712145864</v>
      </c>
      <c r="D3" s="3">
        <f>-'8402004 - G&amp;A Calculation'!D$40</f>
        <v>-570736.29591828457</v>
      </c>
      <c r="E3" s="3">
        <f>-'8402004 - G&amp;A Calculation'!E$40</f>
        <v>-482775.13861749187</v>
      </c>
      <c r="F3" s="3">
        <f>-'8402004 - G&amp;A Calculation'!F$40</f>
        <v>-617750.33642146597</v>
      </c>
      <c r="G3" s="3">
        <f>-'8402004 - G&amp;A Calculation'!G$40</f>
        <v>-673313.25283010409</v>
      </c>
      <c r="H3" s="3">
        <f>-'8402004 - G&amp;A Calculation'!H$40</f>
        <v>-676747.83186780324</v>
      </c>
      <c r="I3" s="3">
        <f>-'8402004 - G&amp;A Calculation'!I$40</f>
        <v>-663592.68689453532</v>
      </c>
      <c r="J3" s="3">
        <f>-'8402004 - G&amp;A Calculation'!J$40</f>
        <v>-686964.23406711139</v>
      </c>
      <c r="K3" s="3">
        <f>-'8402004 - G&amp;A Calculation'!K$40</f>
        <v>-638367.36789420131</v>
      </c>
      <c r="L3" s="3">
        <f>-'8402004 - G&amp;A Calculation'!L$40</f>
        <v>-612081.09818258602</v>
      </c>
      <c r="M3" s="3">
        <f>-'8402004 - G&amp;A Calculation'!M$40</f>
        <v>-346631.84043077176</v>
      </c>
      <c r="N3" s="3">
        <f>-'8402004 - G&amp;A Calculation'!N$40</f>
        <v>-12940.936013149263</v>
      </c>
      <c r="O3" s="134">
        <f>SUM(C3:N3)</f>
        <v>-6296123.3262589639</v>
      </c>
    </row>
    <row r="4" spans="2:16" x14ac:dyDescent="0.3">
      <c r="B4" s="1" t="s">
        <v>41</v>
      </c>
      <c r="C4" s="16">
        <f>C3/$O3</f>
        <v>4.9907266874990447E-2</v>
      </c>
      <c r="D4" s="16">
        <f t="shared" ref="D4:O4" si="0">D3/$O3</f>
        <v>9.0648843160034659E-2</v>
      </c>
      <c r="E4" s="16">
        <f t="shared" si="0"/>
        <v>7.6678157907740296E-2</v>
      </c>
      <c r="F4" s="16">
        <f t="shared" si="0"/>
        <v>9.8115984139802645E-2</v>
      </c>
      <c r="G4" s="16">
        <f t="shared" si="0"/>
        <v>0.10694092506446724</v>
      </c>
      <c r="H4" s="16">
        <f t="shared" si="0"/>
        <v>0.10748643201528803</v>
      </c>
      <c r="I4" s="16">
        <f t="shared" si="0"/>
        <v>0.10539702806120689</v>
      </c>
      <c r="J4" s="16">
        <f t="shared" si="0"/>
        <v>0.10910908164743532</v>
      </c>
      <c r="K4" s="16">
        <f t="shared" si="0"/>
        <v>0.10139054380205526</v>
      </c>
      <c r="L4" s="16">
        <f t="shared" si="0"/>
        <v>9.7215550977187246E-2</v>
      </c>
      <c r="M4" s="16">
        <f t="shared" si="0"/>
        <v>5.5054804753440836E-2</v>
      </c>
      <c r="N4" s="16">
        <f t="shared" si="0"/>
        <v>2.0553815963510551E-3</v>
      </c>
      <c r="O4" s="16">
        <f t="shared" si="0"/>
        <v>1</v>
      </c>
    </row>
    <row r="5" spans="2:16" x14ac:dyDescent="0.3">
      <c r="B5" s="1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2:16" ht="15.6" x14ac:dyDescent="0.3">
      <c r="B6" s="1" t="s">
        <v>197</v>
      </c>
      <c r="C6" s="3">
        <f t="shared" ref="C6:N6" si="1">C4*$P6</f>
        <v>-220282.76585724251</v>
      </c>
      <c r="D6" s="3">
        <f t="shared" si="1"/>
        <v>-400109.62618067901</v>
      </c>
      <c r="E6" s="3">
        <f t="shared" si="1"/>
        <v>-338445.23578228219</v>
      </c>
      <c r="F6" s="3">
        <f t="shared" si="1"/>
        <v>-433068.40294938919</v>
      </c>
      <c r="G6" s="3">
        <f t="shared" si="1"/>
        <v>-472020.2934682839</v>
      </c>
      <c r="H6" s="3">
        <f t="shared" si="1"/>
        <v>-474428.07468824426</v>
      </c>
      <c r="I6" s="3">
        <f t="shared" si="1"/>
        <v>-465205.77679822099</v>
      </c>
      <c r="J6" s="3">
        <f t="shared" si="1"/>
        <v>-481590.19298019516</v>
      </c>
      <c r="K6" s="3">
        <f t="shared" si="1"/>
        <v>-447521.79029220587</v>
      </c>
      <c r="L6" s="3">
        <f t="shared" si="1"/>
        <v>-429094.03368514276</v>
      </c>
      <c r="M6" s="3">
        <f t="shared" si="1"/>
        <v>-243003.18218579527</v>
      </c>
      <c r="N6" s="3">
        <f t="shared" si="1"/>
        <v>-9072.1285954285486</v>
      </c>
      <c r="O6" s="15">
        <f>SUM(C6:N6)</f>
        <v>-4413841.503463109</v>
      </c>
      <c r="P6" s="17">
        <v>-4413841.50346311</v>
      </c>
    </row>
    <row r="7" spans="2:16" ht="15.6" x14ac:dyDescent="0.3">
      <c r="O7" s="8">
        <f>O6-P6</f>
        <v>0</v>
      </c>
    </row>
    <row r="8" spans="2:16" ht="16.2" thickBot="1" x14ac:dyDescent="0.35">
      <c r="O8" s="9"/>
    </row>
    <row r="9" spans="2:16" s="1" customFormat="1" ht="15.6" x14ac:dyDescent="0.3">
      <c r="B9" s="4" t="s">
        <v>14</v>
      </c>
      <c r="C9" s="5" t="s">
        <v>27</v>
      </c>
      <c r="D9" s="5" t="s">
        <v>28</v>
      </c>
      <c r="E9" s="5" t="s">
        <v>29</v>
      </c>
      <c r="F9" s="5" t="s">
        <v>30</v>
      </c>
      <c r="G9" s="5" t="s">
        <v>31</v>
      </c>
      <c r="H9" s="5" t="s">
        <v>32</v>
      </c>
      <c r="I9" s="5" t="s">
        <v>33</v>
      </c>
      <c r="J9" s="5" t="s">
        <v>34</v>
      </c>
      <c r="K9" s="5" t="s">
        <v>35</v>
      </c>
      <c r="L9" s="5" t="s">
        <v>36</v>
      </c>
      <c r="M9" s="5" t="s">
        <v>37</v>
      </c>
      <c r="N9" s="5" t="s">
        <v>38</v>
      </c>
      <c r="O9" s="10" t="s">
        <v>1</v>
      </c>
    </row>
    <row r="10" spans="2:16" ht="16.2" thickBot="1" x14ac:dyDescent="0.35">
      <c r="B10" s="6" t="s">
        <v>39</v>
      </c>
      <c r="C10" s="11">
        <f>E2</f>
        <v>-186154.15</v>
      </c>
      <c r="D10" s="11">
        <f>F2</f>
        <v>-132331.29</v>
      </c>
      <c r="E10" s="11">
        <f t="shared" ref="E10:K10" si="2">G2</f>
        <v>-431660.04</v>
      </c>
      <c r="F10" s="11">
        <f t="shared" si="2"/>
        <v>-446429.73</v>
      </c>
      <c r="G10" s="11">
        <f t="shared" si="2"/>
        <v>-960471.66</v>
      </c>
      <c r="H10" s="11">
        <f>J2</f>
        <v>-257280.26</v>
      </c>
      <c r="I10" s="11">
        <f t="shared" si="2"/>
        <v>-508798.65</v>
      </c>
      <c r="J10" s="11">
        <f t="shared" si="2"/>
        <v>-485739.8</v>
      </c>
      <c r="K10" s="11">
        <f t="shared" si="2"/>
        <v>-348389.23</v>
      </c>
      <c r="L10" s="11">
        <f>N2</f>
        <v>-129831.38</v>
      </c>
      <c r="M10" s="11">
        <f>C3</f>
        <v>-314222.30712145864</v>
      </c>
      <c r="N10" s="11">
        <f>D3</f>
        <v>-570736.29591828457</v>
      </c>
      <c r="O10" s="133">
        <f>SUM(C10:N10)</f>
        <v>-4772044.7930397429</v>
      </c>
    </row>
    <row r="11" spans="2:16" ht="15.6" x14ac:dyDescent="0.3">
      <c r="O11" s="9"/>
    </row>
    <row r="12" spans="2:16" ht="16.2" thickBot="1" x14ac:dyDescent="0.35">
      <c r="O12" s="9"/>
    </row>
    <row r="13" spans="2:16" s="1" customFormat="1" ht="15.6" x14ac:dyDescent="0.3">
      <c r="B13" s="4" t="s">
        <v>14</v>
      </c>
      <c r="C13" s="5" t="s">
        <v>13</v>
      </c>
      <c r="D13" s="5" t="s">
        <v>12</v>
      </c>
      <c r="E13" s="5" t="s">
        <v>11</v>
      </c>
      <c r="F13" s="5" t="s">
        <v>10</v>
      </c>
      <c r="G13" s="5" t="s">
        <v>9</v>
      </c>
      <c r="H13" s="5" t="s">
        <v>8</v>
      </c>
      <c r="I13" s="5" t="s">
        <v>7</v>
      </c>
      <c r="J13" s="5" t="s">
        <v>6</v>
      </c>
      <c r="K13" s="5" t="s">
        <v>5</v>
      </c>
      <c r="L13" s="5" t="s">
        <v>4</v>
      </c>
      <c r="M13" s="5" t="s">
        <v>3</v>
      </c>
      <c r="N13" s="5" t="s">
        <v>2</v>
      </c>
      <c r="O13" s="10" t="s">
        <v>1</v>
      </c>
    </row>
    <row r="14" spans="2:16" ht="16.2" thickBot="1" x14ac:dyDescent="0.35">
      <c r="B14" s="6" t="s">
        <v>0</v>
      </c>
      <c r="C14" s="11">
        <f t="shared" ref="C14:H14" si="3">I3</f>
        <v>-663592.68689453532</v>
      </c>
      <c r="D14" s="11">
        <f t="shared" si="3"/>
        <v>-686964.23406711139</v>
      </c>
      <c r="E14" s="11">
        <f t="shared" si="3"/>
        <v>-638367.36789420131</v>
      </c>
      <c r="F14" s="11">
        <f t="shared" si="3"/>
        <v>-612081.09818258602</v>
      </c>
      <c r="G14" s="11">
        <f t="shared" si="3"/>
        <v>-346631.84043077176</v>
      </c>
      <c r="H14" s="11">
        <f t="shared" si="3"/>
        <v>-12940.936013149263</v>
      </c>
      <c r="I14" s="11">
        <f t="shared" ref="I14:N14" si="4">C6</f>
        <v>-220282.76585724251</v>
      </c>
      <c r="J14" s="11">
        <f t="shared" si="4"/>
        <v>-400109.62618067901</v>
      </c>
      <c r="K14" s="11">
        <f t="shared" si="4"/>
        <v>-338445.23578228219</v>
      </c>
      <c r="L14" s="11">
        <f t="shared" si="4"/>
        <v>-433068.40294938919</v>
      </c>
      <c r="M14" s="11">
        <f t="shared" si="4"/>
        <v>-472020.2934682839</v>
      </c>
      <c r="N14" s="11">
        <f t="shared" si="4"/>
        <v>-474428.07468824426</v>
      </c>
      <c r="O14" s="12">
        <f>SUM(C14:N14)</f>
        <v>-5298932.5624084761</v>
      </c>
    </row>
    <row r="16" spans="2:16" x14ac:dyDescent="0.3">
      <c r="B16" t="s">
        <v>115</v>
      </c>
      <c r="C16" s="3">
        <f>O3</f>
        <v>-6296123.3262589639</v>
      </c>
      <c r="O16" s="3"/>
    </row>
    <row r="17" spans="2:3" x14ac:dyDescent="0.3">
      <c r="B17" t="s">
        <v>118</v>
      </c>
      <c r="C17" s="3">
        <f>O14</f>
        <v>-5298932.5624084761</v>
      </c>
    </row>
    <row r="18" spans="2:3" ht="16.2" thickBot="1" x14ac:dyDescent="0.35">
      <c r="B18" s="1" t="s">
        <v>117</v>
      </c>
      <c r="C18" s="235">
        <f>C16-C17</f>
        <v>-997190.76385048777</v>
      </c>
    </row>
    <row r="19" spans="2:3" ht="15" thickTop="1" x14ac:dyDescent="0.3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FE567-3071-4831-B2A8-F1DAE795D922}">
  <sheetPr>
    <tabColor rgb="FFFFC000"/>
    <pageSetUpPr fitToPage="1"/>
  </sheetPr>
  <dimension ref="A1:U68"/>
  <sheetViews>
    <sheetView zoomScale="80" zoomScaleNormal="80" workbookViewId="0">
      <pane xSplit="1" ySplit="3" topLeftCell="B4" activePane="bottomRight" state="frozen"/>
      <selection activeCell="N35" sqref="N35"/>
      <selection pane="topRight" activeCell="N35" sqref="N35"/>
      <selection pane="bottomLeft" activeCell="N35" sqref="N35"/>
      <selection pane="bottomRight" activeCell="N35" sqref="N35"/>
    </sheetView>
  </sheetViews>
  <sheetFormatPr defaultRowHeight="14.4" x14ac:dyDescent="0.3"/>
  <cols>
    <col min="1" max="1" width="33" bestFit="1" customWidth="1"/>
    <col min="2" max="2" width="18" style="106" hidden="1" customWidth="1"/>
    <col min="3" max="3" width="18.44140625" style="106" customWidth="1"/>
    <col min="4" max="4" width="1.5546875" customWidth="1"/>
    <col min="5" max="5" width="33.33203125" bestFit="1" customWidth="1"/>
    <col min="6" max="6" width="18" bestFit="1" customWidth="1"/>
    <col min="7" max="8" width="1.5546875" customWidth="1"/>
    <col min="9" max="9" width="36.5546875" customWidth="1"/>
    <col min="10" max="10" width="15.44140625" bestFit="1" customWidth="1"/>
    <col min="11" max="11" width="13.5546875" bestFit="1" customWidth="1"/>
    <col min="12" max="12" width="15.88671875" bestFit="1" customWidth="1"/>
    <col min="14" max="14" width="13.44140625" customWidth="1"/>
    <col min="15" max="15" width="11" bestFit="1" customWidth="1"/>
  </cols>
  <sheetData>
    <row r="1" spans="1:14" s="212" customFormat="1" ht="21" customHeight="1" x14ac:dyDescent="0.3">
      <c r="A1" s="215" t="s">
        <v>181</v>
      </c>
      <c r="B1" s="216" t="s">
        <v>190</v>
      </c>
      <c r="C1" s="213"/>
      <c r="D1" s="214"/>
      <c r="E1" s="213" t="s">
        <v>180</v>
      </c>
      <c r="F1" s="213"/>
      <c r="H1" s="214"/>
      <c r="I1" s="213" t="s">
        <v>179</v>
      </c>
    </row>
    <row r="2" spans="1:14" x14ac:dyDescent="0.3">
      <c r="A2" s="211" t="s">
        <v>178</v>
      </c>
      <c r="B2" s="106" t="s">
        <v>177</v>
      </c>
      <c r="C2" s="227"/>
      <c r="D2" s="151"/>
      <c r="E2" s="228"/>
      <c r="F2" s="229"/>
      <c r="H2" s="151"/>
      <c r="I2" s="230"/>
      <c r="J2" s="230"/>
    </row>
    <row r="3" spans="1:14" ht="18" x14ac:dyDescent="0.3">
      <c r="B3" s="210" t="s">
        <v>175</v>
      </c>
      <c r="C3" s="216" t="s">
        <v>190</v>
      </c>
      <c r="D3" s="151"/>
      <c r="F3" s="210" t="s">
        <v>189</v>
      </c>
      <c r="H3" s="151"/>
      <c r="J3" s="210" t="s">
        <v>174</v>
      </c>
    </row>
    <row r="4" spans="1:14" x14ac:dyDescent="0.3">
      <c r="A4" t="s">
        <v>173</v>
      </c>
      <c r="B4" s="169">
        <v>998930.94</v>
      </c>
      <c r="C4" s="169">
        <v>998930.94</v>
      </c>
      <c r="D4" s="151"/>
      <c r="E4" s="177" t="s">
        <v>172</v>
      </c>
      <c r="H4" s="151"/>
    </row>
    <row r="5" spans="1:14" x14ac:dyDescent="0.3">
      <c r="A5" t="s">
        <v>86</v>
      </c>
      <c r="B5" s="183">
        <v>711605.96</v>
      </c>
      <c r="C5" s="183">
        <v>711605.96</v>
      </c>
      <c r="D5" s="151"/>
      <c r="E5" t="s">
        <v>56</v>
      </c>
      <c r="F5" s="195">
        <v>661551.61</v>
      </c>
      <c r="H5" s="151"/>
      <c r="I5" s="174" t="s">
        <v>123</v>
      </c>
      <c r="J5" s="209">
        <f>F40</f>
        <v>0.17715760939907768</v>
      </c>
    </row>
    <row r="6" spans="1:14" x14ac:dyDescent="0.3">
      <c r="A6" t="s">
        <v>88</v>
      </c>
      <c r="B6" s="183">
        <v>160646.42000000001</v>
      </c>
      <c r="C6" s="169">
        <v>160646.42000000001</v>
      </c>
      <c r="D6" s="151"/>
      <c r="E6" t="s">
        <v>88</v>
      </c>
      <c r="F6" s="183">
        <v>160646.42000000001</v>
      </c>
      <c r="H6" s="151"/>
      <c r="J6" s="106"/>
      <c r="L6" s="207"/>
      <c r="N6" s="149"/>
    </row>
    <row r="7" spans="1:14" x14ac:dyDescent="0.3">
      <c r="A7" t="s">
        <v>171</v>
      </c>
      <c r="B7" s="183">
        <v>-23734</v>
      </c>
      <c r="C7" s="169">
        <v>-23734</v>
      </c>
      <c r="D7" s="151"/>
      <c r="E7" s="208" t="s">
        <v>170</v>
      </c>
      <c r="F7" s="183"/>
      <c r="H7" s="151"/>
      <c r="I7" s="205" t="s">
        <v>169</v>
      </c>
      <c r="J7" s="204">
        <f>F5</f>
        <v>661551.61</v>
      </c>
      <c r="L7" s="207"/>
      <c r="N7" s="149"/>
    </row>
    <row r="8" spans="1:14" x14ac:dyDescent="0.3">
      <c r="A8" t="s">
        <v>83</v>
      </c>
      <c r="B8" s="183">
        <v>0</v>
      </c>
      <c r="C8" s="170"/>
      <c r="D8" s="151"/>
      <c r="E8" t="s">
        <v>87</v>
      </c>
      <c r="F8" s="206">
        <v>48211</v>
      </c>
      <c r="H8" s="151"/>
      <c r="I8" s="205" t="s">
        <v>55</v>
      </c>
      <c r="J8" s="204">
        <f>F9</f>
        <v>870409.03</v>
      </c>
    </row>
    <row r="9" spans="1:14" x14ac:dyDescent="0.3">
      <c r="A9" t="s">
        <v>168</v>
      </c>
      <c r="B9" s="183">
        <v>14590.21</v>
      </c>
      <c r="C9" s="183">
        <v>14590.21</v>
      </c>
      <c r="D9" s="151"/>
      <c r="E9" s="1" t="s">
        <v>55</v>
      </c>
      <c r="F9" s="217">
        <f>SUM(F5:F8)</f>
        <v>870409.03</v>
      </c>
      <c r="H9" s="151"/>
      <c r="I9" s="203" t="s">
        <v>54</v>
      </c>
      <c r="J9" s="202">
        <f>J7/J8</f>
        <v>0.76004681385256301</v>
      </c>
    </row>
    <row r="10" spans="1:14" x14ac:dyDescent="0.3">
      <c r="A10" t="s">
        <v>167</v>
      </c>
      <c r="B10" s="183">
        <v>206066.67</v>
      </c>
      <c r="C10" s="183">
        <v>206066.67</v>
      </c>
      <c r="D10" s="151"/>
      <c r="F10" s="106"/>
      <c r="H10" s="151"/>
      <c r="I10" s="201"/>
      <c r="J10" s="182"/>
    </row>
    <row r="11" spans="1:14" ht="15" thickBot="1" x14ac:dyDescent="0.35">
      <c r="A11" t="s">
        <v>166</v>
      </c>
      <c r="B11" s="183">
        <v>0</v>
      </c>
      <c r="C11" s="183">
        <v>0</v>
      </c>
      <c r="D11" s="151"/>
      <c r="E11" s="21"/>
      <c r="F11" s="178"/>
      <c r="H11" s="151"/>
      <c r="J11" s="106"/>
    </row>
    <row r="12" spans="1:14" x14ac:dyDescent="0.3">
      <c r="A12" t="s">
        <v>165</v>
      </c>
      <c r="B12" s="183">
        <v>48211</v>
      </c>
      <c r="C12" s="183">
        <v>48211</v>
      </c>
      <c r="D12" s="151"/>
      <c r="F12" s="106"/>
      <c r="H12" s="151"/>
      <c r="I12" s="200"/>
    </row>
    <row r="13" spans="1:14" x14ac:dyDescent="0.3">
      <c r="A13" t="s">
        <v>164</v>
      </c>
      <c r="B13" s="183">
        <v>130763</v>
      </c>
      <c r="C13" s="183">
        <v>130763</v>
      </c>
      <c r="D13" s="151"/>
      <c r="E13" s="177" t="s">
        <v>163</v>
      </c>
      <c r="F13" s="106"/>
      <c r="H13" s="151"/>
      <c r="I13" s="200"/>
    </row>
    <row r="14" spans="1:14" x14ac:dyDescent="0.3">
      <c r="A14" s="1" t="s">
        <v>1</v>
      </c>
      <c r="B14" s="219">
        <v>2247080.1999999997</v>
      </c>
      <c r="C14" s="217">
        <v>2247080.1999999997</v>
      </c>
      <c r="D14" s="151"/>
      <c r="E14" s="177"/>
      <c r="F14" s="106"/>
      <c r="H14" s="151"/>
      <c r="I14" s="173" t="s">
        <v>52</v>
      </c>
      <c r="J14" s="198">
        <f>J5*J9</f>
        <v>0.13464807657350586</v>
      </c>
    </row>
    <row r="15" spans="1:14" x14ac:dyDescent="0.3">
      <c r="B15" s="169"/>
      <c r="C15" s="169"/>
      <c r="D15" s="151"/>
      <c r="E15" s="177" t="s">
        <v>162</v>
      </c>
      <c r="F15" s="106"/>
      <c r="H15" s="151"/>
      <c r="I15" s="173" t="s">
        <v>161</v>
      </c>
      <c r="J15" s="197">
        <f>J5-J14</f>
        <v>4.2509532825571822E-2</v>
      </c>
    </row>
    <row r="16" spans="1:14" x14ac:dyDescent="0.3">
      <c r="B16" s="152"/>
      <c r="C16" s="152"/>
      <c r="D16" s="151"/>
      <c r="E16" t="s">
        <v>86</v>
      </c>
      <c r="F16" s="170">
        <v>711605.96</v>
      </c>
      <c r="H16" s="151"/>
      <c r="I16" t="s">
        <v>123</v>
      </c>
      <c r="J16" s="234">
        <f>F40</f>
        <v>0.17715760939907768</v>
      </c>
      <c r="L16" s="149"/>
    </row>
    <row r="17" spans="1:12" x14ac:dyDescent="0.3">
      <c r="A17" s="177" t="s">
        <v>160</v>
      </c>
      <c r="B17" s="152"/>
      <c r="C17" s="152"/>
      <c r="D17" s="196"/>
      <c r="E17" t="s">
        <v>85</v>
      </c>
      <c r="F17" s="169">
        <v>313645.32999999996</v>
      </c>
      <c r="H17" s="196"/>
    </row>
    <row r="18" spans="1:12" ht="15" thickBot="1" x14ac:dyDescent="0.35">
      <c r="A18" s="194" t="s">
        <v>159</v>
      </c>
      <c r="B18" s="169">
        <v>23734</v>
      </c>
      <c r="C18" s="169">
        <v>23734</v>
      </c>
      <c r="D18" s="151"/>
      <c r="E18" t="s">
        <v>84</v>
      </c>
      <c r="F18" s="169">
        <v>130763</v>
      </c>
      <c r="H18" s="151"/>
      <c r="I18" s="21"/>
      <c r="J18" s="178"/>
    </row>
    <row r="19" spans="1:12" x14ac:dyDescent="0.3">
      <c r="A19" s="194" t="s">
        <v>158</v>
      </c>
      <c r="B19" s="195">
        <v>661551.61</v>
      </c>
      <c r="C19" s="169">
        <v>661551.61</v>
      </c>
      <c r="D19" s="151"/>
      <c r="E19" t="s">
        <v>83</v>
      </c>
      <c r="F19" s="170">
        <v>0</v>
      </c>
      <c r="H19" s="151"/>
      <c r="J19" s="106"/>
    </row>
    <row r="20" spans="1:12" x14ac:dyDescent="0.3">
      <c r="A20" s="194" t="s">
        <v>157</v>
      </c>
      <c r="B20" s="165">
        <v>0</v>
      </c>
      <c r="C20" s="165">
        <v>0</v>
      </c>
      <c r="D20" s="151"/>
      <c r="E20" t="s">
        <v>82</v>
      </c>
      <c r="F20" s="180">
        <v>-62856.63</v>
      </c>
      <c r="H20" s="151"/>
      <c r="I20" s="192" t="s">
        <v>156</v>
      </c>
    </row>
    <row r="21" spans="1:12" x14ac:dyDescent="0.3">
      <c r="A21" s="194" t="s">
        <v>155</v>
      </c>
      <c r="B21" s="193">
        <v>313645.32999999996</v>
      </c>
      <c r="C21" s="166">
        <v>313645.32999999996</v>
      </c>
      <c r="D21" s="151"/>
      <c r="E21" s="1" t="s">
        <v>81</v>
      </c>
      <c r="F21" s="179">
        <f>SUM(F16:F20)</f>
        <v>1093157.6600000001</v>
      </c>
      <c r="H21" s="151"/>
      <c r="I21" s="192"/>
    </row>
    <row r="22" spans="1:12" x14ac:dyDescent="0.3">
      <c r="A22" s="191" t="s">
        <v>154</v>
      </c>
      <c r="B22" s="190">
        <v>998930.94</v>
      </c>
      <c r="C22" s="190">
        <v>998930.94</v>
      </c>
      <c r="D22" s="151"/>
      <c r="F22" s="106"/>
      <c r="H22" s="151"/>
      <c r="I22" t="s">
        <v>153</v>
      </c>
      <c r="J22" s="189">
        <f>F28</f>
        <v>3820032.5379962679</v>
      </c>
    </row>
    <row r="23" spans="1:12" x14ac:dyDescent="0.3">
      <c r="A23" s="173" t="s">
        <v>152</v>
      </c>
      <c r="B23" s="169">
        <v>130763</v>
      </c>
      <c r="C23" s="169">
        <v>130763</v>
      </c>
      <c r="D23" s="151"/>
      <c r="E23" s="177" t="s">
        <v>151</v>
      </c>
      <c r="F23" s="106"/>
      <c r="H23" s="151"/>
      <c r="I23" s="173" t="s">
        <v>150</v>
      </c>
      <c r="J23" s="188">
        <v>0</v>
      </c>
    </row>
    <row r="24" spans="1:12" x14ac:dyDescent="0.3">
      <c r="B24" s="218">
        <v>1129693.94</v>
      </c>
      <c r="C24" s="218">
        <v>1129693.94</v>
      </c>
      <c r="D24" s="151"/>
      <c r="E24" t="s">
        <v>149</v>
      </c>
      <c r="F24" s="169">
        <v>4559637</v>
      </c>
      <c r="H24" s="151"/>
      <c r="I24" s="173" t="s">
        <v>148</v>
      </c>
      <c r="J24" s="187"/>
      <c r="L24" s="149"/>
    </row>
    <row r="25" spans="1:12" x14ac:dyDescent="0.3">
      <c r="D25" s="151"/>
      <c r="E25" s="181" t="s">
        <v>79</v>
      </c>
      <c r="F25" s="185">
        <v>-676747.83200373198</v>
      </c>
      <c r="H25" s="151"/>
      <c r="I25" s="172" t="s">
        <v>147</v>
      </c>
      <c r="J25" s="184"/>
    </row>
    <row r="26" spans="1:12" x14ac:dyDescent="0.3">
      <c r="A26" s="177" t="s">
        <v>146</v>
      </c>
      <c r="D26" s="151"/>
      <c r="E26" s="181" t="s">
        <v>78</v>
      </c>
      <c r="F26" s="165">
        <v>0</v>
      </c>
      <c r="H26" s="151"/>
      <c r="I26" t="s">
        <v>145</v>
      </c>
      <c r="J26" s="182">
        <v>0</v>
      </c>
    </row>
    <row r="27" spans="1:12" x14ac:dyDescent="0.3">
      <c r="A27" s="173" t="s">
        <v>144</v>
      </c>
      <c r="B27" s="169">
        <v>0</v>
      </c>
      <c r="C27" s="169">
        <v>0</v>
      </c>
      <c r="D27" s="151"/>
      <c r="E27" s="181" t="s">
        <v>77</v>
      </c>
      <c r="F27" s="180">
        <v>-62856.63</v>
      </c>
      <c r="H27" s="151"/>
      <c r="I27" s="1" t="s">
        <v>143</v>
      </c>
      <c r="J27" s="17">
        <f>J22+J24</f>
        <v>3820032.5379962679</v>
      </c>
    </row>
    <row r="28" spans="1:12" x14ac:dyDescent="0.3">
      <c r="A28" s="173" t="s">
        <v>142</v>
      </c>
      <c r="B28" s="169">
        <v>9930</v>
      </c>
      <c r="C28" s="169">
        <v>9930</v>
      </c>
      <c r="D28" s="151"/>
      <c r="E28" s="1" t="s">
        <v>141</v>
      </c>
      <c r="F28" s="179">
        <f>SUM(F24:F27)</f>
        <v>3820032.5379962679</v>
      </c>
      <c r="H28" s="151"/>
    </row>
    <row r="29" spans="1:12" x14ac:dyDescent="0.3">
      <c r="A29" s="173" t="s">
        <v>140</v>
      </c>
      <c r="B29" s="169">
        <v>0</v>
      </c>
      <c r="C29" s="169">
        <v>0</v>
      </c>
      <c r="D29" s="151"/>
      <c r="F29" s="106"/>
      <c r="H29" s="151"/>
      <c r="I29" t="s">
        <v>139</v>
      </c>
      <c r="J29" s="106">
        <f>F28*F34</f>
        <v>676747.83225811017</v>
      </c>
    </row>
    <row r="30" spans="1:12" x14ac:dyDescent="0.3">
      <c r="A30" s="173" t="s">
        <v>138</v>
      </c>
      <c r="B30" s="169">
        <v>14590.21</v>
      </c>
      <c r="C30" s="169">
        <v>14590.21</v>
      </c>
      <c r="D30" s="151"/>
      <c r="E30" s="1" t="s">
        <v>137</v>
      </c>
      <c r="F30" s="179">
        <f>F21+F28</f>
        <v>4913190.197996268</v>
      </c>
      <c r="H30" s="151"/>
    </row>
    <row r="31" spans="1:12" x14ac:dyDescent="0.3">
      <c r="A31" s="173" t="s">
        <v>136</v>
      </c>
      <c r="B31" s="169">
        <v>206066.67</v>
      </c>
      <c r="C31" s="169">
        <v>206066.67</v>
      </c>
      <c r="D31" s="151"/>
      <c r="F31" s="106"/>
      <c r="H31" s="151"/>
    </row>
    <row r="32" spans="1:12" ht="15" thickBot="1" x14ac:dyDescent="0.35">
      <c r="A32" s="173" t="s">
        <v>135</v>
      </c>
      <c r="B32" s="169">
        <v>0</v>
      </c>
      <c r="C32" s="169">
        <v>0</v>
      </c>
      <c r="D32" s="151"/>
      <c r="E32" s="21"/>
      <c r="F32" s="178"/>
      <c r="H32" s="151"/>
      <c r="I32" s="177" t="s">
        <v>134</v>
      </c>
    </row>
    <row r="33" spans="1:15" x14ac:dyDescent="0.3">
      <c r="A33" s="176" t="s">
        <v>133</v>
      </c>
      <c r="B33" s="217">
        <v>230586.88</v>
      </c>
      <c r="C33" s="217">
        <v>230586.88</v>
      </c>
      <c r="D33" s="151"/>
      <c r="F33" s="152" t="s">
        <v>132</v>
      </c>
      <c r="H33" s="151"/>
    </row>
    <row r="34" spans="1:15" x14ac:dyDescent="0.3">
      <c r="A34" s="173"/>
      <c r="D34" s="151"/>
      <c r="E34" s="174" t="s">
        <v>131</v>
      </c>
      <c r="F34" s="232">
        <f>F9/F30</f>
        <v>0.17715760939907768</v>
      </c>
      <c r="H34" s="151"/>
      <c r="I34" s="164" t="s">
        <v>130</v>
      </c>
      <c r="J34" s="231">
        <f>J29/J27</f>
        <v>0.17715760939907768</v>
      </c>
      <c r="K34" s="152"/>
      <c r="N34" s="148"/>
    </row>
    <row r="35" spans="1:15" x14ac:dyDescent="0.3">
      <c r="A35" s="173" t="s">
        <v>129</v>
      </c>
      <c r="B35" s="169">
        <v>2016493.3199999998</v>
      </c>
      <c r="C35" s="169">
        <v>2016493.3199999998</v>
      </c>
      <c r="D35" s="151"/>
      <c r="F35" s="106"/>
      <c r="H35" s="151"/>
      <c r="I35" s="168" t="s">
        <v>128</v>
      </c>
      <c r="J35" s="231">
        <f>J40/J27</f>
        <v>0.13464807657350586</v>
      </c>
      <c r="O35" s="3"/>
    </row>
    <row r="36" spans="1:15" x14ac:dyDescent="0.3">
      <c r="A36" s="172" t="s">
        <v>70</v>
      </c>
      <c r="B36" s="171">
        <v>0</v>
      </c>
      <c r="C36" s="167"/>
      <c r="D36" s="151"/>
      <c r="E36" t="s">
        <v>127</v>
      </c>
      <c r="F36" s="169">
        <f>F34*F28</f>
        <v>676747.83225811017</v>
      </c>
      <c r="H36" s="151"/>
      <c r="I36" s="168" t="s">
        <v>126</v>
      </c>
      <c r="J36" s="231">
        <f>J41/J27</f>
        <v>4.2509532825571822E-2</v>
      </c>
      <c r="L36" s="149"/>
    </row>
    <row r="37" spans="1:15" x14ac:dyDescent="0.3">
      <c r="D37" s="151"/>
      <c r="E37" t="s">
        <v>125</v>
      </c>
      <c r="F37" s="166">
        <v>0</v>
      </c>
      <c r="H37" s="151"/>
    </row>
    <row r="38" spans="1:15" x14ac:dyDescent="0.3">
      <c r="B38"/>
      <c r="C38"/>
      <c r="D38" s="151"/>
      <c r="E38" s="164" t="s">
        <v>124</v>
      </c>
      <c r="F38" s="163">
        <v>676747.83225811017</v>
      </c>
      <c r="H38" s="151"/>
      <c r="M38" s="148"/>
    </row>
    <row r="39" spans="1:15" x14ac:dyDescent="0.3">
      <c r="B39"/>
      <c r="C39"/>
      <c r="D39" s="151"/>
      <c r="H39" s="151"/>
      <c r="I39" s="162"/>
      <c r="J39" s="162"/>
    </row>
    <row r="40" spans="1:15" x14ac:dyDescent="0.3">
      <c r="D40" s="151"/>
      <c r="E40" s="82" t="s">
        <v>123</v>
      </c>
      <c r="F40" s="233">
        <f>F34</f>
        <v>0.17715760939907768</v>
      </c>
      <c r="H40" s="151"/>
      <c r="I40" s="161" t="s">
        <v>122</v>
      </c>
      <c r="J40" s="160">
        <f>F28*J14</f>
        <v>514360.03368940542</v>
      </c>
      <c r="K40" s="44"/>
      <c r="N40" s="148"/>
    </row>
    <row r="41" spans="1:15" x14ac:dyDescent="0.3">
      <c r="B41"/>
      <c r="C41"/>
      <c r="D41" s="151"/>
      <c r="H41" s="151"/>
      <c r="I41" s="161" t="s">
        <v>121</v>
      </c>
      <c r="J41" s="159">
        <f>F28*J15</f>
        <v>162387.79856870478</v>
      </c>
      <c r="K41" s="44"/>
    </row>
    <row r="42" spans="1:15" x14ac:dyDescent="0.3">
      <c r="B42"/>
      <c r="C42"/>
      <c r="D42" s="151"/>
      <c r="E42" s="158" t="s">
        <v>120</v>
      </c>
      <c r="F42" s="157">
        <v>0</v>
      </c>
      <c r="H42" s="151"/>
      <c r="I42" s="156" t="s">
        <v>119</v>
      </c>
      <c r="J42" s="155">
        <f>J40+J41</f>
        <v>676747.83225811017</v>
      </c>
    </row>
    <row r="43" spans="1:15" x14ac:dyDescent="0.3">
      <c r="B43"/>
      <c r="C43"/>
      <c r="D43" s="151"/>
      <c r="H43" s="151"/>
      <c r="I43" s="154"/>
      <c r="J43" s="153"/>
      <c r="K43" s="150"/>
    </row>
    <row r="44" spans="1:15" x14ac:dyDescent="0.3">
      <c r="B44"/>
      <c r="C44"/>
      <c r="D44" s="151"/>
      <c r="H44" s="151"/>
      <c r="L44" s="150"/>
    </row>
    <row r="45" spans="1:15" x14ac:dyDescent="0.3">
      <c r="B45"/>
      <c r="C45"/>
      <c r="F45" s="149"/>
      <c r="K45" s="3"/>
    </row>
    <row r="46" spans="1:15" x14ac:dyDescent="0.3">
      <c r="F46" s="106"/>
      <c r="L46" s="3"/>
    </row>
    <row r="47" spans="1:15" x14ac:dyDescent="0.3">
      <c r="F47" s="106"/>
    </row>
    <row r="48" spans="1:15" x14ac:dyDescent="0.3">
      <c r="F48" s="106"/>
    </row>
    <row r="49" spans="6:14" x14ac:dyDescent="0.3">
      <c r="F49" s="106"/>
    </row>
    <row r="50" spans="6:14" x14ac:dyDescent="0.3">
      <c r="F50" s="106"/>
      <c r="L50" s="148"/>
      <c r="N50" s="148"/>
    </row>
    <row r="51" spans="6:14" x14ac:dyDescent="0.3">
      <c r="F51" s="106"/>
    </row>
    <row r="52" spans="6:14" x14ac:dyDescent="0.3">
      <c r="F52" s="106"/>
    </row>
    <row r="53" spans="6:14" x14ac:dyDescent="0.3">
      <c r="F53" s="106"/>
    </row>
    <row r="54" spans="6:14" x14ac:dyDescent="0.3">
      <c r="F54" s="106"/>
    </row>
    <row r="55" spans="6:14" x14ac:dyDescent="0.3">
      <c r="F55" s="106"/>
    </row>
    <row r="56" spans="6:14" x14ac:dyDescent="0.3">
      <c r="F56" s="106"/>
    </row>
    <row r="57" spans="6:14" x14ac:dyDescent="0.3">
      <c r="F57" s="106"/>
    </row>
    <row r="58" spans="6:14" x14ac:dyDescent="0.3">
      <c r="F58" s="106"/>
    </row>
    <row r="59" spans="6:14" x14ac:dyDescent="0.3">
      <c r="F59" s="106"/>
    </row>
    <row r="60" spans="6:14" x14ac:dyDescent="0.3">
      <c r="F60" s="106"/>
    </row>
    <row r="61" spans="6:14" x14ac:dyDescent="0.3">
      <c r="F61" s="106"/>
    </row>
    <row r="62" spans="6:14" x14ac:dyDescent="0.3">
      <c r="F62" s="106"/>
      <c r="K62" s="147"/>
    </row>
    <row r="63" spans="6:14" x14ac:dyDescent="0.3">
      <c r="F63" s="106"/>
    </row>
    <row r="64" spans="6:14" x14ac:dyDescent="0.3">
      <c r="F64" s="106"/>
    </row>
    <row r="65" spans="6:11" x14ac:dyDescent="0.3">
      <c r="F65" s="106"/>
    </row>
    <row r="68" spans="6:11" x14ac:dyDescent="0.3">
      <c r="K68" s="147"/>
    </row>
  </sheetData>
  <conditionalFormatting sqref="F33">
    <cfRule type="containsText" dxfId="6" priority="3" operator="containsText" text="Check">
      <formula>NOT(ISERROR(SEARCH("Check",F33)))</formula>
    </cfRule>
  </conditionalFormatting>
  <pageMargins left="0.25" right="0.25" top="0.75" bottom="0.75" header="0.3" footer="0.3"/>
  <pageSetup paperSize="5" scale="41" orientation="landscape" r:id="rId1"/>
  <headerFooter>
    <oddFooter>&amp;L&amp;Z&amp;F\&amp;A&amp;R&amp;P/&amp;N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40ABF-B4CC-4EBB-91E3-4DBCAE06E560}">
  <sheetPr>
    <tabColor rgb="FFFFC000"/>
    <pageSetUpPr fitToPage="1"/>
  </sheetPr>
  <dimension ref="A1:U68"/>
  <sheetViews>
    <sheetView zoomScale="80" zoomScaleNormal="80" workbookViewId="0">
      <pane xSplit="1" ySplit="3" topLeftCell="B4" activePane="bottomRight" state="frozen"/>
      <selection activeCell="N35" sqref="N35"/>
      <selection pane="topRight" activeCell="N35" sqref="N35"/>
      <selection pane="bottomLeft" activeCell="N35" sqref="N35"/>
      <selection pane="bottomRight" activeCell="N35" sqref="N35"/>
    </sheetView>
  </sheetViews>
  <sheetFormatPr defaultRowHeight="14.4" x14ac:dyDescent="0.3"/>
  <cols>
    <col min="1" max="1" width="33" bestFit="1" customWidth="1"/>
    <col min="2" max="2" width="18" style="106" hidden="1" customWidth="1"/>
    <col min="3" max="3" width="18.44140625" style="106" customWidth="1"/>
    <col min="4" max="4" width="1.5546875" customWidth="1"/>
    <col min="5" max="5" width="33.33203125" bestFit="1" customWidth="1"/>
    <col min="6" max="6" width="18" bestFit="1" customWidth="1"/>
    <col min="7" max="8" width="1.5546875" customWidth="1"/>
    <col min="9" max="9" width="36.5546875" customWidth="1"/>
    <col min="10" max="10" width="15.44140625" bestFit="1" customWidth="1"/>
    <col min="11" max="11" width="13.5546875" bestFit="1" customWidth="1"/>
    <col min="12" max="12" width="15.88671875" bestFit="1" customWidth="1"/>
    <col min="14" max="14" width="13.44140625" customWidth="1"/>
    <col min="15" max="15" width="11" bestFit="1" customWidth="1"/>
  </cols>
  <sheetData>
    <row r="1" spans="1:14" s="212" customFormat="1" ht="21" customHeight="1" x14ac:dyDescent="0.3">
      <c r="A1" s="215" t="s">
        <v>181</v>
      </c>
      <c r="B1" s="216" t="s">
        <v>13</v>
      </c>
      <c r="C1" s="213"/>
      <c r="D1" s="214"/>
      <c r="E1" s="213" t="s">
        <v>180</v>
      </c>
      <c r="F1" s="213"/>
      <c r="H1" s="214"/>
      <c r="I1" s="213" t="s">
        <v>179</v>
      </c>
    </row>
    <row r="2" spans="1:14" x14ac:dyDescent="0.3">
      <c r="A2" s="211" t="s">
        <v>178</v>
      </c>
      <c r="B2" s="106" t="s">
        <v>177</v>
      </c>
      <c r="C2" s="227"/>
      <c r="D2" s="151"/>
      <c r="E2" s="228"/>
      <c r="F2" s="229"/>
      <c r="H2" s="151"/>
      <c r="I2" s="230"/>
      <c r="J2" s="230"/>
    </row>
    <row r="3" spans="1:14" ht="18" x14ac:dyDescent="0.3">
      <c r="B3" s="210" t="s">
        <v>175</v>
      </c>
      <c r="C3" s="216" t="s">
        <v>13</v>
      </c>
      <c r="D3" s="151"/>
      <c r="F3" s="210" t="s">
        <v>191</v>
      </c>
      <c r="H3" s="151"/>
      <c r="J3" s="210" t="s">
        <v>174</v>
      </c>
    </row>
    <row r="4" spans="1:14" x14ac:dyDescent="0.3">
      <c r="A4" t="s">
        <v>173</v>
      </c>
      <c r="B4" s="169">
        <v>975521.96</v>
      </c>
      <c r="C4" s="169">
        <v>975521.96</v>
      </c>
      <c r="D4" s="151"/>
      <c r="E4" s="177" t="s">
        <v>172</v>
      </c>
      <c r="H4" s="151"/>
    </row>
    <row r="5" spans="1:14" x14ac:dyDescent="0.3">
      <c r="A5" t="s">
        <v>86</v>
      </c>
      <c r="B5" s="183">
        <v>677783.19</v>
      </c>
      <c r="C5" s="183">
        <v>677783.19</v>
      </c>
      <c r="D5" s="151"/>
      <c r="E5" t="s">
        <v>56</v>
      </c>
      <c r="F5" s="195">
        <v>644373.63</v>
      </c>
      <c r="H5" s="151"/>
      <c r="I5" s="174" t="s">
        <v>123</v>
      </c>
      <c r="J5" s="209">
        <f>F40</f>
        <v>0.17671881579925913</v>
      </c>
    </row>
    <row r="6" spans="1:14" x14ac:dyDescent="0.3">
      <c r="A6" t="s">
        <v>88</v>
      </c>
      <c r="B6" s="183">
        <v>158804.9</v>
      </c>
      <c r="C6" s="169">
        <v>158804.9</v>
      </c>
      <c r="D6" s="151"/>
      <c r="E6" t="s">
        <v>88</v>
      </c>
      <c r="F6" s="183">
        <v>158804.9</v>
      </c>
      <c r="H6" s="151"/>
      <c r="J6" s="106"/>
      <c r="L6" s="207"/>
      <c r="N6" s="149"/>
    </row>
    <row r="7" spans="1:14" x14ac:dyDescent="0.3">
      <c r="A7" t="s">
        <v>171</v>
      </c>
      <c r="B7" s="183">
        <v>-23875</v>
      </c>
      <c r="C7" s="169">
        <v>-23875</v>
      </c>
      <c r="D7" s="151"/>
      <c r="E7" s="208" t="s">
        <v>170</v>
      </c>
      <c r="F7" s="183"/>
      <c r="H7" s="151"/>
      <c r="I7" s="205" t="s">
        <v>169</v>
      </c>
      <c r="J7" s="204">
        <f>F5</f>
        <v>644373.63</v>
      </c>
      <c r="L7" s="207"/>
      <c r="N7" s="149"/>
    </row>
    <row r="8" spans="1:14" x14ac:dyDescent="0.3">
      <c r="A8" t="s">
        <v>83</v>
      </c>
      <c r="B8" s="183">
        <v>0</v>
      </c>
      <c r="C8" s="170"/>
      <c r="D8" s="151"/>
      <c r="E8" t="s">
        <v>87</v>
      </c>
      <c r="F8" s="206">
        <v>45303</v>
      </c>
      <c r="H8" s="151"/>
      <c r="I8" s="205" t="s">
        <v>55</v>
      </c>
      <c r="J8" s="204">
        <f>F9</f>
        <v>848481.53</v>
      </c>
    </row>
    <row r="9" spans="1:14" x14ac:dyDescent="0.3">
      <c r="A9" t="s">
        <v>168</v>
      </c>
      <c r="B9" s="183">
        <v>9526.61</v>
      </c>
      <c r="C9" s="183">
        <v>9526.61</v>
      </c>
      <c r="D9" s="151"/>
      <c r="E9" s="1" t="s">
        <v>55</v>
      </c>
      <c r="F9" s="217">
        <f>SUM(F5:F8)</f>
        <v>848481.53</v>
      </c>
      <c r="H9" s="151"/>
      <c r="I9" s="203" t="s">
        <v>54</v>
      </c>
      <c r="J9" s="202">
        <f>J7/J8</f>
        <v>0.75944331987992708</v>
      </c>
    </row>
    <row r="10" spans="1:14" x14ac:dyDescent="0.3">
      <c r="A10" t="s">
        <v>167</v>
      </c>
      <c r="B10" s="183">
        <v>206066.67</v>
      </c>
      <c r="C10" s="183">
        <v>206066.67</v>
      </c>
      <c r="D10" s="151"/>
      <c r="F10" s="106"/>
      <c r="H10" s="151"/>
      <c r="I10" s="201"/>
      <c r="J10" s="182"/>
    </row>
    <row r="11" spans="1:14" ht="15" thickBot="1" x14ac:dyDescent="0.35">
      <c r="A11" t="s">
        <v>166</v>
      </c>
      <c r="B11" s="183">
        <v>0</v>
      </c>
      <c r="C11" s="183">
        <v>0</v>
      </c>
      <c r="D11" s="151"/>
      <c r="E11" s="21"/>
      <c r="F11" s="178"/>
      <c r="H11" s="151"/>
      <c r="J11" s="106"/>
    </row>
    <row r="12" spans="1:14" x14ac:dyDescent="0.3">
      <c r="A12" t="s">
        <v>165</v>
      </c>
      <c r="B12" s="183">
        <v>45303</v>
      </c>
      <c r="C12" s="183">
        <v>45303</v>
      </c>
      <c r="D12" s="151"/>
      <c r="F12" s="106"/>
      <c r="H12" s="151"/>
      <c r="I12" s="200"/>
    </row>
    <row r="13" spans="1:14" x14ac:dyDescent="0.3">
      <c r="A13" t="s">
        <v>164</v>
      </c>
      <c r="B13" s="183">
        <v>122876</v>
      </c>
      <c r="C13" s="183">
        <v>122876</v>
      </c>
      <c r="D13" s="151"/>
      <c r="E13" s="177" t="s">
        <v>163</v>
      </c>
      <c r="F13" s="106"/>
      <c r="H13" s="151"/>
      <c r="I13" s="200"/>
    </row>
    <row r="14" spans="1:14" x14ac:dyDescent="0.3">
      <c r="A14" s="1" t="s">
        <v>1</v>
      </c>
      <c r="B14" s="219">
        <v>2172007.33</v>
      </c>
      <c r="C14" s="217">
        <v>2172007.33</v>
      </c>
      <c r="D14" s="151"/>
      <c r="E14" s="177"/>
      <c r="F14" s="106"/>
      <c r="H14" s="151"/>
      <c r="I14" s="173" t="s">
        <v>52</v>
      </c>
      <c r="J14" s="198">
        <f>J5*J9</f>
        <v>0.13420792415583865</v>
      </c>
    </row>
    <row r="15" spans="1:14" x14ac:dyDescent="0.3">
      <c r="B15" s="169"/>
      <c r="C15" s="169"/>
      <c r="D15" s="151"/>
      <c r="E15" s="177" t="s">
        <v>162</v>
      </c>
      <c r="F15" s="106"/>
      <c r="H15" s="151"/>
      <c r="I15" s="173" t="s">
        <v>161</v>
      </c>
      <c r="J15" s="197">
        <f>J5-J14</f>
        <v>4.2510891643420479E-2</v>
      </c>
    </row>
    <row r="16" spans="1:14" x14ac:dyDescent="0.3">
      <c r="B16" s="152"/>
      <c r="C16" s="152"/>
      <c r="D16" s="151"/>
      <c r="E16" t="s">
        <v>86</v>
      </c>
      <c r="F16" s="170">
        <v>677783.19</v>
      </c>
      <c r="H16" s="151"/>
      <c r="I16" t="s">
        <v>123</v>
      </c>
      <c r="J16" s="234">
        <f>F40</f>
        <v>0.17671881579925913</v>
      </c>
      <c r="L16" s="149"/>
    </row>
    <row r="17" spans="1:12" x14ac:dyDescent="0.3">
      <c r="A17" s="177" t="s">
        <v>160</v>
      </c>
      <c r="B17" s="152"/>
      <c r="C17" s="152"/>
      <c r="D17" s="196"/>
      <c r="E17" t="s">
        <v>85</v>
      </c>
      <c r="F17" s="169">
        <v>307273.32999999996</v>
      </c>
      <c r="H17" s="196"/>
    </row>
    <row r="18" spans="1:12" ht="15" thickBot="1" x14ac:dyDescent="0.35">
      <c r="A18" s="194" t="s">
        <v>159</v>
      </c>
      <c r="B18" s="169">
        <v>23875</v>
      </c>
      <c r="C18" s="169">
        <v>23875</v>
      </c>
      <c r="D18" s="151"/>
      <c r="E18" t="s">
        <v>84</v>
      </c>
      <c r="F18" s="169">
        <v>122876</v>
      </c>
      <c r="H18" s="151"/>
      <c r="I18" s="21"/>
      <c r="J18" s="178"/>
    </row>
    <row r="19" spans="1:12" x14ac:dyDescent="0.3">
      <c r="A19" s="194" t="s">
        <v>158</v>
      </c>
      <c r="B19" s="195">
        <v>644373.63</v>
      </c>
      <c r="C19" s="169">
        <v>644373.63</v>
      </c>
      <c r="D19" s="151"/>
      <c r="E19" t="s">
        <v>83</v>
      </c>
      <c r="F19" s="170">
        <v>0</v>
      </c>
      <c r="H19" s="151"/>
      <c r="J19" s="106"/>
    </row>
    <row r="20" spans="1:12" x14ac:dyDescent="0.3">
      <c r="A20" s="194" t="s">
        <v>157</v>
      </c>
      <c r="B20" s="165">
        <v>0</v>
      </c>
      <c r="C20" s="165">
        <v>0</v>
      </c>
      <c r="D20" s="151"/>
      <c r="E20" t="s">
        <v>82</v>
      </c>
      <c r="F20" s="180">
        <v>-61700.73</v>
      </c>
      <c r="H20" s="151"/>
      <c r="I20" s="192" t="s">
        <v>156</v>
      </c>
    </row>
    <row r="21" spans="1:12" x14ac:dyDescent="0.3">
      <c r="A21" s="194" t="s">
        <v>155</v>
      </c>
      <c r="B21" s="193">
        <v>307273.32999999996</v>
      </c>
      <c r="C21" s="166">
        <v>307273.32999999996</v>
      </c>
      <c r="D21" s="151"/>
      <c r="E21" s="1" t="s">
        <v>81</v>
      </c>
      <c r="F21" s="179">
        <f>SUM(F16:F20)</f>
        <v>1046231.79</v>
      </c>
      <c r="H21" s="151"/>
      <c r="I21" s="192"/>
    </row>
    <row r="22" spans="1:12" x14ac:dyDescent="0.3">
      <c r="A22" s="191" t="s">
        <v>154</v>
      </c>
      <c r="B22" s="190">
        <v>975521.96</v>
      </c>
      <c r="C22" s="190">
        <v>975521.96</v>
      </c>
      <c r="D22" s="151"/>
      <c r="F22" s="106"/>
      <c r="H22" s="151"/>
      <c r="I22" t="s">
        <v>153</v>
      </c>
      <c r="J22" s="189">
        <f>F28</f>
        <v>3755076.583205821</v>
      </c>
    </row>
    <row r="23" spans="1:12" x14ac:dyDescent="0.3">
      <c r="A23" s="173" t="s">
        <v>152</v>
      </c>
      <c r="B23" s="169">
        <v>122876</v>
      </c>
      <c r="C23" s="169">
        <v>122876</v>
      </c>
      <c r="D23" s="151"/>
      <c r="E23" s="177" t="s">
        <v>151</v>
      </c>
      <c r="F23" s="106"/>
      <c r="H23" s="151"/>
      <c r="I23" s="173" t="s">
        <v>150</v>
      </c>
      <c r="J23" s="188">
        <v>0</v>
      </c>
    </row>
    <row r="24" spans="1:12" x14ac:dyDescent="0.3">
      <c r="B24" s="218">
        <v>1098397.96</v>
      </c>
      <c r="C24" s="218">
        <v>1098397.96</v>
      </c>
      <c r="D24" s="151"/>
      <c r="E24" t="s">
        <v>149</v>
      </c>
      <c r="F24" s="169">
        <v>4480370</v>
      </c>
      <c r="H24" s="151"/>
      <c r="I24" s="173" t="s">
        <v>148</v>
      </c>
      <c r="J24" s="187"/>
      <c r="L24" s="149"/>
    </row>
    <row r="25" spans="1:12" x14ac:dyDescent="0.3">
      <c r="D25" s="151"/>
      <c r="E25" s="181" t="s">
        <v>79</v>
      </c>
      <c r="F25" s="185">
        <v>-663592.68679417914</v>
      </c>
      <c r="H25" s="151"/>
      <c r="I25" s="172" t="s">
        <v>147</v>
      </c>
      <c r="J25" s="184"/>
    </row>
    <row r="26" spans="1:12" x14ac:dyDescent="0.3">
      <c r="A26" s="177" t="s">
        <v>146</v>
      </c>
      <c r="D26" s="151"/>
      <c r="E26" s="181" t="s">
        <v>78</v>
      </c>
      <c r="F26" s="165">
        <v>0</v>
      </c>
      <c r="H26" s="151"/>
      <c r="I26" t="s">
        <v>145</v>
      </c>
      <c r="J26" s="182">
        <v>0</v>
      </c>
    </row>
    <row r="27" spans="1:12" x14ac:dyDescent="0.3">
      <c r="A27" s="173" t="s">
        <v>144</v>
      </c>
      <c r="B27" s="169">
        <v>0</v>
      </c>
      <c r="C27" s="169">
        <v>0</v>
      </c>
      <c r="D27" s="151"/>
      <c r="E27" s="181" t="s">
        <v>77</v>
      </c>
      <c r="F27" s="180">
        <v>-61700.73</v>
      </c>
      <c r="H27" s="151"/>
      <c r="I27" s="1" t="s">
        <v>143</v>
      </c>
      <c r="J27" s="17">
        <f>J22+J24</f>
        <v>3755076.583205821</v>
      </c>
    </row>
    <row r="28" spans="1:12" x14ac:dyDescent="0.3">
      <c r="A28" s="173" t="s">
        <v>142</v>
      </c>
      <c r="B28" s="169">
        <v>9502</v>
      </c>
      <c r="C28" s="169">
        <v>9502</v>
      </c>
      <c r="D28" s="151"/>
      <c r="E28" s="1" t="s">
        <v>141</v>
      </c>
      <c r="F28" s="179">
        <f>SUM(F24:F27)</f>
        <v>3755076.583205821</v>
      </c>
      <c r="H28" s="151"/>
    </row>
    <row r="29" spans="1:12" x14ac:dyDescent="0.3">
      <c r="A29" s="173" t="s">
        <v>140</v>
      </c>
      <c r="B29" s="169">
        <v>0</v>
      </c>
      <c r="C29" s="169">
        <v>0</v>
      </c>
      <c r="D29" s="151"/>
      <c r="F29" s="106"/>
      <c r="H29" s="151"/>
      <c r="I29" t="s">
        <v>139</v>
      </c>
      <c r="J29" s="106">
        <f>F28*F34</f>
        <v>663592.68701966084</v>
      </c>
    </row>
    <row r="30" spans="1:12" x14ac:dyDescent="0.3">
      <c r="A30" s="173" t="s">
        <v>138</v>
      </c>
      <c r="B30" s="169">
        <v>9526.61</v>
      </c>
      <c r="C30" s="169">
        <v>9526.61</v>
      </c>
      <c r="D30" s="151"/>
      <c r="E30" s="1" t="s">
        <v>137</v>
      </c>
      <c r="F30" s="179">
        <f>F21+F28</f>
        <v>4801308.373205821</v>
      </c>
      <c r="H30" s="151"/>
    </row>
    <row r="31" spans="1:12" x14ac:dyDescent="0.3">
      <c r="A31" s="173" t="s">
        <v>136</v>
      </c>
      <c r="B31" s="169">
        <v>206066.67</v>
      </c>
      <c r="C31" s="169">
        <v>206066.67</v>
      </c>
      <c r="D31" s="151"/>
      <c r="F31" s="106"/>
      <c r="H31" s="151"/>
    </row>
    <row r="32" spans="1:12" ht="15" thickBot="1" x14ac:dyDescent="0.35">
      <c r="A32" s="173" t="s">
        <v>135</v>
      </c>
      <c r="B32" s="169">
        <v>0</v>
      </c>
      <c r="C32" s="169">
        <v>0</v>
      </c>
      <c r="D32" s="151"/>
      <c r="E32" s="21"/>
      <c r="F32" s="178"/>
      <c r="H32" s="151"/>
      <c r="I32" s="177" t="s">
        <v>134</v>
      </c>
    </row>
    <row r="33" spans="1:15" x14ac:dyDescent="0.3">
      <c r="A33" s="176" t="s">
        <v>133</v>
      </c>
      <c r="B33" s="217">
        <v>225095.28000000003</v>
      </c>
      <c r="C33" s="217">
        <v>225095.28000000003</v>
      </c>
      <c r="D33" s="151"/>
      <c r="F33" s="152" t="s">
        <v>132</v>
      </c>
      <c r="H33" s="151"/>
    </row>
    <row r="34" spans="1:15" x14ac:dyDescent="0.3">
      <c r="A34" s="173"/>
      <c r="D34" s="151"/>
      <c r="E34" s="174" t="s">
        <v>131</v>
      </c>
      <c r="F34" s="232">
        <f>F9/F30</f>
        <v>0.17671881579925913</v>
      </c>
      <c r="H34" s="151"/>
      <c r="I34" s="164" t="s">
        <v>130</v>
      </c>
      <c r="J34" s="231">
        <f>J29/J27</f>
        <v>0.17671881579925913</v>
      </c>
      <c r="K34" s="152"/>
      <c r="N34" s="148"/>
    </row>
    <row r="35" spans="1:15" x14ac:dyDescent="0.3">
      <c r="A35" s="173" t="s">
        <v>129</v>
      </c>
      <c r="B35" s="169">
        <v>1946912.05</v>
      </c>
      <c r="C35" s="169">
        <v>1946912.05</v>
      </c>
      <c r="D35" s="151"/>
      <c r="F35" s="106"/>
      <c r="H35" s="151"/>
      <c r="I35" s="168" t="s">
        <v>128</v>
      </c>
      <c r="J35" s="231">
        <f>J40/J27</f>
        <v>0.13420792415583865</v>
      </c>
      <c r="O35" s="3"/>
    </row>
    <row r="36" spans="1:15" x14ac:dyDescent="0.3">
      <c r="A36" s="172" t="s">
        <v>70</v>
      </c>
      <c r="B36" s="171">
        <v>0</v>
      </c>
      <c r="C36" s="167"/>
      <c r="D36" s="151"/>
      <c r="E36" t="s">
        <v>127</v>
      </c>
      <c r="F36" s="169">
        <f>F34*F28</f>
        <v>663592.68701966084</v>
      </c>
      <c r="H36" s="151"/>
      <c r="I36" s="168" t="s">
        <v>126</v>
      </c>
      <c r="J36" s="231">
        <f>J41/J27</f>
        <v>4.2510891643420479E-2</v>
      </c>
      <c r="L36" s="149"/>
    </row>
    <row r="37" spans="1:15" x14ac:dyDescent="0.3">
      <c r="D37" s="151"/>
      <c r="E37" t="s">
        <v>125</v>
      </c>
      <c r="F37" s="166">
        <v>0</v>
      </c>
      <c r="H37" s="151"/>
    </row>
    <row r="38" spans="1:15" x14ac:dyDescent="0.3">
      <c r="B38"/>
      <c r="C38"/>
      <c r="D38" s="151"/>
      <c r="E38" s="164" t="s">
        <v>124</v>
      </c>
      <c r="F38" s="163">
        <v>663592.68701966084</v>
      </c>
      <c r="H38" s="151"/>
      <c r="M38" s="148"/>
    </row>
    <row r="39" spans="1:15" x14ac:dyDescent="0.3">
      <c r="B39"/>
      <c r="C39"/>
      <c r="D39" s="151"/>
      <c r="H39" s="151"/>
      <c r="I39" s="162"/>
      <c r="J39" s="162"/>
    </row>
    <row r="40" spans="1:15" x14ac:dyDescent="0.3">
      <c r="D40" s="151"/>
      <c r="E40" s="82" t="s">
        <v>123</v>
      </c>
      <c r="F40" s="233">
        <f>F34</f>
        <v>0.17671881579925913</v>
      </c>
      <c r="H40" s="151"/>
      <c r="I40" s="161" t="s">
        <v>122</v>
      </c>
      <c r="J40" s="160">
        <f>F28*J14</f>
        <v>503961.03327825258</v>
      </c>
      <c r="K40" s="44"/>
      <c r="N40" s="148"/>
    </row>
    <row r="41" spans="1:15" x14ac:dyDescent="0.3">
      <c r="B41"/>
      <c r="C41"/>
      <c r="D41" s="151"/>
      <c r="H41" s="151"/>
      <c r="I41" s="161" t="s">
        <v>121</v>
      </c>
      <c r="J41" s="159">
        <f>F28*J15</f>
        <v>159631.65374140826</v>
      </c>
      <c r="K41" s="44"/>
    </row>
    <row r="42" spans="1:15" x14ac:dyDescent="0.3">
      <c r="B42"/>
      <c r="C42"/>
      <c r="D42" s="151"/>
      <c r="E42" s="158" t="s">
        <v>120</v>
      </c>
      <c r="F42" s="157">
        <v>0</v>
      </c>
      <c r="H42" s="151"/>
      <c r="I42" s="156" t="s">
        <v>119</v>
      </c>
      <c r="J42" s="155">
        <f>J40+J41</f>
        <v>663592.68701966084</v>
      </c>
    </row>
    <row r="43" spans="1:15" x14ac:dyDescent="0.3">
      <c r="B43"/>
      <c r="C43"/>
      <c r="D43" s="151"/>
      <c r="H43" s="151"/>
      <c r="I43" s="154"/>
      <c r="J43" s="153"/>
      <c r="K43" s="150"/>
    </row>
    <row r="44" spans="1:15" x14ac:dyDescent="0.3">
      <c r="B44"/>
      <c r="C44"/>
      <c r="D44" s="151"/>
      <c r="H44" s="151"/>
      <c r="L44" s="150"/>
    </row>
    <row r="45" spans="1:15" x14ac:dyDescent="0.3">
      <c r="B45"/>
      <c r="C45"/>
      <c r="F45" s="149"/>
      <c r="K45" s="3"/>
    </row>
    <row r="46" spans="1:15" x14ac:dyDescent="0.3">
      <c r="F46" s="106"/>
      <c r="L46" s="3"/>
    </row>
    <row r="47" spans="1:15" x14ac:dyDescent="0.3">
      <c r="F47" s="106"/>
    </row>
    <row r="48" spans="1:15" x14ac:dyDescent="0.3">
      <c r="F48" s="106"/>
    </row>
    <row r="49" spans="6:14" x14ac:dyDescent="0.3">
      <c r="F49" s="106"/>
    </row>
    <row r="50" spans="6:14" x14ac:dyDescent="0.3">
      <c r="F50" s="106"/>
      <c r="L50" s="148"/>
      <c r="N50" s="148"/>
    </row>
    <row r="51" spans="6:14" x14ac:dyDescent="0.3">
      <c r="F51" s="106"/>
    </row>
    <row r="52" spans="6:14" x14ac:dyDescent="0.3">
      <c r="F52" s="106"/>
    </row>
    <row r="53" spans="6:14" x14ac:dyDescent="0.3">
      <c r="F53" s="106"/>
    </row>
    <row r="54" spans="6:14" x14ac:dyDescent="0.3">
      <c r="F54" s="106"/>
    </row>
    <row r="55" spans="6:14" x14ac:dyDescent="0.3">
      <c r="F55" s="106"/>
    </row>
    <row r="56" spans="6:14" x14ac:dyDescent="0.3">
      <c r="F56" s="106"/>
    </row>
    <row r="57" spans="6:14" x14ac:dyDescent="0.3">
      <c r="F57" s="106"/>
    </row>
    <row r="58" spans="6:14" x14ac:dyDescent="0.3">
      <c r="F58" s="106"/>
    </row>
    <row r="59" spans="6:14" x14ac:dyDescent="0.3">
      <c r="F59" s="106"/>
    </row>
    <row r="60" spans="6:14" x14ac:dyDescent="0.3">
      <c r="F60" s="106"/>
    </row>
    <row r="61" spans="6:14" x14ac:dyDescent="0.3">
      <c r="F61" s="106"/>
    </row>
    <row r="62" spans="6:14" x14ac:dyDescent="0.3">
      <c r="F62" s="106"/>
      <c r="K62" s="147"/>
    </row>
    <row r="63" spans="6:14" x14ac:dyDescent="0.3">
      <c r="F63" s="106"/>
    </row>
    <row r="64" spans="6:14" x14ac:dyDescent="0.3">
      <c r="F64" s="106"/>
    </row>
    <row r="65" spans="6:11" x14ac:dyDescent="0.3">
      <c r="F65" s="106"/>
    </row>
    <row r="68" spans="6:11" x14ac:dyDescent="0.3">
      <c r="K68" s="147"/>
    </row>
  </sheetData>
  <conditionalFormatting sqref="F33">
    <cfRule type="containsText" dxfId="5" priority="3" operator="containsText" text="Check">
      <formula>NOT(ISERROR(SEARCH("Check",F33)))</formula>
    </cfRule>
  </conditionalFormatting>
  <pageMargins left="0.25" right="0.25" top="0.75" bottom="0.75" header="0.3" footer="0.3"/>
  <pageSetup paperSize="5" scale="41" orientation="landscape" r:id="rId1"/>
  <headerFooter>
    <oddFooter>&amp;L&amp;Z&amp;F\&amp;A&amp;R&amp;P/&amp;N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98B1-5864-45EA-BA50-DB5B616D6B00}">
  <sheetPr>
    <tabColor rgb="FFFFC000"/>
    <pageSetUpPr fitToPage="1"/>
  </sheetPr>
  <dimension ref="A1:U68"/>
  <sheetViews>
    <sheetView zoomScale="80" zoomScaleNormal="80" workbookViewId="0">
      <pane xSplit="1" ySplit="3" topLeftCell="B4" activePane="bottomRight" state="frozen"/>
      <selection activeCell="N35" sqref="N35"/>
      <selection pane="topRight" activeCell="N35" sqref="N35"/>
      <selection pane="bottomLeft" activeCell="N35" sqref="N35"/>
      <selection pane="bottomRight" activeCell="N35" sqref="N35"/>
    </sheetView>
  </sheetViews>
  <sheetFormatPr defaultRowHeight="14.4" x14ac:dyDescent="0.3"/>
  <cols>
    <col min="1" max="1" width="33" bestFit="1" customWidth="1"/>
    <col min="2" max="2" width="18" style="106" hidden="1" customWidth="1"/>
    <col min="3" max="3" width="18.44140625" style="106" customWidth="1"/>
    <col min="4" max="4" width="1.5546875" customWidth="1"/>
    <col min="5" max="5" width="33.33203125" bestFit="1" customWidth="1"/>
    <col min="6" max="6" width="18" bestFit="1" customWidth="1"/>
    <col min="7" max="8" width="1.5546875" customWidth="1"/>
    <col min="9" max="9" width="36.5546875" customWidth="1"/>
    <col min="10" max="10" width="15.44140625" bestFit="1" customWidth="1"/>
    <col min="11" max="11" width="13.5546875" bestFit="1" customWidth="1"/>
    <col min="12" max="12" width="15.88671875" bestFit="1" customWidth="1"/>
    <col min="14" max="14" width="13.44140625" customWidth="1"/>
    <col min="15" max="15" width="11" bestFit="1" customWidth="1"/>
  </cols>
  <sheetData>
    <row r="1" spans="1:14" s="212" customFormat="1" ht="21" customHeight="1" x14ac:dyDescent="0.3">
      <c r="A1" s="215" t="s">
        <v>181</v>
      </c>
      <c r="B1" s="216" t="s">
        <v>12</v>
      </c>
      <c r="C1" s="213"/>
      <c r="D1" s="214"/>
      <c r="E1" s="213" t="s">
        <v>180</v>
      </c>
      <c r="F1" s="213"/>
      <c r="H1" s="214"/>
      <c r="I1" s="213" t="s">
        <v>179</v>
      </c>
    </row>
    <row r="2" spans="1:14" x14ac:dyDescent="0.3">
      <c r="A2" s="211" t="s">
        <v>178</v>
      </c>
      <c r="B2" s="106" t="s">
        <v>177</v>
      </c>
      <c r="C2" s="227"/>
      <c r="D2" s="151"/>
      <c r="E2" s="228"/>
      <c r="F2" s="229"/>
      <c r="H2" s="151"/>
      <c r="I2" s="230"/>
      <c r="J2" s="230"/>
    </row>
    <row r="3" spans="1:14" ht="18" x14ac:dyDescent="0.3">
      <c r="B3" s="210" t="s">
        <v>175</v>
      </c>
      <c r="C3" s="216" t="s">
        <v>12</v>
      </c>
      <c r="D3" s="151"/>
      <c r="F3" s="210" t="s">
        <v>192</v>
      </c>
      <c r="H3" s="151"/>
      <c r="J3" s="210" t="s">
        <v>174</v>
      </c>
    </row>
    <row r="4" spans="1:14" x14ac:dyDescent="0.3">
      <c r="A4" t="s">
        <v>173</v>
      </c>
      <c r="B4" s="169">
        <v>1033905.9299999999</v>
      </c>
      <c r="C4" s="169">
        <v>1033905.9299999999</v>
      </c>
      <c r="D4" s="151"/>
      <c r="E4" s="177" t="s">
        <v>172</v>
      </c>
      <c r="H4" s="151"/>
    </row>
    <row r="5" spans="1:14" x14ac:dyDescent="0.3">
      <c r="A5" t="s">
        <v>86</v>
      </c>
      <c r="B5" s="183">
        <v>703763.89</v>
      </c>
      <c r="C5" s="183">
        <v>703763.89</v>
      </c>
      <c r="D5" s="151"/>
      <c r="E5" t="s">
        <v>56</v>
      </c>
      <c r="F5" s="195">
        <v>686687.6</v>
      </c>
      <c r="H5" s="151"/>
      <c r="I5" s="174" t="s">
        <v>123</v>
      </c>
      <c r="J5" s="209">
        <f>F40</f>
        <v>0.18626063171723917</v>
      </c>
    </row>
    <row r="6" spans="1:14" x14ac:dyDescent="0.3">
      <c r="A6" t="s">
        <v>88</v>
      </c>
      <c r="B6" s="183">
        <v>156852.04999999999</v>
      </c>
      <c r="C6" s="169">
        <v>156852.04999999999</v>
      </c>
      <c r="D6" s="151"/>
      <c r="E6" t="s">
        <v>88</v>
      </c>
      <c r="F6" s="183">
        <v>156852.04999999999</v>
      </c>
      <c r="H6" s="151"/>
      <c r="J6" s="106"/>
      <c r="L6" s="207"/>
      <c r="N6" s="149"/>
    </row>
    <row r="7" spans="1:14" x14ac:dyDescent="0.3">
      <c r="A7" t="s">
        <v>171</v>
      </c>
      <c r="B7" s="183">
        <v>-24088</v>
      </c>
      <c r="C7" s="169">
        <v>-24088</v>
      </c>
      <c r="D7" s="151"/>
      <c r="E7" s="208" t="s">
        <v>170</v>
      </c>
      <c r="F7" s="183"/>
      <c r="H7" s="151"/>
      <c r="I7" s="205" t="s">
        <v>169</v>
      </c>
      <c r="J7" s="204">
        <f>F5</f>
        <v>686687.6</v>
      </c>
      <c r="L7" s="207"/>
      <c r="N7" s="149"/>
    </row>
    <row r="8" spans="1:14" x14ac:dyDescent="0.3">
      <c r="A8" t="s">
        <v>83</v>
      </c>
      <c r="B8" s="183">
        <v>0</v>
      </c>
      <c r="C8" s="170"/>
      <c r="D8" s="151"/>
      <c r="E8" t="s">
        <v>87</v>
      </c>
      <c r="F8" s="206">
        <v>45643</v>
      </c>
      <c r="H8" s="151"/>
      <c r="I8" s="205" t="s">
        <v>55</v>
      </c>
      <c r="J8" s="204">
        <f>F9</f>
        <v>889182.64999999991</v>
      </c>
    </row>
    <row r="9" spans="1:14" x14ac:dyDescent="0.3">
      <c r="A9" t="s">
        <v>168</v>
      </c>
      <c r="B9" s="183">
        <v>6204.5599999999995</v>
      </c>
      <c r="C9" s="183">
        <v>6204.5599999999995</v>
      </c>
      <c r="D9" s="151"/>
      <c r="E9" s="1" t="s">
        <v>55</v>
      </c>
      <c r="F9" s="217">
        <f>SUM(F5:F8)</f>
        <v>889182.64999999991</v>
      </c>
      <c r="H9" s="151"/>
      <c r="I9" s="203" t="s">
        <v>54</v>
      </c>
      <c r="J9" s="202">
        <f>J7/J8</f>
        <v>0.7722683297970333</v>
      </c>
    </row>
    <row r="10" spans="1:14" x14ac:dyDescent="0.3">
      <c r="A10" t="s">
        <v>167</v>
      </c>
      <c r="B10" s="183">
        <v>206066.67</v>
      </c>
      <c r="C10" s="183">
        <v>206066.67</v>
      </c>
      <c r="D10" s="151"/>
      <c r="F10" s="106"/>
      <c r="H10" s="151"/>
      <c r="I10" s="201"/>
      <c r="J10" s="182"/>
    </row>
    <row r="11" spans="1:14" ht="15" thickBot="1" x14ac:dyDescent="0.35">
      <c r="A11" t="s">
        <v>166</v>
      </c>
      <c r="B11" s="183">
        <v>0</v>
      </c>
      <c r="C11" s="183">
        <v>0</v>
      </c>
      <c r="D11" s="151"/>
      <c r="E11" s="21"/>
      <c r="F11" s="178"/>
      <c r="H11" s="151"/>
      <c r="J11" s="106"/>
    </row>
    <row r="12" spans="1:14" x14ac:dyDescent="0.3">
      <c r="A12" t="s">
        <v>165</v>
      </c>
      <c r="B12" s="183">
        <v>45643</v>
      </c>
      <c r="C12" s="183">
        <v>45643</v>
      </c>
      <c r="D12" s="151"/>
      <c r="F12" s="106"/>
      <c r="H12" s="151"/>
      <c r="I12" s="200"/>
    </row>
    <row r="13" spans="1:14" x14ac:dyDescent="0.3">
      <c r="A13" t="s">
        <v>164</v>
      </c>
      <c r="B13" s="183">
        <v>123798</v>
      </c>
      <c r="C13" s="183">
        <v>123798</v>
      </c>
      <c r="D13" s="151"/>
      <c r="E13" s="177" t="s">
        <v>163</v>
      </c>
      <c r="F13" s="106"/>
      <c r="H13" s="151"/>
      <c r="I13" s="200"/>
    </row>
    <row r="14" spans="1:14" x14ac:dyDescent="0.3">
      <c r="A14" s="1" t="s">
        <v>1</v>
      </c>
      <c r="B14" s="219">
        <v>2252146.0999999996</v>
      </c>
      <c r="C14" s="217">
        <v>2252146.0999999996</v>
      </c>
      <c r="D14" s="151"/>
      <c r="E14" s="177"/>
      <c r="F14" s="106"/>
      <c r="H14" s="151"/>
      <c r="I14" s="173" t="s">
        <v>52</v>
      </c>
      <c r="J14" s="198">
        <f>J5*J9</f>
        <v>0.1438431869632126</v>
      </c>
    </row>
    <row r="15" spans="1:14" x14ac:dyDescent="0.3">
      <c r="B15" s="169"/>
      <c r="C15" s="169"/>
      <c r="D15" s="151"/>
      <c r="E15" s="177" t="s">
        <v>162</v>
      </c>
      <c r="F15" s="106"/>
      <c r="H15" s="151"/>
      <c r="I15" s="173" t="s">
        <v>161</v>
      </c>
      <c r="J15" s="197">
        <f>J5-J14</f>
        <v>4.2417444754026562E-2</v>
      </c>
    </row>
    <row r="16" spans="1:14" x14ac:dyDescent="0.3">
      <c r="B16" s="152"/>
      <c r="C16" s="152"/>
      <c r="D16" s="151"/>
      <c r="E16" t="s">
        <v>86</v>
      </c>
      <c r="F16" s="170">
        <v>703763.89</v>
      </c>
      <c r="H16" s="151"/>
      <c r="I16" t="s">
        <v>123</v>
      </c>
      <c r="J16" s="234">
        <f>F40</f>
        <v>0.18626063171723917</v>
      </c>
      <c r="L16" s="149"/>
    </row>
    <row r="17" spans="1:12" x14ac:dyDescent="0.3">
      <c r="A17" s="177" t="s">
        <v>160</v>
      </c>
      <c r="B17" s="152"/>
      <c r="C17" s="152"/>
      <c r="D17" s="196"/>
      <c r="E17" t="s">
        <v>85</v>
      </c>
      <c r="F17" s="169">
        <v>323130.32999999996</v>
      </c>
      <c r="H17" s="196"/>
    </row>
    <row r="18" spans="1:12" ht="15" thickBot="1" x14ac:dyDescent="0.35">
      <c r="A18" s="194" t="s">
        <v>159</v>
      </c>
      <c r="B18" s="169">
        <v>24088</v>
      </c>
      <c r="C18" s="169">
        <v>24088</v>
      </c>
      <c r="D18" s="151"/>
      <c r="E18" t="s">
        <v>84</v>
      </c>
      <c r="F18" s="169">
        <v>123798</v>
      </c>
      <c r="H18" s="151"/>
      <c r="I18" s="21"/>
      <c r="J18" s="178"/>
    </row>
    <row r="19" spans="1:12" x14ac:dyDescent="0.3">
      <c r="A19" s="194" t="s">
        <v>158</v>
      </c>
      <c r="B19" s="195">
        <v>686687.6</v>
      </c>
      <c r="C19" s="169">
        <v>686687.6</v>
      </c>
      <c r="D19" s="151"/>
      <c r="E19" t="s">
        <v>83</v>
      </c>
      <c r="F19" s="170">
        <v>0</v>
      </c>
      <c r="H19" s="151"/>
      <c r="J19" s="106"/>
    </row>
    <row r="20" spans="1:12" x14ac:dyDescent="0.3">
      <c r="A20" s="194" t="s">
        <v>157</v>
      </c>
      <c r="B20" s="165">
        <v>0</v>
      </c>
      <c r="C20" s="165">
        <v>0</v>
      </c>
      <c r="D20" s="151"/>
      <c r="E20" t="s">
        <v>82</v>
      </c>
      <c r="F20" s="180">
        <v>-65017.73</v>
      </c>
      <c r="H20" s="151"/>
      <c r="I20" s="192" t="s">
        <v>156</v>
      </c>
    </row>
    <row r="21" spans="1:12" x14ac:dyDescent="0.3">
      <c r="A21" s="194" t="s">
        <v>155</v>
      </c>
      <c r="B21" s="193">
        <v>323130.32999999996</v>
      </c>
      <c r="C21" s="166">
        <v>323130.32999999996</v>
      </c>
      <c r="D21" s="151"/>
      <c r="E21" s="1" t="s">
        <v>81</v>
      </c>
      <c r="F21" s="179">
        <f>SUM(F16:F20)</f>
        <v>1085674.49</v>
      </c>
      <c r="H21" s="151"/>
      <c r="I21" s="192"/>
    </row>
    <row r="22" spans="1:12" x14ac:dyDescent="0.3">
      <c r="A22" s="191" t="s">
        <v>154</v>
      </c>
      <c r="B22" s="190">
        <v>1033905.9299999999</v>
      </c>
      <c r="C22" s="190">
        <v>1033905.9299999999</v>
      </c>
      <c r="D22" s="151"/>
      <c r="F22" s="106"/>
      <c r="H22" s="151"/>
      <c r="I22" t="s">
        <v>153</v>
      </c>
      <c r="J22" s="189">
        <f>F28</f>
        <v>3688188.0369448313</v>
      </c>
    </row>
    <row r="23" spans="1:12" x14ac:dyDescent="0.3">
      <c r="A23" s="173" t="s">
        <v>152</v>
      </c>
      <c r="B23" s="169">
        <v>123798</v>
      </c>
      <c r="C23" s="169">
        <v>123798</v>
      </c>
      <c r="D23" s="151"/>
      <c r="E23" s="177" t="s">
        <v>151</v>
      </c>
      <c r="F23" s="106"/>
      <c r="H23" s="151"/>
      <c r="I23" s="173" t="s">
        <v>150</v>
      </c>
      <c r="J23" s="188">
        <v>0</v>
      </c>
    </row>
    <row r="24" spans="1:12" x14ac:dyDescent="0.3">
      <c r="B24" s="218">
        <v>1157703.93</v>
      </c>
      <c r="C24" s="218">
        <v>1157703.93</v>
      </c>
      <c r="D24" s="151"/>
      <c r="E24" t="s">
        <v>149</v>
      </c>
      <c r="F24" s="169">
        <v>4440170</v>
      </c>
      <c r="H24" s="151"/>
      <c r="I24" s="173" t="s">
        <v>148</v>
      </c>
      <c r="J24" s="187"/>
      <c r="L24" s="149"/>
    </row>
    <row r="25" spans="1:12" x14ac:dyDescent="0.3">
      <c r="D25" s="151"/>
      <c r="E25" s="181" t="s">
        <v>79</v>
      </c>
      <c r="F25" s="185">
        <v>-686964.23305516853</v>
      </c>
      <c r="H25" s="151"/>
      <c r="I25" s="172" t="s">
        <v>147</v>
      </c>
      <c r="J25" s="184"/>
    </row>
    <row r="26" spans="1:12" x14ac:dyDescent="0.3">
      <c r="A26" s="177" t="s">
        <v>146</v>
      </c>
      <c r="D26" s="151"/>
      <c r="E26" s="181" t="s">
        <v>78</v>
      </c>
      <c r="F26" s="165">
        <v>0</v>
      </c>
      <c r="H26" s="151"/>
      <c r="I26" t="s">
        <v>145</v>
      </c>
      <c r="J26" s="182">
        <v>0</v>
      </c>
    </row>
    <row r="27" spans="1:12" x14ac:dyDescent="0.3">
      <c r="A27" s="173" t="s">
        <v>144</v>
      </c>
      <c r="B27" s="169">
        <v>0</v>
      </c>
      <c r="C27" s="169">
        <v>0</v>
      </c>
      <c r="D27" s="151"/>
      <c r="E27" s="181" t="s">
        <v>77</v>
      </c>
      <c r="F27" s="180">
        <v>-65017.73</v>
      </c>
      <c r="H27" s="151"/>
      <c r="I27" s="1" t="s">
        <v>143</v>
      </c>
      <c r="J27" s="17">
        <f>J22+J24</f>
        <v>3688188.0369448313</v>
      </c>
    </row>
    <row r="28" spans="1:12" x14ac:dyDescent="0.3">
      <c r="A28" s="173" t="s">
        <v>142</v>
      </c>
      <c r="B28" s="169">
        <v>10375</v>
      </c>
      <c r="C28" s="169">
        <v>10375</v>
      </c>
      <c r="D28" s="151"/>
      <c r="E28" s="1" t="s">
        <v>141</v>
      </c>
      <c r="F28" s="179">
        <f>SUM(F24:F27)</f>
        <v>3688188.0369448313</v>
      </c>
      <c r="H28" s="151"/>
    </row>
    <row r="29" spans="1:12" x14ac:dyDescent="0.3">
      <c r="A29" s="173" t="s">
        <v>140</v>
      </c>
      <c r="B29" s="169">
        <v>0</v>
      </c>
      <c r="C29" s="169">
        <v>0</v>
      </c>
      <c r="D29" s="151"/>
      <c r="F29" s="106"/>
      <c r="H29" s="151"/>
      <c r="I29" t="s">
        <v>139</v>
      </c>
      <c r="J29" s="106">
        <f>F28*F34</f>
        <v>686964.23365330847</v>
      </c>
    </row>
    <row r="30" spans="1:12" x14ac:dyDescent="0.3">
      <c r="A30" s="173" t="s">
        <v>138</v>
      </c>
      <c r="B30" s="169">
        <v>6204.5599999999995</v>
      </c>
      <c r="C30" s="169">
        <v>6204.5599999999995</v>
      </c>
      <c r="D30" s="151"/>
      <c r="E30" s="1" t="s">
        <v>137</v>
      </c>
      <c r="F30" s="179">
        <f>F21+F28</f>
        <v>4773862.526944831</v>
      </c>
      <c r="H30" s="151"/>
    </row>
    <row r="31" spans="1:12" x14ac:dyDescent="0.3">
      <c r="A31" s="173" t="s">
        <v>136</v>
      </c>
      <c r="B31" s="169">
        <v>206066.67</v>
      </c>
      <c r="C31" s="169">
        <v>206066.67</v>
      </c>
      <c r="D31" s="151"/>
      <c r="F31" s="106"/>
      <c r="H31" s="151"/>
    </row>
    <row r="32" spans="1:12" ht="15" thickBot="1" x14ac:dyDescent="0.35">
      <c r="A32" s="173" t="s">
        <v>135</v>
      </c>
      <c r="B32" s="169">
        <v>0</v>
      </c>
      <c r="C32" s="169">
        <v>0</v>
      </c>
      <c r="D32" s="151"/>
      <c r="E32" s="21"/>
      <c r="F32" s="178"/>
      <c r="H32" s="151"/>
      <c r="I32" s="177" t="s">
        <v>134</v>
      </c>
    </row>
    <row r="33" spans="1:15" x14ac:dyDescent="0.3">
      <c r="A33" s="176" t="s">
        <v>133</v>
      </c>
      <c r="B33" s="217">
        <v>222646.23</v>
      </c>
      <c r="C33" s="217">
        <v>222646.23</v>
      </c>
      <c r="D33" s="151"/>
      <c r="F33" s="152" t="s">
        <v>132</v>
      </c>
      <c r="H33" s="151"/>
    </row>
    <row r="34" spans="1:15" x14ac:dyDescent="0.3">
      <c r="A34" s="173"/>
      <c r="D34" s="151"/>
      <c r="E34" s="174" t="s">
        <v>131</v>
      </c>
      <c r="F34" s="232">
        <f>F9/F30</f>
        <v>0.18626063171723917</v>
      </c>
      <c r="H34" s="151"/>
      <c r="I34" s="164" t="s">
        <v>130</v>
      </c>
      <c r="J34" s="231">
        <f>J29/J27</f>
        <v>0.18626063171723917</v>
      </c>
      <c r="K34" s="152"/>
      <c r="N34" s="148"/>
    </row>
    <row r="35" spans="1:15" x14ac:dyDescent="0.3">
      <c r="A35" s="173" t="s">
        <v>129</v>
      </c>
      <c r="B35" s="169">
        <v>2029499.8699999996</v>
      </c>
      <c r="C35" s="169">
        <v>2029499.8699999996</v>
      </c>
      <c r="D35" s="151"/>
      <c r="F35" s="106"/>
      <c r="H35" s="151"/>
      <c r="I35" s="168" t="s">
        <v>128</v>
      </c>
      <c r="J35" s="231">
        <f>J40/J27</f>
        <v>0.14384318696321258</v>
      </c>
      <c r="O35" s="3"/>
    </row>
    <row r="36" spans="1:15" x14ac:dyDescent="0.3">
      <c r="A36" s="172" t="s">
        <v>70</v>
      </c>
      <c r="B36" s="171">
        <v>0</v>
      </c>
      <c r="C36" s="167"/>
      <c r="D36" s="151"/>
      <c r="E36" t="s">
        <v>127</v>
      </c>
      <c r="F36" s="169">
        <f>F34*F28</f>
        <v>686964.23365330847</v>
      </c>
      <c r="H36" s="151"/>
      <c r="I36" s="168" t="s">
        <v>126</v>
      </c>
      <c r="J36" s="231">
        <f>J41/J27</f>
        <v>4.2417444754026562E-2</v>
      </c>
      <c r="L36" s="149"/>
    </row>
    <row r="37" spans="1:15" x14ac:dyDescent="0.3">
      <c r="D37" s="151"/>
      <c r="E37" t="s">
        <v>125</v>
      </c>
      <c r="F37" s="166">
        <v>0</v>
      </c>
      <c r="H37" s="151"/>
    </row>
    <row r="38" spans="1:15" x14ac:dyDescent="0.3">
      <c r="B38"/>
      <c r="C38"/>
      <c r="D38" s="151"/>
      <c r="E38" s="164" t="s">
        <v>124</v>
      </c>
      <c r="F38" s="163">
        <v>686964.23365330847</v>
      </c>
      <c r="H38" s="151"/>
      <c r="M38" s="148"/>
    </row>
    <row r="39" spans="1:15" x14ac:dyDescent="0.3">
      <c r="B39"/>
      <c r="C39"/>
      <c r="D39" s="151"/>
      <c r="H39" s="151"/>
      <c r="I39" s="162"/>
      <c r="J39" s="162"/>
    </row>
    <row r="40" spans="1:15" x14ac:dyDescent="0.3">
      <c r="D40" s="151"/>
      <c r="E40" s="82" t="s">
        <v>123</v>
      </c>
      <c r="F40" s="233">
        <f>F34</f>
        <v>0.18626063171723917</v>
      </c>
      <c r="H40" s="151"/>
      <c r="I40" s="161" t="s">
        <v>122</v>
      </c>
      <c r="J40" s="160">
        <f>F28*J14</f>
        <v>530520.72135373938</v>
      </c>
      <c r="K40" s="44"/>
      <c r="N40" s="148"/>
    </row>
    <row r="41" spans="1:15" x14ac:dyDescent="0.3">
      <c r="B41"/>
      <c r="C41"/>
      <c r="D41" s="151"/>
      <c r="H41" s="151"/>
      <c r="I41" s="161" t="s">
        <v>121</v>
      </c>
      <c r="J41" s="159">
        <f>F28*J15</f>
        <v>156443.51229956906</v>
      </c>
      <c r="K41" s="44"/>
    </row>
    <row r="42" spans="1:15" x14ac:dyDescent="0.3">
      <c r="B42"/>
      <c r="C42"/>
      <c r="D42" s="151"/>
      <c r="E42" s="158" t="s">
        <v>120</v>
      </c>
      <c r="F42" s="157">
        <v>0</v>
      </c>
      <c r="H42" s="151"/>
      <c r="I42" s="156" t="s">
        <v>119</v>
      </c>
      <c r="J42" s="155">
        <f>J40+J41</f>
        <v>686964.23365330847</v>
      </c>
    </row>
    <row r="43" spans="1:15" x14ac:dyDescent="0.3">
      <c r="B43"/>
      <c r="C43"/>
      <c r="D43" s="151"/>
      <c r="H43" s="151"/>
      <c r="I43" s="154"/>
      <c r="J43" s="153"/>
      <c r="K43" s="150"/>
    </row>
    <row r="44" spans="1:15" x14ac:dyDescent="0.3">
      <c r="B44"/>
      <c r="C44"/>
      <c r="D44" s="151"/>
      <c r="H44" s="151"/>
      <c r="L44" s="150"/>
    </row>
    <row r="45" spans="1:15" x14ac:dyDescent="0.3">
      <c r="B45"/>
      <c r="C45"/>
      <c r="F45" s="149"/>
      <c r="K45" s="3"/>
    </row>
    <row r="46" spans="1:15" x14ac:dyDescent="0.3">
      <c r="F46" s="106"/>
      <c r="L46" s="3"/>
    </row>
    <row r="47" spans="1:15" x14ac:dyDescent="0.3">
      <c r="F47" s="106"/>
    </row>
    <row r="48" spans="1:15" x14ac:dyDescent="0.3">
      <c r="F48" s="106"/>
    </row>
    <row r="49" spans="6:14" x14ac:dyDescent="0.3">
      <c r="F49" s="106"/>
    </row>
    <row r="50" spans="6:14" x14ac:dyDescent="0.3">
      <c r="F50" s="106"/>
      <c r="L50" s="148"/>
      <c r="N50" s="148"/>
    </row>
    <row r="51" spans="6:14" x14ac:dyDescent="0.3">
      <c r="F51" s="106"/>
    </row>
    <row r="52" spans="6:14" x14ac:dyDescent="0.3">
      <c r="F52" s="106"/>
    </row>
    <row r="53" spans="6:14" x14ac:dyDescent="0.3">
      <c r="F53" s="106"/>
    </row>
    <row r="54" spans="6:14" x14ac:dyDescent="0.3">
      <c r="F54" s="106"/>
    </row>
    <row r="55" spans="6:14" x14ac:dyDescent="0.3">
      <c r="F55" s="106"/>
    </row>
    <row r="56" spans="6:14" x14ac:dyDescent="0.3">
      <c r="F56" s="106"/>
    </row>
    <row r="57" spans="6:14" x14ac:dyDescent="0.3">
      <c r="F57" s="106"/>
    </row>
    <row r="58" spans="6:14" x14ac:dyDescent="0.3">
      <c r="F58" s="106"/>
    </row>
    <row r="59" spans="6:14" x14ac:dyDescent="0.3">
      <c r="F59" s="106"/>
    </row>
    <row r="60" spans="6:14" x14ac:dyDescent="0.3">
      <c r="F60" s="106"/>
    </row>
    <row r="61" spans="6:14" x14ac:dyDescent="0.3">
      <c r="F61" s="106"/>
    </row>
    <row r="62" spans="6:14" x14ac:dyDescent="0.3">
      <c r="F62" s="106"/>
      <c r="K62" s="147"/>
    </row>
    <row r="63" spans="6:14" x14ac:dyDescent="0.3">
      <c r="F63" s="106"/>
    </row>
    <row r="64" spans="6:14" x14ac:dyDescent="0.3">
      <c r="F64" s="106"/>
    </row>
    <row r="65" spans="6:11" x14ac:dyDescent="0.3">
      <c r="F65" s="106"/>
    </row>
    <row r="68" spans="6:11" x14ac:dyDescent="0.3">
      <c r="K68" s="147"/>
    </row>
  </sheetData>
  <conditionalFormatting sqref="F33">
    <cfRule type="containsText" dxfId="4" priority="3" operator="containsText" text="Check">
      <formula>NOT(ISERROR(SEARCH("Check",F33)))</formula>
    </cfRule>
  </conditionalFormatting>
  <pageMargins left="0.25" right="0.25" top="0.75" bottom="0.75" header="0.3" footer="0.3"/>
  <pageSetup paperSize="5" scale="41" orientation="landscape" r:id="rId1"/>
  <headerFooter>
    <oddFooter>&amp;L&amp;Z&amp;F\&amp;A&amp;R&amp;P/&amp;N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21B31-FDC0-4C1F-ADDA-A6C415A7E87C}">
  <sheetPr>
    <tabColor rgb="FFFFC000"/>
    <pageSetUpPr fitToPage="1"/>
  </sheetPr>
  <dimension ref="A1:U68"/>
  <sheetViews>
    <sheetView zoomScale="80" zoomScaleNormal="80" workbookViewId="0">
      <pane xSplit="1" ySplit="3" topLeftCell="B4" activePane="bottomRight" state="frozen"/>
      <selection activeCell="N35" sqref="N35"/>
      <selection pane="topRight" activeCell="N35" sqref="N35"/>
      <selection pane="bottomLeft" activeCell="N35" sqref="N35"/>
      <selection pane="bottomRight" activeCell="N35" sqref="N35"/>
    </sheetView>
  </sheetViews>
  <sheetFormatPr defaultRowHeight="14.4" x14ac:dyDescent="0.3"/>
  <cols>
    <col min="1" max="1" width="33" bestFit="1" customWidth="1"/>
    <col min="2" max="2" width="18" style="106" hidden="1" customWidth="1"/>
    <col min="3" max="3" width="18.44140625" style="106" customWidth="1"/>
    <col min="4" max="4" width="1.5546875" customWidth="1"/>
    <col min="5" max="5" width="33.33203125" bestFit="1" customWidth="1"/>
    <col min="6" max="6" width="19.33203125" customWidth="1"/>
    <col min="7" max="8" width="1.5546875" customWidth="1"/>
    <col min="9" max="9" width="36.5546875" customWidth="1"/>
    <col min="10" max="10" width="15.44140625" bestFit="1" customWidth="1"/>
    <col min="11" max="11" width="13.5546875" bestFit="1" customWidth="1"/>
    <col min="12" max="12" width="15.88671875" bestFit="1" customWidth="1"/>
    <col min="14" max="14" width="13.44140625" customWidth="1"/>
    <col min="15" max="15" width="11" bestFit="1" customWidth="1"/>
  </cols>
  <sheetData>
    <row r="1" spans="1:14" s="212" customFormat="1" ht="21" customHeight="1" x14ac:dyDescent="0.3">
      <c r="A1" s="215" t="s">
        <v>181</v>
      </c>
      <c r="B1" s="216" t="s">
        <v>11</v>
      </c>
      <c r="C1" s="213"/>
      <c r="D1" s="214"/>
      <c r="E1" s="213" t="s">
        <v>180</v>
      </c>
      <c r="F1" s="213"/>
      <c r="H1" s="214"/>
      <c r="I1" s="213" t="s">
        <v>179</v>
      </c>
    </row>
    <row r="2" spans="1:14" x14ac:dyDescent="0.3">
      <c r="A2" s="211" t="s">
        <v>178</v>
      </c>
      <c r="B2" s="106" t="s">
        <v>177</v>
      </c>
      <c r="C2" s="227"/>
      <c r="D2" s="151"/>
      <c r="E2" s="228"/>
      <c r="F2" s="229"/>
      <c r="H2" s="151"/>
      <c r="I2" s="230"/>
      <c r="J2" s="230"/>
    </row>
    <row r="3" spans="1:14" ht="18" x14ac:dyDescent="0.3">
      <c r="B3" s="210" t="s">
        <v>175</v>
      </c>
      <c r="C3" s="216" t="s">
        <v>11</v>
      </c>
      <c r="D3" s="151"/>
      <c r="F3" s="210" t="s">
        <v>193</v>
      </c>
      <c r="H3" s="151"/>
      <c r="J3" s="210" t="s">
        <v>174</v>
      </c>
    </row>
    <row r="4" spans="1:14" x14ac:dyDescent="0.3">
      <c r="A4" t="s">
        <v>173</v>
      </c>
      <c r="B4" s="169">
        <v>971611.96</v>
      </c>
      <c r="C4" s="169">
        <v>971611.96</v>
      </c>
      <c r="D4" s="151"/>
      <c r="E4" s="177" t="s">
        <v>172</v>
      </c>
      <c r="H4" s="151"/>
    </row>
    <row r="5" spans="1:14" x14ac:dyDescent="0.3">
      <c r="A5" t="s">
        <v>86</v>
      </c>
      <c r="B5" s="183">
        <v>688327.4</v>
      </c>
      <c r="C5" s="183">
        <v>688327.4</v>
      </c>
      <c r="D5" s="151"/>
      <c r="E5" t="s">
        <v>56</v>
      </c>
      <c r="F5" s="195">
        <v>641970.63</v>
      </c>
      <c r="H5" s="151"/>
      <c r="I5" s="174" t="s">
        <v>123</v>
      </c>
      <c r="J5" s="209">
        <f>F40</f>
        <v>0.19578585166827531</v>
      </c>
    </row>
    <row r="6" spans="1:14" x14ac:dyDescent="0.3">
      <c r="A6" t="s">
        <v>88</v>
      </c>
      <c r="B6" s="183">
        <v>157866.57</v>
      </c>
      <c r="C6" s="169">
        <v>157866.57</v>
      </c>
      <c r="D6" s="151"/>
      <c r="E6" t="s">
        <v>88</v>
      </c>
      <c r="F6" s="183">
        <v>157866.57</v>
      </c>
      <c r="H6" s="151"/>
      <c r="J6" s="106"/>
      <c r="L6" s="207"/>
      <c r="N6" s="149"/>
    </row>
    <row r="7" spans="1:14" x14ac:dyDescent="0.3">
      <c r="A7" t="s">
        <v>171</v>
      </c>
      <c r="B7" s="183">
        <v>-23883</v>
      </c>
      <c r="C7" s="169">
        <v>-23883</v>
      </c>
      <c r="D7" s="151"/>
      <c r="E7" s="208" t="s">
        <v>170</v>
      </c>
      <c r="F7" s="183"/>
      <c r="H7" s="151"/>
      <c r="I7" s="205" t="s">
        <v>169</v>
      </c>
      <c r="J7" s="204">
        <f>F5</f>
        <v>641970.63</v>
      </c>
      <c r="L7" s="207"/>
      <c r="N7" s="149"/>
    </row>
    <row r="8" spans="1:14" x14ac:dyDescent="0.3">
      <c r="A8" t="s">
        <v>83</v>
      </c>
      <c r="B8" s="183">
        <v>0</v>
      </c>
      <c r="C8" s="170"/>
      <c r="D8" s="151"/>
      <c r="E8" t="s">
        <v>87</v>
      </c>
      <c r="F8" s="206">
        <v>46507</v>
      </c>
      <c r="H8" s="151"/>
      <c r="I8" s="205" t="s">
        <v>55</v>
      </c>
      <c r="J8" s="204">
        <f>F9</f>
        <v>846344.2</v>
      </c>
    </row>
    <row r="9" spans="1:14" x14ac:dyDescent="0.3">
      <c r="A9" t="s">
        <v>168</v>
      </c>
      <c r="B9" s="183">
        <v>7818.96</v>
      </c>
      <c r="C9" s="183">
        <v>7818.96</v>
      </c>
      <c r="D9" s="151"/>
      <c r="E9" s="1" t="s">
        <v>55</v>
      </c>
      <c r="F9" s="217">
        <f>SUM(F5:F8)</f>
        <v>846344.2</v>
      </c>
      <c r="H9" s="151"/>
      <c r="I9" s="203" t="s">
        <v>54</v>
      </c>
      <c r="J9" s="202">
        <f>J7/J8</f>
        <v>0.75852192287724074</v>
      </c>
    </row>
    <row r="10" spans="1:14" x14ac:dyDescent="0.3">
      <c r="A10" t="s">
        <v>167</v>
      </c>
      <c r="B10" s="183">
        <v>206066.67</v>
      </c>
      <c r="C10" s="183">
        <v>206066.67</v>
      </c>
      <c r="D10" s="151"/>
      <c r="F10" s="106"/>
      <c r="H10" s="151"/>
      <c r="I10" s="201"/>
      <c r="J10" s="182"/>
    </row>
    <row r="11" spans="1:14" ht="15" thickBot="1" x14ac:dyDescent="0.35">
      <c r="A11" t="s">
        <v>166</v>
      </c>
      <c r="B11" s="183">
        <v>0</v>
      </c>
      <c r="C11" s="183">
        <v>0</v>
      </c>
      <c r="D11" s="151"/>
      <c r="E11" s="21"/>
      <c r="F11" s="178"/>
      <c r="H11" s="151"/>
      <c r="J11" s="106"/>
    </row>
    <row r="12" spans="1:14" x14ac:dyDescent="0.3">
      <c r="A12" t="s">
        <v>165</v>
      </c>
      <c r="B12" s="183">
        <v>46507</v>
      </c>
      <c r="C12" s="183">
        <v>46507</v>
      </c>
      <c r="D12" s="151"/>
      <c r="F12" s="106"/>
      <c r="H12" s="151"/>
      <c r="I12" s="200"/>
    </row>
    <row r="13" spans="1:14" x14ac:dyDescent="0.3">
      <c r="A13" t="s">
        <v>164</v>
      </c>
      <c r="B13" s="183">
        <v>126142</v>
      </c>
      <c r="C13" s="183">
        <v>126142</v>
      </c>
      <c r="D13" s="151"/>
      <c r="E13" s="177" t="s">
        <v>163</v>
      </c>
      <c r="F13" s="106"/>
      <c r="H13" s="151"/>
      <c r="I13" s="200"/>
    </row>
    <row r="14" spans="1:14" x14ac:dyDescent="0.3">
      <c r="A14" s="1" t="s">
        <v>1</v>
      </c>
      <c r="B14" s="219">
        <v>2180457.5599999996</v>
      </c>
      <c r="C14" s="217">
        <v>2180457.5599999996</v>
      </c>
      <c r="D14" s="151"/>
      <c r="E14" s="177"/>
      <c r="F14" s="106"/>
      <c r="H14" s="151"/>
      <c r="I14" s="173" t="s">
        <v>52</v>
      </c>
      <c r="J14" s="198">
        <f>J5*J9</f>
        <v>0.14850786067957841</v>
      </c>
    </row>
    <row r="15" spans="1:14" x14ac:dyDescent="0.3">
      <c r="B15" s="169"/>
      <c r="C15" s="169"/>
      <c r="D15" s="151"/>
      <c r="E15" s="177" t="s">
        <v>162</v>
      </c>
      <c r="F15" s="106"/>
      <c r="H15" s="151"/>
      <c r="I15" s="173" t="s">
        <v>161</v>
      </c>
      <c r="J15" s="197">
        <f>J5-J14</f>
        <v>4.7277990988696894E-2</v>
      </c>
    </row>
    <row r="16" spans="1:14" x14ac:dyDescent="0.3">
      <c r="B16" s="152"/>
      <c r="C16" s="152"/>
      <c r="D16" s="151"/>
      <c r="E16" t="s">
        <v>86</v>
      </c>
      <c r="F16" s="170">
        <v>688327.4</v>
      </c>
      <c r="H16" s="151"/>
      <c r="I16" t="s">
        <v>123</v>
      </c>
      <c r="J16" s="234">
        <f>F40</f>
        <v>0.19578585166827531</v>
      </c>
      <c r="L16" s="149"/>
    </row>
    <row r="17" spans="1:12" x14ac:dyDescent="0.3">
      <c r="A17" s="177" t="s">
        <v>160</v>
      </c>
      <c r="B17" s="152"/>
      <c r="C17" s="152"/>
      <c r="D17" s="196"/>
      <c r="E17" t="s">
        <v>85</v>
      </c>
      <c r="F17" s="169">
        <v>305758.32999999996</v>
      </c>
      <c r="H17" s="196"/>
    </row>
    <row r="18" spans="1:12" ht="15" thickBot="1" x14ac:dyDescent="0.35">
      <c r="A18" s="194" t="s">
        <v>159</v>
      </c>
      <c r="B18" s="169">
        <v>23883</v>
      </c>
      <c r="C18" s="169">
        <v>23883</v>
      </c>
      <c r="D18" s="151"/>
      <c r="E18" t="s">
        <v>84</v>
      </c>
      <c r="F18" s="169">
        <v>126142</v>
      </c>
      <c r="H18" s="151"/>
      <c r="I18" s="21"/>
      <c r="J18" s="178"/>
    </row>
    <row r="19" spans="1:12" x14ac:dyDescent="0.3">
      <c r="A19" s="194" t="s">
        <v>158</v>
      </c>
      <c r="B19" s="195">
        <v>641970.63</v>
      </c>
      <c r="C19" s="169">
        <v>641970.63</v>
      </c>
      <c r="D19" s="151"/>
      <c r="E19" t="s">
        <v>83</v>
      </c>
      <c r="F19" s="170">
        <v>0</v>
      </c>
      <c r="H19" s="151"/>
      <c r="J19" s="106"/>
    </row>
    <row r="20" spans="1:12" x14ac:dyDescent="0.3">
      <c r="A20" s="194" t="s">
        <v>157</v>
      </c>
      <c r="B20" s="165">
        <v>0</v>
      </c>
      <c r="C20" s="165">
        <v>0</v>
      </c>
      <c r="D20" s="151"/>
      <c r="E20" t="s">
        <v>82</v>
      </c>
      <c r="F20" s="180">
        <v>-57960.82</v>
      </c>
      <c r="H20" s="151"/>
      <c r="I20" s="192" t="s">
        <v>156</v>
      </c>
    </row>
    <row r="21" spans="1:12" x14ac:dyDescent="0.3">
      <c r="A21" s="194" t="s">
        <v>155</v>
      </c>
      <c r="B21" s="193">
        <v>305758.32999999996</v>
      </c>
      <c r="C21" s="166">
        <v>305758.32999999996</v>
      </c>
      <c r="D21" s="151"/>
      <c r="E21" s="1" t="s">
        <v>81</v>
      </c>
      <c r="F21" s="179">
        <f>SUM(F16:F20)</f>
        <v>1062266.9099999999</v>
      </c>
      <c r="H21" s="151"/>
      <c r="I21" s="192"/>
    </row>
    <row r="22" spans="1:12" x14ac:dyDescent="0.3">
      <c r="A22" s="191" t="s">
        <v>154</v>
      </c>
      <c r="B22" s="190">
        <v>971611.96</v>
      </c>
      <c r="C22" s="190">
        <v>971611.96</v>
      </c>
      <c r="D22" s="151"/>
      <c r="F22" s="106"/>
      <c r="H22" s="151"/>
      <c r="I22" t="s">
        <v>153</v>
      </c>
      <c r="J22" s="189">
        <f>F28</f>
        <v>3260538.812621783</v>
      </c>
    </row>
    <row r="23" spans="1:12" x14ac:dyDescent="0.3">
      <c r="A23" s="173" t="s">
        <v>152</v>
      </c>
      <c r="B23" s="169">
        <v>126142</v>
      </c>
      <c r="C23" s="169">
        <v>126142</v>
      </c>
      <c r="D23" s="151"/>
      <c r="E23" s="177" t="s">
        <v>151</v>
      </c>
      <c r="F23" s="106"/>
      <c r="H23" s="151"/>
      <c r="I23" s="173" t="s">
        <v>150</v>
      </c>
      <c r="J23" s="188">
        <v>0</v>
      </c>
    </row>
    <row r="24" spans="1:12" x14ac:dyDescent="0.3">
      <c r="B24" s="218">
        <v>1097753.96</v>
      </c>
      <c r="C24" s="218">
        <v>1097753.96</v>
      </c>
      <c r="D24" s="151"/>
      <c r="E24" t="s">
        <v>149</v>
      </c>
      <c r="F24" s="169">
        <v>3956867</v>
      </c>
      <c r="H24" s="151"/>
      <c r="I24" s="173" t="s">
        <v>148</v>
      </c>
      <c r="J24" s="187"/>
      <c r="L24" s="149"/>
    </row>
    <row r="25" spans="1:12" x14ac:dyDescent="0.3">
      <c r="D25" s="151"/>
      <c r="E25" s="181" t="s">
        <v>79</v>
      </c>
      <c r="F25" s="185">
        <v>-638367.36737821717</v>
      </c>
      <c r="H25" s="151"/>
      <c r="I25" s="172" t="s">
        <v>147</v>
      </c>
      <c r="J25" s="184"/>
    </row>
    <row r="26" spans="1:12" x14ac:dyDescent="0.3">
      <c r="A26" s="177" t="s">
        <v>146</v>
      </c>
      <c r="D26" s="151"/>
      <c r="E26" s="181" t="s">
        <v>78</v>
      </c>
      <c r="F26" s="165">
        <v>0</v>
      </c>
      <c r="H26" s="151"/>
      <c r="I26" t="s">
        <v>145</v>
      </c>
      <c r="J26" s="182">
        <v>0</v>
      </c>
    </row>
    <row r="27" spans="1:12" x14ac:dyDescent="0.3">
      <c r="A27" s="173" t="s">
        <v>144</v>
      </c>
      <c r="B27" s="169">
        <v>0</v>
      </c>
      <c r="C27" s="169">
        <v>0</v>
      </c>
      <c r="D27" s="151"/>
      <c r="E27" s="181" t="s">
        <v>77</v>
      </c>
      <c r="F27" s="180">
        <v>-57960.82</v>
      </c>
      <c r="H27" s="151"/>
      <c r="I27" s="1" t="s">
        <v>143</v>
      </c>
      <c r="J27" s="17">
        <f>J22+J24</f>
        <v>3260538.812621783</v>
      </c>
    </row>
    <row r="28" spans="1:12" x14ac:dyDescent="0.3">
      <c r="A28" s="173" t="s">
        <v>142</v>
      </c>
      <c r="B28" s="169">
        <v>9499</v>
      </c>
      <c r="C28" s="169">
        <v>9499</v>
      </c>
      <c r="D28" s="151"/>
      <c r="E28" s="1" t="s">
        <v>141</v>
      </c>
      <c r="F28" s="179">
        <f>SUM(F24:F27)</f>
        <v>3260538.812621783</v>
      </c>
      <c r="H28" s="151"/>
    </row>
    <row r="29" spans="1:12" x14ac:dyDescent="0.3">
      <c r="A29" s="173" t="s">
        <v>140</v>
      </c>
      <c r="B29" s="169">
        <v>0</v>
      </c>
      <c r="C29" s="169">
        <v>0</v>
      </c>
      <c r="D29" s="151"/>
      <c r="F29" s="106"/>
      <c r="H29" s="151"/>
      <c r="I29" t="s">
        <v>139</v>
      </c>
      <c r="J29" s="106">
        <f>F28*F34</f>
        <v>638367.36832662288</v>
      </c>
    </row>
    <row r="30" spans="1:12" x14ac:dyDescent="0.3">
      <c r="A30" s="173" t="s">
        <v>138</v>
      </c>
      <c r="B30" s="169">
        <v>7818.96</v>
      </c>
      <c r="C30" s="169">
        <v>7818.96</v>
      </c>
      <c r="D30" s="151"/>
      <c r="E30" s="1" t="s">
        <v>137</v>
      </c>
      <c r="F30" s="179">
        <f>F21+F28</f>
        <v>4322805.7226217827</v>
      </c>
      <c r="H30" s="151"/>
    </row>
    <row r="31" spans="1:12" x14ac:dyDescent="0.3">
      <c r="A31" s="173" t="s">
        <v>136</v>
      </c>
      <c r="B31" s="169">
        <v>206066.67</v>
      </c>
      <c r="C31" s="169">
        <v>206066.67</v>
      </c>
      <c r="D31" s="151"/>
      <c r="F31" s="106"/>
      <c r="H31" s="151"/>
    </row>
    <row r="32" spans="1:12" ht="15" thickBot="1" x14ac:dyDescent="0.35">
      <c r="A32" s="173" t="s">
        <v>135</v>
      </c>
      <c r="B32" s="169">
        <v>0</v>
      </c>
      <c r="C32" s="169">
        <v>0</v>
      </c>
      <c r="D32" s="151"/>
      <c r="E32" s="21"/>
      <c r="F32" s="178"/>
      <c r="H32" s="151"/>
      <c r="I32" s="177" t="s">
        <v>134</v>
      </c>
    </row>
    <row r="33" spans="1:15" x14ac:dyDescent="0.3">
      <c r="A33" s="176" t="s">
        <v>133</v>
      </c>
      <c r="B33" s="217">
        <v>223384.63</v>
      </c>
      <c r="C33" s="217">
        <v>223384.63</v>
      </c>
      <c r="D33" s="151"/>
      <c r="F33" s="152" t="s">
        <v>132</v>
      </c>
      <c r="H33" s="151"/>
    </row>
    <row r="34" spans="1:15" x14ac:dyDescent="0.3">
      <c r="A34" s="173"/>
      <c r="D34" s="151"/>
      <c r="E34" s="174" t="s">
        <v>131</v>
      </c>
      <c r="F34" s="232">
        <f>F9/F30</f>
        <v>0.19578585166827531</v>
      </c>
      <c r="H34" s="151"/>
      <c r="I34" s="164" t="s">
        <v>130</v>
      </c>
      <c r="J34" s="231">
        <f>J29/J27</f>
        <v>0.19578585166827531</v>
      </c>
      <c r="K34" s="152"/>
      <c r="N34" s="148"/>
    </row>
    <row r="35" spans="1:15" x14ac:dyDescent="0.3">
      <c r="A35" s="173" t="s">
        <v>129</v>
      </c>
      <c r="B35" s="169">
        <v>1957072.9299999997</v>
      </c>
      <c r="C35" s="169">
        <v>1957072.9299999997</v>
      </c>
      <c r="D35" s="151"/>
      <c r="F35" s="106"/>
      <c r="H35" s="151"/>
      <c r="I35" s="168" t="s">
        <v>128</v>
      </c>
      <c r="J35" s="231">
        <f>J40/J27</f>
        <v>0.14850786067957841</v>
      </c>
      <c r="O35" s="3"/>
    </row>
    <row r="36" spans="1:15" x14ac:dyDescent="0.3">
      <c r="A36" s="172" t="s">
        <v>70</v>
      </c>
      <c r="B36" s="171">
        <v>0</v>
      </c>
      <c r="C36" s="167"/>
      <c r="D36" s="151"/>
      <c r="E36" t="s">
        <v>127</v>
      </c>
      <c r="F36" s="169">
        <f>F34*F28</f>
        <v>638367.36832662288</v>
      </c>
      <c r="H36" s="151"/>
      <c r="I36" s="168" t="s">
        <v>126</v>
      </c>
      <c r="J36" s="231">
        <f>J41/J27</f>
        <v>4.7277990988696894E-2</v>
      </c>
      <c r="L36" s="149"/>
    </row>
    <row r="37" spans="1:15" x14ac:dyDescent="0.3">
      <c r="D37" s="151"/>
      <c r="E37" t="s">
        <v>125</v>
      </c>
      <c r="F37" s="166">
        <v>0</v>
      </c>
      <c r="H37" s="151"/>
    </row>
    <row r="38" spans="1:15" x14ac:dyDescent="0.3">
      <c r="B38"/>
      <c r="C38"/>
      <c r="D38" s="151"/>
      <c r="E38" s="164" t="s">
        <v>124</v>
      </c>
      <c r="F38" s="163">
        <v>638367.36832662288</v>
      </c>
      <c r="H38" s="151"/>
      <c r="M38" s="148"/>
    </row>
    <row r="39" spans="1:15" x14ac:dyDescent="0.3">
      <c r="B39"/>
      <c r="C39"/>
      <c r="D39" s="151"/>
      <c r="H39" s="151"/>
      <c r="I39" s="162"/>
      <c r="J39" s="162"/>
    </row>
    <row r="40" spans="1:15" x14ac:dyDescent="0.3">
      <c r="D40" s="151"/>
      <c r="E40" s="82" t="s">
        <v>123</v>
      </c>
      <c r="F40" s="233">
        <f>F34</f>
        <v>0.19578585166827531</v>
      </c>
      <c r="H40" s="151"/>
      <c r="I40" s="161" t="s">
        <v>122</v>
      </c>
      <c r="J40" s="160">
        <f>F28*J14</f>
        <v>484215.64372519375</v>
      </c>
      <c r="K40" s="44"/>
      <c r="N40" s="148"/>
    </row>
    <row r="41" spans="1:15" x14ac:dyDescent="0.3">
      <c r="B41"/>
      <c r="C41"/>
      <c r="D41" s="151"/>
      <c r="H41" s="151"/>
      <c r="I41" s="161" t="s">
        <v>121</v>
      </c>
      <c r="J41" s="159">
        <f>F28*J15</f>
        <v>154151.72460142913</v>
      </c>
      <c r="K41" s="44"/>
    </row>
    <row r="42" spans="1:15" x14ac:dyDescent="0.3">
      <c r="B42"/>
      <c r="C42"/>
      <c r="D42" s="151"/>
      <c r="E42" s="158" t="s">
        <v>120</v>
      </c>
      <c r="F42" s="157">
        <v>0</v>
      </c>
      <c r="H42" s="151"/>
      <c r="I42" s="156" t="s">
        <v>119</v>
      </c>
      <c r="J42" s="155">
        <f>J40+J41</f>
        <v>638367.36832662288</v>
      </c>
    </row>
    <row r="43" spans="1:15" x14ac:dyDescent="0.3">
      <c r="B43"/>
      <c r="C43"/>
      <c r="D43" s="151"/>
      <c r="H43" s="151"/>
      <c r="I43" s="154"/>
      <c r="J43" s="153"/>
      <c r="K43" s="150"/>
    </row>
    <row r="44" spans="1:15" x14ac:dyDescent="0.3">
      <c r="B44"/>
      <c r="C44"/>
      <c r="D44" s="151"/>
      <c r="H44" s="151"/>
      <c r="L44" s="150"/>
    </row>
    <row r="45" spans="1:15" x14ac:dyDescent="0.3">
      <c r="B45"/>
      <c r="C45"/>
      <c r="F45" s="149"/>
      <c r="K45" s="3"/>
    </row>
    <row r="46" spans="1:15" x14ac:dyDescent="0.3">
      <c r="F46" s="106"/>
      <c r="L46" s="3"/>
    </row>
    <row r="47" spans="1:15" x14ac:dyDescent="0.3">
      <c r="F47" s="106"/>
    </row>
    <row r="48" spans="1:15" x14ac:dyDescent="0.3">
      <c r="F48" s="106"/>
    </row>
    <row r="49" spans="6:14" x14ac:dyDescent="0.3">
      <c r="F49" s="106"/>
    </row>
    <row r="50" spans="6:14" x14ac:dyDescent="0.3">
      <c r="F50" s="106"/>
      <c r="L50" s="148"/>
      <c r="N50" s="148"/>
    </row>
    <row r="51" spans="6:14" x14ac:dyDescent="0.3">
      <c r="F51" s="106"/>
    </row>
    <row r="52" spans="6:14" x14ac:dyDescent="0.3">
      <c r="F52" s="106"/>
    </row>
    <row r="53" spans="6:14" x14ac:dyDescent="0.3">
      <c r="F53" s="106"/>
    </row>
    <row r="54" spans="6:14" x14ac:dyDescent="0.3">
      <c r="F54" s="106"/>
    </row>
    <row r="55" spans="6:14" x14ac:dyDescent="0.3">
      <c r="F55" s="106"/>
    </row>
    <row r="56" spans="6:14" x14ac:dyDescent="0.3">
      <c r="F56" s="106"/>
    </row>
    <row r="57" spans="6:14" x14ac:dyDescent="0.3">
      <c r="F57" s="106"/>
    </row>
    <row r="58" spans="6:14" x14ac:dyDescent="0.3">
      <c r="F58" s="106"/>
    </row>
    <row r="59" spans="6:14" x14ac:dyDescent="0.3">
      <c r="F59" s="106"/>
    </row>
    <row r="60" spans="6:14" x14ac:dyDescent="0.3">
      <c r="F60" s="106"/>
    </row>
    <row r="61" spans="6:14" x14ac:dyDescent="0.3">
      <c r="F61" s="106"/>
    </row>
    <row r="62" spans="6:14" x14ac:dyDescent="0.3">
      <c r="F62" s="106"/>
      <c r="K62" s="147"/>
    </row>
    <row r="63" spans="6:14" x14ac:dyDescent="0.3">
      <c r="F63" s="106"/>
    </row>
    <row r="64" spans="6:14" x14ac:dyDescent="0.3">
      <c r="F64" s="106"/>
    </row>
    <row r="65" spans="6:11" x14ac:dyDescent="0.3">
      <c r="F65" s="106"/>
    </row>
    <row r="68" spans="6:11" x14ac:dyDescent="0.3">
      <c r="K68" s="147"/>
    </row>
  </sheetData>
  <conditionalFormatting sqref="F33">
    <cfRule type="containsText" dxfId="3" priority="3" operator="containsText" text="Check">
      <formula>NOT(ISERROR(SEARCH("Check",F33)))</formula>
    </cfRule>
  </conditionalFormatting>
  <pageMargins left="0.25" right="0.25" top="0.75" bottom="0.75" header="0.3" footer="0.3"/>
  <pageSetup paperSize="5" scale="41" orientation="landscape" r:id="rId1"/>
  <headerFooter>
    <oddFooter>&amp;L&amp;Z&amp;F\&amp;A&amp;R&amp;P/&amp;N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E8ABC-3ECB-488F-AB32-277A45DDF6ED}">
  <sheetPr>
    <tabColor rgb="FFFFC000"/>
    <pageSetUpPr fitToPage="1"/>
  </sheetPr>
  <dimension ref="A1:U68"/>
  <sheetViews>
    <sheetView zoomScale="80" zoomScaleNormal="80" workbookViewId="0">
      <pane xSplit="1" ySplit="3" topLeftCell="B4" activePane="bottomRight" state="frozen"/>
      <selection activeCell="N35" sqref="N35"/>
      <selection pane="topRight" activeCell="N35" sqref="N35"/>
      <selection pane="bottomLeft" activeCell="N35" sqref="N35"/>
      <selection pane="bottomRight" activeCell="N35" sqref="N35"/>
    </sheetView>
  </sheetViews>
  <sheetFormatPr defaultRowHeight="14.4" x14ac:dyDescent="0.3"/>
  <cols>
    <col min="1" max="1" width="33" bestFit="1" customWidth="1"/>
    <col min="2" max="2" width="18" style="106" hidden="1" customWidth="1"/>
    <col min="3" max="3" width="18.44140625" style="106" customWidth="1"/>
    <col min="4" max="4" width="1.5546875" customWidth="1"/>
    <col min="5" max="5" width="33.33203125" bestFit="1" customWidth="1"/>
    <col min="6" max="6" width="19.33203125" customWidth="1"/>
    <col min="7" max="8" width="1.5546875" customWidth="1"/>
    <col min="9" max="9" width="36.5546875" customWidth="1"/>
    <col min="10" max="10" width="15.44140625" bestFit="1" customWidth="1"/>
    <col min="11" max="11" width="13.5546875" bestFit="1" customWidth="1"/>
    <col min="12" max="12" width="15.88671875" bestFit="1" customWidth="1"/>
    <col min="14" max="14" width="13.44140625" customWidth="1"/>
    <col min="15" max="15" width="11" bestFit="1" customWidth="1"/>
  </cols>
  <sheetData>
    <row r="1" spans="1:14" s="212" customFormat="1" ht="21" customHeight="1" x14ac:dyDescent="0.3">
      <c r="A1" s="215" t="s">
        <v>181</v>
      </c>
      <c r="B1" s="216" t="s">
        <v>10</v>
      </c>
      <c r="C1" s="213"/>
      <c r="D1" s="214"/>
      <c r="E1" s="213" t="s">
        <v>180</v>
      </c>
      <c r="F1" s="213"/>
      <c r="H1" s="214"/>
      <c r="I1" s="213" t="s">
        <v>179</v>
      </c>
    </row>
    <row r="2" spans="1:14" x14ac:dyDescent="0.3">
      <c r="A2" s="211" t="s">
        <v>178</v>
      </c>
      <c r="B2" s="106" t="s">
        <v>177</v>
      </c>
      <c r="C2" s="227"/>
      <c r="D2" s="151"/>
      <c r="E2" s="228"/>
      <c r="F2" s="229"/>
      <c r="H2" s="151"/>
      <c r="I2" s="230"/>
      <c r="J2" s="230"/>
    </row>
    <row r="3" spans="1:14" ht="18" x14ac:dyDescent="0.3">
      <c r="B3" s="210" t="s">
        <v>175</v>
      </c>
      <c r="C3" s="216" t="s">
        <v>10</v>
      </c>
      <c r="D3" s="151"/>
      <c r="F3" s="210" t="s">
        <v>194</v>
      </c>
      <c r="H3" s="151"/>
      <c r="J3" s="210" t="s">
        <v>174</v>
      </c>
    </row>
    <row r="4" spans="1:14" x14ac:dyDescent="0.3">
      <c r="A4" t="s">
        <v>173</v>
      </c>
      <c r="B4" s="169">
        <v>994104.94</v>
      </c>
      <c r="C4" s="169">
        <v>994104.94</v>
      </c>
      <c r="D4" s="151"/>
      <c r="E4" s="177" t="s">
        <v>172</v>
      </c>
      <c r="H4" s="151"/>
    </row>
    <row r="5" spans="1:14" x14ac:dyDescent="0.3">
      <c r="A5" t="s">
        <v>86</v>
      </c>
      <c r="B5" s="183">
        <v>671559.89</v>
      </c>
      <c r="C5" s="183">
        <v>671559.89</v>
      </c>
      <c r="D5" s="151"/>
      <c r="E5" t="s">
        <v>56</v>
      </c>
      <c r="F5" s="195">
        <v>659233.61</v>
      </c>
      <c r="H5" s="151"/>
      <c r="I5" s="174" t="s">
        <v>123</v>
      </c>
      <c r="J5" s="209">
        <f>F40</f>
        <v>0.23597743299138571</v>
      </c>
    </row>
    <row r="6" spans="1:14" x14ac:dyDescent="0.3">
      <c r="A6" t="s">
        <v>88</v>
      </c>
      <c r="B6" s="183">
        <v>157062.04</v>
      </c>
      <c r="C6" s="169">
        <v>157062.04</v>
      </c>
      <c r="D6" s="151"/>
      <c r="E6" t="s">
        <v>88</v>
      </c>
      <c r="F6" s="183">
        <v>157062.04</v>
      </c>
      <c r="H6" s="151"/>
      <c r="J6" s="106"/>
      <c r="L6" s="207"/>
      <c r="N6" s="149"/>
    </row>
    <row r="7" spans="1:14" x14ac:dyDescent="0.3">
      <c r="A7" t="s">
        <v>171</v>
      </c>
      <c r="B7" s="183">
        <v>-22925</v>
      </c>
      <c r="C7" s="169">
        <v>-22925</v>
      </c>
      <c r="D7" s="151"/>
      <c r="E7" s="208" t="s">
        <v>170</v>
      </c>
      <c r="F7" s="183"/>
      <c r="H7" s="151"/>
      <c r="I7" s="205" t="s">
        <v>169</v>
      </c>
      <c r="J7" s="204">
        <f>F5</f>
        <v>659233.61</v>
      </c>
      <c r="L7" s="207"/>
      <c r="N7" s="149"/>
    </row>
    <row r="8" spans="1:14" x14ac:dyDescent="0.3">
      <c r="A8" t="s">
        <v>83</v>
      </c>
      <c r="B8" s="183">
        <v>0</v>
      </c>
      <c r="C8" s="170"/>
      <c r="D8" s="151"/>
      <c r="E8" t="s">
        <v>87</v>
      </c>
      <c r="F8" s="206">
        <v>47034</v>
      </c>
      <c r="H8" s="151"/>
      <c r="I8" s="205" t="s">
        <v>55</v>
      </c>
      <c r="J8" s="204">
        <f>F9</f>
        <v>863329.65</v>
      </c>
    </row>
    <row r="9" spans="1:14" x14ac:dyDescent="0.3">
      <c r="A9" t="s">
        <v>168</v>
      </c>
      <c r="B9" s="183">
        <v>6278.42</v>
      </c>
      <c r="C9" s="183">
        <v>6278.42</v>
      </c>
      <c r="D9" s="151"/>
      <c r="E9" s="1" t="s">
        <v>55</v>
      </c>
      <c r="F9" s="217">
        <f>SUM(F5:F8)</f>
        <v>863329.65</v>
      </c>
      <c r="H9" s="151"/>
      <c r="I9" s="203" t="s">
        <v>54</v>
      </c>
      <c r="J9" s="202">
        <f>J7/J8</f>
        <v>0.7635943118599019</v>
      </c>
    </row>
    <row r="10" spans="1:14" x14ac:dyDescent="0.3">
      <c r="A10" t="s">
        <v>167</v>
      </c>
      <c r="B10" s="183">
        <v>206066.67</v>
      </c>
      <c r="C10" s="183">
        <v>206066.67</v>
      </c>
      <c r="D10" s="151"/>
      <c r="F10" s="106"/>
      <c r="H10" s="151"/>
      <c r="I10" s="201"/>
      <c r="J10" s="182"/>
    </row>
    <row r="11" spans="1:14" ht="15" thickBot="1" x14ac:dyDescent="0.35">
      <c r="A11" t="s">
        <v>166</v>
      </c>
      <c r="B11" s="183">
        <v>0</v>
      </c>
      <c r="C11" s="183">
        <v>0</v>
      </c>
      <c r="D11" s="151"/>
      <c r="E11" s="21"/>
      <c r="F11" s="178"/>
      <c r="H11" s="151"/>
      <c r="J11" s="106"/>
    </row>
    <row r="12" spans="1:14" x14ac:dyDescent="0.3">
      <c r="A12" t="s">
        <v>165</v>
      </c>
      <c r="B12" s="183">
        <v>47034</v>
      </c>
      <c r="C12" s="183">
        <v>47034</v>
      </c>
      <c r="D12" s="151"/>
      <c r="F12" s="106"/>
      <c r="H12" s="151"/>
      <c r="I12" s="200"/>
    </row>
    <row r="13" spans="1:14" x14ac:dyDescent="0.3">
      <c r="A13" t="s">
        <v>164</v>
      </c>
      <c r="B13" s="183">
        <v>127572</v>
      </c>
      <c r="C13" s="183">
        <v>127572</v>
      </c>
      <c r="D13" s="151"/>
      <c r="E13" s="177" t="s">
        <v>163</v>
      </c>
      <c r="F13" s="106"/>
      <c r="H13" s="151"/>
      <c r="I13" s="200"/>
    </row>
    <row r="14" spans="1:14" x14ac:dyDescent="0.3">
      <c r="A14" s="1" t="s">
        <v>1</v>
      </c>
      <c r="B14" s="219">
        <v>2186752.96</v>
      </c>
      <c r="C14" s="217">
        <v>2186752.96</v>
      </c>
      <c r="D14" s="151"/>
      <c r="E14" s="177"/>
      <c r="F14" s="106"/>
      <c r="H14" s="151"/>
      <c r="I14" s="173" t="s">
        <v>52</v>
      </c>
      <c r="J14" s="198">
        <f>J5*J9</f>
        <v>0.18019102555952329</v>
      </c>
    </row>
    <row r="15" spans="1:14" x14ac:dyDescent="0.3">
      <c r="B15" s="169"/>
      <c r="C15" s="169"/>
      <c r="D15" s="151"/>
      <c r="E15" s="177" t="s">
        <v>162</v>
      </c>
      <c r="F15" s="106"/>
      <c r="H15" s="151"/>
      <c r="I15" s="173" t="s">
        <v>161</v>
      </c>
      <c r="J15" s="197">
        <f>J5-J14</f>
        <v>5.5786407431862417E-2</v>
      </c>
    </row>
    <row r="16" spans="1:14" x14ac:dyDescent="0.3">
      <c r="B16" s="152"/>
      <c r="C16" s="152"/>
      <c r="D16" s="151"/>
      <c r="E16" t="s">
        <v>86</v>
      </c>
      <c r="F16" s="170">
        <v>671559.89</v>
      </c>
      <c r="H16" s="151"/>
      <c r="I16" t="s">
        <v>123</v>
      </c>
      <c r="J16" s="234">
        <f>F40</f>
        <v>0.23597743299138571</v>
      </c>
      <c r="L16" s="149"/>
    </row>
    <row r="17" spans="1:12" x14ac:dyDescent="0.3">
      <c r="A17" s="177" t="s">
        <v>160</v>
      </c>
      <c r="B17" s="152"/>
      <c r="C17" s="152"/>
      <c r="D17" s="196"/>
      <c r="E17" t="s">
        <v>85</v>
      </c>
      <c r="F17" s="169">
        <v>311946.32999999996</v>
      </c>
      <c r="H17" s="196"/>
    </row>
    <row r="18" spans="1:12" ht="15" thickBot="1" x14ac:dyDescent="0.35">
      <c r="A18" s="194" t="s">
        <v>159</v>
      </c>
      <c r="B18" s="169">
        <v>22925</v>
      </c>
      <c r="C18" s="169">
        <v>22925</v>
      </c>
      <c r="D18" s="151"/>
      <c r="E18" t="s">
        <v>84</v>
      </c>
      <c r="F18" s="169">
        <v>127572</v>
      </c>
      <c r="H18" s="151"/>
      <c r="I18" s="21"/>
      <c r="J18" s="178"/>
    </row>
    <row r="19" spans="1:12" x14ac:dyDescent="0.3">
      <c r="A19" s="194" t="s">
        <v>158</v>
      </c>
      <c r="B19" s="195">
        <v>659233.61</v>
      </c>
      <c r="C19" s="169">
        <v>659233.61</v>
      </c>
      <c r="D19" s="151"/>
      <c r="E19" t="s">
        <v>83</v>
      </c>
      <c r="F19" s="170">
        <v>0</v>
      </c>
      <c r="H19" s="151"/>
      <c r="J19" s="106"/>
    </row>
    <row r="20" spans="1:12" x14ac:dyDescent="0.3">
      <c r="A20" s="194" t="s">
        <v>157</v>
      </c>
      <c r="B20" s="165">
        <v>0</v>
      </c>
      <c r="C20" s="165">
        <v>0</v>
      </c>
      <c r="D20" s="151"/>
      <c r="E20" t="s">
        <v>82</v>
      </c>
      <c r="F20" s="180">
        <v>-46363.9</v>
      </c>
      <c r="H20" s="151"/>
      <c r="I20" s="192" t="s">
        <v>156</v>
      </c>
    </row>
    <row r="21" spans="1:12" x14ac:dyDescent="0.3">
      <c r="A21" s="194" t="s">
        <v>155</v>
      </c>
      <c r="B21" s="193">
        <v>311946.32999999996</v>
      </c>
      <c r="C21" s="166">
        <v>311946.32999999996</v>
      </c>
      <c r="D21" s="151"/>
      <c r="E21" s="1" t="s">
        <v>81</v>
      </c>
      <c r="F21" s="179">
        <f>SUM(F16:F20)</f>
        <v>1064714.32</v>
      </c>
      <c r="H21" s="151"/>
      <c r="I21" s="192"/>
    </row>
    <row r="22" spans="1:12" x14ac:dyDescent="0.3">
      <c r="A22" s="191" t="s">
        <v>154</v>
      </c>
      <c r="B22" s="190">
        <v>994104.94</v>
      </c>
      <c r="C22" s="190">
        <v>994104.94</v>
      </c>
      <c r="D22" s="151"/>
      <c r="F22" s="106"/>
      <c r="H22" s="151"/>
      <c r="I22" t="s">
        <v>153</v>
      </c>
      <c r="J22" s="189">
        <f>F28</f>
        <v>2593812.0020128158</v>
      </c>
    </row>
    <row r="23" spans="1:12" x14ac:dyDescent="0.3">
      <c r="A23" s="173" t="s">
        <v>152</v>
      </c>
      <c r="B23" s="169">
        <v>127572</v>
      </c>
      <c r="C23" s="169">
        <v>127572</v>
      </c>
      <c r="D23" s="151"/>
      <c r="E23" s="177" t="s">
        <v>151</v>
      </c>
      <c r="F23" s="106"/>
      <c r="H23" s="151"/>
      <c r="I23" s="173" t="s">
        <v>150</v>
      </c>
      <c r="J23" s="188">
        <v>0</v>
      </c>
    </row>
    <row r="24" spans="1:12" x14ac:dyDescent="0.3">
      <c r="B24" s="218">
        <v>1121676.94</v>
      </c>
      <c r="C24" s="218">
        <v>1121676.94</v>
      </c>
      <c r="D24" s="151"/>
      <c r="E24" t="s">
        <v>149</v>
      </c>
      <c r="F24" s="169">
        <v>3252257</v>
      </c>
      <c r="H24" s="151"/>
      <c r="I24" s="173" t="s">
        <v>148</v>
      </c>
      <c r="J24" s="187"/>
      <c r="L24" s="149"/>
    </row>
    <row r="25" spans="1:12" x14ac:dyDescent="0.3">
      <c r="D25" s="151"/>
      <c r="E25" s="181" t="s">
        <v>79</v>
      </c>
      <c r="F25" s="185">
        <v>-612081.09798718453</v>
      </c>
      <c r="H25" s="151"/>
      <c r="I25" s="172" t="s">
        <v>147</v>
      </c>
      <c r="J25" s="184"/>
    </row>
    <row r="26" spans="1:12" x14ac:dyDescent="0.3">
      <c r="A26" s="177" t="s">
        <v>146</v>
      </c>
      <c r="D26" s="151"/>
      <c r="E26" s="181" t="s">
        <v>78</v>
      </c>
      <c r="F26" s="165">
        <v>0</v>
      </c>
      <c r="H26" s="151"/>
      <c r="I26" t="s">
        <v>145</v>
      </c>
      <c r="J26" s="182">
        <v>0</v>
      </c>
    </row>
    <row r="27" spans="1:12" x14ac:dyDescent="0.3">
      <c r="A27" s="173" t="s">
        <v>144</v>
      </c>
      <c r="B27" s="169">
        <v>0</v>
      </c>
      <c r="C27" s="169">
        <v>0</v>
      </c>
      <c r="D27" s="151"/>
      <c r="E27" s="181" t="s">
        <v>77</v>
      </c>
      <c r="F27" s="180">
        <v>-46363.9</v>
      </c>
      <c r="H27" s="151"/>
      <c r="I27" s="1" t="s">
        <v>143</v>
      </c>
      <c r="J27" s="17">
        <f>J22+J24</f>
        <v>2593812.0020128158</v>
      </c>
    </row>
    <row r="28" spans="1:12" x14ac:dyDescent="0.3">
      <c r="A28" s="173" t="s">
        <v>142</v>
      </c>
      <c r="B28" s="169">
        <v>9930</v>
      </c>
      <c r="C28" s="169">
        <v>9930</v>
      </c>
      <c r="D28" s="151"/>
      <c r="E28" s="1" t="s">
        <v>141</v>
      </c>
      <c r="F28" s="179">
        <f>SUM(F24:F27)</f>
        <v>2593812.0020128158</v>
      </c>
      <c r="H28" s="151"/>
    </row>
    <row r="29" spans="1:12" x14ac:dyDescent="0.3">
      <c r="A29" s="173" t="s">
        <v>140</v>
      </c>
      <c r="B29" s="169">
        <v>0</v>
      </c>
      <c r="C29" s="169">
        <v>0</v>
      </c>
      <c r="D29" s="151"/>
      <c r="F29" s="106"/>
      <c r="H29" s="151"/>
      <c r="I29" t="s">
        <v>139</v>
      </c>
      <c r="J29" s="106">
        <f>F28*F34</f>
        <v>612081.09789723123</v>
      </c>
    </row>
    <row r="30" spans="1:12" x14ac:dyDescent="0.3">
      <c r="A30" s="173" t="s">
        <v>138</v>
      </c>
      <c r="B30" s="169">
        <v>6278.42</v>
      </c>
      <c r="C30" s="169">
        <v>6278.42</v>
      </c>
      <c r="D30" s="151"/>
      <c r="E30" s="1" t="s">
        <v>137</v>
      </c>
      <c r="F30" s="179">
        <f>F21+F28</f>
        <v>3658526.3220128156</v>
      </c>
      <c r="H30" s="151"/>
    </row>
    <row r="31" spans="1:12" x14ac:dyDescent="0.3">
      <c r="A31" s="173" t="s">
        <v>136</v>
      </c>
      <c r="B31" s="169">
        <v>206066.67</v>
      </c>
      <c r="C31" s="169">
        <v>206066.67</v>
      </c>
      <c r="D31" s="151"/>
      <c r="F31" s="106"/>
      <c r="H31" s="151"/>
    </row>
    <row r="32" spans="1:12" ht="15" thickBot="1" x14ac:dyDescent="0.35">
      <c r="A32" s="173" t="s">
        <v>135</v>
      </c>
      <c r="B32" s="169">
        <v>0</v>
      </c>
      <c r="C32" s="169">
        <v>0</v>
      </c>
      <c r="D32" s="151"/>
      <c r="E32" s="21"/>
      <c r="F32" s="178"/>
      <c r="H32" s="151"/>
      <c r="I32" s="177" t="s">
        <v>134</v>
      </c>
    </row>
    <row r="33" spans="1:15" x14ac:dyDescent="0.3">
      <c r="A33" s="176" t="s">
        <v>133</v>
      </c>
      <c r="B33" s="217">
        <v>222275.09000000003</v>
      </c>
      <c r="C33" s="217">
        <v>222275.09000000003</v>
      </c>
      <c r="D33" s="151"/>
      <c r="F33" s="152" t="s">
        <v>132</v>
      </c>
      <c r="H33" s="151"/>
    </row>
    <row r="34" spans="1:15" x14ac:dyDescent="0.3">
      <c r="A34" s="173"/>
      <c r="D34" s="151"/>
      <c r="E34" s="174" t="s">
        <v>131</v>
      </c>
      <c r="F34" s="232">
        <f>F9/F30</f>
        <v>0.23597743299138571</v>
      </c>
      <c r="H34" s="151"/>
      <c r="I34" s="164" t="s">
        <v>130</v>
      </c>
      <c r="J34" s="231">
        <f>J29/J27</f>
        <v>0.23597743299138571</v>
      </c>
      <c r="K34" s="152"/>
      <c r="N34" s="148"/>
    </row>
    <row r="35" spans="1:15" x14ac:dyDescent="0.3">
      <c r="A35" s="173" t="s">
        <v>129</v>
      </c>
      <c r="B35" s="169">
        <v>1964477.8699999999</v>
      </c>
      <c r="C35" s="169">
        <v>1964477.8699999999</v>
      </c>
      <c r="D35" s="151"/>
      <c r="F35" s="106"/>
      <c r="H35" s="151"/>
      <c r="I35" s="168" t="s">
        <v>128</v>
      </c>
      <c r="J35" s="231">
        <f>J40/J27</f>
        <v>0.18019102555952329</v>
      </c>
      <c r="O35" s="3"/>
    </row>
    <row r="36" spans="1:15" x14ac:dyDescent="0.3">
      <c r="A36" s="172" t="s">
        <v>70</v>
      </c>
      <c r="B36" s="171">
        <v>0</v>
      </c>
      <c r="C36" s="167"/>
      <c r="D36" s="151"/>
      <c r="E36" t="s">
        <v>127</v>
      </c>
      <c r="F36" s="169">
        <f>F34*F28</f>
        <v>612081.09789723123</v>
      </c>
      <c r="H36" s="151"/>
      <c r="I36" s="168" t="s">
        <v>126</v>
      </c>
      <c r="J36" s="231">
        <f>J41/J27</f>
        <v>5.5786407431862417E-2</v>
      </c>
      <c r="L36" s="149"/>
    </row>
    <row r="37" spans="1:15" x14ac:dyDescent="0.3">
      <c r="D37" s="151"/>
      <c r="E37" t="s">
        <v>125</v>
      </c>
      <c r="F37" s="166">
        <v>0</v>
      </c>
      <c r="H37" s="151"/>
    </row>
    <row r="38" spans="1:15" x14ac:dyDescent="0.3">
      <c r="B38"/>
      <c r="C38"/>
      <c r="D38" s="151"/>
      <c r="E38" s="164" t="s">
        <v>124</v>
      </c>
      <c r="F38" s="163">
        <v>612081.09789723123</v>
      </c>
      <c r="H38" s="151"/>
      <c r="M38" s="148"/>
    </row>
    <row r="39" spans="1:15" x14ac:dyDescent="0.3">
      <c r="B39"/>
      <c r="C39"/>
      <c r="D39" s="151"/>
      <c r="H39" s="151"/>
      <c r="I39" s="162"/>
      <c r="J39" s="162"/>
    </row>
    <row r="40" spans="1:15" x14ac:dyDescent="0.3">
      <c r="D40" s="151"/>
      <c r="E40" s="82" t="s">
        <v>123</v>
      </c>
      <c r="F40" s="233">
        <f>F34</f>
        <v>0.23597743299138571</v>
      </c>
      <c r="H40" s="151"/>
      <c r="I40" s="161" t="s">
        <v>122</v>
      </c>
      <c r="J40" s="160">
        <f>F28*J14</f>
        <v>467381.64475128957</v>
      </c>
      <c r="K40" s="44"/>
      <c r="N40" s="148"/>
    </row>
    <row r="41" spans="1:15" x14ac:dyDescent="0.3">
      <c r="B41"/>
      <c r="C41"/>
      <c r="D41" s="151"/>
      <c r="H41" s="151"/>
      <c r="I41" s="161" t="s">
        <v>121</v>
      </c>
      <c r="J41" s="159">
        <f>F28*J15</f>
        <v>144699.45314594169</v>
      </c>
      <c r="K41" s="44"/>
    </row>
    <row r="42" spans="1:15" x14ac:dyDescent="0.3">
      <c r="B42"/>
      <c r="C42"/>
      <c r="D42" s="151"/>
      <c r="E42" s="158" t="s">
        <v>120</v>
      </c>
      <c r="F42" s="157">
        <v>0</v>
      </c>
      <c r="H42" s="151"/>
      <c r="I42" s="156" t="s">
        <v>119</v>
      </c>
      <c r="J42" s="155">
        <f>J40+J41</f>
        <v>612081.09789723123</v>
      </c>
    </row>
    <row r="43" spans="1:15" x14ac:dyDescent="0.3">
      <c r="B43"/>
      <c r="C43"/>
      <c r="D43" s="151"/>
      <c r="H43" s="151"/>
      <c r="I43" s="154"/>
      <c r="J43" s="153"/>
      <c r="K43" s="150"/>
    </row>
    <row r="44" spans="1:15" x14ac:dyDescent="0.3">
      <c r="B44"/>
      <c r="C44"/>
      <c r="D44" s="151"/>
      <c r="H44" s="151"/>
      <c r="L44" s="150"/>
    </row>
    <row r="45" spans="1:15" x14ac:dyDescent="0.3">
      <c r="B45"/>
      <c r="C45"/>
      <c r="F45" s="149"/>
      <c r="K45" s="3"/>
    </row>
    <row r="46" spans="1:15" x14ac:dyDescent="0.3">
      <c r="F46" s="106"/>
      <c r="L46" s="3"/>
    </row>
    <row r="47" spans="1:15" x14ac:dyDescent="0.3">
      <c r="F47" s="106"/>
    </row>
    <row r="48" spans="1:15" x14ac:dyDescent="0.3">
      <c r="F48" s="106"/>
    </row>
    <row r="49" spans="6:14" x14ac:dyDescent="0.3">
      <c r="F49" s="106"/>
    </row>
    <row r="50" spans="6:14" x14ac:dyDescent="0.3">
      <c r="F50" s="106"/>
      <c r="L50" s="148"/>
      <c r="N50" s="148"/>
    </row>
    <row r="51" spans="6:14" x14ac:dyDescent="0.3">
      <c r="F51" s="106"/>
    </row>
    <row r="52" spans="6:14" x14ac:dyDescent="0.3">
      <c r="F52" s="106"/>
    </row>
    <row r="53" spans="6:14" x14ac:dyDescent="0.3">
      <c r="F53" s="106"/>
    </row>
    <row r="54" spans="6:14" x14ac:dyDescent="0.3">
      <c r="F54" s="106"/>
    </row>
    <row r="55" spans="6:14" x14ac:dyDescent="0.3">
      <c r="F55" s="106"/>
    </row>
    <row r="56" spans="6:14" x14ac:dyDescent="0.3">
      <c r="F56" s="106"/>
    </row>
    <row r="57" spans="6:14" x14ac:dyDescent="0.3">
      <c r="F57" s="106"/>
    </row>
    <row r="58" spans="6:14" x14ac:dyDescent="0.3">
      <c r="F58" s="106"/>
    </row>
    <row r="59" spans="6:14" x14ac:dyDescent="0.3">
      <c r="F59" s="106"/>
    </row>
    <row r="60" spans="6:14" x14ac:dyDescent="0.3">
      <c r="F60" s="106"/>
    </row>
    <row r="61" spans="6:14" x14ac:dyDescent="0.3">
      <c r="F61" s="106"/>
    </row>
    <row r="62" spans="6:14" x14ac:dyDescent="0.3">
      <c r="F62" s="106"/>
      <c r="K62" s="147"/>
    </row>
    <row r="63" spans="6:14" x14ac:dyDescent="0.3">
      <c r="F63" s="106"/>
    </row>
    <row r="64" spans="6:14" x14ac:dyDescent="0.3">
      <c r="F64" s="106"/>
    </row>
    <row r="65" spans="6:11" x14ac:dyDescent="0.3">
      <c r="F65" s="106"/>
    </row>
    <row r="68" spans="6:11" x14ac:dyDescent="0.3">
      <c r="K68" s="147"/>
    </row>
  </sheetData>
  <conditionalFormatting sqref="F33">
    <cfRule type="containsText" dxfId="2" priority="3" operator="containsText" text="Check">
      <formula>NOT(ISERROR(SEARCH("Check",F33)))</formula>
    </cfRule>
  </conditionalFormatting>
  <pageMargins left="0.25" right="0.25" top="0.75" bottom="0.75" header="0.3" footer="0.3"/>
  <pageSetup paperSize="5" scale="41" orientation="landscape" r:id="rId1"/>
  <headerFooter>
    <oddFooter>&amp;L&amp;Z&amp;F\&amp;A&amp;R&amp;P/&amp;N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735A1-AA59-4A0A-8E58-CBB67E0FD9E5}">
  <sheetPr>
    <tabColor rgb="FFFFC000"/>
    <pageSetUpPr fitToPage="1"/>
  </sheetPr>
  <dimension ref="A1:U68"/>
  <sheetViews>
    <sheetView zoomScale="80" zoomScaleNormal="80" workbookViewId="0">
      <pane xSplit="1" ySplit="3" topLeftCell="B12" activePane="bottomRight" state="frozen"/>
      <selection activeCell="N35" sqref="N35"/>
      <selection pane="topRight" activeCell="N35" sqref="N35"/>
      <selection pane="bottomLeft" activeCell="N35" sqref="N35"/>
      <selection pane="bottomRight" activeCell="N35" sqref="N35"/>
    </sheetView>
  </sheetViews>
  <sheetFormatPr defaultRowHeight="14.4" x14ac:dyDescent="0.3"/>
  <cols>
    <col min="1" max="1" width="33" bestFit="1" customWidth="1"/>
    <col min="2" max="2" width="18" style="106" hidden="1" customWidth="1"/>
    <col min="3" max="3" width="18.44140625" style="106" customWidth="1"/>
    <col min="4" max="4" width="1.5546875" customWidth="1"/>
    <col min="5" max="5" width="33.33203125" bestFit="1" customWidth="1"/>
    <col min="6" max="6" width="19.33203125" customWidth="1"/>
    <col min="7" max="8" width="1.5546875" customWidth="1"/>
    <col min="9" max="9" width="36.5546875" customWidth="1"/>
    <col min="10" max="10" width="15.44140625" bestFit="1" customWidth="1"/>
    <col min="11" max="11" width="13.5546875" bestFit="1" customWidth="1"/>
    <col min="12" max="12" width="15.88671875" bestFit="1" customWidth="1"/>
    <col min="14" max="14" width="13.44140625" customWidth="1"/>
    <col min="15" max="15" width="11" bestFit="1" customWidth="1"/>
  </cols>
  <sheetData>
    <row r="1" spans="1:14" s="212" customFormat="1" ht="21" customHeight="1" x14ac:dyDescent="0.3">
      <c r="A1" s="215" t="s">
        <v>181</v>
      </c>
      <c r="B1" s="216" t="s">
        <v>9</v>
      </c>
      <c r="C1" s="213"/>
      <c r="D1" s="214"/>
      <c r="E1" s="213" t="s">
        <v>180</v>
      </c>
      <c r="F1" s="213"/>
      <c r="H1" s="214"/>
      <c r="I1" s="213" t="s">
        <v>179</v>
      </c>
    </row>
    <row r="2" spans="1:14" x14ac:dyDescent="0.3">
      <c r="A2" s="211" t="s">
        <v>178</v>
      </c>
      <c r="B2" s="106" t="s">
        <v>177</v>
      </c>
      <c r="C2" s="227"/>
      <c r="D2" s="151"/>
      <c r="E2" s="228"/>
      <c r="F2" s="229"/>
      <c r="H2" s="151"/>
      <c r="I2" s="230"/>
      <c r="J2" s="230"/>
    </row>
    <row r="3" spans="1:14" ht="18" x14ac:dyDescent="0.3">
      <c r="B3" s="210" t="s">
        <v>175</v>
      </c>
      <c r="C3" s="216" t="s">
        <v>9</v>
      </c>
      <c r="D3" s="151"/>
      <c r="F3" s="210" t="s">
        <v>195</v>
      </c>
      <c r="H3" s="151"/>
      <c r="J3" s="210" t="s">
        <v>174</v>
      </c>
    </row>
    <row r="4" spans="1:14" x14ac:dyDescent="0.3">
      <c r="A4" t="s">
        <v>173</v>
      </c>
      <c r="B4" s="169">
        <v>999009.94</v>
      </c>
      <c r="C4" s="169">
        <v>999009.94</v>
      </c>
      <c r="D4" s="151"/>
      <c r="E4" s="177" t="s">
        <v>172</v>
      </c>
      <c r="H4" s="151"/>
    </row>
    <row r="5" spans="1:14" x14ac:dyDescent="0.3">
      <c r="A5" t="s">
        <v>86</v>
      </c>
      <c r="B5" s="183">
        <v>697177.4</v>
      </c>
      <c r="C5" s="183">
        <v>697177.4</v>
      </c>
      <c r="D5" s="151"/>
      <c r="E5" t="s">
        <v>56</v>
      </c>
      <c r="F5" s="195">
        <v>662038.61</v>
      </c>
      <c r="H5" s="151"/>
      <c r="I5" s="174" t="s">
        <v>123</v>
      </c>
      <c r="J5" s="209">
        <f>F40</f>
        <v>0.46388250404574882</v>
      </c>
    </row>
    <row r="6" spans="1:14" x14ac:dyDescent="0.3">
      <c r="A6" t="s">
        <v>88</v>
      </c>
      <c r="B6" s="183">
        <v>156892.06</v>
      </c>
      <c r="C6" s="169">
        <v>156892.06</v>
      </c>
      <c r="D6" s="151"/>
      <c r="E6" t="s">
        <v>88</v>
      </c>
      <c r="F6" s="183">
        <v>156892.06</v>
      </c>
      <c r="H6" s="151"/>
      <c r="J6" s="106"/>
      <c r="L6" s="207"/>
      <c r="N6" s="149"/>
    </row>
    <row r="7" spans="1:14" x14ac:dyDescent="0.3">
      <c r="A7" t="s">
        <v>171</v>
      </c>
      <c r="B7" s="183">
        <v>-24104</v>
      </c>
      <c r="C7" s="169">
        <v>-24104</v>
      </c>
      <c r="D7" s="151"/>
      <c r="E7" s="208" t="s">
        <v>170</v>
      </c>
      <c r="F7" s="183"/>
      <c r="H7" s="151"/>
      <c r="I7" s="205" t="s">
        <v>169</v>
      </c>
      <c r="J7" s="204">
        <f>F5</f>
        <v>662038.61</v>
      </c>
      <c r="L7" s="207"/>
      <c r="N7" s="149"/>
    </row>
    <row r="8" spans="1:14" x14ac:dyDescent="0.3">
      <c r="A8" t="s">
        <v>83</v>
      </c>
      <c r="B8" s="183">
        <v>0</v>
      </c>
      <c r="C8" s="170"/>
      <c r="D8" s="151"/>
      <c r="E8" t="s">
        <v>87</v>
      </c>
      <c r="F8" s="206">
        <v>43893</v>
      </c>
      <c r="H8" s="151"/>
      <c r="I8" s="205" t="s">
        <v>55</v>
      </c>
      <c r="J8" s="204">
        <f>F9</f>
        <v>862823.66999999993</v>
      </c>
    </row>
    <row r="9" spans="1:14" x14ac:dyDescent="0.3">
      <c r="A9" t="s">
        <v>168</v>
      </c>
      <c r="B9" s="183">
        <v>5526.67</v>
      </c>
      <c r="C9" s="183">
        <v>5526.67</v>
      </c>
      <c r="D9" s="151"/>
      <c r="E9" s="1" t="s">
        <v>55</v>
      </c>
      <c r="F9" s="217">
        <f>SUM(F5:F8)</f>
        <v>862823.66999999993</v>
      </c>
      <c r="H9" s="151"/>
      <c r="I9" s="203" t="s">
        <v>54</v>
      </c>
      <c r="J9" s="202">
        <f>J7/J8</f>
        <v>0.76729305537016623</v>
      </c>
    </row>
    <row r="10" spans="1:14" x14ac:dyDescent="0.3">
      <c r="A10" t="s">
        <v>167</v>
      </c>
      <c r="B10" s="183">
        <v>206066.67</v>
      </c>
      <c r="C10" s="183">
        <v>206066.67</v>
      </c>
      <c r="D10" s="151"/>
      <c r="F10" s="106"/>
      <c r="H10" s="151"/>
      <c r="I10" s="201"/>
      <c r="J10" s="182"/>
    </row>
    <row r="11" spans="1:14" ht="15" thickBot="1" x14ac:dyDescent="0.35">
      <c r="A11" t="s">
        <v>166</v>
      </c>
      <c r="B11" s="183">
        <v>0</v>
      </c>
      <c r="C11" s="183">
        <v>0</v>
      </c>
      <c r="D11" s="151"/>
      <c r="E11" s="21"/>
      <c r="F11" s="178"/>
      <c r="H11" s="151"/>
      <c r="J11" s="106"/>
    </row>
    <row r="12" spans="1:14" x14ac:dyDescent="0.3">
      <c r="A12" t="s">
        <v>165</v>
      </c>
      <c r="B12" s="183">
        <v>43893</v>
      </c>
      <c r="C12" s="183">
        <v>43893</v>
      </c>
      <c r="D12" s="151"/>
      <c r="F12" s="106"/>
      <c r="H12" s="151"/>
      <c r="I12" s="200"/>
    </row>
    <row r="13" spans="1:14" x14ac:dyDescent="0.3">
      <c r="A13" t="s">
        <v>164</v>
      </c>
      <c r="B13" s="183">
        <v>119054</v>
      </c>
      <c r="C13" s="183">
        <v>119054</v>
      </c>
      <c r="D13" s="151"/>
      <c r="E13" s="177" t="s">
        <v>163</v>
      </c>
      <c r="F13" s="106"/>
      <c r="H13" s="151"/>
      <c r="I13" s="200"/>
    </row>
    <row r="14" spans="1:14" x14ac:dyDescent="0.3">
      <c r="A14" s="1" t="s">
        <v>1</v>
      </c>
      <c r="B14" s="219">
        <v>2203515.7399999998</v>
      </c>
      <c r="C14" s="217">
        <v>2203515.7399999998</v>
      </c>
      <c r="D14" s="151"/>
      <c r="E14" s="177"/>
      <c r="F14" s="106"/>
      <c r="H14" s="151"/>
      <c r="I14" s="173" t="s">
        <v>52</v>
      </c>
      <c r="J14" s="198">
        <f>J5*J9</f>
        <v>0.3559338238620261</v>
      </c>
    </row>
    <row r="15" spans="1:14" x14ac:dyDescent="0.3">
      <c r="B15" s="169"/>
      <c r="C15" s="169"/>
      <c r="D15" s="151"/>
      <c r="E15" s="177" t="s">
        <v>162</v>
      </c>
      <c r="F15" s="106"/>
      <c r="H15" s="151"/>
      <c r="I15" s="173" t="s">
        <v>161</v>
      </c>
      <c r="J15" s="197">
        <f>J5-J14</f>
        <v>0.10794868018372272</v>
      </c>
    </row>
    <row r="16" spans="1:14" x14ac:dyDescent="0.3">
      <c r="B16" s="152"/>
      <c r="C16" s="152"/>
      <c r="D16" s="151"/>
      <c r="E16" t="s">
        <v>86</v>
      </c>
      <c r="F16" s="170">
        <v>697177.4</v>
      </c>
      <c r="H16" s="151"/>
      <c r="I16" t="s">
        <v>123</v>
      </c>
      <c r="J16" s="234">
        <f>F40</f>
        <v>0.46388250404574882</v>
      </c>
      <c r="L16" s="149"/>
    </row>
    <row r="17" spans="1:12" x14ac:dyDescent="0.3">
      <c r="A17" s="177" t="s">
        <v>160</v>
      </c>
      <c r="B17" s="152"/>
      <c r="C17" s="152"/>
      <c r="D17" s="196"/>
      <c r="E17" t="s">
        <v>85</v>
      </c>
      <c r="F17" s="169">
        <v>312867.32999999996</v>
      </c>
      <c r="H17" s="196"/>
    </row>
    <row r="18" spans="1:12" ht="15" thickBot="1" x14ac:dyDescent="0.35">
      <c r="A18" s="194" t="s">
        <v>159</v>
      </c>
      <c r="B18" s="169">
        <v>24104</v>
      </c>
      <c r="C18" s="169">
        <v>24104</v>
      </c>
      <c r="D18" s="151"/>
      <c r="E18" t="s">
        <v>84</v>
      </c>
      <c r="F18" s="169">
        <v>119054</v>
      </c>
      <c r="H18" s="151"/>
      <c r="I18" s="21"/>
      <c r="J18" s="178"/>
    </row>
    <row r="19" spans="1:12" x14ac:dyDescent="0.3">
      <c r="A19" s="194" t="s">
        <v>158</v>
      </c>
      <c r="B19" s="195">
        <v>662038.61</v>
      </c>
      <c r="C19" s="169">
        <v>662038.61</v>
      </c>
      <c r="D19" s="151"/>
      <c r="E19" t="s">
        <v>83</v>
      </c>
      <c r="F19" s="170">
        <v>0</v>
      </c>
      <c r="H19" s="151"/>
      <c r="J19" s="106"/>
    </row>
    <row r="20" spans="1:12" x14ac:dyDescent="0.3">
      <c r="A20" s="194" t="s">
        <v>157</v>
      </c>
      <c r="B20" s="165">
        <v>0</v>
      </c>
      <c r="C20" s="165">
        <v>0</v>
      </c>
      <c r="D20" s="151"/>
      <c r="E20" t="s">
        <v>82</v>
      </c>
      <c r="F20" s="180">
        <v>-16334.56</v>
      </c>
      <c r="H20" s="151"/>
      <c r="I20" s="192" t="s">
        <v>156</v>
      </c>
    </row>
    <row r="21" spans="1:12" x14ac:dyDescent="0.3">
      <c r="A21" s="194" t="s">
        <v>155</v>
      </c>
      <c r="B21" s="193">
        <v>312867.32999999996</v>
      </c>
      <c r="C21" s="166">
        <v>312867.32999999996</v>
      </c>
      <c r="D21" s="151"/>
      <c r="E21" s="1" t="s">
        <v>81</v>
      </c>
      <c r="F21" s="179">
        <f>SUM(F16:F20)</f>
        <v>1112764.17</v>
      </c>
      <c r="H21" s="151"/>
      <c r="I21" s="192"/>
    </row>
    <row r="22" spans="1:12" x14ac:dyDescent="0.3">
      <c r="A22" s="191" t="s">
        <v>154</v>
      </c>
      <c r="B22" s="190">
        <v>999009.94</v>
      </c>
      <c r="C22" s="190">
        <v>999009.94</v>
      </c>
      <c r="D22" s="151"/>
      <c r="F22" s="106"/>
      <c r="H22" s="151"/>
      <c r="I22" t="s">
        <v>153</v>
      </c>
      <c r="J22" s="189">
        <f>F28</f>
        <v>747240.59947263123</v>
      </c>
    </row>
    <row r="23" spans="1:12" x14ac:dyDescent="0.3">
      <c r="A23" s="173" t="s">
        <v>152</v>
      </c>
      <c r="B23" s="169">
        <v>119054</v>
      </c>
      <c r="C23" s="169">
        <v>119054</v>
      </c>
      <c r="D23" s="151"/>
      <c r="E23" s="177" t="s">
        <v>151</v>
      </c>
      <c r="F23" s="106"/>
      <c r="H23" s="151"/>
      <c r="I23" s="173" t="s">
        <v>150</v>
      </c>
      <c r="J23" s="188">
        <v>0</v>
      </c>
    </row>
    <row r="24" spans="1:12" x14ac:dyDescent="0.3">
      <c r="B24" s="218">
        <v>1118063.94</v>
      </c>
      <c r="C24" s="218">
        <v>1118063.94</v>
      </c>
      <c r="D24" s="151"/>
      <c r="E24" t="s">
        <v>149</v>
      </c>
      <c r="F24" s="169">
        <v>1110207</v>
      </c>
      <c r="H24" s="151"/>
      <c r="I24" s="173" t="s">
        <v>148</v>
      </c>
      <c r="J24" s="187"/>
      <c r="L24" s="149"/>
    </row>
    <row r="25" spans="1:12" x14ac:dyDescent="0.3">
      <c r="D25" s="151"/>
      <c r="E25" s="181" t="s">
        <v>79</v>
      </c>
      <c r="F25" s="185">
        <v>-346631.84052736877</v>
      </c>
      <c r="H25" s="151"/>
      <c r="I25" s="172" t="s">
        <v>147</v>
      </c>
      <c r="J25" s="184"/>
    </row>
    <row r="26" spans="1:12" x14ac:dyDescent="0.3">
      <c r="A26" s="177" t="s">
        <v>146</v>
      </c>
      <c r="D26" s="151"/>
      <c r="E26" s="181" t="s">
        <v>78</v>
      </c>
      <c r="F26" s="165">
        <v>0</v>
      </c>
      <c r="H26" s="151"/>
      <c r="I26" t="s">
        <v>145</v>
      </c>
      <c r="J26" s="182">
        <v>0</v>
      </c>
    </row>
    <row r="27" spans="1:12" x14ac:dyDescent="0.3">
      <c r="A27" s="173" t="s">
        <v>144</v>
      </c>
      <c r="B27" s="169">
        <v>0</v>
      </c>
      <c r="C27" s="169">
        <v>0</v>
      </c>
      <c r="D27" s="151"/>
      <c r="E27" s="181" t="s">
        <v>77</v>
      </c>
      <c r="F27" s="180">
        <v>-16334.56</v>
      </c>
      <c r="H27" s="151"/>
      <c r="I27" s="1" t="s">
        <v>143</v>
      </c>
      <c r="J27" s="17">
        <f>J22+J24</f>
        <v>747240.59947263123</v>
      </c>
    </row>
    <row r="28" spans="1:12" x14ac:dyDescent="0.3">
      <c r="A28" s="173" t="s">
        <v>142</v>
      </c>
      <c r="B28" s="169">
        <v>9933</v>
      </c>
      <c r="C28" s="169">
        <v>9933</v>
      </c>
      <c r="D28" s="151"/>
      <c r="E28" s="1" t="s">
        <v>141</v>
      </c>
      <c r="F28" s="179">
        <f>SUM(F24:F27)</f>
        <v>747240.59947263123</v>
      </c>
      <c r="H28" s="151"/>
    </row>
    <row r="29" spans="1:12" x14ac:dyDescent="0.3">
      <c r="A29" s="173" t="s">
        <v>140</v>
      </c>
      <c r="B29" s="169">
        <v>0</v>
      </c>
      <c r="C29" s="169">
        <v>0</v>
      </c>
      <c r="D29" s="151"/>
      <c r="F29" s="106"/>
      <c r="H29" s="151"/>
      <c r="I29" t="s">
        <v>139</v>
      </c>
      <c r="J29" s="106">
        <f>F28*F34</f>
        <v>346631.84040801064</v>
      </c>
    </row>
    <row r="30" spans="1:12" x14ac:dyDescent="0.3">
      <c r="A30" s="173" t="s">
        <v>138</v>
      </c>
      <c r="B30" s="169">
        <v>5526.67</v>
      </c>
      <c r="C30" s="169">
        <v>5526.67</v>
      </c>
      <c r="D30" s="151"/>
      <c r="E30" s="1" t="s">
        <v>137</v>
      </c>
      <c r="F30" s="179">
        <f>F21+F28</f>
        <v>1860004.7694726312</v>
      </c>
      <c r="H30" s="151"/>
    </row>
    <row r="31" spans="1:12" x14ac:dyDescent="0.3">
      <c r="A31" s="173" t="s">
        <v>136</v>
      </c>
      <c r="B31" s="169">
        <v>206066.67</v>
      </c>
      <c r="C31" s="169">
        <v>206066.67</v>
      </c>
      <c r="D31" s="151"/>
      <c r="F31" s="106"/>
      <c r="H31" s="151"/>
    </row>
    <row r="32" spans="1:12" ht="15" thickBot="1" x14ac:dyDescent="0.35">
      <c r="A32" s="173" t="s">
        <v>135</v>
      </c>
      <c r="B32" s="169">
        <v>0</v>
      </c>
      <c r="C32" s="169">
        <v>0</v>
      </c>
      <c r="D32" s="151"/>
      <c r="E32" s="21"/>
      <c r="F32" s="178"/>
      <c r="H32" s="151"/>
      <c r="I32" s="177" t="s">
        <v>134</v>
      </c>
    </row>
    <row r="33" spans="1:15" x14ac:dyDescent="0.3">
      <c r="A33" s="176" t="s">
        <v>133</v>
      </c>
      <c r="B33" s="217">
        <v>221526.34000000003</v>
      </c>
      <c r="C33" s="217">
        <v>221526.34000000003</v>
      </c>
      <c r="D33" s="151"/>
      <c r="F33" s="152" t="s">
        <v>132</v>
      </c>
      <c r="H33" s="151"/>
    </row>
    <row r="34" spans="1:15" x14ac:dyDescent="0.3">
      <c r="A34" s="173"/>
      <c r="D34" s="151"/>
      <c r="E34" s="174" t="s">
        <v>131</v>
      </c>
      <c r="F34" s="232">
        <f>F9/F30</f>
        <v>0.46388250404574882</v>
      </c>
      <c r="H34" s="151"/>
      <c r="I34" s="164" t="s">
        <v>130</v>
      </c>
      <c r="J34" s="231">
        <f>J29/J27</f>
        <v>0.46388250404574882</v>
      </c>
      <c r="K34" s="152"/>
      <c r="N34" s="148"/>
    </row>
    <row r="35" spans="1:15" x14ac:dyDescent="0.3">
      <c r="A35" s="173" t="s">
        <v>129</v>
      </c>
      <c r="B35" s="169">
        <v>1981989.3999999997</v>
      </c>
      <c r="C35" s="169">
        <v>1981989.3999999997</v>
      </c>
      <c r="D35" s="151"/>
      <c r="F35" s="106"/>
      <c r="H35" s="151"/>
      <c r="I35" s="168" t="s">
        <v>128</v>
      </c>
      <c r="J35" s="231">
        <f>J40/J27</f>
        <v>0.35593382386202604</v>
      </c>
      <c r="O35" s="3"/>
    </row>
    <row r="36" spans="1:15" x14ac:dyDescent="0.3">
      <c r="A36" s="172" t="s">
        <v>70</v>
      </c>
      <c r="B36" s="171">
        <v>0</v>
      </c>
      <c r="C36" s="167"/>
      <c r="D36" s="151"/>
      <c r="E36" t="s">
        <v>127</v>
      </c>
      <c r="F36" s="169">
        <f>F34*F28</f>
        <v>346631.84040801064</v>
      </c>
      <c r="H36" s="151"/>
      <c r="I36" s="168" t="s">
        <v>126</v>
      </c>
      <c r="J36" s="231">
        <f>J41/J27</f>
        <v>0.10794868018372272</v>
      </c>
      <c r="L36" s="149"/>
    </row>
    <row r="37" spans="1:15" x14ac:dyDescent="0.3">
      <c r="D37" s="151"/>
      <c r="E37" t="s">
        <v>125</v>
      </c>
      <c r="F37" s="166">
        <v>0</v>
      </c>
      <c r="H37" s="151"/>
    </row>
    <row r="38" spans="1:15" x14ac:dyDescent="0.3">
      <c r="B38"/>
      <c r="C38"/>
      <c r="D38" s="151"/>
      <c r="E38" s="164" t="s">
        <v>124</v>
      </c>
      <c r="F38" s="163">
        <v>346631.84040801064</v>
      </c>
      <c r="H38" s="151"/>
      <c r="M38" s="148"/>
    </row>
    <row r="39" spans="1:15" x14ac:dyDescent="0.3">
      <c r="B39"/>
      <c r="C39"/>
      <c r="D39" s="151"/>
      <c r="H39" s="151"/>
      <c r="I39" s="162"/>
      <c r="J39" s="162"/>
    </row>
    <row r="40" spans="1:15" x14ac:dyDescent="0.3">
      <c r="D40" s="151"/>
      <c r="E40" s="82" t="s">
        <v>123</v>
      </c>
      <c r="F40" s="233">
        <f>F34</f>
        <v>0.46388250404574882</v>
      </c>
      <c r="H40" s="151"/>
      <c r="I40" s="161" t="s">
        <v>122</v>
      </c>
      <c r="J40" s="160">
        <f>F28*J14</f>
        <v>265968.2039152463</v>
      </c>
      <c r="K40" s="44"/>
      <c r="N40" s="148"/>
    </row>
    <row r="41" spans="1:15" x14ac:dyDescent="0.3">
      <c r="B41"/>
      <c r="C41"/>
      <c r="D41" s="151"/>
      <c r="H41" s="151"/>
      <c r="I41" s="161" t="s">
        <v>121</v>
      </c>
      <c r="J41" s="159">
        <f>F28*J15</f>
        <v>80663.636492764315</v>
      </c>
      <c r="K41" s="44"/>
    </row>
    <row r="42" spans="1:15" x14ac:dyDescent="0.3">
      <c r="B42"/>
      <c r="C42"/>
      <c r="D42" s="151"/>
      <c r="E42" s="158" t="s">
        <v>120</v>
      </c>
      <c r="F42" s="157">
        <v>0</v>
      </c>
      <c r="H42" s="151"/>
      <c r="I42" s="156" t="s">
        <v>119</v>
      </c>
      <c r="J42" s="155">
        <f>J40+J41</f>
        <v>346631.84040801064</v>
      </c>
    </row>
    <row r="43" spans="1:15" x14ac:dyDescent="0.3">
      <c r="B43"/>
      <c r="C43"/>
      <c r="D43" s="151"/>
      <c r="H43" s="151"/>
      <c r="I43" s="154"/>
      <c r="J43" s="153"/>
      <c r="K43" s="150"/>
    </row>
    <row r="44" spans="1:15" x14ac:dyDescent="0.3">
      <c r="B44"/>
      <c r="C44"/>
      <c r="D44" s="151"/>
      <c r="H44" s="151"/>
      <c r="L44" s="150"/>
    </row>
    <row r="45" spans="1:15" x14ac:dyDescent="0.3">
      <c r="B45"/>
      <c r="C45"/>
      <c r="F45" s="149"/>
      <c r="K45" s="3"/>
    </row>
    <row r="46" spans="1:15" x14ac:dyDescent="0.3">
      <c r="F46" s="106"/>
      <c r="L46" s="3"/>
    </row>
    <row r="47" spans="1:15" x14ac:dyDescent="0.3">
      <c r="F47" s="106"/>
    </row>
    <row r="48" spans="1:15" x14ac:dyDescent="0.3">
      <c r="F48" s="106"/>
    </row>
    <row r="49" spans="6:14" x14ac:dyDescent="0.3">
      <c r="F49" s="106"/>
    </row>
    <row r="50" spans="6:14" x14ac:dyDescent="0.3">
      <c r="F50" s="106"/>
      <c r="L50" s="148"/>
      <c r="N50" s="148"/>
    </row>
    <row r="51" spans="6:14" x14ac:dyDescent="0.3">
      <c r="F51" s="106"/>
    </row>
    <row r="52" spans="6:14" x14ac:dyDescent="0.3">
      <c r="F52" s="106"/>
    </row>
    <row r="53" spans="6:14" x14ac:dyDescent="0.3">
      <c r="F53" s="106"/>
    </row>
    <row r="54" spans="6:14" x14ac:dyDescent="0.3">
      <c r="F54" s="106"/>
    </row>
    <row r="55" spans="6:14" x14ac:dyDescent="0.3">
      <c r="F55" s="106"/>
    </row>
    <row r="56" spans="6:14" x14ac:dyDescent="0.3">
      <c r="F56" s="106"/>
    </row>
    <row r="57" spans="6:14" x14ac:dyDescent="0.3">
      <c r="F57" s="106"/>
    </row>
    <row r="58" spans="6:14" x14ac:dyDescent="0.3">
      <c r="F58" s="106"/>
    </row>
    <row r="59" spans="6:14" x14ac:dyDescent="0.3">
      <c r="F59" s="106"/>
    </row>
    <row r="60" spans="6:14" x14ac:dyDescent="0.3">
      <c r="F60" s="106"/>
    </row>
    <row r="61" spans="6:14" x14ac:dyDescent="0.3">
      <c r="F61" s="106"/>
    </row>
    <row r="62" spans="6:14" x14ac:dyDescent="0.3">
      <c r="F62" s="106"/>
      <c r="K62" s="147"/>
    </row>
    <row r="63" spans="6:14" x14ac:dyDescent="0.3">
      <c r="F63" s="106"/>
    </row>
    <row r="64" spans="6:14" x14ac:dyDescent="0.3">
      <c r="F64" s="106"/>
    </row>
    <row r="65" spans="6:11" x14ac:dyDescent="0.3">
      <c r="F65" s="106"/>
    </row>
    <row r="68" spans="6:11" x14ac:dyDescent="0.3">
      <c r="K68" s="147"/>
    </row>
  </sheetData>
  <conditionalFormatting sqref="F33">
    <cfRule type="containsText" dxfId="1" priority="3" operator="containsText" text="Check">
      <formula>NOT(ISERROR(SEARCH("Check",F33)))</formula>
    </cfRule>
  </conditionalFormatting>
  <pageMargins left="0.25" right="0.25" top="0.75" bottom="0.75" header="0.3" footer="0.3"/>
  <pageSetup paperSize="5" scale="41" orientation="landscape" r:id="rId1"/>
  <headerFooter>
    <oddFooter>&amp;L&amp;Z&amp;F\&amp;A&amp;R&amp;P/&amp;N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13A2D-4977-42BE-8722-3031236F0D65}">
  <sheetPr>
    <tabColor rgb="FFFFC000"/>
    <pageSetUpPr fitToPage="1"/>
  </sheetPr>
  <dimension ref="A1:U68"/>
  <sheetViews>
    <sheetView zoomScale="80" zoomScaleNormal="80" workbookViewId="0">
      <pane xSplit="1" ySplit="3" topLeftCell="B7" activePane="bottomRight" state="frozen"/>
      <selection activeCell="N35" sqref="N35"/>
      <selection pane="topRight" activeCell="N35" sqref="N35"/>
      <selection pane="bottomLeft" activeCell="N35" sqref="N35"/>
      <selection pane="bottomRight" activeCell="N35" sqref="N35"/>
    </sheetView>
  </sheetViews>
  <sheetFormatPr defaultRowHeight="14.4" x14ac:dyDescent="0.3"/>
  <cols>
    <col min="1" max="1" width="33" bestFit="1" customWidth="1"/>
    <col min="2" max="2" width="18" style="106" hidden="1" customWidth="1"/>
    <col min="3" max="3" width="18.44140625" style="106" customWidth="1"/>
    <col min="4" max="4" width="1.5546875" customWidth="1"/>
    <col min="5" max="5" width="33.33203125" bestFit="1" customWidth="1"/>
    <col min="6" max="6" width="19.33203125" customWidth="1"/>
    <col min="7" max="8" width="1.5546875" customWidth="1"/>
    <col min="9" max="9" width="36.5546875" customWidth="1"/>
    <col min="10" max="10" width="15.44140625" bestFit="1" customWidth="1"/>
    <col min="11" max="11" width="13.5546875" bestFit="1" customWidth="1"/>
    <col min="12" max="12" width="15.88671875" bestFit="1" customWidth="1"/>
    <col min="14" max="14" width="13.44140625" customWidth="1"/>
    <col min="15" max="15" width="11" bestFit="1" customWidth="1"/>
  </cols>
  <sheetData>
    <row r="1" spans="1:14" s="212" customFormat="1" ht="21" customHeight="1" x14ac:dyDescent="0.3">
      <c r="A1" s="215" t="s">
        <v>181</v>
      </c>
      <c r="B1" s="216" t="s">
        <v>8</v>
      </c>
      <c r="C1" s="213"/>
      <c r="D1" s="214"/>
      <c r="E1" s="213" t="s">
        <v>180</v>
      </c>
      <c r="F1" s="213"/>
      <c r="H1" s="214"/>
      <c r="I1" s="213" t="s">
        <v>179</v>
      </c>
    </row>
    <row r="2" spans="1:14" x14ac:dyDescent="0.3">
      <c r="A2" s="211" t="s">
        <v>178</v>
      </c>
      <c r="B2" s="106" t="s">
        <v>177</v>
      </c>
      <c r="C2" s="227"/>
      <c r="D2" s="151"/>
      <c r="E2" s="228"/>
      <c r="F2" s="229"/>
      <c r="H2" s="151"/>
      <c r="I2" s="230"/>
      <c r="J2" s="230"/>
    </row>
    <row r="3" spans="1:14" ht="18" x14ac:dyDescent="0.3">
      <c r="B3" s="210" t="s">
        <v>175</v>
      </c>
      <c r="C3" s="216" t="s">
        <v>8</v>
      </c>
      <c r="D3" s="151"/>
      <c r="F3" s="210" t="s">
        <v>196</v>
      </c>
      <c r="H3" s="151"/>
      <c r="J3" s="210" t="s">
        <v>174</v>
      </c>
    </row>
    <row r="4" spans="1:14" x14ac:dyDescent="0.3">
      <c r="A4" t="s">
        <v>173</v>
      </c>
      <c r="B4" s="169">
        <v>972361</v>
      </c>
      <c r="C4" s="169">
        <v>972361</v>
      </c>
      <c r="D4" s="151"/>
      <c r="E4" s="177" t="s">
        <v>172</v>
      </c>
      <c r="H4" s="151"/>
    </row>
    <row r="5" spans="1:14" x14ac:dyDescent="0.3">
      <c r="A5" t="s">
        <v>86</v>
      </c>
      <c r="B5" s="183">
        <v>670201.13000000012</v>
      </c>
      <c r="C5" s="183">
        <v>670201.13000000012</v>
      </c>
      <c r="D5" s="151"/>
      <c r="E5" t="s">
        <v>56</v>
      </c>
      <c r="F5" s="195">
        <v>642320.63</v>
      </c>
      <c r="H5" s="151"/>
      <c r="I5" s="174" t="s">
        <v>123</v>
      </c>
      <c r="J5" s="209">
        <f>F40</f>
        <v>0.77079443895352173</v>
      </c>
    </row>
    <row r="6" spans="1:14" x14ac:dyDescent="0.3">
      <c r="A6" t="s">
        <v>88</v>
      </c>
      <c r="B6" s="183">
        <v>161238.94</v>
      </c>
      <c r="C6" s="169">
        <v>161238.94</v>
      </c>
      <c r="D6" s="151"/>
      <c r="E6" t="s">
        <v>88</v>
      </c>
      <c r="F6" s="183">
        <v>161238.94</v>
      </c>
      <c r="H6" s="151"/>
      <c r="J6" s="106"/>
      <c r="L6" s="207"/>
      <c r="N6" s="149"/>
    </row>
    <row r="7" spans="1:14" x14ac:dyDescent="0.3">
      <c r="A7" t="s">
        <v>171</v>
      </c>
      <c r="B7" s="183">
        <v>-25004</v>
      </c>
      <c r="C7" s="169">
        <v>-25004</v>
      </c>
      <c r="D7" s="151"/>
      <c r="E7" s="208" t="s">
        <v>170</v>
      </c>
      <c r="F7" s="183"/>
      <c r="H7" s="151"/>
      <c r="I7" s="205" t="s">
        <v>169</v>
      </c>
      <c r="J7" s="204">
        <f>F5</f>
        <v>642320.63</v>
      </c>
      <c r="L7" s="207"/>
      <c r="N7" s="149"/>
    </row>
    <row r="8" spans="1:14" x14ac:dyDescent="0.3">
      <c r="A8" t="s">
        <v>83</v>
      </c>
      <c r="B8" s="183">
        <v>0</v>
      </c>
      <c r="C8" s="170"/>
      <c r="D8" s="151"/>
      <c r="E8" t="s">
        <v>87</v>
      </c>
      <c r="F8" s="206">
        <v>45972</v>
      </c>
      <c r="H8" s="151"/>
      <c r="I8" s="205" t="s">
        <v>55</v>
      </c>
      <c r="J8" s="204">
        <f>F9</f>
        <v>849531.57000000007</v>
      </c>
    </row>
    <row r="9" spans="1:14" x14ac:dyDescent="0.3">
      <c r="A9" t="s">
        <v>168</v>
      </c>
      <c r="B9" s="183">
        <v>15750.199999999999</v>
      </c>
      <c r="C9" s="183">
        <v>15750.199999999999</v>
      </c>
      <c r="D9" s="151"/>
      <c r="E9" s="1" t="s">
        <v>55</v>
      </c>
      <c r="F9" s="217">
        <f>SUM(F5:F8)</f>
        <v>849531.57000000007</v>
      </c>
      <c r="H9" s="151"/>
      <c r="I9" s="203" t="s">
        <v>54</v>
      </c>
      <c r="J9" s="202">
        <f>J7/J8</f>
        <v>0.75608800506377882</v>
      </c>
    </row>
    <row r="10" spans="1:14" x14ac:dyDescent="0.3">
      <c r="A10" t="s">
        <v>167</v>
      </c>
      <c r="B10" s="183">
        <v>206066.63</v>
      </c>
      <c r="C10" s="183">
        <v>206066.63</v>
      </c>
      <c r="D10" s="151"/>
      <c r="F10" s="106"/>
      <c r="H10" s="151"/>
      <c r="I10" s="201"/>
      <c r="J10" s="182"/>
    </row>
    <row r="11" spans="1:14" ht="15" thickBot="1" x14ac:dyDescent="0.35">
      <c r="A11" t="s">
        <v>166</v>
      </c>
      <c r="B11" s="183">
        <v>0</v>
      </c>
      <c r="C11" s="183">
        <v>0</v>
      </c>
      <c r="D11" s="151"/>
      <c r="E11" s="21"/>
      <c r="F11" s="178"/>
      <c r="H11" s="151"/>
      <c r="J11" s="106"/>
    </row>
    <row r="12" spans="1:14" x14ac:dyDescent="0.3">
      <c r="A12" t="s">
        <v>165</v>
      </c>
      <c r="B12" s="183">
        <v>45972</v>
      </c>
      <c r="C12" s="183">
        <v>45972</v>
      </c>
      <c r="D12" s="151"/>
      <c r="F12" s="106"/>
      <c r="H12" s="151"/>
      <c r="I12" s="200"/>
    </row>
    <row r="13" spans="1:14" x14ac:dyDescent="0.3">
      <c r="A13" t="s">
        <v>164</v>
      </c>
      <c r="B13" s="183">
        <v>124694</v>
      </c>
      <c r="C13" s="183">
        <v>124694</v>
      </c>
      <c r="D13" s="151"/>
      <c r="E13" s="177" t="s">
        <v>163</v>
      </c>
      <c r="F13" s="106"/>
      <c r="H13" s="151"/>
      <c r="I13" s="200"/>
    </row>
    <row r="14" spans="1:14" x14ac:dyDescent="0.3">
      <c r="A14" s="1" t="s">
        <v>1</v>
      </c>
      <c r="B14" s="219">
        <v>2171279.9</v>
      </c>
      <c r="C14" s="217">
        <v>2171279.9</v>
      </c>
      <c r="D14" s="151"/>
      <c r="E14" s="177"/>
      <c r="F14" s="106"/>
      <c r="H14" s="151"/>
      <c r="I14" s="173" t="s">
        <v>52</v>
      </c>
      <c r="J14" s="198">
        <f>J5*J9</f>
        <v>0.5827884296626229</v>
      </c>
    </row>
    <row r="15" spans="1:14" x14ac:dyDescent="0.3">
      <c r="B15" s="169"/>
      <c r="C15" s="169"/>
      <c r="D15" s="151"/>
      <c r="E15" s="177" t="s">
        <v>162</v>
      </c>
      <c r="F15" s="106"/>
      <c r="H15" s="151"/>
      <c r="I15" s="173" t="s">
        <v>161</v>
      </c>
      <c r="J15" s="197">
        <f>J5-J14</f>
        <v>0.18800600929089883</v>
      </c>
    </row>
    <row r="16" spans="1:14" x14ac:dyDescent="0.3">
      <c r="B16" s="152"/>
      <c r="C16" s="152"/>
      <c r="D16" s="151"/>
      <c r="E16" t="s">
        <v>86</v>
      </c>
      <c r="F16" s="170">
        <v>670201.13000000012</v>
      </c>
      <c r="H16" s="151"/>
      <c r="I16" t="s">
        <v>123</v>
      </c>
      <c r="J16" s="234">
        <f>F40</f>
        <v>0.77079443895352173</v>
      </c>
      <c r="L16" s="149"/>
    </row>
    <row r="17" spans="1:12" x14ac:dyDescent="0.3">
      <c r="A17" s="177" t="s">
        <v>160</v>
      </c>
      <c r="B17" s="152"/>
      <c r="C17" s="152"/>
      <c r="D17" s="196"/>
      <c r="E17" t="s">
        <v>85</v>
      </c>
      <c r="F17" s="169">
        <v>305036.37</v>
      </c>
      <c r="H17" s="196"/>
    </row>
    <row r="18" spans="1:12" ht="15" thickBot="1" x14ac:dyDescent="0.35">
      <c r="A18" s="194" t="s">
        <v>159</v>
      </c>
      <c r="B18" s="169">
        <v>25004</v>
      </c>
      <c r="C18" s="169">
        <v>25004</v>
      </c>
      <c r="D18" s="151"/>
      <c r="E18" t="s">
        <v>84</v>
      </c>
      <c r="F18" s="169">
        <v>124694</v>
      </c>
      <c r="H18" s="151"/>
      <c r="I18" s="21"/>
      <c r="J18" s="178"/>
    </row>
    <row r="19" spans="1:12" x14ac:dyDescent="0.3">
      <c r="A19" s="194" t="s">
        <v>158</v>
      </c>
      <c r="B19" s="195">
        <v>642320.63</v>
      </c>
      <c r="C19" s="169">
        <v>642320.63</v>
      </c>
      <c r="D19" s="151"/>
      <c r="E19" t="s">
        <v>83</v>
      </c>
      <c r="F19" s="170">
        <v>0</v>
      </c>
      <c r="H19" s="151"/>
      <c r="J19" s="106"/>
    </row>
    <row r="20" spans="1:12" x14ac:dyDescent="0.3">
      <c r="A20" s="194" t="s">
        <v>157</v>
      </c>
      <c r="B20" s="165">
        <v>0</v>
      </c>
      <c r="C20" s="165">
        <v>0</v>
      </c>
      <c r="D20" s="151"/>
      <c r="E20" t="s">
        <v>82</v>
      </c>
      <c r="F20" s="180">
        <v>-14569.97</v>
      </c>
      <c r="H20" s="151"/>
      <c r="I20" s="192" t="s">
        <v>156</v>
      </c>
    </row>
    <row r="21" spans="1:12" x14ac:dyDescent="0.3">
      <c r="A21" s="194" t="s">
        <v>155</v>
      </c>
      <c r="B21" s="193">
        <v>305036.37</v>
      </c>
      <c r="C21" s="166">
        <v>305036.37</v>
      </c>
      <c r="D21" s="151"/>
      <c r="E21" s="1" t="s">
        <v>81</v>
      </c>
      <c r="F21" s="179">
        <f>SUM(F16:F20)</f>
        <v>1085361.53</v>
      </c>
      <c r="H21" s="151"/>
      <c r="I21" s="192"/>
    </row>
    <row r="22" spans="1:12" x14ac:dyDescent="0.3">
      <c r="A22" s="191" t="s">
        <v>154</v>
      </c>
      <c r="B22" s="190">
        <v>972361</v>
      </c>
      <c r="C22" s="190">
        <v>972361</v>
      </c>
      <c r="D22" s="151"/>
      <c r="F22" s="106"/>
      <c r="H22" s="151"/>
      <c r="I22" t="s">
        <v>153</v>
      </c>
      <c r="J22" s="189">
        <f>F28</f>
        <v>16789.0915760672</v>
      </c>
    </row>
    <row r="23" spans="1:12" x14ac:dyDescent="0.3">
      <c r="A23" s="173" t="s">
        <v>152</v>
      </c>
      <c r="B23" s="169">
        <v>124694</v>
      </c>
      <c r="C23" s="169">
        <v>124694</v>
      </c>
      <c r="D23" s="151"/>
      <c r="E23" s="177" t="s">
        <v>151</v>
      </c>
      <c r="F23" s="106"/>
      <c r="H23" s="151"/>
      <c r="I23" s="173" t="s">
        <v>150</v>
      </c>
      <c r="J23" s="188">
        <v>0</v>
      </c>
    </row>
    <row r="24" spans="1:12" x14ac:dyDescent="0.3">
      <c r="B24" s="218">
        <v>1097055</v>
      </c>
      <c r="C24" s="218">
        <v>1097055</v>
      </c>
      <c r="D24" s="151"/>
      <c r="E24" t="s">
        <v>149</v>
      </c>
      <c r="F24" s="169">
        <v>44300</v>
      </c>
      <c r="H24" s="151"/>
      <c r="I24" s="173" t="s">
        <v>148</v>
      </c>
      <c r="J24" s="187"/>
      <c r="L24" s="149"/>
    </row>
    <row r="25" spans="1:12" x14ac:dyDescent="0.3">
      <c r="D25" s="151"/>
      <c r="E25" s="181" t="s">
        <v>79</v>
      </c>
      <c r="F25" s="185">
        <v>-12940.938423932801</v>
      </c>
      <c r="H25" s="151"/>
      <c r="I25" s="172" t="s">
        <v>147</v>
      </c>
      <c r="J25" s="184"/>
    </row>
    <row r="26" spans="1:12" x14ac:dyDescent="0.3">
      <c r="A26" s="177" t="s">
        <v>146</v>
      </c>
      <c r="D26" s="151"/>
      <c r="E26" s="181" t="s">
        <v>78</v>
      </c>
      <c r="F26" s="165">
        <v>0</v>
      </c>
      <c r="H26" s="151"/>
      <c r="I26" t="s">
        <v>145</v>
      </c>
      <c r="J26" s="182">
        <v>0</v>
      </c>
    </row>
    <row r="27" spans="1:12" x14ac:dyDescent="0.3">
      <c r="A27" s="173" t="s">
        <v>144</v>
      </c>
      <c r="B27" s="169">
        <v>0</v>
      </c>
      <c r="C27" s="169">
        <v>0</v>
      </c>
      <c r="D27" s="151"/>
      <c r="E27" s="181" t="s">
        <v>77</v>
      </c>
      <c r="F27" s="180">
        <v>-14569.97</v>
      </c>
      <c r="H27" s="151"/>
      <c r="I27" s="1" t="s">
        <v>143</v>
      </c>
      <c r="J27" s="17">
        <f>J22+J24</f>
        <v>16789.0915760672</v>
      </c>
    </row>
    <row r="28" spans="1:12" x14ac:dyDescent="0.3">
      <c r="A28" s="173" t="s">
        <v>142</v>
      </c>
      <c r="B28" s="169">
        <v>9499</v>
      </c>
      <c r="C28" s="169">
        <v>9499</v>
      </c>
      <c r="D28" s="151"/>
      <c r="E28" s="1" t="s">
        <v>141</v>
      </c>
      <c r="F28" s="179">
        <f>SUM(F24:F27)</f>
        <v>16789.0915760672</v>
      </c>
      <c r="H28" s="151"/>
    </row>
    <row r="29" spans="1:12" x14ac:dyDescent="0.3">
      <c r="A29" s="173" t="s">
        <v>140</v>
      </c>
      <c r="B29" s="169">
        <v>0</v>
      </c>
      <c r="C29" s="169">
        <v>0</v>
      </c>
      <c r="D29" s="151"/>
      <c r="F29" s="106"/>
      <c r="H29" s="151"/>
      <c r="I29" t="s">
        <v>139</v>
      </c>
      <c r="J29" s="106">
        <f>F28*F34</f>
        <v>12940.938421914016</v>
      </c>
    </row>
    <row r="30" spans="1:12" x14ac:dyDescent="0.3">
      <c r="A30" s="173" t="s">
        <v>138</v>
      </c>
      <c r="B30" s="169">
        <v>15750.199999999999</v>
      </c>
      <c r="C30" s="169">
        <v>15750.199999999999</v>
      </c>
      <c r="D30" s="151"/>
      <c r="E30" s="1" t="s">
        <v>137</v>
      </c>
      <c r="F30" s="179">
        <f>F21+F28</f>
        <v>1102150.6215760673</v>
      </c>
      <c r="H30" s="151"/>
    </row>
    <row r="31" spans="1:12" x14ac:dyDescent="0.3">
      <c r="A31" s="173" t="s">
        <v>136</v>
      </c>
      <c r="B31" s="169">
        <v>206066.63</v>
      </c>
      <c r="C31" s="169">
        <v>206066.63</v>
      </c>
      <c r="D31" s="151"/>
      <c r="F31" s="106"/>
      <c r="H31" s="151"/>
    </row>
    <row r="32" spans="1:12" ht="15" thickBot="1" x14ac:dyDescent="0.35">
      <c r="A32" s="173" t="s">
        <v>135</v>
      </c>
      <c r="B32" s="169">
        <v>0</v>
      </c>
      <c r="C32" s="169">
        <v>0</v>
      </c>
      <c r="D32" s="151"/>
      <c r="E32" s="21"/>
      <c r="F32" s="178"/>
      <c r="H32" s="151"/>
      <c r="I32" s="177" t="s">
        <v>134</v>
      </c>
    </row>
    <row r="33" spans="1:15" x14ac:dyDescent="0.3">
      <c r="A33" s="176" t="s">
        <v>133</v>
      </c>
      <c r="B33" s="217">
        <v>231315.83000000002</v>
      </c>
      <c r="C33" s="217">
        <v>231315.83000000002</v>
      </c>
      <c r="D33" s="151"/>
      <c r="F33" s="152" t="s">
        <v>132</v>
      </c>
      <c r="H33" s="151"/>
    </row>
    <row r="34" spans="1:15" x14ac:dyDescent="0.3">
      <c r="A34" s="173"/>
      <c r="D34" s="151"/>
      <c r="E34" s="174" t="s">
        <v>131</v>
      </c>
      <c r="F34" s="232">
        <f>F9/F30</f>
        <v>0.77079443895352173</v>
      </c>
      <c r="H34" s="151"/>
      <c r="I34" s="164" t="s">
        <v>130</v>
      </c>
      <c r="J34" s="231">
        <f>J29/J27</f>
        <v>0.77079443895352173</v>
      </c>
      <c r="K34" s="152"/>
      <c r="N34" s="148"/>
    </row>
    <row r="35" spans="1:15" x14ac:dyDescent="0.3">
      <c r="A35" s="173" t="s">
        <v>129</v>
      </c>
      <c r="B35" s="169">
        <v>1939964.0699999998</v>
      </c>
      <c r="C35" s="169">
        <v>1939964.0699999998</v>
      </c>
      <c r="D35" s="151"/>
      <c r="F35" s="106"/>
      <c r="H35" s="151"/>
      <c r="I35" s="168" t="s">
        <v>128</v>
      </c>
      <c r="J35" s="231">
        <f>J40/J27</f>
        <v>0.5827884296626229</v>
      </c>
      <c r="O35" s="3"/>
    </row>
    <row r="36" spans="1:15" x14ac:dyDescent="0.3">
      <c r="A36" s="172" t="s">
        <v>70</v>
      </c>
      <c r="B36" s="171">
        <v>0</v>
      </c>
      <c r="C36" s="167"/>
      <c r="D36" s="151"/>
      <c r="E36" t="s">
        <v>127</v>
      </c>
      <c r="F36" s="169">
        <f>F34*F28</f>
        <v>12940.938421914016</v>
      </c>
      <c r="H36" s="151"/>
      <c r="I36" s="168" t="s">
        <v>126</v>
      </c>
      <c r="J36" s="231">
        <f>J41/J27</f>
        <v>0.18800600929089883</v>
      </c>
      <c r="L36" s="149"/>
    </row>
    <row r="37" spans="1:15" x14ac:dyDescent="0.3">
      <c r="D37" s="151"/>
      <c r="E37" t="s">
        <v>125</v>
      </c>
      <c r="F37" s="166">
        <v>0</v>
      </c>
      <c r="H37" s="151"/>
    </row>
    <row r="38" spans="1:15" x14ac:dyDescent="0.3">
      <c r="B38"/>
      <c r="C38"/>
      <c r="D38" s="151"/>
      <c r="E38" s="164" t="s">
        <v>124</v>
      </c>
      <c r="F38" s="163">
        <v>12940.938421914016</v>
      </c>
      <c r="H38" s="151"/>
      <c r="M38" s="148"/>
    </row>
    <row r="39" spans="1:15" x14ac:dyDescent="0.3">
      <c r="B39"/>
      <c r="C39"/>
      <c r="D39" s="151"/>
      <c r="H39" s="151"/>
      <c r="I39" s="162"/>
      <c r="J39" s="162"/>
    </row>
    <row r="40" spans="1:15" x14ac:dyDescent="0.3">
      <c r="D40" s="151"/>
      <c r="E40" s="82" t="s">
        <v>123</v>
      </c>
      <c r="F40" s="233">
        <f>F34</f>
        <v>0.77079443895352173</v>
      </c>
      <c r="H40" s="151"/>
      <c r="I40" s="161" t="s">
        <v>122</v>
      </c>
      <c r="J40" s="160">
        <f>F28*J14</f>
        <v>9784.4883150781734</v>
      </c>
      <c r="K40" s="44"/>
      <c r="N40" s="148"/>
    </row>
    <row r="41" spans="1:15" x14ac:dyDescent="0.3">
      <c r="B41"/>
      <c r="C41"/>
      <c r="D41" s="151"/>
      <c r="H41" s="151"/>
      <c r="I41" s="161" t="s">
        <v>121</v>
      </c>
      <c r="J41" s="159">
        <f>F28*J15</f>
        <v>3156.4501068358413</v>
      </c>
      <c r="K41" s="44"/>
    </row>
    <row r="42" spans="1:15" x14ac:dyDescent="0.3">
      <c r="B42"/>
      <c r="C42"/>
      <c r="D42" s="151"/>
      <c r="E42" s="158" t="s">
        <v>120</v>
      </c>
      <c r="F42" s="157">
        <v>0</v>
      </c>
      <c r="H42" s="151"/>
      <c r="I42" s="156" t="s">
        <v>119</v>
      </c>
      <c r="J42" s="155">
        <f>J40+J41</f>
        <v>12940.938421914016</v>
      </c>
    </row>
    <row r="43" spans="1:15" x14ac:dyDescent="0.3">
      <c r="B43"/>
      <c r="C43"/>
      <c r="D43" s="151"/>
      <c r="H43" s="151"/>
      <c r="I43" s="154"/>
      <c r="J43" s="153"/>
      <c r="K43" s="150"/>
    </row>
    <row r="44" spans="1:15" x14ac:dyDescent="0.3">
      <c r="B44"/>
      <c r="C44"/>
      <c r="D44" s="151"/>
      <c r="H44" s="151"/>
      <c r="L44" s="150"/>
    </row>
    <row r="45" spans="1:15" x14ac:dyDescent="0.3">
      <c r="B45"/>
      <c r="C45"/>
      <c r="F45" s="149"/>
      <c r="K45" s="3"/>
    </row>
    <row r="46" spans="1:15" x14ac:dyDescent="0.3">
      <c r="F46" s="106"/>
      <c r="J46" s="44"/>
      <c r="L46" s="3"/>
    </row>
    <row r="47" spans="1:15" x14ac:dyDescent="0.3">
      <c r="F47" s="106"/>
    </row>
    <row r="48" spans="1:15" x14ac:dyDescent="0.3">
      <c r="F48" s="106"/>
    </row>
    <row r="49" spans="6:14" x14ac:dyDescent="0.3">
      <c r="F49" s="106"/>
    </row>
    <row r="50" spans="6:14" x14ac:dyDescent="0.3">
      <c r="F50" s="106"/>
      <c r="L50" s="148"/>
      <c r="N50" s="148"/>
    </row>
    <row r="51" spans="6:14" x14ac:dyDescent="0.3">
      <c r="F51" s="106"/>
    </row>
    <row r="52" spans="6:14" x14ac:dyDescent="0.3">
      <c r="F52" s="106"/>
    </row>
    <row r="53" spans="6:14" x14ac:dyDescent="0.3">
      <c r="F53" s="106"/>
    </row>
    <row r="54" spans="6:14" x14ac:dyDescent="0.3">
      <c r="F54" s="106"/>
    </row>
    <row r="55" spans="6:14" x14ac:dyDescent="0.3">
      <c r="F55" s="106"/>
    </row>
    <row r="56" spans="6:14" x14ac:dyDescent="0.3">
      <c r="F56" s="106"/>
    </row>
    <row r="57" spans="6:14" x14ac:dyDescent="0.3">
      <c r="F57" s="106"/>
    </row>
    <row r="58" spans="6:14" x14ac:dyDescent="0.3">
      <c r="F58" s="106"/>
    </row>
    <row r="59" spans="6:14" x14ac:dyDescent="0.3">
      <c r="F59" s="106"/>
    </row>
    <row r="60" spans="6:14" x14ac:dyDescent="0.3">
      <c r="F60" s="106"/>
    </row>
    <row r="61" spans="6:14" x14ac:dyDescent="0.3">
      <c r="F61" s="106"/>
    </row>
    <row r="62" spans="6:14" x14ac:dyDescent="0.3">
      <c r="F62" s="106"/>
      <c r="K62" s="147"/>
    </row>
    <row r="63" spans="6:14" x14ac:dyDescent="0.3">
      <c r="F63" s="106"/>
    </row>
    <row r="64" spans="6:14" x14ac:dyDescent="0.3">
      <c r="F64" s="106"/>
    </row>
    <row r="65" spans="6:11" x14ac:dyDescent="0.3">
      <c r="F65" s="106"/>
    </row>
    <row r="68" spans="6:11" x14ac:dyDescent="0.3">
      <c r="K68" s="147"/>
    </row>
  </sheetData>
  <conditionalFormatting sqref="F33">
    <cfRule type="containsText" dxfId="0" priority="3" operator="containsText" text="Check">
      <formula>NOT(ISERROR(SEARCH("Check",F33)))</formula>
    </cfRule>
  </conditionalFormatting>
  <pageMargins left="0.25" right="0.25" top="0.75" bottom="0.75" header="0.3" footer="0.3"/>
  <pageSetup paperSize="5" scale="41" orientation="landscape" r:id="rId1"/>
  <headerFooter>
    <oddFooter>&amp;L&amp;Z&amp;F\&amp;A&amp;R&amp;P/&amp;N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4E4DB-5D33-43FD-AE4A-8C79DE497293}">
  <dimension ref="B1:P19"/>
  <sheetViews>
    <sheetView workbookViewId="0">
      <pane xSplit="2" ySplit="1" topLeftCell="C2" activePane="bottomRight" state="frozen"/>
      <selection activeCell="F3" sqref="F3"/>
      <selection pane="topRight" activeCell="F3" sqref="F3"/>
      <selection pane="bottomLeft" activeCell="F3" sqref="F3"/>
      <selection pane="bottomRight" activeCell="G24" sqref="G24"/>
    </sheetView>
  </sheetViews>
  <sheetFormatPr defaultRowHeight="14.4" x14ac:dyDescent="0.3"/>
  <cols>
    <col min="1" max="1" width="3.21875" customWidth="1"/>
    <col min="2" max="2" width="17.6640625" customWidth="1"/>
    <col min="3" max="3" width="11.77734375" customWidth="1"/>
    <col min="4" max="4" width="11.21875" bestFit="1" customWidth="1"/>
    <col min="5" max="6" width="11.44140625" bestFit="1" customWidth="1"/>
    <col min="7" max="7" width="11.33203125" bestFit="1" customWidth="1"/>
    <col min="8" max="10" width="11.44140625" bestFit="1" customWidth="1"/>
    <col min="11" max="11" width="11.21875" customWidth="1"/>
    <col min="12" max="13" width="11.44140625" bestFit="1" customWidth="1"/>
    <col min="14" max="14" width="10.5546875" customWidth="1"/>
    <col min="15" max="15" width="14.109375" customWidth="1"/>
    <col min="16" max="16" width="12.5546875" bestFit="1" customWidth="1"/>
  </cols>
  <sheetData>
    <row r="1" spans="2:16" ht="15.6" x14ac:dyDescent="0.3">
      <c r="B1" s="1" t="s">
        <v>14</v>
      </c>
      <c r="C1" s="2" t="s">
        <v>26</v>
      </c>
      <c r="D1" s="2" t="s">
        <v>25</v>
      </c>
      <c r="E1" s="2" t="s">
        <v>24</v>
      </c>
      <c r="F1" s="2" t="s">
        <v>23</v>
      </c>
      <c r="G1" s="2" t="s">
        <v>22</v>
      </c>
      <c r="H1" s="2" t="s">
        <v>21</v>
      </c>
      <c r="I1" s="2" t="s">
        <v>20</v>
      </c>
      <c r="J1" s="2" t="s">
        <v>19</v>
      </c>
      <c r="K1" s="2" t="s">
        <v>18</v>
      </c>
      <c r="L1" s="2" t="s">
        <v>17</v>
      </c>
      <c r="M1" s="2" t="s">
        <v>16</v>
      </c>
      <c r="N1" s="2" t="s">
        <v>15</v>
      </c>
      <c r="O1" s="7" t="s">
        <v>1</v>
      </c>
    </row>
    <row r="2" spans="2:16" ht="15.6" x14ac:dyDescent="0.3">
      <c r="B2" s="1" t="s">
        <v>42</v>
      </c>
      <c r="C2" s="13">
        <v>-3999.45</v>
      </c>
      <c r="D2" s="13">
        <v>-3766.59</v>
      </c>
      <c r="E2" s="137">
        <v>-10222.549999999999</v>
      </c>
      <c r="F2" s="137">
        <v>-3792.96</v>
      </c>
      <c r="G2" s="137">
        <v>-12551.56</v>
      </c>
      <c r="H2" s="137">
        <v>-5047.13</v>
      </c>
      <c r="I2" s="137">
        <v>-26287.040000000001</v>
      </c>
      <c r="J2" s="137">
        <v>-14153.93</v>
      </c>
      <c r="K2" s="137">
        <v>-23735</v>
      </c>
      <c r="L2" s="137">
        <v>-23735</v>
      </c>
      <c r="M2" s="137">
        <v>-23735</v>
      </c>
      <c r="N2" s="137">
        <v>-23735</v>
      </c>
      <c r="O2" s="14">
        <f>SUM(C2:N2)</f>
        <v>-174761.21</v>
      </c>
    </row>
    <row r="3" spans="2:16" ht="15.6" x14ac:dyDescent="0.3">
      <c r="B3" s="1" t="s">
        <v>43</v>
      </c>
      <c r="C3" s="3">
        <f>'8400000 - M&amp;S Calculation'!B$20</f>
        <v>-10688.355114262107</v>
      </c>
      <c r="D3" s="3">
        <f>'8400000 - M&amp;S Calculation'!C$20</f>
        <v>-10688.355114262107</v>
      </c>
      <c r="E3" s="3">
        <f>'8400000 - M&amp;S Calculation'!D$20</f>
        <v>-20427.720382769534</v>
      </c>
      <c r="F3" s="3">
        <f>'8400000 - M&amp;S Calculation'!E$20</f>
        <v>-44064.217092210056</v>
      </c>
      <c r="G3" s="3">
        <f>'8400000 - M&amp;S Calculation'!F$20</f>
        <v>-51227.011922257181</v>
      </c>
      <c r="H3" s="3">
        <f>'8400000 - M&amp;S Calculation'!G$20</f>
        <v>-62856.62603041641</v>
      </c>
      <c r="I3" s="3">
        <f>'8400000 - M&amp;S Calculation'!H$20</f>
        <v>-61700.728745014443</v>
      </c>
      <c r="J3" s="3">
        <f>'8400000 - M&amp;S Calculation'!I$20</f>
        <v>-65017.734075203596</v>
      </c>
      <c r="K3" s="3">
        <f>'8400000 - M&amp;S Calculation'!J$20</f>
        <v>-57960.815656795385</v>
      </c>
      <c r="L3" s="3">
        <f>'8400000 - M&amp;S Calculation'!K$20</f>
        <v>-46363.902893247985</v>
      </c>
      <c r="M3" s="3">
        <f>'8400000 - M&amp;S Calculation'!L$20</f>
        <v>-16334.559750320061</v>
      </c>
      <c r="N3" s="3">
        <f>'8400000 - M&amp;S Calculation'!M$20</f>
        <v>-14569.973223241112</v>
      </c>
      <c r="O3" s="134">
        <f>SUM(C3:N3)</f>
        <v>-461899.99999999994</v>
      </c>
    </row>
    <row r="4" spans="2:16" x14ac:dyDescent="0.3">
      <c r="B4" s="1" t="s">
        <v>41</v>
      </c>
      <c r="C4" s="16">
        <f>C3/$O3</f>
        <v>2.3139976432695622E-2</v>
      </c>
      <c r="D4" s="16">
        <f>D3/$O3</f>
        <v>2.3139976432695622E-2</v>
      </c>
      <c r="E4" s="16">
        <f>E3/$O3</f>
        <v>4.4225417585558639E-2</v>
      </c>
      <c r="F4" s="16">
        <f>F3/$O3</f>
        <v>9.5397742135115954E-2</v>
      </c>
      <c r="G4" s="16">
        <f>G3/$O3</f>
        <v>0.11090498359440829</v>
      </c>
      <c r="H4" s="16">
        <f>H3/$O3</f>
        <v>0.13608275823861532</v>
      </c>
      <c r="I4" s="16">
        <f>I3/$O3</f>
        <v>0.13358027439925191</v>
      </c>
      <c r="J4" s="16">
        <f>J3/$O3</f>
        <v>0.1407614939926469</v>
      </c>
      <c r="K4" s="16">
        <f>K3/$O3</f>
        <v>0.12548347187009179</v>
      </c>
      <c r="L4" s="16">
        <f>L3/$O3</f>
        <v>0.1003764946812037</v>
      </c>
      <c r="M4" s="16">
        <f>M3/$O3</f>
        <v>3.5363844447542897E-2</v>
      </c>
      <c r="N4" s="16">
        <f>N3/$O3</f>
        <v>3.1543566190173442E-2</v>
      </c>
      <c r="O4" s="16">
        <f>O3/$O3</f>
        <v>1</v>
      </c>
    </row>
    <row r="5" spans="2:16" x14ac:dyDescent="0.3">
      <c r="B5" s="1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2:16" ht="15.6" x14ac:dyDescent="0.3">
      <c r="B6" s="1" t="s">
        <v>44</v>
      </c>
      <c r="C6" s="3">
        <f>C4*$P6</f>
        <v>-4812.8850991849986</v>
      </c>
      <c r="D6" s="3">
        <f>D4*$P6</f>
        <v>-4812.8850991849986</v>
      </c>
      <c r="E6" s="3">
        <f>E4*$P6</f>
        <v>-9198.4472811312116</v>
      </c>
      <c r="F6" s="3">
        <f>F4*$P6</f>
        <v>-19841.782162286607</v>
      </c>
      <c r="G6" s="3">
        <f>G4*$P6</f>
        <v>-23067.134252249714</v>
      </c>
      <c r="H6" s="3">
        <f>H4*$P6</f>
        <v>-28303.861124820072</v>
      </c>
      <c r="I6" s="3">
        <f>I4*$P6</f>
        <v>-27783.369359564615</v>
      </c>
      <c r="J6" s="3">
        <f>J4*$P6</f>
        <v>-29276.991657562776</v>
      </c>
      <c r="K6" s="3">
        <f>K4*$P6</f>
        <v>-26099.31491132512</v>
      </c>
      <c r="L6" s="3">
        <f>L4*$P6</f>
        <v>-20877.313205772796</v>
      </c>
      <c r="M6" s="3">
        <f>M4*$P6</f>
        <v>-7355.3281476548236</v>
      </c>
      <c r="N6" s="3">
        <f>N4*$P6</f>
        <v>-6560.7482416159128</v>
      </c>
      <c r="O6" s="15">
        <f>SUM(C6:N6)</f>
        <v>-207990.06054235366</v>
      </c>
      <c r="P6" s="17">
        <f>'8400000 - M&amp;S Calculation'!$L$4</f>
        <v>-207990.06054235363</v>
      </c>
    </row>
    <row r="7" spans="2:16" ht="15.6" x14ac:dyDescent="0.3">
      <c r="O7" s="8">
        <f>O6-P6</f>
        <v>0</v>
      </c>
    </row>
    <row r="8" spans="2:16" ht="16.2" thickBot="1" x14ac:dyDescent="0.35">
      <c r="O8" s="9"/>
    </row>
    <row r="9" spans="2:16" s="1" customFormat="1" ht="15.6" x14ac:dyDescent="0.3">
      <c r="B9" s="4" t="s">
        <v>14</v>
      </c>
      <c r="C9" s="5" t="s">
        <v>27</v>
      </c>
      <c r="D9" s="5" t="s">
        <v>28</v>
      </c>
      <c r="E9" s="5" t="s">
        <v>29</v>
      </c>
      <c r="F9" s="5" t="s">
        <v>30</v>
      </c>
      <c r="G9" s="5" t="s">
        <v>31</v>
      </c>
      <c r="H9" s="5" t="s">
        <v>32</v>
      </c>
      <c r="I9" s="5" t="s">
        <v>33</v>
      </c>
      <c r="J9" s="5" t="s">
        <v>34</v>
      </c>
      <c r="K9" s="5" t="s">
        <v>35</v>
      </c>
      <c r="L9" s="5" t="s">
        <v>36</v>
      </c>
      <c r="M9" s="5" t="s">
        <v>37</v>
      </c>
      <c r="N9" s="5" t="s">
        <v>38</v>
      </c>
      <c r="O9" s="10" t="s">
        <v>1</v>
      </c>
    </row>
    <row r="10" spans="2:16" ht="16.2" thickBot="1" x14ac:dyDescent="0.35">
      <c r="B10" s="6" t="s">
        <v>39</v>
      </c>
      <c r="C10" s="11">
        <f>E2</f>
        <v>-10222.549999999999</v>
      </c>
      <c r="D10" s="11">
        <f>F2</f>
        <v>-3792.96</v>
      </c>
      <c r="E10" s="11">
        <f>G2</f>
        <v>-12551.56</v>
      </c>
      <c r="F10" s="11">
        <f>H2</f>
        <v>-5047.13</v>
      </c>
      <c r="G10" s="11">
        <f>I2</f>
        <v>-26287.040000000001</v>
      </c>
      <c r="H10" s="11">
        <f>J2</f>
        <v>-14153.93</v>
      </c>
      <c r="I10" s="11">
        <f>K2</f>
        <v>-23735</v>
      </c>
      <c r="J10" s="11">
        <f>L2</f>
        <v>-23735</v>
      </c>
      <c r="K10" s="11">
        <f>M2</f>
        <v>-23735</v>
      </c>
      <c r="L10" s="11">
        <f>N2</f>
        <v>-23735</v>
      </c>
      <c r="M10" s="11">
        <f>C3</f>
        <v>-10688.355114262107</v>
      </c>
      <c r="N10" s="11">
        <f>D3</f>
        <v>-10688.355114262107</v>
      </c>
      <c r="O10" s="146">
        <f>SUM(C10:N10)</f>
        <v>-188371.88022852424</v>
      </c>
    </row>
    <row r="11" spans="2:16" ht="15.6" x14ac:dyDescent="0.3">
      <c r="O11" s="9"/>
    </row>
    <row r="12" spans="2:16" ht="16.2" thickBot="1" x14ac:dyDescent="0.35">
      <c r="O12" s="9"/>
    </row>
    <row r="13" spans="2:16" s="1" customFormat="1" ht="15.6" x14ac:dyDescent="0.3">
      <c r="B13" s="4" t="s">
        <v>14</v>
      </c>
      <c r="C13" s="5" t="s">
        <v>13</v>
      </c>
      <c r="D13" s="5" t="s">
        <v>12</v>
      </c>
      <c r="E13" s="5" t="s">
        <v>11</v>
      </c>
      <c r="F13" s="5" t="s">
        <v>10</v>
      </c>
      <c r="G13" s="5" t="s">
        <v>9</v>
      </c>
      <c r="H13" s="5" t="s">
        <v>8</v>
      </c>
      <c r="I13" s="5" t="s">
        <v>7</v>
      </c>
      <c r="J13" s="5" t="s">
        <v>6</v>
      </c>
      <c r="K13" s="5" t="s">
        <v>5</v>
      </c>
      <c r="L13" s="5" t="s">
        <v>4</v>
      </c>
      <c r="M13" s="5" t="s">
        <v>3</v>
      </c>
      <c r="N13" s="5" t="s">
        <v>2</v>
      </c>
      <c r="O13" s="10" t="s">
        <v>1</v>
      </c>
    </row>
    <row r="14" spans="2:16" ht="16.2" thickBot="1" x14ac:dyDescent="0.35">
      <c r="B14" s="6" t="s">
        <v>0</v>
      </c>
      <c r="C14" s="11">
        <f>I3</f>
        <v>-61700.728745014443</v>
      </c>
      <c r="D14" s="11">
        <f>J3</f>
        <v>-65017.734075203596</v>
      </c>
      <c r="E14" s="11">
        <f>K3</f>
        <v>-57960.815656795385</v>
      </c>
      <c r="F14" s="11">
        <f>L3</f>
        <v>-46363.902893247985</v>
      </c>
      <c r="G14" s="11">
        <f>M3</f>
        <v>-16334.559750320061</v>
      </c>
      <c r="H14" s="11">
        <f>N3</f>
        <v>-14569.973223241112</v>
      </c>
      <c r="I14" s="11">
        <f>C6</f>
        <v>-4812.8850991849986</v>
      </c>
      <c r="J14" s="11">
        <f>D6</f>
        <v>-4812.8850991849986</v>
      </c>
      <c r="K14" s="11">
        <f>E6</f>
        <v>-9198.4472811312116</v>
      </c>
      <c r="L14" s="11">
        <f>F6</f>
        <v>-19841.782162286607</v>
      </c>
      <c r="M14" s="11">
        <f>G6</f>
        <v>-23067.134252249714</v>
      </c>
      <c r="N14" s="11">
        <f>H6</f>
        <v>-28303.861124820072</v>
      </c>
      <c r="O14" s="12">
        <f>SUM(C14:N14)</f>
        <v>-351984.70936268021</v>
      </c>
    </row>
    <row r="16" spans="2:16" x14ac:dyDescent="0.3">
      <c r="B16" t="s">
        <v>115</v>
      </c>
      <c r="C16" s="3">
        <f>O3</f>
        <v>-461899.99999999994</v>
      </c>
    </row>
    <row r="17" spans="2:3" x14ac:dyDescent="0.3">
      <c r="B17" t="s">
        <v>116</v>
      </c>
      <c r="C17" s="3">
        <f>O14</f>
        <v>-351984.70936268021</v>
      </c>
    </row>
    <row r="18" spans="2:3" ht="16.2" thickBot="1" x14ac:dyDescent="0.35">
      <c r="B18" s="1" t="s">
        <v>117</v>
      </c>
      <c r="C18" s="235">
        <f>C16-C17</f>
        <v>-109915.29063731973</v>
      </c>
    </row>
    <row r="19" spans="2:3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1E4FC-E9F5-4EC2-81EF-74EF99A36FEE}">
  <sheetPr>
    <pageSetUpPr fitToPage="1"/>
  </sheetPr>
  <dimension ref="A1:R80"/>
  <sheetViews>
    <sheetView zoomScaleNormal="100" workbookViewId="0">
      <pane xSplit="1" ySplit="2" topLeftCell="B3" activePane="bottomRight" state="frozen"/>
      <selection activeCell="F3" sqref="F3"/>
      <selection pane="topRight" activeCell="F3" sqref="F3"/>
      <selection pane="bottomLeft" activeCell="F3" sqref="F3"/>
      <selection pane="bottomRight" activeCell="C73" sqref="C73"/>
    </sheetView>
  </sheetViews>
  <sheetFormatPr defaultRowHeight="14.4" x14ac:dyDescent="0.3"/>
  <cols>
    <col min="1" max="1" width="27.88671875" bestFit="1" customWidth="1"/>
    <col min="2" max="2" width="1.5546875" customWidth="1"/>
    <col min="3" max="3" width="11.88671875" bestFit="1" customWidth="1"/>
    <col min="4" max="4" width="11.77734375" customWidth="1"/>
    <col min="5" max="5" width="12.5546875" customWidth="1"/>
    <col min="6" max="6" width="12.21875" customWidth="1"/>
    <col min="7" max="7" width="12.109375" customWidth="1"/>
    <col min="8" max="8" width="11.88671875" customWidth="1"/>
    <col min="9" max="9" width="12.33203125" customWidth="1"/>
    <col min="10" max="10" width="12.6640625" customWidth="1"/>
    <col min="11" max="11" width="13.77734375" bestFit="1" customWidth="1"/>
    <col min="12" max="13" width="11.88671875" bestFit="1" customWidth="1"/>
    <col min="14" max="14" width="12.33203125" customWidth="1"/>
    <col min="15" max="15" width="13" bestFit="1" customWidth="1"/>
    <col min="16" max="16" width="6.5546875" customWidth="1"/>
    <col min="17" max="17" width="13" bestFit="1" customWidth="1"/>
  </cols>
  <sheetData>
    <row r="1" spans="1:17" ht="15" thickBot="1" x14ac:dyDescent="0.35">
      <c r="A1" s="109" t="s">
        <v>103</v>
      </c>
      <c r="B1" s="108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08"/>
    </row>
    <row r="2" spans="1:17" s="22" customFormat="1" ht="31.2" x14ac:dyDescent="0.3">
      <c r="C2" s="107" t="s">
        <v>102</v>
      </c>
      <c r="D2" s="107" t="s">
        <v>101</v>
      </c>
      <c r="E2" s="107" t="s">
        <v>100</v>
      </c>
      <c r="F2" s="107" t="s">
        <v>99</v>
      </c>
      <c r="G2" s="107" t="s">
        <v>98</v>
      </c>
      <c r="H2" s="107" t="s">
        <v>97</v>
      </c>
      <c r="I2" s="107" t="s">
        <v>96</v>
      </c>
      <c r="J2" s="107" t="s">
        <v>95</v>
      </c>
      <c r="K2" s="107" t="s">
        <v>94</v>
      </c>
      <c r="L2" s="107" t="s">
        <v>93</v>
      </c>
      <c r="M2" s="107" t="s">
        <v>92</v>
      </c>
      <c r="N2" s="107" t="s">
        <v>91</v>
      </c>
      <c r="O2" s="143" t="s">
        <v>90</v>
      </c>
      <c r="Q2" s="144" t="s">
        <v>89</v>
      </c>
    </row>
    <row r="3" spans="1:17" x14ac:dyDescent="0.3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5"/>
    </row>
    <row r="4" spans="1:17" x14ac:dyDescent="0.3">
      <c r="A4" s="102" t="s">
        <v>56</v>
      </c>
      <c r="C4" s="99">
        <f>'Jan G&amp;A_Surcharge'!$F$5</f>
        <v>651819.63</v>
      </c>
      <c r="D4" s="104">
        <f>'Feb G&amp;A_Surcharge'!$F$5</f>
        <v>606500.66</v>
      </c>
      <c r="E4" s="104">
        <f>'Mar G&amp;A_Surcharge'!$F$5</f>
        <v>669723.61</v>
      </c>
      <c r="F4" s="104">
        <f>'Apr G&amp;A_Surcharge'!$F$5</f>
        <v>614392.65</v>
      </c>
      <c r="G4" s="104">
        <f>'May G&amp;A_Surcharge'!$F$5</f>
        <v>687507.6</v>
      </c>
      <c r="H4" s="104">
        <f>'Jun G&amp;A_Surcharge'!$F$5</f>
        <v>661551.61</v>
      </c>
      <c r="I4" s="104">
        <f>'Jul G&amp;A_Surcharge'!$F$5</f>
        <v>644373.63</v>
      </c>
      <c r="J4" s="104">
        <f>'Aug G&amp;A_Surcharge'!$F$5</f>
        <v>686687.6</v>
      </c>
      <c r="K4" s="104">
        <f>'Sep G&amp;A_Surcharge'!$F$5</f>
        <v>641970.63</v>
      </c>
      <c r="L4" s="104">
        <f>'Oct G&amp;A_Surcharge'!$F$5</f>
        <v>659233.61</v>
      </c>
      <c r="M4" s="104">
        <f>'Nov G&amp;A_Surcharge'!$F$5</f>
        <v>662038.61</v>
      </c>
      <c r="N4" s="104">
        <f>'Dec G&amp;A_Surcharge'!$F$5</f>
        <v>642320.63</v>
      </c>
      <c r="O4" s="103">
        <f>SUM(C4:N4)</f>
        <v>7828120.4699999997</v>
      </c>
      <c r="Q4" s="3">
        <f>O4*1.03</f>
        <v>8062964.0840999996</v>
      </c>
    </row>
    <row r="5" spans="1:17" x14ac:dyDescent="0.3">
      <c r="A5" s="102" t="s">
        <v>88</v>
      </c>
      <c r="C5" s="99">
        <f>'Jan G&amp;A_Surcharge'!$F$6</f>
        <v>176085.68</v>
      </c>
      <c r="D5" s="104">
        <f>'Feb G&amp;A_Surcharge'!$F$6</f>
        <v>173108.59</v>
      </c>
      <c r="E5" s="104">
        <f>'Mar G&amp;A_Surcharge'!$F$6</f>
        <v>176679.29</v>
      </c>
      <c r="F5" s="104">
        <f>'Apr G&amp;A_Surcharge'!$F$6</f>
        <v>172224.88</v>
      </c>
      <c r="G5" s="104">
        <f>'May G&amp;A_Surcharge'!$F$6</f>
        <v>166272.54999999999</v>
      </c>
      <c r="H5" s="104">
        <f>'Jun G&amp;A_Surcharge'!$F$6</f>
        <v>160646.42000000001</v>
      </c>
      <c r="I5" s="104">
        <f>'Jul G&amp;A_Surcharge'!$F$6</f>
        <v>158804.9</v>
      </c>
      <c r="J5" s="104">
        <f>'Aug G&amp;A_Surcharge'!$F$6</f>
        <v>156852.04999999999</v>
      </c>
      <c r="K5" s="104">
        <f>'Sep G&amp;A_Surcharge'!$F$6</f>
        <v>157866.57</v>
      </c>
      <c r="L5" s="104">
        <f>'Oct G&amp;A_Surcharge'!$F$6</f>
        <v>157062.04</v>
      </c>
      <c r="M5" s="104">
        <f>'Nov G&amp;A_Surcharge'!$F$6</f>
        <v>156892.06</v>
      </c>
      <c r="N5" s="104">
        <f>'Dec G&amp;A_Surcharge'!$F$6</f>
        <v>161238.94</v>
      </c>
      <c r="O5" s="103">
        <f>SUM(C5:N5)</f>
        <v>1973733.9700000002</v>
      </c>
      <c r="Q5" s="3">
        <f>O5*1.03</f>
        <v>2032945.9891000004</v>
      </c>
    </row>
    <row r="6" spans="1:17" x14ac:dyDescent="0.3">
      <c r="A6" s="102" t="s">
        <v>87</v>
      </c>
      <c r="C6" s="96">
        <f>'Jan G&amp;A_Surcharge'!$F$8</f>
        <v>47172</v>
      </c>
      <c r="D6" s="101">
        <f>'Feb G&amp;A_Surcharge'!$F$8</f>
        <v>46762</v>
      </c>
      <c r="E6" s="101">
        <f>'Mar G&amp;A_Surcharge'!$F$8</f>
        <v>50591</v>
      </c>
      <c r="F6" s="101">
        <f>'Apr G&amp;A_Surcharge'!$F$8</f>
        <v>47125</v>
      </c>
      <c r="G6" s="101">
        <f>'May G&amp;A_Surcharge'!$F$8</f>
        <v>46340</v>
      </c>
      <c r="H6" s="101">
        <f>'Jun G&amp;A_Surcharge'!$F$8</f>
        <v>48211</v>
      </c>
      <c r="I6" s="101">
        <f>'Jul G&amp;A_Surcharge'!$F$8</f>
        <v>45303</v>
      </c>
      <c r="J6" s="101">
        <f>'Aug G&amp;A_Surcharge'!$F$8</f>
        <v>45643</v>
      </c>
      <c r="K6" s="101">
        <f>'Sep G&amp;A_Surcharge'!$F$8</f>
        <v>46507</v>
      </c>
      <c r="L6" s="101">
        <f>'Oct G&amp;A_Surcharge'!$F$8</f>
        <v>47034</v>
      </c>
      <c r="M6" s="101">
        <f>'Nov G&amp;A_Surcharge'!$F$8</f>
        <v>43893</v>
      </c>
      <c r="N6" s="101">
        <f>'Dec G&amp;A_Surcharge'!$F$8</f>
        <v>45972</v>
      </c>
      <c r="O6" s="100">
        <f>SUM(C6:N6)</f>
        <v>560553</v>
      </c>
      <c r="Q6" s="101">
        <f>O6*1.03</f>
        <v>577369.59</v>
      </c>
    </row>
    <row r="7" spans="1:17" x14ac:dyDescent="0.3">
      <c r="A7" s="1" t="s">
        <v>55</v>
      </c>
      <c r="C7" s="93">
        <f t="shared" ref="C7:N7" si="0">SUM(C4:C6)</f>
        <v>875077.31</v>
      </c>
      <c r="D7" s="93">
        <f t="shared" si="0"/>
        <v>826371.25</v>
      </c>
      <c r="E7" s="93">
        <f t="shared" si="0"/>
        <v>896993.9</v>
      </c>
      <c r="F7" s="93">
        <f t="shared" si="0"/>
        <v>833742.53</v>
      </c>
      <c r="G7" s="93">
        <f t="shared" si="0"/>
        <v>900120.14999999991</v>
      </c>
      <c r="H7" s="93">
        <f t="shared" si="0"/>
        <v>870409.03</v>
      </c>
      <c r="I7" s="93">
        <f t="shared" si="0"/>
        <v>848481.53</v>
      </c>
      <c r="J7" s="93">
        <f t="shared" si="0"/>
        <v>889182.64999999991</v>
      </c>
      <c r="K7" s="93">
        <f t="shared" si="0"/>
        <v>846344.2</v>
      </c>
      <c r="L7" s="93">
        <f t="shared" si="0"/>
        <v>863329.65</v>
      </c>
      <c r="M7" s="93">
        <f t="shared" si="0"/>
        <v>862823.66999999993</v>
      </c>
      <c r="N7" s="93">
        <f t="shared" si="0"/>
        <v>849531.57000000007</v>
      </c>
      <c r="O7" s="92">
        <f>SUM(C7:N7)</f>
        <v>10362407.440000001</v>
      </c>
      <c r="Q7" s="93">
        <f>SUM(Q4:Q6)</f>
        <v>10673279.6632</v>
      </c>
    </row>
    <row r="8" spans="1:17" x14ac:dyDescent="0.3"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2"/>
      <c r="Q8" s="3"/>
    </row>
    <row r="9" spans="1:17" x14ac:dyDescent="0.3">
      <c r="A9" s="97" t="s">
        <v>86</v>
      </c>
      <c r="C9" s="99">
        <f>'Jan G&amp;A_Surcharge'!$F$16</f>
        <v>736299.83000000007</v>
      </c>
      <c r="D9" s="99">
        <f>'Feb G&amp;A_Surcharge'!$F$16</f>
        <v>701788.47</v>
      </c>
      <c r="E9" s="99">
        <f>'Mar G&amp;A_Surcharge'!$F$16</f>
        <v>726187.96</v>
      </c>
      <c r="F9" s="99">
        <f>'Apr G&amp;A_Surcharge'!$F$16</f>
        <v>688571.4</v>
      </c>
      <c r="G9" s="99">
        <f>'May G&amp;A_Surcharge'!$F$16</f>
        <v>696446.4</v>
      </c>
      <c r="H9" s="99">
        <f>'Jun G&amp;A_Surcharge'!$F$16</f>
        <v>711605.96</v>
      </c>
      <c r="I9" s="99">
        <f>'Jul G&amp;A_Surcharge'!$F$16</f>
        <v>677783.19</v>
      </c>
      <c r="J9" s="99">
        <f>'Aug G&amp;A_Surcharge'!$F$16</f>
        <v>703763.89</v>
      </c>
      <c r="K9" s="99">
        <f>'Sep G&amp;A_Surcharge'!$F$16</f>
        <v>688327.4</v>
      </c>
      <c r="L9" s="99">
        <f>'Oct G&amp;A_Surcharge'!$F$16</f>
        <v>671559.89</v>
      </c>
      <c r="M9" s="99">
        <f>'Nov G&amp;A_Surcharge'!$F$16</f>
        <v>697177.4</v>
      </c>
      <c r="N9" s="99">
        <f>'Dec G&amp;A_Surcharge'!$F$16</f>
        <v>670201.13000000012</v>
      </c>
      <c r="O9" s="98">
        <f t="shared" ref="O9:O14" si="1">SUM(C9:N9)</f>
        <v>8369712.919999999</v>
      </c>
      <c r="Q9" s="3">
        <f>O9*1.03</f>
        <v>8620804.307599999</v>
      </c>
    </row>
    <row r="10" spans="1:17" x14ac:dyDescent="0.3">
      <c r="A10" s="97" t="s">
        <v>85</v>
      </c>
      <c r="C10" s="99">
        <f>'Jan G&amp;A_Surcharge'!$F$17</f>
        <v>311447.32999999996</v>
      </c>
      <c r="D10" s="99">
        <f>'Feb G&amp;A_Surcharge'!$F$17</f>
        <v>294060.32999999996</v>
      </c>
      <c r="E10" s="99">
        <f>'Mar G&amp;A_Surcharge'!$F$17</f>
        <v>314063.32999999996</v>
      </c>
      <c r="F10" s="99">
        <f>'Apr G&amp;A_Surcharge'!$F$17</f>
        <v>296487.32999999996</v>
      </c>
      <c r="G10" s="99">
        <f>'May G&amp;A_Surcharge'!$F$17</f>
        <v>324296.32999999996</v>
      </c>
      <c r="H10" s="99">
        <f>'Jun G&amp;A_Surcharge'!$F$17</f>
        <v>313645.32999999996</v>
      </c>
      <c r="I10" s="99">
        <f>'Jul G&amp;A_Surcharge'!$F$17</f>
        <v>307273.32999999996</v>
      </c>
      <c r="J10" s="99">
        <f>'Aug G&amp;A_Surcharge'!$F$17</f>
        <v>323130.32999999996</v>
      </c>
      <c r="K10" s="99">
        <f>'Sep G&amp;A_Surcharge'!$F$17</f>
        <v>305758.32999999996</v>
      </c>
      <c r="L10" s="99">
        <f>'Oct G&amp;A_Surcharge'!$F$17</f>
        <v>311946.32999999996</v>
      </c>
      <c r="M10" s="99">
        <f>'Nov G&amp;A_Surcharge'!$F$17</f>
        <v>312867.32999999996</v>
      </c>
      <c r="N10" s="99">
        <f>'Dec G&amp;A_Surcharge'!$F$17</f>
        <v>305036.37</v>
      </c>
      <c r="O10" s="98">
        <f t="shared" si="1"/>
        <v>3720012.0000000005</v>
      </c>
      <c r="Q10" s="3">
        <f>O10*1.03</f>
        <v>3831612.3600000008</v>
      </c>
    </row>
    <row r="11" spans="1:17" x14ac:dyDescent="0.3">
      <c r="A11" s="97" t="s">
        <v>84</v>
      </c>
      <c r="C11" s="99">
        <f>'Jan G&amp;A_Surcharge'!$F$18</f>
        <v>127947</v>
      </c>
      <c r="D11" s="99">
        <f>'Feb G&amp;A_Surcharge'!$F$18</f>
        <v>126833</v>
      </c>
      <c r="E11" s="99">
        <f>'Mar G&amp;A_Surcharge'!$F$18</f>
        <v>137220</v>
      </c>
      <c r="F11" s="99">
        <f>'Apr G&amp;A_Surcharge'!$F$18</f>
        <v>127818</v>
      </c>
      <c r="G11" s="99">
        <f>'May G&amp;A_Surcharge'!$F$18</f>
        <v>125690</v>
      </c>
      <c r="H11" s="99">
        <f>'Jun G&amp;A_Surcharge'!$F$18</f>
        <v>130763</v>
      </c>
      <c r="I11" s="99">
        <f>'Jul G&amp;A_Surcharge'!$F$18</f>
        <v>122876</v>
      </c>
      <c r="J11" s="99">
        <f>'Aug G&amp;A_Surcharge'!$F$18</f>
        <v>123798</v>
      </c>
      <c r="K11" s="99">
        <f>'Sep G&amp;A_Surcharge'!$F$18</f>
        <v>126142</v>
      </c>
      <c r="L11" s="99">
        <f>'Oct G&amp;A_Surcharge'!$F$18</f>
        <v>127572</v>
      </c>
      <c r="M11" s="99">
        <f>'Nov G&amp;A_Surcharge'!$F$18</f>
        <v>119054</v>
      </c>
      <c r="N11" s="99">
        <f>'Dec G&amp;A_Surcharge'!$F$18</f>
        <v>124694</v>
      </c>
      <c r="O11" s="98">
        <f t="shared" si="1"/>
        <v>1520407</v>
      </c>
      <c r="Q11" s="3">
        <f>O11*1.03</f>
        <v>1566019.21</v>
      </c>
    </row>
    <row r="12" spans="1:17" x14ac:dyDescent="0.3">
      <c r="A12" s="97" t="s">
        <v>83</v>
      </c>
      <c r="C12" s="99">
        <f>'Jan G&amp;A_Surcharge'!$F$19</f>
        <v>0</v>
      </c>
      <c r="D12" s="99">
        <f>'Feb G&amp;A_Surcharge'!$F$19</f>
        <v>0</v>
      </c>
      <c r="E12" s="99">
        <f>'Mar G&amp;A_Surcharge'!$F$19</f>
        <v>0</v>
      </c>
      <c r="F12" s="99">
        <f>'Apr G&amp;A_Surcharge'!$F$19</f>
        <v>0</v>
      </c>
      <c r="G12" s="99">
        <f>'May G&amp;A_Surcharge'!$F$19</f>
        <v>0</v>
      </c>
      <c r="H12" s="99">
        <f>'Jun G&amp;A_Surcharge'!$F$19</f>
        <v>0</v>
      </c>
      <c r="I12" s="99">
        <f>'Jul G&amp;A_Surcharge'!$F$19</f>
        <v>0</v>
      </c>
      <c r="J12" s="99">
        <f>'Aug G&amp;A_Surcharge'!$F$19</f>
        <v>0</v>
      </c>
      <c r="K12" s="99">
        <f>'Sep G&amp;A_Surcharge'!$F$19</f>
        <v>0</v>
      </c>
      <c r="L12" s="99">
        <f>'Oct G&amp;A_Surcharge'!$F$19</f>
        <v>0</v>
      </c>
      <c r="M12" s="99">
        <f>'Nov G&amp;A_Surcharge'!$F$19</f>
        <v>0</v>
      </c>
      <c r="N12" s="99">
        <f>'Dec G&amp;A_Surcharge'!$F$19</f>
        <v>0</v>
      </c>
      <c r="O12" s="98">
        <f t="shared" si="1"/>
        <v>0</v>
      </c>
      <c r="Q12" s="3"/>
    </row>
    <row r="13" spans="1:17" x14ac:dyDescent="0.3">
      <c r="A13" s="97" t="s">
        <v>82</v>
      </c>
      <c r="C13" s="96">
        <f>'8400000 - M&amp;S Calculation'!B20</f>
        <v>-10688.355114262107</v>
      </c>
      <c r="D13" s="96">
        <f>'8400000 - M&amp;S Calculation'!C20</f>
        <v>-10688.355114262107</v>
      </c>
      <c r="E13" s="96">
        <f>'8400000 - M&amp;S Calculation'!D20</f>
        <v>-20427.720382769534</v>
      </c>
      <c r="F13" s="96">
        <f>'8400000 - M&amp;S Calculation'!E20</f>
        <v>-44064.217092210056</v>
      </c>
      <c r="G13" s="96">
        <f>'8400000 - M&amp;S Calculation'!F20</f>
        <v>-51227.011922257181</v>
      </c>
      <c r="H13" s="96">
        <f>'8400000 - M&amp;S Calculation'!G20</f>
        <v>-62856.62603041641</v>
      </c>
      <c r="I13" s="96">
        <f>'8400000 - M&amp;S Calculation'!H20</f>
        <v>-61700.728745014443</v>
      </c>
      <c r="J13" s="96">
        <f>'8400000 - M&amp;S Calculation'!I20</f>
        <v>-65017.734075203596</v>
      </c>
      <c r="K13" s="96">
        <f>'8400000 - M&amp;S Calculation'!J20</f>
        <v>-57960.815656795385</v>
      </c>
      <c r="L13" s="96">
        <f>'8400000 - M&amp;S Calculation'!K20</f>
        <v>-46363.902893247985</v>
      </c>
      <c r="M13" s="96">
        <f>'8400000 - M&amp;S Calculation'!L20</f>
        <v>-16334.559750320061</v>
      </c>
      <c r="N13" s="96">
        <f>'8400000 - M&amp;S Calculation'!M20</f>
        <v>-14569.973223241112</v>
      </c>
      <c r="O13" s="95">
        <f t="shared" si="1"/>
        <v>-461899.99999999994</v>
      </c>
      <c r="Q13" s="94">
        <v>-207990</v>
      </c>
    </row>
    <row r="14" spans="1:17" x14ac:dyDescent="0.3">
      <c r="A14" s="1" t="s">
        <v>81</v>
      </c>
      <c r="C14" s="93">
        <f t="shared" ref="C14:N14" si="2">SUM(C9:C13)</f>
        <v>1165005.8048857381</v>
      </c>
      <c r="D14" s="93">
        <f t="shared" si="2"/>
        <v>1111993.4448857377</v>
      </c>
      <c r="E14" s="93">
        <f t="shared" si="2"/>
        <v>1157043.5696172304</v>
      </c>
      <c r="F14" s="93">
        <f t="shared" si="2"/>
        <v>1068812.51290779</v>
      </c>
      <c r="G14" s="93">
        <f t="shared" si="2"/>
        <v>1095205.7180777427</v>
      </c>
      <c r="H14" s="93">
        <f t="shared" si="2"/>
        <v>1093157.6639695836</v>
      </c>
      <c r="I14" s="93">
        <f t="shared" si="2"/>
        <v>1046231.7912549856</v>
      </c>
      <c r="J14" s="93">
        <f t="shared" si="2"/>
        <v>1085674.4859247964</v>
      </c>
      <c r="K14" s="93">
        <f t="shared" si="2"/>
        <v>1062266.9143432046</v>
      </c>
      <c r="L14" s="93">
        <f t="shared" si="2"/>
        <v>1064714.317106752</v>
      </c>
      <c r="M14" s="93">
        <f t="shared" si="2"/>
        <v>1112764.1702496798</v>
      </c>
      <c r="N14" s="93">
        <f t="shared" si="2"/>
        <v>1085361.526776759</v>
      </c>
      <c r="O14" s="92">
        <f t="shared" si="1"/>
        <v>13148231.92</v>
      </c>
      <c r="Q14" s="3">
        <f>SUM(Q9:Q13)</f>
        <v>13810445.877599999</v>
      </c>
    </row>
    <row r="15" spans="1:17" x14ac:dyDescent="0.3"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2"/>
    </row>
    <row r="16" spans="1:17" s="86" customFormat="1" ht="12" x14ac:dyDescent="0.25">
      <c r="A16" s="88" t="s">
        <v>80</v>
      </c>
      <c r="B16" s="88"/>
      <c r="C16" s="90">
        <f>'Jan G&amp;A_Surcharge'!$F$24</f>
        <v>977612</v>
      </c>
      <c r="D16" s="90">
        <f>'Feb G&amp;A_Surcharge'!$F$24</f>
        <v>3064086</v>
      </c>
      <c r="E16" s="90">
        <f>'Mar G&amp;A_Surcharge'!$F$24</f>
        <v>1851746</v>
      </c>
      <c r="F16" s="90">
        <f>'Apr G&amp;A_Surcharge'!$F$24</f>
        <v>3718681</v>
      </c>
      <c r="G16" s="90">
        <f>'May G&amp;A_Surcharge'!$F$24</f>
        <v>3975837</v>
      </c>
      <c r="H16" s="90">
        <f>'Jun G&amp;A_Surcharge'!$F$24</f>
        <v>4559637</v>
      </c>
      <c r="I16" s="90">
        <f>'Jul G&amp;A_Surcharge'!$F$24</f>
        <v>4480370</v>
      </c>
      <c r="J16" s="90">
        <f>'Aug G&amp;A_Surcharge'!$F$24</f>
        <v>4440170</v>
      </c>
      <c r="K16" s="90">
        <f>'Sep G&amp;A_Surcharge'!$F$24</f>
        <v>3956867</v>
      </c>
      <c r="L16" s="90">
        <f>'Oct G&amp;A_Surcharge'!$F$24</f>
        <v>3252257</v>
      </c>
      <c r="M16" s="90">
        <f>'Nov G&amp;A_Surcharge'!$F$24</f>
        <v>1110207</v>
      </c>
      <c r="N16" s="90">
        <f>'Dec G&amp;A_Surcharge'!$F$24</f>
        <v>44300</v>
      </c>
      <c r="O16" s="89">
        <f>SUM(C16:N16)</f>
        <v>35431770</v>
      </c>
      <c r="P16" s="88"/>
      <c r="Q16" s="87">
        <v>14360265</v>
      </c>
    </row>
    <row r="17" spans="1:17" s="86" customFormat="1" ht="12" x14ac:dyDescent="0.25">
      <c r="A17" s="91" t="s">
        <v>79</v>
      </c>
      <c r="B17" s="88"/>
      <c r="C17" s="90">
        <f>'Jan G&amp;A_Surcharge'!$F$25</f>
        <v>-314222.30507016956</v>
      </c>
      <c r="D17" s="90">
        <f>'Feb G&amp;A_Surcharge'!$F$25</f>
        <v>-570736.29640431108</v>
      </c>
      <c r="E17" s="90">
        <f>'Mar G&amp;A_Surcharge'!$F$25</f>
        <v>-482775.13820068975</v>
      </c>
      <c r="F17" s="90">
        <f>'Apr G&amp;A_Surcharge'!$F$25</f>
        <v>-617750.33564801177</v>
      </c>
      <c r="G17" s="90">
        <f>'May G&amp;A_Surcharge'!$F$25</f>
        <v>-673313.25169730966</v>
      </c>
      <c r="H17" s="90">
        <f>'Jun G&amp;A_Surcharge'!$F$25</f>
        <v>-676747.83200373198</v>
      </c>
      <c r="I17" s="90">
        <f>'Jul G&amp;A_Surcharge'!$F$25</f>
        <v>-663592.68679417914</v>
      </c>
      <c r="J17" s="90">
        <f>'Aug G&amp;A_Surcharge'!$F$25</f>
        <v>-686964.23305516853</v>
      </c>
      <c r="K17" s="90">
        <f>'Sep G&amp;A_Surcharge'!$F$25</f>
        <v>-638367.36737821717</v>
      </c>
      <c r="L17" s="90">
        <f>'Oct G&amp;A_Surcharge'!$F$25</f>
        <v>-612081.09798718453</v>
      </c>
      <c r="M17" s="90">
        <f>'Nov G&amp;A_Surcharge'!$F$25</f>
        <v>-346631.84052736877</v>
      </c>
      <c r="N17" s="90">
        <f>'Dec G&amp;A_Surcharge'!$F$25</f>
        <v>-12940.938423932801</v>
      </c>
      <c r="O17" s="89">
        <f>SUM(C17:N17)</f>
        <v>-6296123.3231902737</v>
      </c>
      <c r="P17" s="88"/>
      <c r="Q17" s="87">
        <v>-4413841.50346311</v>
      </c>
    </row>
    <row r="18" spans="1:17" s="86" customFormat="1" ht="12" x14ac:dyDescent="0.25">
      <c r="A18" s="91" t="s">
        <v>78</v>
      </c>
      <c r="B18" s="88"/>
      <c r="C18" s="90">
        <f>'Jan G&amp;A_Surcharge'!$F$26</f>
        <v>0</v>
      </c>
      <c r="D18" s="90">
        <f>'Feb G&amp;A_Surcharge'!$F$26</f>
        <v>0</v>
      </c>
      <c r="E18" s="90">
        <f>'Mar G&amp;A_Surcharge'!$F$26</f>
        <v>0</v>
      </c>
      <c r="F18" s="90">
        <f>'Apr G&amp;A_Surcharge'!$F$26</f>
        <v>0</v>
      </c>
      <c r="G18" s="90">
        <f>'May G&amp;A_Surcharge'!$F$26</f>
        <v>0</v>
      </c>
      <c r="H18" s="90">
        <f>'Jun G&amp;A_Surcharge'!$F$26</f>
        <v>0</v>
      </c>
      <c r="I18" s="90">
        <f>'Jul G&amp;A_Surcharge'!$F$26</f>
        <v>0</v>
      </c>
      <c r="J18" s="90">
        <f>'Aug G&amp;A_Surcharge'!$F$26</f>
        <v>0</v>
      </c>
      <c r="K18" s="90">
        <f>'Sep G&amp;A_Surcharge'!$F$26</f>
        <v>0</v>
      </c>
      <c r="L18" s="90">
        <f>'Oct G&amp;A_Surcharge'!$F$26</f>
        <v>0</v>
      </c>
      <c r="M18" s="90">
        <f>'Nov G&amp;A_Surcharge'!$F$26</f>
        <v>0</v>
      </c>
      <c r="N18" s="90">
        <f>'Dec G&amp;A_Surcharge'!$F$26</f>
        <v>0</v>
      </c>
      <c r="O18" s="89">
        <f>SUM(C18:N18)</f>
        <v>0</v>
      </c>
      <c r="P18" s="88"/>
      <c r="Q18" s="87"/>
    </row>
    <row r="19" spans="1:17" s="86" customFormat="1" ht="12" x14ac:dyDescent="0.25">
      <c r="A19" s="91" t="s">
        <v>77</v>
      </c>
      <c r="B19" s="88"/>
      <c r="C19" s="90">
        <f t="shared" ref="C19:N19" si="3">C13</f>
        <v>-10688.355114262107</v>
      </c>
      <c r="D19" s="90">
        <f t="shared" si="3"/>
        <v>-10688.355114262107</v>
      </c>
      <c r="E19" s="90">
        <f t="shared" si="3"/>
        <v>-20427.720382769534</v>
      </c>
      <c r="F19" s="90">
        <f t="shared" si="3"/>
        <v>-44064.217092210056</v>
      </c>
      <c r="G19" s="90">
        <f t="shared" si="3"/>
        <v>-51227.011922257181</v>
      </c>
      <c r="H19" s="90">
        <f t="shared" si="3"/>
        <v>-62856.62603041641</v>
      </c>
      <c r="I19" s="90">
        <f t="shared" si="3"/>
        <v>-61700.728745014443</v>
      </c>
      <c r="J19" s="90">
        <f t="shared" si="3"/>
        <v>-65017.734075203596</v>
      </c>
      <c r="K19" s="90">
        <f t="shared" si="3"/>
        <v>-57960.815656795385</v>
      </c>
      <c r="L19" s="90">
        <f t="shared" si="3"/>
        <v>-46363.902893247985</v>
      </c>
      <c r="M19" s="90">
        <f t="shared" si="3"/>
        <v>-16334.559750320061</v>
      </c>
      <c r="N19" s="90">
        <f t="shared" si="3"/>
        <v>-14569.973223241112</v>
      </c>
      <c r="O19" s="89">
        <f>SUM(C19:N19)</f>
        <v>-461899.99999999994</v>
      </c>
      <c r="P19" s="88"/>
      <c r="Q19" s="87">
        <f>'8400000 - M&amp;S Calculation'!L4</f>
        <v>-207990.06054235363</v>
      </c>
    </row>
    <row r="20" spans="1:17" x14ac:dyDescent="0.3">
      <c r="A20" t="s">
        <v>76</v>
      </c>
      <c r="C20" s="85">
        <f t="shared" ref="C20:O20" si="4">SUM(C16:C19)</f>
        <v>652701.33981556841</v>
      </c>
      <c r="D20" s="85">
        <f t="shared" si="4"/>
        <v>2482661.3484814269</v>
      </c>
      <c r="E20" s="85">
        <f t="shared" si="4"/>
        <v>1348543.1414165406</v>
      </c>
      <c r="F20" s="85">
        <f t="shared" si="4"/>
        <v>3056866.4472597782</v>
      </c>
      <c r="G20" s="85">
        <f t="shared" si="4"/>
        <v>3251296.7363804332</v>
      </c>
      <c r="H20" s="85">
        <f t="shared" si="4"/>
        <v>3820032.5419658516</v>
      </c>
      <c r="I20" s="85">
        <f t="shared" si="4"/>
        <v>3755076.5844608066</v>
      </c>
      <c r="J20" s="85">
        <f t="shared" si="4"/>
        <v>3688188.0328696277</v>
      </c>
      <c r="K20" s="85">
        <f t="shared" si="4"/>
        <v>3260538.8169649877</v>
      </c>
      <c r="L20" s="85">
        <f t="shared" si="4"/>
        <v>2593811.9991195677</v>
      </c>
      <c r="M20" s="85">
        <f t="shared" si="4"/>
        <v>747240.59972231125</v>
      </c>
      <c r="N20" s="85">
        <f t="shared" si="4"/>
        <v>16789.088352826089</v>
      </c>
      <c r="O20" s="84">
        <f t="shared" si="4"/>
        <v>28673746.676809728</v>
      </c>
      <c r="Q20" s="83">
        <f>SUM(Q16:Q19)</f>
        <v>9738433.4359945357</v>
      </c>
    </row>
    <row r="21" spans="1:17" x14ac:dyDescent="0.3">
      <c r="A21" t="s">
        <v>75</v>
      </c>
      <c r="C21" s="63">
        <f t="shared" ref="C21:O21" si="5">C14+C20</f>
        <v>1817707.1447013065</v>
      </c>
      <c r="D21" s="63">
        <f t="shared" si="5"/>
        <v>3594654.7933671647</v>
      </c>
      <c r="E21" s="63">
        <f t="shared" si="5"/>
        <v>2505586.7110337708</v>
      </c>
      <c r="F21" s="63">
        <f t="shared" si="5"/>
        <v>4125678.9601675682</v>
      </c>
      <c r="G21" s="63">
        <f t="shared" si="5"/>
        <v>4346502.4544581762</v>
      </c>
      <c r="H21" s="63">
        <f t="shared" si="5"/>
        <v>4913190.2059354354</v>
      </c>
      <c r="I21" s="63">
        <f t="shared" si="5"/>
        <v>4801308.3757157922</v>
      </c>
      <c r="J21" s="63">
        <f t="shared" si="5"/>
        <v>4773862.5187944239</v>
      </c>
      <c r="K21" s="63">
        <f t="shared" si="5"/>
        <v>4322805.731308192</v>
      </c>
      <c r="L21" s="63">
        <f t="shared" si="5"/>
        <v>3658526.3162263194</v>
      </c>
      <c r="M21" s="63">
        <f t="shared" si="5"/>
        <v>1860004.769971991</v>
      </c>
      <c r="N21" s="63">
        <f t="shared" si="5"/>
        <v>1102150.6151295851</v>
      </c>
      <c r="O21" s="62">
        <f t="shared" si="5"/>
        <v>41821978.59680973</v>
      </c>
      <c r="Q21" s="63">
        <f>Q14+Q20</f>
        <v>23548879.313594535</v>
      </c>
    </row>
    <row r="22" spans="1:17" x14ac:dyDescent="0.3"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2"/>
    </row>
    <row r="23" spans="1:17" s="79" customFormat="1" x14ac:dyDescent="0.3">
      <c r="A23" s="82" t="s">
        <v>74</v>
      </c>
      <c r="B23" s="82"/>
      <c r="C23" s="80">
        <f t="shared" ref="C23:O23" si="6">C20/C21</f>
        <v>0.35907948192766947</v>
      </c>
      <c r="D23" s="80">
        <f t="shared" si="6"/>
        <v>0.69065362077672066</v>
      </c>
      <c r="E23" s="80">
        <f t="shared" si="6"/>
        <v>0.53821451697440958</v>
      </c>
      <c r="F23" s="80">
        <f t="shared" si="6"/>
        <v>0.7409365771726506</v>
      </c>
      <c r="G23" s="80">
        <f t="shared" si="6"/>
        <v>0.7480259750102296</v>
      </c>
      <c r="H23" s="80">
        <f t="shared" si="6"/>
        <v>0.77750552733558287</v>
      </c>
      <c r="I23" s="80">
        <f t="shared" si="6"/>
        <v>0.7820944398100631</v>
      </c>
      <c r="J23" s="80">
        <f t="shared" si="6"/>
        <v>0.77257944030634362</v>
      </c>
      <c r="K23" s="80">
        <f t="shared" si="6"/>
        <v>0.75426447997658796</v>
      </c>
      <c r="L23" s="80">
        <f t="shared" si="6"/>
        <v>0.70897726978632791</v>
      </c>
      <c r="M23" s="80">
        <f t="shared" si="6"/>
        <v>0.40174122764941278</v>
      </c>
      <c r="N23" s="80">
        <f t="shared" si="6"/>
        <v>1.5233025434415889E-2</v>
      </c>
      <c r="O23" s="81">
        <f t="shared" si="6"/>
        <v>0.68561430230842835</v>
      </c>
      <c r="Q23" s="80">
        <f>Q20/Q21</f>
        <v>0.41354126904767968</v>
      </c>
    </row>
    <row r="24" spans="1:17" s="71" customFormat="1" x14ac:dyDescent="0.3">
      <c r="A24" s="60" t="s">
        <v>73</v>
      </c>
      <c r="B24" s="60"/>
      <c r="C24" s="78">
        <f t="shared" ref="C24:N24" si="7">C23*C7</f>
        <v>314222.30712145864</v>
      </c>
      <c r="D24" s="78">
        <f t="shared" si="7"/>
        <v>570736.29591828457</v>
      </c>
      <c r="E24" s="78">
        <f t="shared" si="7"/>
        <v>482775.13861749187</v>
      </c>
      <c r="F24" s="78">
        <f t="shared" si="7"/>
        <v>617750.33642146597</v>
      </c>
      <c r="G24" s="78">
        <f t="shared" si="7"/>
        <v>673313.25283010409</v>
      </c>
      <c r="H24" s="78">
        <f t="shared" si="7"/>
        <v>676747.83186780324</v>
      </c>
      <c r="I24" s="78">
        <f t="shared" si="7"/>
        <v>663592.68689453532</v>
      </c>
      <c r="J24" s="78">
        <f t="shared" si="7"/>
        <v>686964.23406711139</v>
      </c>
      <c r="K24" s="78">
        <f t="shared" si="7"/>
        <v>638367.36789420131</v>
      </c>
      <c r="L24" s="78">
        <f t="shared" si="7"/>
        <v>612081.09818258602</v>
      </c>
      <c r="M24" s="78">
        <f t="shared" si="7"/>
        <v>346631.84043077176</v>
      </c>
      <c r="N24" s="78">
        <f t="shared" si="7"/>
        <v>12940.936013149263</v>
      </c>
      <c r="O24" s="77">
        <f>SUM(C24:N24)</f>
        <v>6296123.3262589639</v>
      </c>
      <c r="P24" s="60"/>
      <c r="Q24" s="3">
        <f>Q23*Q7</f>
        <v>4413841.6168205189</v>
      </c>
    </row>
    <row r="25" spans="1:17" x14ac:dyDescent="0.3">
      <c r="A25" t="s">
        <v>72</v>
      </c>
      <c r="C25" s="76">
        <f t="shared" ref="C25:O25" si="8">-C18</f>
        <v>0</v>
      </c>
      <c r="D25" s="76">
        <f t="shared" si="8"/>
        <v>0</v>
      </c>
      <c r="E25" s="76">
        <f t="shared" si="8"/>
        <v>0</v>
      </c>
      <c r="F25" s="76">
        <f t="shared" si="8"/>
        <v>0</v>
      </c>
      <c r="G25" s="76">
        <f t="shared" si="8"/>
        <v>0</v>
      </c>
      <c r="H25" s="76">
        <f t="shared" si="8"/>
        <v>0</v>
      </c>
      <c r="I25" s="76">
        <f t="shared" si="8"/>
        <v>0</v>
      </c>
      <c r="J25" s="76">
        <f t="shared" si="8"/>
        <v>0</v>
      </c>
      <c r="K25" s="76">
        <f t="shared" si="8"/>
        <v>0</v>
      </c>
      <c r="L25" s="76">
        <f t="shared" si="8"/>
        <v>0</v>
      </c>
      <c r="M25" s="76">
        <f t="shared" si="8"/>
        <v>0</v>
      </c>
      <c r="N25" s="76">
        <f t="shared" si="8"/>
        <v>0</v>
      </c>
      <c r="O25" s="75">
        <f t="shared" si="8"/>
        <v>0</v>
      </c>
    </row>
    <row r="26" spans="1:17" s="71" customFormat="1" x14ac:dyDescent="0.3">
      <c r="A26" s="71" t="s">
        <v>71</v>
      </c>
      <c r="C26" s="74">
        <f t="shared" ref="C26:O26" si="9">SUM(C24:C25)</f>
        <v>314222.30712145864</v>
      </c>
      <c r="D26" s="74">
        <f t="shared" si="9"/>
        <v>570736.29591828457</v>
      </c>
      <c r="E26" s="74">
        <f t="shared" si="9"/>
        <v>482775.13861749187</v>
      </c>
      <c r="F26" s="74">
        <f t="shared" si="9"/>
        <v>617750.33642146597</v>
      </c>
      <c r="G26" s="74">
        <f t="shared" si="9"/>
        <v>673313.25283010409</v>
      </c>
      <c r="H26" s="74">
        <f t="shared" si="9"/>
        <v>676747.83186780324</v>
      </c>
      <c r="I26" s="74">
        <f t="shared" si="9"/>
        <v>663592.68689453532</v>
      </c>
      <c r="J26" s="74">
        <f t="shared" si="9"/>
        <v>686964.23406711139</v>
      </c>
      <c r="K26" s="74">
        <f t="shared" si="9"/>
        <v>638367.36789420131</v>
      </c>
      <c r="L26" s="74">
        <f t="shared" si="9"/>
        <v>612081.09818258602</v>
      </c>
      <c r="M26" s="74">
        <f t="shared" si="9"/>
        <v>346631.84043077176</v>
      </c>
      <c r="N26" s="74">
        <f t="shared" si="9"/>
        <v>12940.936013149263</v>
      </c>
      <c r="O26" s="73">
        <f t="shared" si="9"/>
        <v>6296123.3262589639</v>
      </c>
      <c r="Q26" s="72">
        <f>SUM(Q24:Q25)</f>
        <v>4413841.6168205189</v>
      </c>
    </row>
    <row r="27" spans="1:17" s="67" customFormat="1" ht="10.199999999999999" x14ac:dyDescent="0.2">
      <c r="A27" s="70" t="s">
        <v>70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8"/>
    </row>
    <row r="28" spans="1:17" s="54" customFormat="1" x14ac:dyDescent="0.3">
      <c r="O28" s="66"/>
      <c r="Q28" s="136"/>
    </row>
    <row r="29" spans="1:17" x14ac:dyDescent="0.3">
      <c r="A29" s="54" t="s">
        <v>69</v>
      </c>
      <c r="B29" s="54"/>
      <c r="C29" s="65">
        <f t="shared" ref="C29:O29" si="10">C26/C20</f>
        <v>0.48141820455010459</v>
      </c>
      <c r="D29" s="65">
        <f t="shared" si="10"/>
        <v>0.22988890380372967</v>
      </c>
      <c r="E29" s="65">
        <f t="shared" si="10"/>
        <v>0.35799754845838583</v>
      </c>
      <c r="F29" s="65">
        <f t="shared" si="10"/>
        <v>0.20208613856036362</v>
      </c>
      <c r="G29" s="65">
        <f t="shared" si="10"/>
        <v>0.20709068024953103</v>
      </c>
      <c r="H29" s="65">
        <f t="shared" si="10"/>
        <v>0.17715760911281078</v>
      </c>
      <c r="I29" s="65">
        <f t="shared" si="10"/>
        <v>0.17671881570687617</v>
      </c>
      <c r="J29" s="65">
        <f t="shared" si="10"/>
        <v>0.18626063203524162</v>
      </c>
      <c r="K29" s="65">
        <f t="shared" si="10"/>
        <v>0.19578585127485579</v>
      </c>
      <c r="L29" s="65">
        <f t="shared" si="10"/>
        <v>0.23597743336461863</v>
      </c>
      <c r="M29" s="65">
        <f t="shared" si="10"/>
        <v>0.46388250392120917</v>
      </c>
      <c r="N29" s="65">
        <f t="shared" si="10"/>
        <v>0.77079444346190062</v>
      </c>
      <c r="O29" s="64">
        <f t="shared" si="10"/>
        <v>0.21957797832367115</v>
      </c>
      <c r="Q29" s="65"/>
    </row>
    <row r="30" spans="1:17" s="1" customFormat="1" x14ac:dyDescent="0.3">
      <c r="A30"/>
      <c r="B30" s="54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2"/>
      <c r="Q30" s="3"/>
    </row>
    <row r="31" spans="1:17" s="42" customFormat="1" x14ac:dyDescent="0.3">
      <c r="A31" t="s">
        <v>68</v>
      </c>
      <c r="B31" s="54"/>
      <c r="O31" s="61"/>
      <c r="Q31" s="3"/>
    </row>
    <row r="32" spans="1:17" s="42" customFormat="1" x14ac:dyDescent="0.3">
      <c r="B32" s="54"/>
      <c r="O32" s="61"/>
    </row>
    <row r="33" spans="1:18" s="42" customFormat="1" x14ac:dyDescent="0.3">
      <c r="A33" s="60" t="s">
        <v>67</v>
      </c>
      <c r="B33" s="54"/>
      <c r="C33" s="59">
        <f t="shared" ref="C33:N33" si="11">C20</f>
        <v>652701.33981556841</v>
      </c>
      <c r="D33" s="59">
        <f t="shared" si="11"/>
        <v>2482661.3484814269</v>
      </c>
      <c r="E33" s="59">
        <f t="shared" si="11"/>
        <v>1348543.1414165406</v>
      </c>
      <c r="F33" s="59">
        <f t="shared" si="11"/>
        <v>3056866.4472597782</v>
      </c>
      <c r="G33" s="59">
        <f t="shared" si="11"/>
        <v>3251296.7363804332</v>
      </c>
      <c r="H33" s="59">
        <f t="shared" si="11"/>
        <v>3820032.5419658516</v>
      </c>
      <c r="I33" s="59">
        <f t="shared" si="11"/>
        <v>3755076.5844608066</v>
      </c>
      <c r="J33" s="59">
        <f t="shared" si="11"/>
        <v>3688188.0328696277</v>
      </c>
      <c r="K33" s="59">
        <f t="shared" si="11"/>
        <v>3260538.8169649877</v>
      </c>
      <c r="L33" s="59">
        <f t="shared" si="11"/>
        <v>2593811.9991195677</v>
      </c>
      <c r="M33" s="59">
        <f t="shared" si="11"/>
        <v>747240.59972231125</v>
      </c>
      <c r="N33" s="59">
        <f t="shared" si="11"/>
        <v>16789.088352826089</v>
      </c>
      <c r="O33" s="58">
        <f>SUM(C33:N33)</f>
        <v>28673746.676809724</v>
      </c>
      <c r="Q33" s="59"/>
    </row>
    <row r="34" spans="1:18" s="42" customFormat="1" x14ac:dyDescent="0.3">
      <c r="A34" s="42" t="s">
        <v>66</v>
      </c>
      <c r="B34" s="54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6">
        <f>SUM(C34:N34)</f>
        <v>0</v>
      </c>
    </row>
    <row r="35" spans="1:18" x14ac:dyDescent="0.3">
      <c r="A35" s="42" t="s">
        <v>65</v>
      </c>
      <c r="B35" s="54"/>
      <c r="C35" s="55">
        <f t="shared" ref="C35:O35" si="12">C33-C34</f>
        <v>652701.33981556841</v>
      </c>
      <c r="D35" s="55">
        <f t="shared" si="12"/>
        <v>2482661.3484814269</v>
      </c>
      <c r="E35" s="55">
        <f t="shared" si="12"/>
        <v>1348543.1414165406</v>
      </c>
      <c r="F35" s="55">
        <f t="shared" si="12"/>
        <v>3056866.4472597782</v>
      </c>
      <c r="G35" s="55">
        <f t="shared" si="12"/>
        <v>3251296.7363804332</v>
      </c>
      <c r="H35" s="55">
        <f t="shared" si="12"/>
        <v>3820032.5419658516</v>
      </c>
      <c r="I35" s="55">
        <f t="shared" si="12"/>
        <v>3755076.5844608066</v>
      </c>
      <c r="J35" s="55">
        <f t="shared" si="12"/>
        <v>3688188.0328696277</v>
      </c>
      <c r="K35" s="55">
        <f t="shared" si="12"/>
        <v>3260538.8169649877</v>
      </c>
      <c r="L35" s="55">
        <f t="shared" si="12"/>
        <v>2593811.9991195677</v>
      </c>
      <c r="M35" s="55">
        <f t="shared" si="12"/>
        <v>747240.59972231125</v>
      </c>
      <c r="N35" s="55">
        <f t="shared" si="12"/>
        <v>16789.088352826089</v>
      </c>
      <c r="O35" s="48">
        <f t="shared" si="12"/>
        <v>28673746.676809724</v>
      </c>
      <c r="Q35" s="106"/>
      <c r="R35" s="42"/>
    </row>
    <row r="36" spans="1:18" x14ac:dyDescent="0.3">
      <c r="B36" s="54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2"/>
      <c r="Q36" s="106"/>
      <c r="R36" s="42"/>
    </row>
    <row r="37" spans="1:18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51"/>
      <c r="Q37" s="44"/>
      <c r="R37" s="42"/>
    </row>
    <row r="38" spans="1:18" x14ac:dyDescent="0.3">
      <c r="A38" s="50" t="s">
        <v>64</v>
      </c>
      <c r="B38" s="1"/>
      <c r="C38" s="49">
        <f t="shared" ref="C38:N38" si="13">C26</f>
        <v>314222.30712145864</v>
      </c>
      <c r="D38" s="49">
        <f t="shared" si="13"/>
        <v>570736.29591828457</v>
      </c>
      <c r="E38" s="49">
        <f t="shared" si="13"/>
        <v>482775.13861749187</v>
      </c>
      <c r="F38" s="49">
        <f t="shared" si="13"/>
        <v>617750.33642146597</v>
      </c>
      <c r="G38" s="49">
        <f t="shared" si="13"/>
        <v>673313.25283010409</v>
      </c>
      <c r="H38" s="49">
        <f t="shared" si="13"/>
        <v>676747.83186780324</v>
      </c>
      <c r="I38" s="49">
        <f t="shared" si="13"/>
        <v>663592.68689453532</v>
      </c>
      <c r="J38" s="49">
        <f t="shared" si="13"/>
        <v>686964.23406711139</v>
      </c>
      <c r="K38" s="49">
        <f t="shared" si="13"/>
        <v>638367.36789420131</v>
      </c>
      <c r="L38" s="49">
        <f t="shared" si="13"/>
        <v>612081.09818258602</v>
      </c>
      <c r="M38" s="49">
        <f t="shared" si="13"/>
        <v>346631.84043077176</v>
      </c>
      <c r="N38" s="49">
        <f t="shared" si="13"/>
        <v>12940.936013149263</v>
      </c>
      <c r="O38" s="48">
        <f>SUM(C38:N38)</f>
        <v>6296123.3262589639</v>
      </c>
      <c r="Q38" s="44"/>
    </row>
    <row r="39" spans="1:18" x14ac:dyDescent="0.3">
      <c r="A39" s="47" t="s">
        <v>63</v>
      </c>
      <c r="B39" s="1"/>
      <c r="C39" s="46">
        <v>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5">
        <f>SUM(C39:N39)</f>
        <v>0</v>
      </c>
      <c r="Q39" s="44"/>
    </row>
    <row r="40" spans="1:18" x14ac:dyDescent="0.3">
      <c r="A40" s="42" t="s">
        <v>62</v>
      </c>
      <c r="B40" s="1"/>
      <c r="C40" s="43">
        <f t="shared" ref="C40:N40" si="14">SUM(C38:C39)</f>
        <v>314222.30712145864</v>
      </c>
      <c r="D40" s="43">
        <f t="shared" si="14"/>
        <v>570736.29591828457</v>
      </c>
      <c r="E40" s="43">
        <f t="shared" si="14"/>
        <v>482775.13861749187</v>
      </c>
      <c r="F40" s="43">
        <f t="shared" si="14"/>
        <v>617750.33642146597</v>
      </c>
      <c r="G40" s="43">
        <f t="shared" si="14"/>
        <v>673313.25283010409</v>
      </c>
      <c r="H40" s="43">
        <f t="shared" si="14"/>
        <v>676747.83186780324</v>
      </c>
      <c r="I40" s="43">
        <f t="shared" si="14"/>
        <v>663592.68689453532</v>
      </c>
      <c r="J40" s="43">
        <f t="shared" si="14"/>
        <v>686964.23406711139</v>
      </c>
      <c r="K40" s="43">
        <f t="shared" si="14"/>
        <v>638367.36789420131</v>
      </c>
      <c r="L40" s="43">
        <f t="shared" si="14"/>
        <v>612081.09818258602</v>
      </c>
      <c r="M40" s="43">
        <f t="shared" si="14"/>
        <v>346631.84043077176</v>
      </c>
      <c r="N40" s="43">
        <f t="shared" si="14"/>
        <v>12940.936013149263</v>
      </c>
      <c r="O40" s="135">
        <f>SUM(O38:O39)</f>
        <v>6296123.3262589639</v>
      </c>
      <c r="Q40" s="44"/>
    </row>
    <row r="41" spans="1:18" x14ac:dyDescent="0.3">
      <c r="A41" s="42" t="s">
        <v>61</v>
      </c>
      <c r="B41" s="1"/>
      <c r="C41" s="41">
        <f t="shared" ref="C41:O41" si="15">C40/C35</f>
        <v>0.48141820455010459</v>
      </c>
      <c r="D41" s="41">
        <f t="shared" si="15"/>
        <v>0.22988890380372967</v>
      </c>
      <c r="E41" s="41">
        <f t="shared" si="15"/>
        <v>0.35799754845838583</v>
      </c>
      <c r="F41" s="41">
        <f t="shared" si="15"/>
        <v>0.20208613856036362</v>
      </c>
      <c r="G41" s="41">
        <f t="shared" si="15"/>
        <v>0.20709068024953103</v>
      </c>
      <c r="H41" s="41">
        <f t="shared" si="15"/>
        <v>0.17715760911281078</v>
      </c>
      <c r="I41" s="41">
        <f t="shared" si="15"/>
        <v>0.17671881570687617</v>
      </c>
      <c r="J41" s="41">
        <f t="shared" si="15"/>
        <v>0.18626063203524162</v>
      </c>
      <c r="K41" s="41">
        <f t="shared" si="15"/>
        <v>0.19578585127485579</v>
      </c>
      <c r="L41" s="41">
        <f t="shared" si="15"/>
        <v>0.23597743336461863</v>
      </c>
      <c r="M41" s="41">
        <f t="shared" si="15"/>
        <v>0.46388250392120917</v>
      </c>
      <c r="N41" s="41">
        <f t="shared" si="15"/>
        <v>0.77079444346190062</v>
      </c>
      <c r="O41" s="40">
        <f t="shared" si="15"/>
        <v>0.21957797832367118</v>
      </c>
      <c r="Q41" s="44"/>
    </row>
    <row r="42" spans="1:18" x14ac:dyDescent="0.3"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8"/>
      <c r="Q42" s="44"/>
    </row>
    <row r="43" spans="1:18" x14ac:dyDescent="0.3">
      <c r="B43" s="1"/>
      <c r="O43" s="34"/>
      <c r="Q43" s="44"/>
    </row>
    <row r="44" spans="1:18" x14ac:dyDescent="0.3">
      <c r="B44" s="1"/>
      <c r="O44" s="34"/>
    </row>
    <row r="45" spans="1:18" ht="15" thickBot="1" x14ac:dyDescent="0.35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37"/>
      <c r="P45" s="21"/>
    </row>
    <row r="46" spans="1:18" x14ac:dyDescent="0.3">
      <c r="B46" s="1"/>
      <c r="O46" s="34"/>
    </row>
    <row r="47" spans="1:18" x14ac:dyDescent="0.3">
      <c r="A47" t="s">
        <v>60</v>
      </c>
      <c r="B47" s="1"/>
      <c r="C47" s="36">
        <f t="shared" ref="C47:O47" si="16">C40/C35</f>
        <v>0.48141820455010459</v>
      </c>
      <c r="D47" s="36">
        <f t="shared" si="16"/>
        <v>0.22988890380372967</v>
      </c>
      <c r="E47" s="36">
        <f t="shared" si="16"/>
        <v>0.35799754845838583</v>
      </c>
      <c r="F47" s="36">
        <f t="shared" si="16"/>
        <v>0.20208613856036362</v>
      </c>
      <c r="G47" s="36">
        <f t="shared" si="16"/>
        <v>0.20709068024953103</v>
      </c>
      <c r="H47" s="36">
        <f t="shared" si="16"/>
        <v>0.17715760911281078</v>
      </c>
      <c r="I47" s="36">
        <f t="shared" si="16"/>
        <v>0.17671881570687617</v>
      </c>
      <c r="J47" s="36">
        <f t="shared" si="16"/>
        <v>0.18626063203524162</v>
      </c>
      <c r="K47" s="36">
        <f t="shared" si="16"/>
        <v>0.19578585127485579</v>
      </c>
      <c r="L47" s="36">
        <f t="shared" si="16"/>
        <v>0.23597743336461863</v>
      </c>
      <c r="M47" s="36">
        <f t="shared" si="16"/>
        <v>0.46388250392120917</v>
      </c>
      <c r="N47" s="36">
        <f t="shared" si="16"/>
        <v>0.77079444346190062</v>
      </c>
      <c r="O47" s="35">
        <f t="shared" si="16"/>
        <v>0.21957797832367118</v>
      </c>
    </row>
    <row r="48" spans="1:18" x14ac:dyDescent="0.3">
      <c r="O48" s="34"/>
    </row>
    <row r="49" spans="1:15" x14ac:dyDescent="0.3">
      <c r="C49" s="33" t="s">
        <v>59</v>
      </c>
      <c r="D49" s="33" t="s">
        <v>59</v>
      </c>
      <c r="E49" s="33" t="s">
        <v>59</v>
      </c>
      <c r="F49" s="33" t="s">
        <v>59</v>
      </c>
      <c r="G49" s="33" t="s">
        <v>59</v>
      </c>
      <c r="H49" s="33" t="s">
        <v>59</v>
      </c>
      <c r="I49" s="33" t="s">
        <v>59</v>
      </c>
      <c r="J49" s="33" t="s">
        <v>59</v>
      </c>
      <c r="K49" s="33" t="s">
        <v>59</v>
      </c>
      <c r="L49" s="33" t="s">
        <v>59</v>
      </c>
      <c r="M49" s="33" t="s">
        <v>59</v>
      </c>
      <c r="N49" s="33" t="s">
        <v>59</v>
      </c>
      <c r="O49" s="32" t="s">
        <v>59</v>
      </c>
    </row>
    <row r="50" spans="1:15" x14ac:dyDescent="0.3">
      <c r="A50" s="29" t="s">
        <v>52</v>
      </c>
      <c r="C50" s="31">
        <f t="shared" ref="C50:O50" si="17">C47*0.41</f>
        <v>0.19738146386554287</v>
      </c>
      <c r="D50" s="31">
        <f t="shared" si="17"/>
        <v>9.4254450559529163E-2</v>
      </c>
      <c r="E50" s="31">
        <f t="shared" si="17"/>
        <v>0.14677899486793819</v>
      </c>
      <c r="F50" s="31">
        <f t="shared" si="17"/>
        <v>8.2855316809749072E-2</v>
      </c>
      <c r="G50" s="31">
        <f t="shared" si="17"/>
        <v>8.4907178902307714E-2</v>
      </c>
      <c r="H50" s="31">
        <f t="shared" si="17"/>
        <v>7.2634619736252418E-2</v>
      </c>
      <c r="I50" s="31">
        <f t="shared" si="17"/>
        <v>7.2454714439819226E-2</v>
      </c>
      <c r="J50" s="31">
        <f t="shared" si="17"/>
        <v>7.6366859134449058E-2</v>
      </c>
      <c r="K50" s="31">
        <f t="shared" si="17"/>
        <v>8.0272199022690865E-2</v>
      </c>
      <c r="L50" s="31">
        <f t="shared" si="17"/>
        <v>9.6750747679493626E-2</v>
      </c>
      <c r="M50" s="31">
        <f t="shared" si="17"/>
        <v>0.19019182660769574</v>
      </c>
      <c r="N50" s="31">
        <f t="shared" si="17"/>
        <v>0.31602572181937921</v>
      </c>
      <c r="O50" s="30">
        <f t="shared" si="17"/>
        <v>9.0026971112705176E-2</v>
      </c>
    </row>
    <row r="51" spans="1:15" x14ac:dyDescent="0.3">
      <c r="A51" s="29" t="s">
        <v>58</v>
      </c>
      <c r="C51" s="28">
        <f t="shared" ref="C51:O51" si="18">C47-C50</f>
        <v>0.28403674068456175</v>
      </c>
      <c r="D51" s="28">
        <f t="shared" si="18"/>
        <v>0.13563445324420051</v>
      </c>
      <c r="E51" s="28">
        <f t="shared" si="18"/>
        <v>0.21121855359044764</v>
      </c>
      <c r="F51" s="28">
        <f t="shared" si="18"/>
        <v>0.11923082175061454</v>
      </c>
      <c r="G51" s="28">
        <f t="shared" si="18"/>
        <v>0.12218350134722332</v>
      </c>
      <c r="H51" s="28">
        <f t="shared" si="18"/>
        <v>0.10452298937655836</v>
      </c>
      <c r="I51" s="28">
        <f t="shared" si="18"/>
        <v>0.10426410126705694</v>
      </c>
      <c r="J51" s="28">
        <f t="shared" si="18"/>
        <v>0.10989377290079257</v>
      </c>
      <c r="K51" s="28">
        <f t="shared" si="18"/>
        <v>0.11551365225216492</v>
      </c>
      <c r="L51" s="28">
        <f t="shared" si="18"/>
        <v>0.139226685685125</v>
      </c>
      <c r="M51" s="28">
        <f t="shared" si="18"/>
        <v>0.27369067731351343</v>
      </c>
      <c r="N51" s="28">
        <f t="shared" si="18"/>
        <v>0.45476872164252141</v>
      </c>
      <c r="O51" s="27">
        <f t="shared" si="18"/>
        <v>0.12955100721096602</v>
      </c>
    </row>
    <row r="52" spans="1:15" x14ac:dyDescent="0.3">
      <c r="C52" s="26">
        <f t="shared" ref="C52:O52" si="19">SUM(C50:C51)</f>
        <v>0.48141820455010464</v>
      </c>
      <c r="D52" s="26">
        <f t="shared" si="19"/>
        <v>0.22988890380372967</v>
      </c>
      <c r="E52" s="26">
        <f t="shared" si="19"/>
        <v>0.35799754845838583</v>
      </c>
      <c r="F52" s="26">
        <f t="shared" si="19"/>
        <v>0.20208613856036362</v>
      </c>
      <c r="G52" s="26">
        <f t="shared" si="19"/>
        <v>0.20709068024953103</v>
      </c>
      <c r="H52" s="26">
        <f t="shared" si="19"/>
        <v>0.17715760911281078</v>
      </c>
      <c r="I52" s="26">
        <f t="shared" si="19"/>
        <v>0.17671881570687617</v>
      </c>
      <c r="J52" s="26">
        <f t="shared" si="19"/>
        <v>0.18626063203524162</v>
      </c>
      <c r="K52" s="26">
        <f t="shared" si="19"/>
        <v>0.19578585127485579</v>
      </c>
      <c r="L52" s="26">
        <f t="shared" si="19"/>
        <v>0.23597743336461863</v>
      </c>
      <c r="M52" s="26">
        <f t="shared" si="19"/>
        <v>0.46388250392120917</v>
      </c>
      <c r="N52" s="26">
        <f t="shared" si="19"/>
        <v>0.77079444346190062</v>
      </c>
      <c r="O52" s="25">
        <f t="shared" si="19"/>
        <v>0.21957797832367121</v>
      </c>
    </row>
    <row r="56" spans="1:15" s="23" customFormat="1" x14ac:dyDescent="0.3">
      <c r="A56" s="24" t="s">
        <v>57</v>
      </c>
    </row>
    <row r="58" spans="1:15" x14ac:dyDescent="0.3">
      <c r="A58" t="s">
        <v>56</v>
      </c>
      <c r="C58" s="3">
        <f t="shared" ref="C58:N58" si="20">C4</f>
        <v>651819.63</v>
      </c>
      <c r="D58" s="3">
        <f t="shared" si="20"/>
        <v>606500.66</v>
      </c>
      <c r="E58" s="3">
        <f t="shared" si="20"/>
        <v>669723.61</v>
      </c>
      <c r="F58" s="3">
        <f t="shared" si="20"/>
        <v>614392.65</v>
      </c>
      <c r="G58" s="3">
        <f t="shared" si="20"/>
        <v>687507.6</v>
      </c>
      <c r="H58" s="3">
        <f t="shared" si="20"/>
        <v>661551.61</v>
      </c>
      <c r="I58" s="3">
        <f t="shared" si="20"/>
        <v>644373.63</v>
      </c>
      <c r="J58" s="3">
        <f t="shared" si="20"/>
        <v>686687.6</v>
      </c>
      <c r="K58" s="3">
        <f t="shared" si="20"/>
        <v>641970.63</v>
      </c>
      <c r="L58" s="3">
        <f t="shared" si="20"/>
        <v>659233.61</v>
      </c>
      <c r="M58" s="3">
        <f t="shared" si="20"/>
        <v>662038.61</v>
      </c>
      <c r="N58" s="3">
        <f t="shared" si="20"/>
        <v>642320.63</v>
      </c>
      <c r="O58" s="3">
        <f>SUM(C58:N58)</f>
        <v>7828120.4699999997</v>
      </c>
    </row>
    <row r="59" spans="1:15" x14ac:dyDescent="0.3">
      <c r="A59" t="s">
        <v>55</v>
      </c>
      <c r="C59" s="3">
        <f t="shared" ref="C59:N59" si="21">C7</f>
        <v>875077.31</v>
      </c>
      <c r="D59" s="3">
        <f t="shared" si="21"/>
        <v>826371.25</v>
      </c>
      <c r="E59" s="3">
        <f t="shared" si="21"/>
        <v>896993.9</v>
      </c>
      <c r="F59" s="3">
        <f t="shared" si="21"/>
        <v>833742.53</v>
      </c>
      <c r="G59" s="3">
        <f t="shared" si="21"/>
        <v>900120.14999999991</v>
      </c>
      <c r="H59" s="3">
        <f t="shared" si="21"/>
        <v>870409.03</v>
      </c>
      <c r="I59" s="3">
        <f t="shared" si="21"/>
        <v>848481.53</v>
      </c>
      <c r="J59" s="3">
        <f t="shared" si="21"/>
        <v>889182.64999999991</v>
      </c>
      <c r="K59" s="3">
        <f t="shared" si="21"/>
        <v>846344.2</v>
      </c>
      <c r="L59" s="3">
        <f t="shared" si="21"/>
        <v>863329.65</v>
      </c>
      <c r="M59" s="3">
        <f t="shared" si="21"/>
        <v>862823.66999999993</v>
      </c>
      <c r="N59" s="3">
        <f t="shared" si="21"/>
        <v>849531.57000000007</v>
      </c>
      <c r="O59" s="3">
        <f>SUM(C59:N59)</f>
        <v>10362407.440000001</v>
      </c>
    </row>
    <row r="60" spans="1:15" ht="28.8" x14ac:dyDescent="0.3">
      <c r="A60" s="22" t="s">
        <v>54</v>
      </c>
      <c r="C60" s="16">
        <f t="shared" ref="C60:O60" si="22">C58/C59</f>
        <v>0.74487090746302176</v>
      </c>
      <c r="D60" s="16">
        <f t="shared" si="22"/>
        <v>0.73393243049053325</v>
      </c>
      <c r="E60" s="16">
        <f t="shared" si="22"/>
        <v>0.74663117552973324</v>
      </c>
      <c r="F60" s="16">
        <f t="shared" si="22"/>
        <v>0.73690933098974809</v>
      </c>
      <c r="G60" s="16">
        <f t="shared" si="22"/>
        <v>0.76379536665188541</v>
      </c>
      <c r="H60" s="16">
        <f t="shared" si="22"/>
        <v>0.76004681385256301</v>
      </c>
      <c r="I60" s="16">
        <f t="shared" si="22"/>
        <v>0.75944331987992708</v>
      </c>
      <c r="J60" s="16">
        <f t="shared" si="22"/>
        <v>0.7722683297970333</v>
      </c>
      <c r="K60" s="16">
        <f t="shared" si="22"/>
        <v>0.75852192287724074</v>
      </c>
      <c r="L60" s="16">
        <f t="shared" si="22"/>
        <v>0.7635943118599019</v>
      </c>
      <c r="M60" s="16">
        <f t="shared" si="22"/>
        <v>0.76729305537016623</v>
      </c>
      <c r="N60" s="16">
        <f t="shared" si="22"/>
        <v>0.75608800506377882</v>
      </c>
      <c r="O60" s="16">
        <f t="shared" si="22"/>
        <v>0.7554345373240795</v>
      </c>
    </row>
    <row r="62" spans="1:15" x14ac:dyDescent="0.3">
      <c r="A62" t="s">
        <v>53</v>
      </c>
    </row>
    <row r="64" spans="1:15" x14ac:dyDescent="0.3">
      <c r="A64" t="s">
        <v>52</v>
      </c>
      <c r="C64" s="16">
        <f t="shared" ref="C64:O64" si="23">C60*C41</f>
        <v>0.35859441489245503</v>
      </c>
      <c r="D64" s="16">
        <f t="shared" si="23"/>
        <v>0.1687229219114757</v>
      </c>
      <c r="E64" s="16">
        <f t="shared" si="23"/>
        <v>0.26729213044224726</v>
      </c>
      <c r="F64" s="16">
        <f t="shared" si="23"/>
        <v>0.14891916116881909</v>
      </c>
      <c r="G64" s="16">
        <f t="shared" si="23"/>
        <v>0.15817490205137891</v>
      </c>
      <c r="H64" s="16">
        <f t="shared" si="23"/>
        <v>0.13464807635592962</v>
      </c>
      <c r="I64" s="16">
        <f t="shared" si="23"/>
        <v>0.13420792408567905</v>
      </c>
      <c r="J64" s="16">
        <f t="shared" si="23"/>
        <v>0.14384318720879585</v>
      </c>
      <c r="K64" s="16">
        <f t="shared" si="23"/>
        <v>0.14850786038116109</v>
      </c>
      <c r="L64" s="16">
        <f t="shared" si="23"/>
        <v>0.18019102584452182</v>
      </c>
      <c r="M64" s="16">
        <f t="shared" si="23"/>
        <v>0.35593382376646771</v>
      </c>
      <c r="N64" s="16">
        <f t="shared" si="23"/>
        <v>0.58278843307135408</v>
      </c>
      <c r="O64" s="16">
        <f t="shared" si="23"/>
        <v>0.16587678846149931</v>
      </c>
    </row>
    <row r="65" spans="1:15" x14ac:dyDescent="0.3">
      <c r="A65" t="s">
        <v>51</v>
      </c>
      <c r="C65" s="16">
        <f t="shared" ref="C65:O65" si="24">C41-C64</f>
        <v>0.12282378965764956</v>
      </c>
      <c r="D65" s="16">
        <f t="shared" si="24"/>
        <v>6.1165981892253973E-2</v>
      </c>
      <c r="E65" s="16">
        <f t="shared" si="24"/>
        <v>9.0705418016138573E-2</v>
      </c>
      <c r="F65" s="16">
        <f t="shared" si="24"/>
        <v>5.3166977391544523E-2</v>
      </c>
      <c r="G65" s="16">
        <f t="shared" si="24"/>
        <v>4.8915778198152127E-2</v>
      </c>
      <c r="H65" s="16">
        <f t="shared" si="24"/>
        <v>4.2509532756881158E-2</v>
      </c>
      <c r="I65" s="16">
        <f t="shared" si="24"/>
        <v>4.2510891621197117E-2</v>
      </c>
      <c r="J65" s="16">
        <f t="shared" si="24"/>
        <v>4.2417444826445772E-2</v>
      </c>
      <c r="K65" s="16">
        <f t="shared" si="24"/>
        <v>4.7277990893694694E-2</v>
      </c>
      <c r="L65" s="16">
        <f t="shared" si="24"/>
        <v>5.5786407520096809E-2</v>
      </c>
      <c r="M65" s="16">
        <f t="shared" si="24"/>
        <v>0.10794868015474146</v>
      </c>
      <c r="N65" s="16">
        <f t="shared" si="24"/>
        <v>0.18800601039054654</v>
      </c>
      <c r="O65" s="16">
        <f t="shared" si="24"/>
        <v>5.3701189862171872E-2</v>
      </c>
    </row>
    <row r="67" spans="1:15" x14ac:dyDescent="0.3">
      <c r="A67" t="s">
        <v>52</v>
      </c>
      <c r="C67" s="17">
        <f t="shared" ref="C67:N67" si="25">ROUND(C64*C35,2)</f>
        <v>234055.06</v>
      </c>
      <c r="D67" s="17">
        <f t="shared" si="25"/>
        <v>418881.88</v>
      </c>
      <c r="E67" s="17">
        <f t="shared" si="25"/>
        <v>360454.97</v>
      </c>
      <c r="F67" s="17">
        <f t="shared" si="25"/>
        <v>455225.99</v>
      </c>
      <c r="G67" s="17">
        <f t="shared" si="25"/>
        <v>514273.54</v>
      </c>
      <c r="H67" s="17">
        <f t="shared" si="25"/>
        <v>514360.03</v>
      </c>
      <c r="I67" s="17">
        <f t="shared" si="25"/>
        <v>503961.03</v>
      </c>
      <c r="J67" s="17">
        <f t="shared" si="25"/>
        <v>530520.72</v>
      </c>
      <c r="K67" s="17">
        <f t="shared" si="25"/>
        <v>484215.64</v>
      </c>
      <c r="L67" s="17">
        <f t="shared" si="25"/>
        <v>467381.64</v>
      </c>
      <c r="M67" s="17">
        <f t="shared" si="25"/>
        <v>265968.2</v>
      </c>
      <c r="N67" s="17">
        <f t="shared" si="25"/>
        <v>9784.49</v>
      </c>
      <c r="O67" s="18">
        <f>SUM(C67:N67)</f>
        <v>4759083.1900000004</v>
      </c>
    </row>
    <row r="68" spans="1:15" x14ac:dyDescent="0.3">
      <c r="A68" t="s">
        <v>51</v>
      </c>
      <c r="C68" s="17">
        <f t="shared" ref="C68:N68" si="26">ROUND(C65*C35,2)</f>
        <v>80167.25</v>
      </c>
      <c r="D68" s="17">
        <f t="shared" si="26"/>
        <v>151854.42000000001</v>
      </c>
      <c r="E68" s="17">
        <f t="shared" si="26"/>
        <v>122320.17</v>
      </c>
      <c r="F68" s="17">
        <f t="shared" si="26"/>
        <v>162524.35</v>
      </c>
      <c r="G68" s="17">
        <f t="shared" si="26"/>
        <v>159039.71</v>
      </c>
      <c r="H68" s="17">
        <f t="shared" si="26"/>
        <v>162387.79999999999</v>
      </c>
      <c r="I68" s="17">
        <f t="shared" si="26"/>
        <v>159631.65</v>
      </c>
      <c r="J68" s="17">
        <f t="shared" si="26"/>
        <v>156443.51</v>
      </c>
      <c r="K68" s="17">
        <f t="shared" si="26"/>
        <v>154151.72</v>
      </c>
      <c r="L68" s="17">
        <f t="shared" si="26"/>
        <v>144699.45000000001</v>
      </c>
      <c r="M68" s="17">
        <f t="shared" si="26"/>
        <v>80663.64</v>
      </c>
      <c r="N68" s="17">
        <f t="shared" si="26"/>
        <v>3156.45</v>
      </c>
      <c r="O68" s="18">
        <f>SUM(C68:N68)</f>
        <v>1537040.1199999996</v>
      </c>
    </row>
    <row r="69" spans="1:15" x14ac:dyDescent="0.3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21" customFormat="1" ht="15" thickBot="1" x14ac:dyDescent="0.35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>
        <f>SUM(O67:O69)</f>
        <v>6296123.3100000005</v>
      </c>
    </row>
    <row r="71" spans="1:15" x14ac:dyDescent="0.3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3">
      <c r="A72" s="20" t="s">
        <v>50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3">
      <c r="A73" t="s">
        <v>49</v>
      </c>
      <c r="C73" s="3">
        <f t="shared" ref="C73:N73" si="27">-C67</f>
        <v>-234055.06</v>
      </c>
      <c r="D73" s="3">
        <f t="shared" si="27"/>
        <v>-418881.88</v>
      </c>
      <c r="E73" s="3">
        <f t="shared" si="27"/>
        <v>-360454.97</v>
      </c>
      <c r="F73" s="3">
        <f t="shared" si="27"/>
        <v>-455225.99</v>
      </c>
      <c r="G73" s="3">
        <f t="shared" si="27"/>
        <v>-514273.54</v>
      </c>
      <c r="H73" s="3">
        <f t="shared" si="27"/>
        <v>-514360.03</v>
      </c>
      <c r="I73" s="3">
        <f t="shared" si="27"/>
        <v>-503961.03</v>
      </c>
      <c r="J73" s="3">
        <f t="shared" si="27"/>
        <v>-530520.72</v>
      </c>
      <c r="K73" s="3">
        <f t="shared" si="27"/>
        <v>-484215.64</v>
      </c>
      <c r="L73" s="3">
        <f t="shared" si="27"/>
        <v>-467381.64</v>
      </c>
      <c r="M73" s="3">
        <f t="shared" si="27"/>
        <v>-265968.2</v>
      </c>
      <c r="N73" s="3">
        <f t="shared" si="27"/>
        <v>-9784.49</v>
      </c>
      <c r="O73" s="3">
        <f>SUM(C73:N73)</f>
        <v>-4759083.1900000004</v>
      </c>
    </row>
    <row r="74" spans="1:15" x14ac:dyDescent="0.3">
      <c r="A74" t="s">
        <v>48</v>
      </c>
      <c r="C74" s="3">
        <f t="shared" ref="C74:N74" si="28">-C68</f>
        <v>-80167.25</v>
      </c>
      <c r="D74" s="3">
        <f t="shared" si="28"/>
        <v>-151854.42000000001</v>
      </c>
      <c r="E74" s="3">
        <f t="shared" si="28"/>
        <v>-122320.17</v>
      </c>
      <c r="F74" s="3">
        <f t="shared" si="28"/>
        <v>-162524.35</v>
      </c>
      <c r="G74" s="3">
        <f t="shared" si="28"/>
        <v>-159039.71</v>
      </c>
      <c r="H74" s="3">
        <f t="shared" si="28"/>
        <v>-162387.79999999999</v>
      </c>
      <c r="I74" s="3">
        <f t="shared" si="28"/>
        <v>-159631.65</v>
      </c>
      <c r="J74" s="3">
        <f t="shared" si="28"/>
        <v>-156443.51</v>
      </c>
      <c r="K74" s="3">
        <f t="shared" si="28"/>
        <v>-154151.72</v>
      </c>
      <c r="L74" s="3">
        <f t="shared" si="28"/>
        <v>-144699.45000000001</v>
      </c>
      <c r="M74" s="3">
        <f t="shared" si="28"/>
        <v>-80663.64</v>
      </c>
      <c r="N74" s="3">
        <f t="shared" si="28"/>
        <v>-3156.45</v>
      </c>
      <c r="O74" s="3">
        <f>SUM(C74:N74)</f>
        <v>-1537040.1199999996</v>
      </c>
    </row>
    <row r="75" spans="1:15" ht="15" thickBot="1" x14ac:dyDescent="0.35">
      <c r="A75" s="1" t="s">
        <v>47</v>
      </c>
      <c r="C75" s="19">
        <f t="shared" ref="C75:O75" si="29">SUM(C73:C74)</f>
        <v>-314222.31</v>
      </c>
      <c r="D75" s="19">
        <f t="shared" si="29"/>
        <v>-570736.30000000005</v>
      </c>
      <c r="E75" s="19">
        <f t="shared" si="29"/>
        <v>-482775.13999999996</v>
      </c>
      <c r="F75" s="19">
        <f t="shared" si="29"/>
        <v>-617750.34</v>
      </c>
      <c r="G75" s="19">
        <f t="shared" si="29"/>
        <v>-673313.25</v>
      </c>
      <c r="H75" s="19">
        <f t="shared" si="29"/>
        <v>-676747.83000000007</v>
      </c>
      <c r="I75" s="19">
        <f t="shared" si="29"/>
        <v>-663592.68000000005</v>
      </c>
      <c r="J75" s="19">
        <f t="shared" si="29"/>
        <v>-686964.23</v>
      </c>
      <c r="K75" s="19">
        <f t="shared" si="29"/>
        <v>-638367.36</v>
      </c>
      <c r="L75" s="19">
        <f t="shared" si="29"/>
        <v>-612081.09000000008</v>
      </c>
      <c r="M75" s="19">
        <f t="shared" si="29"/>
        <v>-346631.84</v>
      </c>
      <c r="N75" s="19">
        <f t="shared" si="29"/>
        <v>-12940.939999999999</v>
      </c>
      <c r="O75" s="19">
        <f t="shared" si="29"/>
        <v>-6296123.3100000005</v>
      </c>
    </row>
    <row r="76" spans="1:15" ht="15" thickTop="1" x14ac:dyDescent="0.3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>
        <f>O75</f>
        <v>-6296123.3100000005</v>
      </c>
    </row>
    <row r="77" spans="1:15" x14ac:dyDescent="0.3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3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" customFormat="1" x14ac:dyDescent="0.3">
      <c r="A79" s="1" t="s">
        <v>46</v>
      </c>
      <c r="C79" s="18">
        <f t="shared" ref="C79:N79" si="30">C13</f>
        <v>-10688.355114262107</v>
      </c>
      <c r="D79" s="18">
        <f t="shared" si="30"/>
        <v>-10688.355114262107</v>
      </c>
      <c r="E79" s="18">
        <f t="shared" si="30"/>
        <v>-20427.720382769534</v>
      </c>
      <c r="F79" s="18">
        <f t="shared" si="30"/>
        <v>-44064.217092210056</v>
      </c>
      <c r="G79" s="18">
        <f t="shared" si="30"/>
        <v>-51227.011922257181</v>
      </c>
      <c r="H79" s="18">
        <f t="shared" si="30"/>
        <v>-62856.62603041641</v>
      </c>
      <c r="I79" s="18">
        <f t="shared" si="30"/>
        <v>-61700.728745014443</v>
      </c>
      <c r="J79" s="18">
        <f t="shared" si="30"/>
        <v>-65017.734075203596</v>
      </c>
      <c r="K79" s="18">
        <f t="shared" si="30"/>
        <v>-57960.815656795385</v>
      </c>
      <c r="L79" s="18">
        <f t="shared" si="30"/>
        <v>-46363.902893247985</v>
      </c>
      <c r="M79" s="18">
        <f t="shared" si="30"/>
        <v>-16334.559750320061</v>
      </c>
      <c r="N79" s="18">
        <f t="shared" si="30"/>
        <v>-14569.973223241112</v>
      </c>
      <c r="O79" s="18">
        <f>SUM(C79:N79)</f>
        <v>-461899.99999999994</v>
      </c>
    </row>
    <row r="80" spans="1:15" x14ac:dyDescent="0.3">
      <c r="A80" s="1" t="s">
        <v>45</v>
      </c>
    </row>
  </sheetData>
  <mergeCells count="1">
    <mergeCell ref="C1:O1"/>
  </mergeCells>
  <printOptions headings="1" gridLines="1"/>
  <pageMargins left="0.5" right="0" top="0.75" bottom="0.75" header="0.3" footer="0.3"/>
  <pageSetup paperSize="5" scale="86" orientation="landscape" r:id="rId1"/>
  <headerFooter>
    <oddHeader>&amp;C&amp;"-,Bold"&amp;12PNG</oddHead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9F33B-A7B7-4FF7-9F4F-F0C45736D4A4}">
  <dimension ref="A1:O22"/>
  <sheetViews>
    <sheetView workbookViewId="0">
      <selection activeCell="K34" sqref="K34"/>
    </sheetView>
  </sheetViews>
  <sheetFormatPr defaultRowHeight="13.2" x14ac:dyDescent="0.3"/>
  <cols>
    <col min="1" max="1" width="8.88671875" style="110"/>
    <col min="2" max="2" width="11.77734375" style="110" customWidth="1"/>
    <col min="3" max="3" width="11.44140625" style="110" customWidth="1"/>
    <col min="4" max="4" width="11.33203125" style="110" customWidth="1"/>
    <col min="5" max="6" width="12.44140625" style="110" customWidth="1"/>
    <col min="7" max="7" width="10.44140625" style="110" customWidth="1"/>
    <col min="8" max="8" width="12.21875" style="110" customWidth="1"/>
    <col min="9" max="9" width="12.44140625" style="110" customWidth="1"/>
    <col min="10" max="10" width="11.109375" style="110" bestFit="1" customWidth="1"/>
    <col min="11" max="11" width="12.21875" style="110" customWidth="1"/>
    <col min="12" max="12" width="11.77734375" style="110" customWidth="1"/>
    <col min="13" max="13" width="11.21875" style="110" customWidth="1"/>
    <col min="14" max="15" width="11.44140625" style="110" bestFit="1" customWidth="1"/>
    <col min="16" max="16384" width="8.88671875" style="110"/>
  </cols>
  <sheetData>
    <row r="1" spans="1:15" ht="14.4" x14ac:dyDescent="0.3">
      <c r="A1" s="117"/>
      <c r="B1" s="117"/>
      <c r="C1" s="117"/>
      <c r="D1" s="117"/>
    </row>
    <row r="2" spans="1:15" ht="28.8" x14ac:dyDescent="0.3">
      <c r="A2" s="132" t="s">
        <v>114</v>
      </c>
      <c r="B2" s="131" t="s">
        <v>113</v>
      </c>
      <c r="C2" s="131" t="s">
        <v>113</v>
      </c>
      <c r="D2" s="131" t="s">
        <v>112</v>
      </c>
      <c r="E2" s="131" t="s">
        <v>112</v>
      </c>
      <c r="F2" s="130" t="s">
        <v>111</v>
      </c>
      <c r="G2" s="130" t="s">
        <v>111</v>
      </c>
      <c r="H2" s="129" t="s">
        <v>110</v>
      </c>
      <c r="I2" s="128" t="s">
        <v>109</v>
      </c>
      <c r="K2" s="127">
        <v>2025</v>
      </c>
      <c r="L2" s="127">
        <v>2026</v>
      </c>
      <c r="M2" s="127"/>
      <c r="N2" s="127"/>
      <c r="O2" s="127"/>
    </row>
    <row r="3" spans="1:15" ht="14.4" x14ac:dyDescent="0.3">
      <c r="A3" s="117" t="s">
        <v>26</v>
      </c>
      <c r="B3" s="140">
        <v>2.2545218733155913E-2</v>
      </c>
      <c r="C3" s="123">
        <f t="shared" ref="C3:C14" si="0">B3*B$16</f>
        <v>184906</v>
      </c>
      <c r="D3" s="141">
        <v>2.3373722078595817E-2</v>
      </c>
      <c r="E3" s="123">
        <f t="shared" ref="E3:E14" si="1">D3*D$16</f>
        <v>488400.00000000006</v>
      </c>
      <c r="F3" s="112">
        <f t="shared" ref="F3:F14" si="2">C3+E3</f>
        <v>673306</v>
      </c>
      <c r="G3" s="138">
        <f t="shared" ref="G3:G14" si="3">F3/F$15</f>
        <v>2.3139976432695625E-2</v>
      </c>
      <c r="H3" s="122">
        <f t="shared" ref="H3:H14" si="4">G3*3100000</f>
        <v>71733.926941356433</v>
      </c>
      <c r="I3" s="121">
        <f t="shared" ref="I3:I14" si="5">-H3*0.149</f>
        <v>-10688.355114262107</v>
      </c>
      <c r="K3" s="126">
        <f>29225307.55+9600000</f>
        <v>38825307.549999997</v>
      </c>
      <c r="L3" s="126">
        <v>17482741</v>
      </c>
      <c r="M3" s="127"/>
      <c r="N3" s="127"/>
      <c r="O3" s="127"/>
    </row>
    <row r="4" spans="1:15" ht="14.4" x14ac:dyDescent="0.3">
      <c r="A4" s="117" t="s">
        <v>25</v>
      </c>
      <c r="B4" s="140">
        <v>2.2545218733155913E-2</v>
      </c>
      <c r="C4" s="123">
        <f t="shared" si="0"/>
        <v>184906</v>
      </c>
      <c r="D4" s="141">
        <v>2.3373722078595817E-2</v>
      </c>
      <c r="E4" s="123">
        <f t="shared" si="1"/>
        <v>488400.00000000006</v>
      </c>
      <c r="F4" s="112">
        <f t="shared" si="2"/>
        <v>673306</v>
      </c>
      <c r="G4" s="138">
        <f t="shared" si="3"/>
        <v>2.3139976432695625E-2</v>
      </c>
      <c r="H4" s="122">
        <f t="shared" si="4"/>
        <v>71733.926941356433</v>
      </c>
      <c r="I4" s="121">
        <f t="shared" si="5"/>
        <v>-10688.355114262107</v>
      </c>
      <c r="K4" s="115">
        <f>I15/K3</f>
        <v>-1.1896879359040647E-2</v>
      </c>
      <c r="L4" s="112">
        <f>$K4*L3</f>
        <v>-207990.06054235363</v>
      </c>
      <c r="M4" s="127"/>
      <c r="N4" s="127"/>
      <c r="O4" s="127"/>
    </row>
    <row r="5" spans="1:15" ht="14.4" x14ac:dyDescent="0.3">
      <c r="A5" s="117" t="s">
        <v>24</v>
      </c>
      <c r="B5" s="140">
        <v>3.7801459709577087E-2</v>
      </c>
      <c r="C5" s="123">
        <f t="shared" si="0"/>
        <v>310031</v>
      </c>
      <c r="D5" s="141">
        <v>4.6747444157191634E-2</v>
      </c>
      <c r="E5" s="123">
        <f t="shared" si="1"/>
        <v>976800.00000000012</v>
      </c>
      <c r="F5" s="112">
        <f t="shared" si="2"/>
        <v>1286831</v>
      </c>
      <c r="G5" s="138">
        <f t="shared" si="3"/>
        <v>4.4225417585558639E-2</v>
      </c>
      <c r="H5" s="122">
        <f t="shared" si="4"/>
        <v>137098.79451523177</v>
      </c>
      <c r="I5" s="121">
        <f t="shared" si="5"/>
        <v>-20427.720382769534</v>
      </c>
      <c r="M5" s="127"/>
      <c r="N5" s="127"/>
      <c r="O5" s="127"/>
    </row>
    <row r="6" spans="1:15" ht="14.4" x14ac:dyDescent="0.3">
      <c r="A6" s="117" t="s">
        <v>23</v>
      </c>
      <c r="B6" s="140">
        <v>0.12572598191023299</v>
      </c>
      <c r="C6" s="123">
        <f t="shared" si="0"/>
        <v>1031149.3841000017</v>
      </c>
      <c r="D6" s="141">
        <v>8.34948883143833E-2</v>
      </c>
      <c r="E6" s="123">
        <f t="shared" si="1"/>
        <v>1744647.4000000008</v>
      </c>
      <c r="F6" s="112">
        <f t="shared" si="2"/>
        <v>2775796.7841000026</v>
      </c>
      <c r="G6" s="138">
        <f t="shared" si="3"/>
        <v>9.539774213511594E-2</v>
      </c>
      <c r="H6" s="122">
        <f t="shared" si="4"/>
        <v>295733.00061885943</v>
      </c>
      <c r="I6" s="121">
        <f t="shared" si="5"/>
        <v>-44064.217092210056</v>
      </c>
      <c r="K6" s="125" t="s">
        <v>108</v>
      </c>
      <c r="L6" s="124">
        <f>L4-I15</f>
        <v>253909.93945764631</v>
      </c>
      <c r="M6" s="127"/>
      <c r="N6" s="127"/>
      <c r="O6" s="127"/>
    </row>
    <row r="7" spans="1:15" ht="14.4" x14ac:dyDescent="0.3">
      <c r="A7" s="117" t="s">
        <v>22</v>
      </c>
      <c r="B7" s="140">
        <v>0.13572598191023277</v>
      </c>
      <c r="C7" s="123">
        <f t="shared" si="0"/>
        <v>1113165</v>
      </c>
      <c r="D7" s="141">
        <v>0.10116396733039</v>
      </c>
      <c r="E7" s="123">
        <f t="shared" si="1"/>
        <v>2113847.400000005</v>
      </c>
      <c r="F7" s="112">
        <f t="shared" si="2"/>
        <v>3227012.400000005</v>
      </c>
      <c r="G7" s="138">
        <f t="shared" si="3"/>
        <v>0.11090498359440829</v>
      </c>
      <c r="H7" s="122">
        <f t="shared" si="4"/>
        <v>343805.44914266566</v>
      </c>
      <c r="I7" s="121">
        <f t="shared" si="5"/>
        <v>-51227.011922257181</v>
      </c>
      <c r="M7" s="127"/>
      <c r="N7" s="127"/>
      <c r="O7" s="127"/>
    </row>
    <row r="8" spans="1:15" ht="14.4" x14ac:dyDescent="0.3">
      <c r="A8" s="117" t="s">
        <v>106</v>
      </c>
      <c r="B8" s="140">
        <v>0.13572598191023277</v>
      </c>
      <c r="C8" s="123">
        <f t="shared" si="0"/>
        <v>1113165</v>
      </c>
      <c r="D8" s="141">
        <v>0.13622455044828299</v>
      </c>
      <c r="E8" s="123">
        <f t="shared" si="1"/>
        <v>2846447.3999999897</v>
      </c>
      <c r="F8" s="112">
        <f t="shared" si="2"/>
        <v>3959612.3999999897</v>
      </c>
      <c r="G8" s="138">
        <f t="shared" si="3"/>
        <v>0.13608275823861532</v>
      </c>
      <c r="H8" s="122">
        <f t="shared" si="4"/>
        <v>421856.55053970747</v>
      </c>
      <c r="I8" s="121">
        <f t="shared" si="5"/>
        <v>-62856.62603041641</v>
      </c>
    </row>
    <row r="9" spans="1:15" ht="14.4" x14ac:dyDescent="0.3">
      <c r="A9" s="117" t="s">
        <v>105</v>
      </c>
      <c r="B9" s="140">
        <v>0.14208879458039894</v>
      </c>
      <c r="C9" s="123">
        <f t="shared" si="0"/>
        <v>1165350</v>
      </c>
      <c r="D9" s="141">
        <v>0.13024233247157499</v>
      </c>
      <c r="E9" s="123">
        <f t="shared" si="1"/>
        <v>2721447.4000000022</v>
      </c>
      <c r="F9" s="112">
        <f t="shared" si="2"/>
        <v>3886797.4000000022</v>
      </c>
      <c r="G9" s="138">
        <f t="shared" si="3"/>
        <v>0.13358027439925188</v>
      </c>
      <c r="H9" s="122">
        <f t="shared" si="4"/>
        <v>414098.85063768085</v>
      </c>
      <c r="I9" s="121">
        <f t="shared" si="5"/>
        <v>-61700.728745014443</v>
      </c>
    </row>
    <row r="10" spans="1:15" ht="14.4" x14ac:dyDescent="0.3">
      <c r="A10" s="117" t="s">
        <v>19</v>
      </c>
      <c r="B10" s="140">
        <v>0.14208879458039894</v>
      </c>
      <c r="C10" s="123">
        <f t="shared" si="0"/>
        <v>1165350</v>
      </c>
      <c r="D10" s="141">
        <v>0.14024233247157489</v>
      </c>
      <c r="E10" s="123">
        <f t="shared" si="1"/>
        <v>2930400</v>
      </c>
      <c r="F10" s="112">
        <f t="shared" si="2"/>
        <v>4095750</v>
      </c>
      <c r="G10" s="138">
        <f t="shared" si="3"/>
        <v>0.1407614939926469</v>
      </c>
      <c r="H10" s="122">
        <f t="shared" si="4"/>
        <v>436360.63137720537</v>
      </c>
      <c r="I10" s="121">
        <f t="shared" si="5"/>
        <v>-65017.734075203596</v>
      </c>
    </row>
    <row r="11" spans="1:15" ht="14.4" x14ac:dyDescent="0.3">
      <c r="A11" s="117" t="s">
        <v>104</v>
      </c>
      <c r="B11" s="140">
        <v>0.11720987393084979</v>
      </c>
      <c r="C11" s="123">
        <f t="shared" si="0"/>
        <v>961304</v>
      </c>
      <c r="D11" s="141">
        <v>0.12873254508438756</v>
      </c>
      <c r="E11" s="123">
        <f t="shared" si="1"/>
        <v>2689900</v>
      </c>
      <c r="F11" s="112">
        <f t="shared" si="2"/>
        <v>3651204</v>
      </c>
      <c r="G11" s="138">
        <f t="shared" si="3"/>
        <v>0.12548347187009176</v>
      </c>
      <c r="H11" s="122">
        <f t="shared" si="4"/>
        <v>388998.76279728446</v>
      </c>
      <c r="I11" s="121">
        <f t="shared" si="5"/>
        <v>-57960.815656795385</v>
      </c>
    </row>
    <row r="12" spans="1:15" ht="14.4" x14ac:dyDescent="0.3">
      <c r="A12" s="117" t="s">
        <v>17</v>
      </c>
      <c r="B12" s="140">
        <v>0.10221272995402818</v>
      </c>
      <c r="C12" s="123">
        <f t="shared" si="0"/>
        <v>838304</v>
      </c>
      <c r="D12" s="141">
        <v>9.9657051407831251E-2</v>
      </c>
      <c r="E12" s="123">
        <f t="shared" si="1"/>
        <v>2082360</v>
      </c>
      <c r="F12" s="112">
        <f t="shared" si="2"/>
        <v>2920664</v>
      </c>
      <c r="G12" s="138">
        <f t="shared" si="3"/>
        <v>0.1003764946812037</v>
      </c>
      <c r="H12" s="122">
        <f t="shared" si="4"/>
        <v>311167.13351173146</v>
      </c>
      <c r="I12" s="121">
        <f t="shared" si="5"/>
        <v>-46363.902893247985</v>
      </c>
    </row>
    <row r="13" spans="1:15" ht="14.4" x14ac:dyDescent="0.3">
      <c r="A13" s="117" t="s">
        <v>16</v>
      </c>
      <c r="B13" s="140">
        <v>6.3628126701661455E-3</v>
      </c>
      <c r="C13" s="123">
        <f t="shared" si="0"/>
        <v>52185</v>
      </c>
      <c r="D13" s="141">
        <v>4.6747444157191634E-2</v>
      </c>
      <c r="E13" s="123">
        <f t="shared" si="1"/>
        <v>976800.00000000012</v>
      </c>
      <c r="F13" s="112">
        <f t="shared" si="2"/>
        <v>1028985.0000000001</v>
      </c>
      <c r="G13" s="138">
        <f t="shared" si="3"/>
        <v>3.536384444754289E-2</v>
      </c>
      <c r="H13" s="122">
        <f t="shared" si="4"/>
        <v>109627.91778738296</v>
      </c>
      <c r="I13" s="121">
        <f t="shared" si="5"/>
        <v>-16334.559750320061</v>
      </c>
    </row>
    <row r="14" spans="1:15" ht="14.4" x14ac:dyDescent="0.3">
      <c r="A14" s="117" t="s">
        <v>15</v>
      </c>
      <c r="B14" s="140">
        <v>0.01</v>
      </c>
      <c r="C14" s="123">
        <f t="shared" si="0"/>
        <v>82015.615900000004</v>
      </c>
      <c r="D14" s="141">
        <v>0.04</v>
      </c>
      <c r="E14" s="123">
        <f t="shared" si="1"/>
        <v>835810.4</v>
      </c>
      <c r="F14" s="112">
        <f t="shared" si="2"/>
        <v>917826.0159</v>
      </c>
      <c r="G14" s="138">
        <f t="shared" si="3"/>
        <v>3.1543566190173442E-2</v>
      </c>
      <c r="H14" s="122">
        <f t="shared" si="4"/>
        <v>97785.05518953767</v>
      </c>
      <c r="I14" s="121">
        <f t="shared" si="5"/>
        <v>-14569.973223241112</v>
      </c>
    </row>
    <row r="15" spans="1:15" ht="15" thickBot="1" x14ac:dyDescent="0.35">
      <c r="A15" s="117"/>
      <c r="B15" s="139">
        <f t="shared" ref="B15:I15" si="6">SUM(B3:B14)</f>
        <v>1.0000328486224295</v>
      </c>
      <c r="C15" s="120">
        <f t="shared" si="6"/>
        <v>8201831.0000000009</v>
      </c>
      <c r="D15" s="142">
        <f t="shared" si="6"/>
        <v>1</v>
      </c>
      <c r="E15" s="120">
        <f t="shared" si="6"/>
        <v>20895259.999999996</v>
      </c>
      <c r="F15" s="120">
        <f t="shared" si="6"/>
        <v>29097091</v>
      </c>
      <c r="G15" s="139">
        <f t="shared" si="6"/>
        <v>1</v>
      </c>
      <c r="H15" s="119">
        <f t="shared" si="6"/>
        <v>3100000</v>
      </c>
      <c r="I15" s="118">
        <f t="shared" si="6"/>
        <v>-461899.99999999994</v>
      </c>
    </row>
    <row r="16" spans="1:15" ht="15" thickTop="1" x14ac:dyDescent="0.3">
      <c r="A16" s="117" t="s">
        <v>107</v>
      </c>
      <c r="B16" s="116">
        <v>8201561.5899999999</v>
      </c>
      <c r="C16" s="116"/>
      <c r="D16" s="116">
        <v>20895260</v>
      </c>
    </row>
    <row r="18" spans="1:14" ht="14.4" x14ac:dyDescent="0.3">
      <c r="B18" s="112">
        <f>B16+D16</f>
        <v>29096821.59</v>
      </c>
      <c r="C18" s="115"/>
      <c r="D18" s="112">
        <f>B18+9600000</f>
        <v>38696821.590000004</v>
      </c>
      <c r="E18" s="115">
        <f>I15/D18</f>
        <v>-1.193638084527758E-2</v>
      </c>
    </row>
    <row r="19" spans="1:14" ht="14.4" x14ac:dyDescent="0.3">
      <c r="B19" s="114" t="s">
        <v>26</v>
      </c>
      <c r="C19" s="114" t="s">
        <v>25</v>
      </c>
      <c r="D19" s="114" t="s">
        <v>24</v>
      </c>
      <c r="E19" s="114" t="s">
        <v>23</v>
      </c>
      <c r="F19" s="114" t="s">
        <v>22</v>
      </c>
      <c r="G19" s="114" t="s">
        <v>106</v>
      </c>
      <c r="H19" s="114" t="s">
        <v>105</v>
      </c>
      <c r="I19" s="114" t="s">
        <v>19</v>
      </c>
      <c r="J19" s="114" t="s">
        <v>104</v>
      </c>
      <c r="K19" s="114" t="s">
        <v>17</v>
      </c>
      <c r="L19" s="114" t="s">
        <v>16</v>
      </c>
      <c r="M19" s="114" t="s">
        <v>15</v>
      </c>
    </row>
    <row r="20" spans="1:14" x14ac:dyDescent="0.3">
      <c r="A20" s="113">
        <v>8400000</v>
      </c>
      <c r="B20" s="112">
        <v>-10688.355114262107</v>
      </c>
      <c r="C20" s="112">
        <v>-10688.355114262107</v>
      </c>
      <c r="D20" s="112">
        <v>-20427.720382769534</v>
      </c>
      <c r="E20" s="112">
        <v>-44064.217092210056</v>
      </c>
      <c r="F20" s="112">
        <v>-51227.011922257181</v>
      </c>
      <c r="G20" s="112">
        <v>-62856.62603041641</v>
      </c>
      <c r="H20" s="112">
        <v>-61700.728745014443</v>
      </c>
      <c r="I20" s="112">
        <v>-65017.734075203596</v>
      </c>
      <c r="J20" s="112">
        <v>-57960.815656795385</v>
      </c>
      <c r="K20" s="112">
        <v>-46363.902893247985</v>
      </c>
      <c r="L20" s="112">
        <v>-16334.559750320061</v>
      </c>
      <c r="M20" s="112">
        <v>-14569.973223241112</v>
      </c>
      <c r="N20" s="111">
        <f>SUM(B20:M20)</f>
        <v>-461899.99999999994</v>
      </c>
    </row>
    <row r="22" spans="1:14" x14ac:dyDescent="0.3">
      <c r="D22" s="112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AF468-2682-4BD7-B4D4-7D397723EFBB}">
  <sheetPr>
    <tabColor rgb="FFFFC000"/>
    <pageSetUpPr fitToPage="1"/>
  </sheetPr>
  <dimension ref="A1:U68"/>
  <sheetViews>
    <sheetView zoomScale="80" zoomScaleNormal="80" workbookViewId="0">
      <pane xSplit="1" ySplit="3" topLeftCell="C4" activePane="bottomRight" state="frozen"/>
      <selection activeCell="L40" sqref="L40:L41"/>
      <selection pane="topRight" activeCell="L40" sqref="L40:L41"/>
      <selection pane="bottomLeft" activeCell="L40" sqref="L40:L41"/>
      <selection pane="bottomRight" activeCell="N35" sqref="N35"/>
    </sheetView>
  </sheetViews>
  <sheetFormatPr defaultRowHeight="14.4" x14ac:dyDescent="0.3"/>
  <cols>
    <col min="1" max="1" width="33" bestFit="1" customWidth="1"/>
    <col min="2" max="2" width="14.6640625" style="106" hidden="1" customWidth="1"/>
    <col min="3" max="3" width="18.44140625" style="106" customWidth="1"/>
    <col min="4" max="4" width="1.5546875" customWidth="1"/>
    <col min="5" max="5" width="33.33203125" bestFit="1" customWidth="1"/>
    <col min="6" max="6" width="18" bestFit="1" customWidth="1"/>
    <col min="7" max="8" width="1.5546875" customWidth="1"/>
    <col min="9" max="9" width="36.5546875" customWidth="1"/>
    <col min="10" max="10" width="15.44140625" bestFit="1" customWidth="1"/>
    <col min="11" max="11" width="13.5546875" bestFit="1" customWidth="1"/>
    <col min="12" max="12" width="15.88671875" bestFit="1" customWidth="1"/>
    <col min="14" max="14" width="13.44140625" customWidth="1"/>
    <col min="15" max="15" width="11" bestFit="1" customWidth="1"/>
  </cols>
  <sheetData>
    <row r="1" spans="1:14" s="212" customFormat="1" ht="21" customHeight="1" x14ac:dyDescent="0.3">
      <c r="A1" s="215" t="s">
        <v>181</v>
      </c>
      <c r="B1" s="216" t="s">
        <v>37</v>
      </c>
      <c r="C1" s="213"/>
      <c r="D1" s="214"/>
      <c r="E1" s="213" t="s">
        <v>180</v>
      </c>
      <c r="F1" s="213"/>
      <c r="H1" s="214"/>
      <c r="I1" s="213" t="s">
        <v>179</v>
      </c>
    </row>
    <row r="2" spans="1:14" x14ac:dyDescent="0.3">
      <c r="A2" s="211" t="s">
        <v>178</v>
      </c>
      <c r="B2" s="106" t="s">
        <v>177</v>
      </c>
      <c r="C2" s="227"/>
      <c r="D2" s="151"/>
      <c r="E2" s="228"/>
      <c r="F2" s="229"/>
      <c r="H2" s="151"/>
      <c r="I2" s="230"/>
      <c r="J2" s="230"/>
    </row>
    <row r="3" spans="1:14" ht="18" x14ac:dyDescent="0.3">
      <c r="B3" s="210" t="s">
        <v>175</v>
      </c>
      <c r="C3" s="216" t="s">
        <v>37</v>
      </c>
      <c r="D3" s="151"/>
      <c r="F3" s="210" t="s">
        <v>176</v>
      </c>
      <c r="H3" s="151"/>
      <c r="J3" s="210" t="s">
        <v>174</v>
      </c>
    </row>
    <row r="4" spans="1:14" x14ac:dyDescent="0.3">
      <c r="A4" t="s">
        <v>173</v>
      </c>
      <c r="B4" s="169">
        <v>985353.96</v>
      </c>
      <c r="C4" s="169">
        <v>985353.96</v>
      </c>
      <c r="D4" s="151"/>
      <c r="E4" s="177" t="s">
        <v>172</v>
      </c>
      <c r="H4" s="151"/>
    </row>
    <row r="5" spans="1:14" x14ac:dyDescent="0.3">
      <c r="A5" t="s">
        <v>86</v>
      </c>
      <c r="B5" s="183">
        <v>736299.83000000007</v>
      </c>
      <c r="C5" s="183">
        <v>736299.83000000007</v>
      </c>
      <c r="D5" s="151"/>
      <c r="E5" t="s">
        <v>56</v>
      </c>
      <c r="F5" s="195">
        <v>651819.63</v>
      </c>
      <c r="H5" s="151"/>
      <c r="I5" s="174" t="s">
        <v>123</v>
      </c>
      <c r="J5" s="209">
        <f>F40</f>
        <v>0.48141820713807171</v>
      </c>
    </row>
    <row r="6" spans="1:14" x14ac:dyDescent="0.3">
      <c r="A6" t="s">
        <v>88</v>
      </c>
      <c r="B6" s="183">
        <v>176085.68</v>
      </c>
      <c r="C6" s="169">
        <v>176085.68</v>
      </c>
      <c r="D6" s="151"/>
      <c r="E6" t="s">
        <v>88</v>
      </c>
      <c r="F6" s="183">
        <v>176085.68</v>
      </c>
      <c r="H6" s="151"/>
      <c r="J6" s="106"/>
      <c r="L6" s="207"/>
      <c r="N6" s="149"/>
    </row>
    <row r="7" spans="1:14" x14ac:dyDescent="0.3">
      <c r="A7" t="s">
        <v>171</v>
      </c>
      <c r="B7" s="183">
        <v>-22087</v>
      </c>
      <c r="C7" s="169">
        <v>-22087</v>
      </c>
      <c r="D7" s="151"/>
      <c r="E7" s="208" t="s">
        <v>170</v>
      </c>
      <c r="F7" s="183"/>
      <c r="H7" s="151"/>
      <c r="I7" s="205" t="s">
        <v>169</v>
      </c>
      <c r="J7" s="204">
        <f>F5</f>
        <v>651819.63</v>
      </c>
      <c r="L7" s="207"/>
      <c r="N7" s="149"/>
    </row>
    <row r="8" spans="1:14" x14ac:dyDescent="0.3">
      <c r="A8" t="s">
        <v>83</v>
      </c>
      <c r="B8" s="183">
        <v>0</v>
      </c>
      <c r="C8" s="170"/>
      <c r="D8" s="151"/>
      <c r="E8" t="s">
        <v>87</v>
      </c>
      <c r="F8" s="206">
        <v>47172</v>
      </c>
      <c r="H8" s="151"/>
      <c r="I8" s="205" t="s">
        <v>55</v>
      </c>
      <c r="J8" s="204">
        <f>F9</f>
        <v>875077.31</v>
      </c>
    </row>
    <row r="9" spans="1:14" x14ac:dyDescent="0.3">
      <c r="A9" t="s">
        <v>168</v>
      </c>
      <c r="B9" s="183">
        <v>44504.97</v>
      </c>
      <c r="C9" s="183">
        <v>44504.97</v>
      </c>
      <c r="D9" s="151"/>
      <c r="E9" s="1" t="s">
        <v>55</v>
      </c>
      <c r="F9" s="175">
        <f>SUM(F5:F8)</f>
        <v>875077.31</v>
      </c>
      <c r="H9" s="151"/>
      <c r="I9" s="203" t="s">
        <v>54</v>
      </c>
      <c r="J9" s="202">
        <f>J7/J8</f>
        <v>0.74487090746302176</v>
      </c>
    </row>
    <row r="10" spans="1:14" x14ac:dyDescent="0.3">
      <c r="A10" t="s">
        <v>167</v>
      </c>
      <c r="B10" s="183">
        <v>206066.67</v>
      </c>
      <c r="C10" s="183">
        <v>206066.67</v>
      </c>
      <c r="D10" s="151"/>
      <c r="F10" s="106"/>
      <c r="H10" s="151"/>
      <c r="I10" s="201"/>
      <c r="J10" s="182"/>
    </row>
    <row r="11" spans="1:14" ht="15" thickBot="1" x14ac:dyDescent="0.35">
      <c r="A11" t="s">
        <v>166</v>
      </c>
      <c r="B11" s="183">
        <v>0</v>
      </c>
      <c r="C11" s="183">
        <v>0</v>
      </c>
      <c r="D11" s="151"/>
      <c r="E11" s="21"/>
      <c r="F11" s="178"/>
      <c r="H11" s="151"/>
      <c r="J11" s="106"/>
    </row>
    <row r="12" spans="1:14" x14ac:dyDescent="0.3">
      <c r="A12" t="s">
        <v>165</v>
      </c>
      <c r="B12" s="183">
        <v>47172</v>
      </c>
      <c r="C12" s="183">
        <v>47172</v>
      </c>
      <c r="D12" s="151"/>
      <c r="F12" s="106"/>
      <c r="H12" s="151"/>
      <c r="I12" s="200"/>
    </row>
    <row r="13" spans="1:14" x14ac:dyDescent="0.3">
      <c r="A13" t="s">
        <v>164</v>
      </c>
      <c r="B13" s="183">
        <v>127947</v>
      </c>
      <c r="C13" s="183">
        <v>127947</v>
      </c>
      <c r="D13" s="151"/>
      <c r="E13" s="177" t="s">
        <v>163</v>
      </c>
      <c r="F13" s="106"/>
      <c r="H13" s="151"/>
      <c r="I13" s="200"/>
    </row>
    <row r="14" spans="1:14" x14ac:dyDescent="0.3">
      <c r="A14" s="1" t="s">
        <v>1</v>
      </c>
      <c r="B14" s="199">
        <v>2301343.11</v>
      </c>
      <c r="C14" s="175">
        <v>2301343.11</v>
      </c>
      <c r="D14" s="151"/>
      <c r="E14" s="177"/>
      <c r="F14" s="106"/>
      <c r="H14" s="151"/>
      <c r="I14" s="173" t="s">
        <v>52</v>
      </c>
      <c r="J14" s="198">
        <f>J5*J9</f>
        <v>0.35859441682015647</v>
      </c>
    </row>
    <row r="15" spans="1:14" x14ac:dyDescent="0.3">
      <c r="B15" s="169"/>
      <c r="C15" s="169"/>
      <c r="D15" s="151"/>
      <c r="E15" s="177" t="s">
        <v>162</v>
      </c>
      <c r="F15" s="106"/>
      <c r="H15" s="151"/>
      <c r="I15" s="173" t="s">
        <v>161</v>
      </c>
      <c r="J15" s="197">
        <f>J5-J14</f>
        <v>0.12282379031791524</v>
      </c>
    </row>
    <row r="16" spans="1:14" x14ac:dyDescent="0.3">
      <c r="B16" s="152"/>
      <c r="C16" s="152"/>
      <c r="D16" s="151"/>
      <c r="E16" t="s">
        <v>86</v>
      </c>
      <c r="F16" s="170">
        <v>736299.83000000007</v>
      </c>
      <c r="H16" s="151"/>
      <c r="I16" t="s">
        <v>123</v>
      </c>
      <c r="J16" s="234">
        <f>F40</f>
        <v>0.48141820713807171</v>
      </c>
      <c r="L16" s="149"/>
    </row>
    <row r="17" spans="1:12" x14ac:dyDescent="0.3">
      <c r="A17" s="177" t="s">
        <v>160</v>
      </c>
      <c r="B17" s="152"/>
      <c r="C17" s="152"/>
      <c r="D17" s="196"/>
      <c r="E17" t="s">
        <v>85</v>
      </c>
      <c r="F17" s="169">
        <v>311447.32999999996</v>
      </c>
      <c r="H17" s="196"/>
    </row>
    <row r="18" spans="1:12" ht="15" thickBot="1" x14ac:dyDescent="0.35">
      <c r="A18" s="194" t="s">
        <v>159</v>
      </c>
      <c r="B18" s="169">
        <v>22087</v>
      </c>
      <c r="C18" s="170">
        <v>22087</v>
      </c>
      <c r="D18" s="151"/>
      <c r="E18" s="220" t="s">
        <v>84</v>
      </c>
      <c r="F18" s="170">
        <v>127947</v>
      </c>
      <c r="H18" s="151"/>
      <c r="I18" s="21"/>
      <c r="J18" s="178"/>
      <c r="L18" s="207"/>
    </row>
    <row r="19" spans="1:12" x14ac:dyDescent="0.3">
      <c r="A19" s="194" t="s">
        <v>158</v>
      </c>
      <c r="B19" s="195">
        <v>651819.63</v>
      </c>
      <c r="C19" s="170">
        <v>651819.63</v>
      </c>
      <c r="D19" s="151"/>
      <c r="E19" s="220" t="s">
        <v>83</v>
      </c>
      <c r="F19" s="170">
        <v>0</v>
      </c>
      <c r="H19" s="151"/>
      <c r="J19" s="106"/>
      <c r="L19" s="207"/>
    </row>
    <row r="20" spans="1:12" x14ac:dyDescent="0.3">
      <c r="A20" s="194" t="s">
        <v>157</v>
      </c>
      <c r="B20" s="165">
        <v>0</v>
      </c>
      <c r="C20" s="188">
        <v>0</v>
      </c>
      <c r="D20" s="151"/>
      <c r="E20" s="220" t="s">
        <v>82</v>
      </c>
      <c r="F20" s="180">
        <v>-10688.36</v>
      </c>
      <c r="H20" s="151"/>
      <c r="I20" s="192" t="s">
        <v>156</v>
      </c>
    </row>
    <row r="21" spans="1:12" x14ac:dyDescent="0.3">
      <c r="A21" s="194" t="s">
        <v>155</v>
      </c>
      <c r="B21" s="193">
        <v>311447.32999999996</v>
      </c>
      <c r="C21" s="180">
        <v>311447.32999999996</v>
      </c>
      <c r="D21" s="151"/>
      <c r="E21" s="221" t="s">
        <v>81</v>
      </c>
      <c r="F21" s="222">
        <f>SUM(F16:F20)</f>
        <v>1165005.8</v>
      </c>
      <c r="H21" s="151"/>
      <c r="I21" s="192"/>
    </row>
    <row r="22" spans="1:12" x14ac:dyDescent="0.3">
      <c r="A22" s="191" t="s">
        <v>154</v>
      </c>
      <c r="B22" s="190">
        <v>985353.96</v>
      </c>
      <c r="C22" s="223">
        <v>985353.96</v>
      </c>
      <c r="D22" s="151"/>
      <c r="E22" s="220"/>
      <c r="F22" s="93"/>
      <c r="H22" s="151"/>
      <c r="I22" t="s">
        <v>153</v>
      </c>
      <c r="J22" s="189">
        <f>F28</f>
        <v>652701.33492983051</v>
      </c>
    </row>
    <row r="23" spans="1:12" x14ac:dyDescent="0.3">
      <c r="A23" s="173" t="s">
        <v>152</v>
      </c>
      <c r="B23" s="169">
        <v>127947</v>
      </c>
      <c r="C23" s="170">
        <v>127947</v>
      </c>
      <c r="D23" s="151"/>
      <c r="E23" s="224" t="s">
        <v>151</v>
      </c>
      <c r="F23" s="93"/>
      <c r="H23" s="151"/>
      <c r="I23" s="173" t="s">
        <v>150</v>
      </c>
      <c r="J23" s="188">
        <v>0</v>
      </c>
    </row>
    <row r="24" spans="1:12" x14ac:dyDescent="0.3">
      <c r="B24" s="186">
        <v>1113300.96</v>
      </c>
      <c r="C24" s="225">
        <v>1113300.96</v>
      </c>
      <c r="D24" s="151"/>
      <c r="E24" s="220" t="s">
        <v>149</v>
      </c>
      <c r="F24" s="170">
        <v>977612</v>
      </c>
      <c r="H24" s="151"/>
      <c r="I24" s="173" t="s">
        <v>148</v>
      </c>
      <c r="J24" s="180"/>
      <c r="L24" s="198"/>
    </row>
    <row r="25" spans="1:12" x14ac:dyDescent="0.3">
      <c r="C25" s="93"/>
      <c r="D25" s="151"/>
      <c r="E25" s="226" t="s">
        <v>79</v>
      </c>
      <c r="F25" s="185">
        <v>-314222.30507016956</v>
      </c>
      <c r="H25" s="151"/>
      <c r="I25" s="172" t="s">
        <v>147</v>
      </c>
      <c r="J25" s="184"/>
    </row>
    <row r="26" spans="1:12" x14ac:dyDescent="0.3">
      <c r="A26" s="177" t="s">
        <v>146</v>
      </c>
      <c r="C26" s="93"/>
      <c r="D26" s="151"/>
      <c r="E26" s="226" t="s">
        <v>78</v>
      </c>
      <c r="F26" s="188">
        <v>0</v>
      </c>
      <c r="H26" s="151"/>
      <c r="I26" t="s">
        <v>145</v>
      </c>
      <c r="J26" s="182">
        <v>0</v>
      </c>
    </row>
    <row r="27" spans="1:12" x14ac:dyDescent="0.3">
      <c r="A27" s="173" t="s">
        <v>144</v>
      </c>
      <c r="B27" s="169">
        <v>0</v>
      </c>
      <c r="C27" s="170">
        <v>0</v>
      </c>
      <c r="D27" s="151"/>
      <c r="E27" s="226" t="s">
        <v>77</v>
      </c>
      <c r="F27" s="180">
        <v>-10688.36</v>
      </c>
      <c r="H27" s="151"/>
      <c r="I27" s="1" t="s">
        <v>143</v>
      </c>
      <c r="J27" s="17">
        <f>J22+J24</f>
        <v>652701.33492983051</v>
      </c>
    </row>
    <row r="28" spans="1:12" x14ac:dyDescent="0.3">
      <c r="A28" s="173" t="s">
        <v>142</v>
      </c>
      <c r="B28" s="169">
        <v>9683</v>
      </c>
      <c r="C28" s="170">
        <v>9683</v>
      </c>
      <c r="D28" s="151"/>
      <c r="E28" s="221" t="s">
        <v>141</v>
      </c>
      <c r="F28" s="222">
        <f>SUM(F24:F27)</f>
        <v>652701.33492983051</v>
      </c>
      <c r="H28" s="151"/>
    </row>
    <row r="29" spans="1:12" x14ac:dyDescent="0.3">
      <c r="A29" s="173" t="s">
        <v>140</v>
      </c>
      <c r="B29" s="169">
        <v>0</v>
      </c>
      <c r="C29" s="170">
        <v>0</v>
      </c>
      <c r="D29" s="151"/>
      <c r="E29" s="220"/>
      <c r="F29" s="93"/>
      <c r="H29" s="151"/>
      <c r="I29" t="s">
        <v>139</v>
      </c>
      <c r="J29" s="106">
        <f>F28*F34</f>
        <v>314222.30645854509</v>
      </c>
      <c r="K29" s="207"/>
    </row>
    <row r="30" spans="1:12" x14ac:dyDescent="0.3">
      <c r="A30" s="173" t="s">
        <v>138</v>
      </c>
      <c r="B30" s="169">
        <v>44504.97</v>
      </c>
      <c r="C30" s="170">
        <v>44504.97</v>
      </c>
      <c r="D30" s="151"/>
      <c r="E30" s="221" t="s">
        <v>137</v>
      </c>
      <c r="F30" s="222">
        <f>F21+F28</f>
        <v>1817707.1349298307</v>
      </c>
      <c r="H30" s="151"/>
    </row>
    <row r="31" spans="1:12" x14ac:dyDescent="0.3">
      <c r="A31" s="173" t="s">
        <v>136</v>
      </c>
      <c r="B31" s="169">
        <v>206066.67</v>
      </c>
      <c r="C31" s="170">
        <v>206066.67</v>
      </c>
      <c r="D31" s="151"/>
      <c r="E31" s="220"/>
      <c r="F31" s="93"/>
      <c r="H31" s="151"/>
    </row>
    <row r="32" spans="1:12" ht="15" thickBot="1" x14ac:dyDescent="0.35">
      <c r="A32" s="173" t="s">
        <v>135</v>
      </c>
      <c r="B32" s="169">
        <v>0</v>
      </c>
      <c r="C32" s="169">
        <v>0</v>
      </c>
      <c r="D32" s="151"/>
      <c r="E32" s="21"/>
      <c r="F32" s="178"/>
      <c r="H32" s="151"/>
      <c r="I32" s="177" t="s">
        <v>134</v>
      </c>
    </row>
    <row r="33" spans="1:15" x14ac:dyDescent="0.3">
      <c r="A33" s="176" t="s">
        <v>133</v>
      </c>
      <c r="B33" s="175">
        <v>260254.64</v>
      </c>
      <c r="C33" s="175">
        <v>260254.64</v>
      </c>
      <c r="D33" s="151"/>
      <c r="F33" s="152" t="s">
        <v>132</v>
      </c>
      <c r="H33" s="151"/>
    </row>
    <row r="34" spans="1:15" x14ac:dyDescent="0.3">
      <c r="A34" s="173"/>
      <c r="D34" s="151"/>
      <c r="E34" s="174" t="s">
        <v>131</v>
      </c>
      <c r="F34" s="232">
        <f>F9/F30</f>
        <v>0.48141820713807171</v>
      </c>
      <c r="H34" s="151"/>
      <c r="I34" s="164" t="s">
        <v>130</v>
      </c>
      <c r="J34" s="231">
        <f>J29/J27</f>
        <v>0.48141820713807176</v>
      </c>
      <c r="K34" s="152"/>
      <c r="N34" s="148"/>
    </row>
    <row r="35" spans="1:15" x14ac:dyDescent="0.3">
      <c r="A35" s="173" t="s">
        <v>129</v>
      </c>
      <c r="B35" s="169">
        <v>2041088.4699999997</v>
      </c>
      <c r="C35" s="169">
        <v>2041088.4699999997</v>
      </c>
      <c r="D35" s="151"/>
      <c r="F35" s="106"/>
      <c r="H35" s="151"/>
      <c r="I35" s="168" t="s">
        <v>128</v>
      </c>
      <c r="J35" s="231">
        <f>J40/J27</f>
        <v>0.35859441682015647</v>
      </c>
      <c r="O35" s="3"/>
    </row>
    <row r="36" spans="1:15" x14ac:dyDescent="0.3">
      <c r="A36" s="172" t="s">
        <v>70</v>
      </c>
      <c r="B36" s="171">
        <v>0</v>
      </c>
      <c r="C36" s="167"/>
      <c r="D36" s="151"/>
      <c r="E36" t="s">
        <v>127</v>
      </c>
      <c r="F36" s="170">
        <f>F34*F28</f>
        <v>314222.30645854509</v>
      </c>
      <c r="H36" s="151"/>
      <c r="I36" s="168" t="s">
        <v>126</v>
      </c>
      <c r="J36" s="231">
        <f>J41/J27</f>
        <v>0.12282379031791524</v>
      </c>
      <c r="L36" s="149"/>
    </row>
    <row r="37" spans="1:15" x14ac:dyDescent="0.3">
      <c r="D37" s="151"/>
      <c r="E37" t="s">
        <v>125</v>
      </c>
      <c r="F37" s="166">
        <v>0</v>
      </c>
      <c r="H37" s="151"/>
    </row>
    <row r="38" spans="1:15" x14ac:dyDescent="0.3">
      <c r="B38"/>
      <c r="C38"/>
      <c r="D38" s="151"/>
      <c r="E38" s="164" t="s">
        <v>124</v>
      </c>
      <c r="F38" s="163">
        <v>314222.30645854509</v>
      </c>
      <c r="H38" s="151"/>
      <c r="M38" s="148"/>
    </row>
    <row r="39" spans="1:15" x14ac:dyDescent="0.3">
      <c r="B39"/>
      <c r="C39"/>
      <c r="D39" s="151"/>
      <c r="H39" s="151"/>
      <c r="I39" s="162"/>
      <c r="J39" s="162"/>
    </row>
    <row r="40" spans="1:15" x14ac:dyDescent="0.3">
      <c r="D40" s="151"/>
      <c r="E40" s="82" t="s">
        <v>123</v>
      </c>
      <c r="F40" s="233">
        <f>F34</f>
        <v>0.48141820713807171</v>
      </c>
      <c r="H40" s="151"/>
      <c r="I40" s="161" t="s">
        <v>122</v>
      </c>
      <c r="J40" s="160">
        <f>F28*J14</f>
        <v>234055.0545569002</v>
      </c>
      <c r="K40" s="44"/>
      <c r="N40" s="148"/>
    </row>
    <row r="41" spans="1:15" x14ac:dyDescent="0.3">
      <c r="B41"/>
      <c r="C41"/>
      <c r="D41" s="151"/>
      <c r="H41" s="151"/>
      <c r="I41" s="161" t="s">
        <v>121</v>
      </c>
      <c r="J41" s="159">
        <f>F28*J15</f>
        <v>80167.251901644864</v>
      </c>
      <c r="K41" s="44"/>
    </row>
    <row r="42" spans="1:15" x14ac:dyDescent="0.3">
      <c r="B42"/>
      <c r="C42"/>
      <c r="D42" s="151"/>
      <c r="E42" s="158" t="s">
        <v>120</v>
      </c>
      <c r="F42" s="157">
        <v>0</v>
      </c>
      <c r="H42" s="151"/>
      <c r="I42" s="156" t="s">
        <v>119</v>
      </c>
      <c r="J42" s="155">
        <f>J40+J41</f>
        <v>314222.30645854503</v>
      </c>
    </row>
    <row r="43" spans="1:15" x14ac:dyDescent="0.3">
      <c r="B43"/>
      <c r="C43"/>
      <c r="D43" s="151"/>
      <c r="H43" s="151"/>
      <c r="I43" s="154"/>
      <c r="J43" s="153"/>
      <c r="K43" s="150"/>
    </row>
    <row r="44" spans="1:15" x14ac:dyDescent="0.3">
      <c r="B44"/>
      <c r="C44"/>
      <c r="D44" s="151"/>
      <c r="H44" s="151"/>
      <c r="L44" s="150"/>
    </row>
    <row r="45" spans="1:15" x14ac:dyDescent="0.3">
      <c r="B45"/>
      <c r="C45"/>
      <c r="F45" s="149"/>
      <c r="K45" s="3"/>
    </row>
    <row r="46" spans="1:15" x14ac:dyDescent="0.3">
      <c r="F46" s="106"/>
      <c r="J46" s="44"/>
      <c r="L46" s="3"/>
    </row>
    <row r="47" spans="1:15" x14ac:dyDescent="0.3">
      <c r="F47" s="106"/>
    </row>
    <row r="48" spans="1:15" x14ac:dyDescent="0.3">
      <c r="F48" s="106"/>
    </row>
    <row r="49" spans="6:14" x14ac:dyDescent="0.3">
      <c r="F49" s="106"/>
    </row>
    <row r="50" spans="6:14" x14ac:dyDescent="0.3">
      <c r="F50" s="106"/>
      <c r="L50" s="148"/>
      <c r="N50" s="148"/>
    </row>
    <row r="51" spans="6:14" x14ac:dyDescent="0.3">
      <c r="F51" s="106"/>
    </row>
    <row r="52" spans="6:14" x14ac:dyDescent="0.3">
      <c r="F52" s="106"/>
    </row>
    <row r="53" spans="6:14" x14ac:dyDescent="0.3">
      <c r="F53" s="106"/>
    </row>
    <row r="54" spans="6:14" x14ac:dyDescent="0.3">
      <c r="F54" s="106"/>
    </row>
    <row r="55" spans="6:14" x14ac:dyDescent="0.3">
      <c r="F55" s="106"/>
    </row>
    <row r="56" spans="6:14" x14ac:dyDescent="0.3">
      <c r="F56" s="106"/>
    </row>
    <row r="57" spans="6:14" x14ac:dyDescent="0.3">
      <c r="F57" s="106"/>
    </row>
    <row r="58" spans="6:14" x14ac:dyDescent="0.3">
      <c r="F58" s="106"/>
    </row>
    <row r="59" spans="6:14" x14ac:dyDescent="0.3">
      <c r="F59" s="106"/>
    </row>
    <row r="60" spans="6:14" x14ac:dyDescent="0.3">
      <c r="F60" s="106"/>
    </row>
    <row r="61" spans="6:14" x14ac:dyDescent="0.3">
      <c r="F61" s="106"/>
    </row>
    <row r="62" spans="6:14" x14ac:dyDescent="0.3">
      <c r="F62" s="106"/>
      <c r="K62" s="147"/>
    </row>
    <row r="63" spans="6:14" x14ac:dyDescent="0.3">
      <c r="F63" s="106"/>
    </row>
    <row r="64" spans="6:14" x14ac:dyDescent="0.3">
      <c r="F64" s="106"/>
    </row>
    <row r="65" spans="6:11" x14ac:dyDescent="0.3">
      <c r="F65" s="106"/>
    </row>
    <row r="68" spans="6:11" x14ac:dyDescent="0.3">
      <c r="K68" s="147"/>
    </row>
  </sheetData>
  <conditionalFormatting sqref="F33">
    <cfRule type="containsText" dxfId="11" priority="3" operator="containsText" text="Check">
      <formula>NOT(ISERROR(SEARCH("Check",F33)))</formula>
    </cfRule>
  </conditionalFormatting>
  <pageMargins left="0.25" right="0.25" top="0.75" bottom="0.75" header="0.3" footer="0.3"/>
  <pageSetup paperSize="5" scale="41" orientation="landscape" r:id="rId1"/>
  <headerFooter>
    <oddFooter>&amp;L&amp;Z&amp;F\&amp;A&amp;R&amp;P/&amp;N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2B8C3-F690-40F6-8D6B-A5AB5D4A80B0}">
  <sheetPr>
    <tabColor rgb="FFFFC000"/>
    <pageSetUpPr fitToPage="1"/>
  </sheetPr>
  <dimension ref="A1:U68"/>
  <sheetViews>
    <sheetView zoomScale="80" zoomScaleNormal="80" workbookViewId="0">
      <pane xSplit="1" ySplit="3" topLeftCell="B4" activePane="bottomRight" state="frozen"/>
      <selection activeCell="N35" sqref="N35"/>
      <selection pane="topRight" activeCell="N35" sqref="N35"/>
      <selection pane="bottomLeft" activeCell="N35" sqref="N35"/>
      <selection pane="bottomRight" activeCell="N35" sqref="N35"/>
    </sheetView>
  </sheetViews>
  <sheetFormatPr defaultRowHeight="14.4" x14ac:dyDescent="0.3"/>
  <cols>
    <col min="1" max="1" width="33" bestFit="1" customWidth="1"/>
    <col min="2" max="2" width="18" style="106" hidden="1" customWidth="1"/>
    <col min="3" max="3" width="18.44140625" style="106" customWidth="1"/>
    <col min="4" max="4" width="1.5546875" customWidth="1"/>
    <col min="5" max="5" width="33.33203125" bestFit="1" customWidth="1"/>
    <col min="6" max="6" width="18" bestFit="1" customWidth="1"/>
    <col min="7" max="8" width="1.5546875" customWidth="1"/>
    <col min="9" max="9" width="36.5546875" customWidth="1"/>
    <col min="10" max="10" width="15.44140625" bestFit="1" customWidth="1"/>
    <col min="11" max="11" width="13.5546875" bestFit="1" customWidth="1"/>
    <col min="12" max="12" width="15.88671875" bestFit="1" customWidth="1"/>
    <col min="14" max="14" width="13.44140625" customWidth="1"/>
    <col min="15" max="15" width="11" bestFit="1" customWidth="1"/>
  </cols>
  <sheetData>
    <row r="1" spans="1:14" s="212" customFormat="1" ht="21" customHeight="1" x14ac:dyDescent="0.3">
      <c r="A1" s="215" t="s">
        <v>181</v>
      </c>
      <c r="B1" s="216" t="s">
        <v>38</v>
      </c>
      <c r="C1" s="213"/>
      <c r="D1" s="214"/>
      <c r="E1" s="213" t="s">
        <v>180</v>
      </c>
      <c r="F1" s="213"/>
      <c r="H1" s="214"/>
      <c r="I1" s="213" t="s">
        <v>179</v>
      </c>
    </row>
    <row r="2" spans="1:14" x14ac:dyDescent="0.3">
      <c r="A2" s="211" t="s">
        <v>178</v>
      </c>
      <c r="B2" s="106" t="s">
        <v>177</v>
      </c>
      <c r="C2" s="227"/>
      <c r="D2" s="151"/>
      <c r="E2" s="228"/>
      <c r="F2" s="229"/>
      <c r="H2" s="151"/>
      <c r="I2" s="230"/>
      <c r="J2" s="230"/>
    </row>
    <row r="3" spans="1:14" ht="18" x14ac:dyDescent="0.3">
      <c r="B3" s="210" t="s">
        <v>175</v>
      </c>
      <c r="C3" s="216" t="s">
        <v>38</v>
      </c>
      <c r="D3" s="151"/>
      <c r="F3" s="210" t="s">
        <v>182</v>
      </c>
      <c r="H3" s="151"/>
      <c r="J3" s="210" t="s">
        <v>174</v>
      </c>
    </row>
    <row r="4" spans="1:14" x14ac:dyDescent="0.3">
      <c r="A4" t="s">
        <v>173</v>
      </c>
      <c r="B4" s="169">
        <v>921929.99</v>
      </c>
      <c r="C4" s="169">
        <v>921929.99</v>
      </c>
      <c r="D4" s="151"/>
      <c r="E4" s="177" t="s">
        <v>172</v>
      </c>
      <c r="H4" s="151"/>
    </row>
    <row r="5" spans="1:14" x14ac:dyDescent="0.3">
      <c r="A5" t="s">
        <v>86</v>
      </c>
      <c r="B5" s="183">
        <v>701788.47</v>
      </c>
      <c r="C5" s="183">
        <v>701788.47</v>
      </c>
      <c r="D5" s="151"/>
      <c r="E5" t="s">
        <v>56</v>
      </c>
      <c r="F5" s="195">
        <v>606500.66</v>
      </c>
      <c r="H5" s="151"/>
      <c r="I5" s="174" t="s">
        <v>123</v>
      </c>
      <c r="J5" s="209">
        <f>F40</f>
        <v>0.22988890442864476</v>
      </c>
    </row>
    <row r="6" spans="1:14" x14ac:dyDescent="0.3">
      <c r="A6" t="s">
        <v>88</v>
      </c>
      <c r="B6" s="183">
        <v>173108.59</v>
      </c>
      <c r="C6" s="169">
        <v>173108.59</v>
      </c>
      <c r="D6" s="151"/>
      <c r="E6" t="s">
        <v>88</v>
      </c>
      <c r="F6" s="183">
        <v>173108.59</v>
      </c>
      <c r="H6" s="151"/>
      <c r="J6" s="106"/>
      <c r="L6" s="207"/>
      <c r="N6" s="149"/>
    </row>
    <row r="7" spans="1:14" x14ac:dyDescent="0.3">
      <c r="A7" t="s">
        <v>171</v>
      </c>
      <c r="B7" s="183">
        <v>-21369</v>
      </c>
      <c r="C7" s="169">
        <v>-21369</v>
      </c>
      <c r="D7" s="151"/>
      <c r="E7" s="208" t="s">
        <v>170</v>
      </c>
      <c r="F7" s="183"/>
      <c r="H7" s="151"/>
      <c r="I7" s="205" t="s">
        <v>169</v>
      </c>
      <c r="J7" s="204">
        <f>F5</f>
        <v>606500.66</v>
      </c>
      <c r="L7" s="207"/>
      <c r="N7" s="149"/>
    </row>
    <row r="8" spans="1:14" x14ac:dyDescent="0.3">
      <c r="A8" t="s">
        <v>83</v>
      </c>
      <c r="B8" s="183">
        <v>0</v>
      </c>
      <c r="C8" s="170"/>
      <c r="D8" s="151"/>
      <c r="E8" t="s">
        <v>87</v>
      </c>
      <c r="F8" s="206">
        <v>46762</v>
      </c>
      <c r="H8" s="151"/>
      <c r="I8" s="205" t="s">
        <v>55</v>
      </c>
      <c r="J8" s="204">
        <f>F9</f>
        <v>826371.25</v>
      </c>
    </row>
    <row r="9" spans="1:14" x14ac:dyDescent="0.3">
      <c r="A9" t="s">
        <v>168</v>
      </c>
      <c r="B9" s="183">
        <v>37714.15</v>
      </c>
      <c r="C9" s="183">
        <v>37714.15</v>
      </c>
      <c r="D9" s="151"/>
      <c r="E9" s="1" t="s">
        <v>55</v>
      </c>
      <c r="F9" s="217">
        <f>SUM(F5:F8)</f>
        <v>826371.25</v>
      </c>
      <c r="H9" s="151"/>
      <c r="I9" s="203" t="s">
        <v>54</v>
      </c>
      <c r="J9" s="202">
        <f>J7/J8</f>
        <v>0.73393243049053325</v>
      </c>
    </row>
    <row r="10" spans="1:14" x14ac:dyDescent="0.3">
      <c r="A10" t="s">
        <v>167</v>
      </c>
      <c r="B10" s="183">
        <v>206066.67</v>
      </c>
      <c r="C10" s="183">
        <v>206066.67</v>
      </c>
      <c r="D10" s="151"/>
      <c r="F10" s="106"/>
      <c r="H10" s="151"/>
      <c r="I10" s="201"/>
      <c r="J10" s="182"/>
    </row>
    <row r="11" spans="1:14" ht="15" thickBot="1" x14ac:dyDescent="0.35">
      <c r="A11" t="s">
        <v>166</v>
      </c>
      <c r="B11" s="183">
        <v>0</v>
      </c>
      <c r="C11" s="183">
        <v>0</v>
      </c>
      <c r="D11" s="151"/>
      <c r="E11" s="21"/>
      <c r="F11" s="178"/>
      <c r="H11" s="151"/>
      <c r="J11" s="106"/>
    </row>
    <row r="12" spans="1:14" x14ac:dyDescent="0.3">
      <c r="A12" t="s">
        <v>165</v>
      </c>
      <c r="B12" s="183">
        <v>46762</v>
      </c>
      <c r="C12" s="183">
        <v>46762</v>
      </c>
      <c r="D12" s="151"/>
      <c r="F12" s="106"/>
      <c r="H12" s="151"/>
      <c r="I12" s="200"/>
    </row>
    <row r="13" spans="1:14" x14ac:dyDescent="0.3">
      <c r="A13" t="s">
        <v>164</v>
      </c>
      <c r="B13" s="183">
        <v>126833</v>
      </c>
      <c r="C13" s="183">
        <v>126833</v>
      </c>
      <c r="D13" s="151"/>
      <c r="E13" s="177" t="s">
        <v>163</v>
      </c>
      <c r="F13" s="106"/>
      <c r="H13" s="151"/>
      <c r="I13" s="200"/>
    </row>
    <row r="14" spans="1:14" x14ac:dyDescent="0.3">
      <c r="A14" s="1" t="s">
        <v>1</v>
      </c>
      <c r="B14" s="219">
        <v>2192833.87</v>
      </c>
      <c r="C14" s="217">
        <v>2192833.87</v>
      </c>
      <c r="D14" s="151"/>
      <c r="E14" s="177"/>
      <c r="F14" s="106"/>
      <c r="H14" s="151"/>
      <c r="I14" s="173" t="s">
        <v>52</v>
      </c>
      <c r="J14" s="198">
        <f>J5*J9</f>
        <v>0.16872292237012115</v>
      </c>
    </row>
    <row r="15" spans="1:14" x14ac:dyDescent="0.3">
      <c r="B15" s="169"/>
      <c r="C15" s="169"/>
      <c r="D15" s="151"/>
      <c r="E15" s="177" t="s">
        <v>162</v>
      </c>
      <c r="F15" s="106"/>
      <c r="H15" s="151"/>
      <c r="I15" s="173" t="s">
        <v>161</v>
      </c>
      <c r="J15" s="197">
        <f>J5-J14</f>
        <v>6.116598205852361E-2</v>
      </c>
    </row>
    <row r="16" spans="1:14" x14ac:dyDescent="0.3">
      <c r="B16" s="152"/>
      <c r="C16" s="152"/>
      <c r="D16" s="151"/>
      <c r="E16" t="s">
        <v>86</v>
      </c>
      <c r="F16" s="170">
        <v>701788.47</v>
      </c>
      <c r="H16" s="151"/>
      <c r="I16" t="s">
        <v>123</v>
      </c>
      <c r="J16" s="234">
        <f>F40</f>
        <v>0.22988890442864476</v>
      </c>
      <c r="L16" s="149"/>
    </row>
    <row r="17" spans="1:12" x14ac:dyDescent="0.3">
      <c r="A17" s="177" t="s">
        <v>160</v>
      </c>
      <c r="B17" s="152"/>
      <c r="C17" s="152"/>
      <c r="D17" s="196"/>
      <c r="E17" t="s">
        <v>85</v>
      </c>
      <c r="F17" s="169">
        <v>294060.32999999996</v>
      </c>
      <c r="H17" s="196"/>
    </row>
    <row r="18" spans="1:12" ht="15" thickBot="1" x14ac:dyDescent="0.35">
      <c r="A18" s="194" t="s">
        <v>159</v>
      </c>
      <c r="B18" s="169">
        <v>21369</v>
      </c>
      <c r="C18" s="169">
        <v>21369</v>
      </c>
      <c r="D18" s="151"/>
      <c r="E18" t="s">
        <v>84</v>
      </c>
      <c r="F18" s="169">
        <v>126833</v>
      </c>
      <c r="H18" s="151"/>
      <c r="I18" s="21"/>
      <c r="J18" s="178"/>
    </row>
    <row r="19" spans="1:12" x14ac:dyDescent="0.3">
      <c r="A19" s="194" t="s">
        <v>158</v>
      </c>
      <c r="B19" s="195">
        <v>606500.66</v>
      </c>
      <c r="C19" s="169">
        <v>606500.66</v>
      </c>
      <c r="D19" s="151"/>
      <c r="E19" t="s">
        <v>83</v>
      </c>
      <c r="F19" s="170">
        <v>0</v>
      </c>
      <c r="H19" s="151"/>
      <c r="J19" s="106"/>
    </row>
    <row r="20" spans="1:12" x14ac:dyDescent="0.3">
      <c r="A20" s="194" t="s">
        <v>157</v>
      </c>
      <c r="B20" s="165">
        <v>0</v>
      </c>
      <c r="C20" s="165">
        <v>0</v>
      </c>
      <c r="D20" s="151"/>
      <c r="E20" t="s">
        <v>82</v>
      </c>
      <c r="F20" s="180">
        <v>-10688.36</v>
      </c>
      <c r="H20" s="151"/>
      <c r="I20" s="192" t="s">
        <v>156</v>
      </c>
    </row>
    <row r="21" spans="1:12" x14ac:dyDescent="0.3">
      <c r="A21" s="194" t="s">
        <v>155</v>
      </c>
      <c r="B21" s="193">
        <v>294060.32999999996</v>
      </c>
      <c r="C21" s="166">
        <v>294060.32999999996</v>
      </c>
      <c r="D21" s="151"/>
      <c r="E21" s="1" t="s">
        <v>81</v>
      </c>
      <c r="F21" s="179">
        <f>SUM(F16:F20)</f>
        <v>1111993.4399999997</v>
      </c>
      <c r="H21" s="151"/>
      <c r="I21" s="192"/>
    </row>
    <row r="22" spans="1:12" x14ac:dyDescent="0.3">
      <c r="A22" s="191" t="s">
        <v>154</v>
      </c>
      <c r="B22" s="190">
        <v>921929.99</v>
      </c>
      <c r="C22" s="190">
        <v>921929.99</v>
      </c>
      <c r="D22" s="151"/>
      <c r="F22" s="106"/>
      <c r="H22" s="151"/>
      <c r="I22" t="s">
        <v>153</v>
      </c>
      <c r="J22" s="189">
        <f>F28</f>
        <v>2482661.3435956892</v>
      </c>
    </row>
    <row r="23" spans="1:12" x14ac:dyDescent="0.3">
      <c r="A23" s="173" t="s">
        <v>152</v>
      </c>
      <c r="B23" s="169">
        <v>126833</v>
      </c>
      <c r="C23" s="169">
        <v>126833</v>
      </c>
      <c r="D23" s="151"/>
      <c r="E23" s="177" t="s">
        <v>151</v>
      </c>
      <c r="F23" s="106"/>
      <c r="H23" s="151"/>
      <c r="I23" s="173" t="s">
        <v>150</v>
      </c>
      <c r="J23" s="188">
        <v>0</v>
      </c>
    </row>
    <row r="24" spans="1:12" x14ac:dyDescent="0.3">
      <c r="B24" s="218">
        <v>1048762.99</v>
      </c>
      <c r="C24" s="218">
        <v>1048762.99</v>
      </c>
      <c r="D24" s="151"/>
      <c r="E24" t="s">
        <v>149</v>
      </c>
      <c r="F24" s="169">
        <v>3064086</v>
      </c>
      <c r="H24" s="151"/>
      <c r="I24" s="173" t="s">
        <v>148</v>
      </c>
      <c r="J24" s="187"/>
      <c r="L24" s="149"/>
    </row>
    <row r="25" spans="1:12" x14ac:dyDescent="0.3">
      <c r="D25" s="151"/>
      <c r="E25" s="181" t="s">
        <v>79</v>
      </c>
      <c r="F25" s="185">
        <v>-570736.29640431108</v>
      </c>
      <c r="H25" s="151"/>
      <c r="I25" s="172" t="s">
        <v>147</v>
      </c>
      <c r="J25" s="184"/>
    </row>
    <row r="26" spans="1:12" x14ac:dyDescent="0.3">
      <c r="A26" s="177" t="s">
        <v>146</v>
      </c>
      <c r="D26" s="151"/>
      <c r="E26" s="181" t="s">
        <v>78</v>
      </c>
      <c r="F26" s="165">
        <v>0</v>
      </c>
      <c r="H26" s="151"/>
      <c r="I26" t="s">
        <v>145</v>
      </c>
      <c r="J26" s="182">
        <v>0</v>
      </c>
    </row>
    <row r="27" spans="1:12" x14ac:dyDescent="0.3">
      <c r="A27" s="173" t="s">
        <v>144</v>
      </c>
      <c r="B27" s="169">
        <v>0</v>
      </c>
      <c r="C27" s="169">
        <v>0</v>
      </c>
      <c r="D27" s="151"/>
      <c r="E27" s="181" t="s">
        <v>77</v>
      </c>
      <c r="F27" s="180">
        <v>-10688.36</v>
      </c>
      <c r="H27" s="151"/>
      <c r="I27" s="1" t="s">
        <v>143</v>
      </c>
      <c r="J27" s="17">
        <f>J22+J24</f>
        <v>2482661.3435956892</v>
      </c>
    </row>
    <row r="28" spans="1:12" x14ac:dyDescent="0.3">
      <c r="A28" s="173" t="s">
        <v>142</v>
      </c>
      <c r="B28" s="169">
        <v>8827</v>
      </c>
      <c r="C28" s="169">
        <v>8827</v>
      </c>
      <c r="D28" s="151"/>
      <c r="E28" s="1" t="s">
        <v>141</v>
      </c>
      <c r="F28" s="179">
        <f>SUM(F24:F27)</f>
        <v>2482661.3435956892</v>
      </c>
      <c r="H28" s="151"/>
    </row>
    <row r="29" spans="1:12" x14ac:dyDescent="0.3">
      <c r="A29" s="173" t="s">
        <v>140</v>
      </c>
      <c r="B29" s="169">
        <v>0</v>
      </c>
      <c r="C29" s="169">
        <v>0</v>
      </c>
      <c r="D29" s="151"/>
      <c r="F29" s="106"/>
      <c r="H29" s="151"/>
      <c r="I29" t="s">
        <v>139</v>
      </c>
      <c r="J29" s="106">
        <f>F28*F34</f>
        <v>570736.29634656024</v>
      </c>
    </row>
    <row r="30" spans="1:12" x14ac:dyDescent="0.3">
      <c r="A30" s="173" t="s">
        <v>138</v>
      </c>
      <c r="B30" s="169">
        <v>37714.15</v>
      </c>
      <c r="C30" s="169">
        <v>37714.15</v>
      </c>
      <c r="D30" s="151"/>
      <c r="E30" s="1" t="s">
        <v>137</v>
      </c>
      <c r="F30" s="179">
        <f>F21+F28</f>
        <v>3594654.7835956886</v>
      </c>
      <c r="H30" s="151"/>
    </row>
    <row r="31" spans="1:12" x14ac:dyDescent="0.3">
      <c r="A31" s="173" t="s">
        <v>136</v>
      </c>
      <c r="B31" s="169">
        <v>206066.67</v>
      </c>
      <c r="C31" s="169">
        <v>206066.67</v>
      </c>
      <c r="D31" s="151"/>
      <c r="F31" s="106"/>
      <c r="H31" s="151"/>
    </row>
    <row r="32" spans="1:12" ht="15" thickBot="1" x14ac:dyDescent="0.35">
      <c r="A32" s="173" t="s">
        <v>135</v>
      </c>
      <c r="B32" s="169">
        <v>0</v>
      </c>
      <c r="C32" s="169">
        <v>0</v>
      </c>
      <c r="D32" s="151"/>
      <c r="E32" s="21"/>
      <c r="F32" s="178"/>
      <c r="H32" s="151"/>
      <c r="I32" s="177" t="s">
        <v>134</v>
      </c>
    </row>
    <row r="33" spans="1:15" x14ac:dyDescent="0.3">
      <c r="A33" s="176" t="s">
        <v>133</v>
      </c>
      <c r="B33" s="217">
        <v>252607.82</v>
      </c>
      <c r="C33" s="217">
        <v>252607.82</v>
      </c>
      <c r="D33" s="151"/>
      <c r="F33" s="152" t="s">
        <v>132</v>
      </c>
      <c r="H33" s="151"/>
    </row>
    <row r="34" spans="1:15" x14ac:dyDescent="0.3">
      <c r="A34" s="173"/>
      <c r="D34" s="151"/>
      <c r="E34" s="174" t="s">
        <v>131</v>
      </c>
      <c r="F34" s="232">
        <f>F9/F30</f>
        <v>0.22988890442864476</v>
      </c>
      <c r="H34" s="151"/>
      <c r="I34" s="164" t="s">
        <v>130</v>
      </c>
      <c r="J34" s="231">
        <f>J29/J27</f>
        <v>0.22988890442864479</v>
      </c>
      <c r="K34" s="152"/>
      <c r="N34" s="148"/>
    </row>
    <row r="35" spans="1:15" x14ac:dyDescent="0.3">
      <c r="A35" s="173" t="s">
        <v>129</v>
      </c>
      <c r="B35" s="169">
        <v>1940226.05</v>
      </c>
      <c r="C35" s="169">
        <v>1940226.05</v>
      </c>
      <c r="D35" s="151"/>
      <c r="F35" s="106"/>
      <c r="H35" s="151"/>
      <c r="I35" s="168" t="s">
        <v>128</v>
      </c>
      <c r="J35" s="231">
        <f>J40/J27</f>
        <v>0.16872292237012115</v>
      </c>
      <c r="O35" s="3"/>
    </row>
    <row r="36" spans="1:15" x14ac:dyDescent="0.3">
      <c r="A36" s="172" t="s">
        <v>70</v>
      </c>
      <c r="B36" s="171">
        <v>0</v>
      </c>
      <c r="C36" s="167"/>
      <c r="D36" s="151"/>
      <c r="E36" t="s">
        <v>127</v>
      </c>
      <c r="F36" s="169">
        <f>F34*F28</f>
        <v>570736.29634656024</v>
      </c>
      <c r="H36" s="151"/>
      <c r="I36" s="168" t="s">
        <v>126</v>
      </c>
      <c r="J36" s="231">
        <f>J41/J27</f>
        <v>6.1165982058523603E-2</v>
      </c>
      <c r="L36" s="149"/>
    </row>
    <row r="37" spans="1:15" x14ac:dyDescent="0.3">
      <c r="D37" s="151"/>
      <c r="E37" t="s">
        <v>125</v>
      </c>
      <c r="F37" s="166">
        <v>0</v>
      </c>
      <c r="H37" s="151"/>
    </row>
    <row r="38" spans="1:15" x14ac:dyDescent="0.3">
      <c r="B38"/>
      <c r="C38"/>
      <c r="D38" s="151"/>
      <c r="E38" s="164" t="s">
        <v>124</v>
      </c>
      <c r="F38" s="163">
        <v>570736.29634656024</v>
      </c>
      <c r="H38" s="151"/>
      <c r="M38" s="148"/>
    </row>
    <row r="39" spans="1:15" x14ac:dyDescent="0.3">
      <c r="B39"/>
      <c r="C39"/>
      <c r="D39" s="151"/>
      <c r="H39" s="151"/>
      <c r="I39" s="162"/>
      <c r="J39" s="162"/>
    </row>
    <row r="40" spans="1:15" x14ac:dyDescent="0.3">
      <c r="D40" s="151"/>
      <c r="E40" s="82" t="s">
        <v>123</v>
      </c>
      <c r="F40" s="233">
        <f>F34</f>
        <v>0.22988890442864476</v>
      </c>
      <c r="H40" s="151"/>
      <c r="I40" s="161" t="s">
        <v>122</v>
      </c>
      <c r="J40" s="160">
        <f>F28*J14</f>
        <v>418881.87714679615</v>
      </c>
      <c r="K40" s="44"/>
      <c r="N40" s="148"/>
    </row>
    <row r="41" spans="1:15" x14ac:dyDescent="0.3">
      <c r="B41"/>
      <c r="C41"/>
      <c r="D41" s="151"/>
      <c r="H41" s="151"/>
      <c r="I41" s="161" t="s">
        <v>121</v>
      </c>
      <c r="J41" s="159">
        <f>F28*J15</f>
        <v>151854.41919976403</v>
      </c>
      <c r="K41" s="44"/>
    </row>
    <row r="42" spans="1:15" x14ac:dyDescent="0.3">
      <c r="B42"/>
      <c r="C42"/>
      <c r="D42" s="151"/>
      <c r="E42" s="158" t="s">
        <v>120</v>
      </c>
      <c r="F42" s="157">
        <v>0</v>
      </c>
      <c r="H42" s="151"/>
      <c r="I42" s="156" t="s">
        <v>119</v>
      </c>
      <c r="J42" s="155">
        <f>J40+J41</f>
        <v>570736.29634656012</v>
      </c>
    </row>
    <row r="43" spans="1:15" x14ac:dyDescent="0.3">
      <c r="B43"/>
      <c r="C43"/>
      <c r="D43" s="151"/>
      <c r="H43" s="151"/>
      <c r="I43" s="154"/>
      <c r="J43" s="153"/>
      <c r="K43" s="150"/>
    </row>
    <row r="44" spans="1:15" x14ac:dyDescent="0.3">
      <c r="B44"/>
      <c r="C44"/>
      <c r="D44" s="151"/>
      <c r="H44" s="151"/>
      <c r="L44" s="150"/>
    </row>
    <row r="45" spans="1:15" x14ac:dyDescent="0.3">
      <c r="B45"/>
      <c r="C45"/>
      <c r="F45" s="149"/>
      <c r="K45" s="3"/>
    </row>
    <row r="46" spans="1:15" x14ac:dyDescent="0.3">
      <c r="F46" s="106"/>
      <c r="L46" s="3"/>
    </row>
    <row r="47" spans="1:15" x14ac:dyDescent="0.3">
      <c r="F47" s="106"/>
    </row>
    <row r="48" spans="1:15" x14ac:dyDescent="0.3">
      <c r="F48" s="106"/>
    </row>
    <row r="49" spans="6:14" x14ac:dyDescent="0.3">
      <c r="F49" s="106"/>
    </row>
    <row r="50" spans="6:14" x14ac:dyDescent="0.3">
      <c r="F50" s="106"/>
      <c r="L50" s="148"/>
      <c r="N50" s="148"/>
    </row>
    <row r="51" spans="6:14" x14ac:dyDescent="0.3">
      <c r="F51" s="106"/>
    </row>
    <row r="52" spans="6:14" x14ac:dyDescent="0.3">
      <c r="F52" s="106"/>
    </row>
    <row r="53" spans="6:14" x14ac:dyDescent="0.3">
      <c r="F53" s="106"/>
    </row>
    <row r="54" spans="6:14" x14ac:dyDescent="0.3">
      <c r="F54" s="106"/>
    </row>
    <row r="55" spans="6:14" x14ac:dyDescent="0.3">
      <c r="F55" s="106"/>
    </row>
    <row r="56" spans="6:14" x14ac:dyDescent="0.3">
      <c r="F56" s="106"/>
    </row>
    <row r="57" spans="6:14" x14ac:dyDescent="0.3">
      <c r="F57" s="106"/>
    </row>
    <row r="58" spans="6:14" x14ac:dyDescent="0.3">
      <c r="F58" s="106"/>
    </row>
    <row r="59" spans="6:14" x14ac:dyDescent="0.3">
      <c r="F59" s="106"/>
    </row>
    <row r="60" spans="6:14" x14ac:dyDescent="0.3">
      <c r="F60" s="106"/>
    </row>
    <row r="61" spans="6:14" x14ac:dyDescent="0.3">
      <c r="F61" s="106"/>
    </row>
    <row r="62" spans="6:14" x14ac:dyDescent="0.3">
      <c r="F62" s="106"/>
      <c r="K62" s="147"/>
    </row>
    <row r="63" spans="6:14" x14ac:dyDescent="0.3">
      <c r="F63" s="106"/>
    </row>
    <row r="64" spans="6:14" x14ac:dyDescent="0.3">
      <c r="F64" s="106"/>
    </row>
    <row r="65" spans="6:11" x14ac:dyDescent="0.3">
      <c r="F65" s="106"/>
    </row>
    <row r="68" spans="6:11" x14ac:dyDescent="0.3">
      <c r="K68" s="147"/>
    </row>
  </sheetData>
  <conditionalFormatting sqref="F33">
    <cfRule type="containsText" dxfId="10" priority="3" operator="containsText" text="Check">
      <formula>NOT(ISERROR(SEARCH("Check",F33)))</formula>
    </cfRule>
  </conditionalFormatting>
  <pageMargins left="0.25" right="0.25" top="0.75" bottom="0.75" header="0.3" footer="0.3"/>
  <pageSetup paperSize="5" scale="41" orientation="landscape" r:id="rId1"/>
  <headerFooter>
    <oddFooter>&amp;L&amp;Z&amp;F\&amp;A&amp;R&amp;P/&amp;N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11849-7E12-4FB1-B142-7AC12681D43F}">
  <sheetPr>
    <tabColor rgb="FFFFC000"/>
    <pageSetUpPr fitToPage="1"/>
  </sheetPr>
  <dimension ref="A1:U68"/>
  <sheetViews>
    <sheetView zoomScale="80" zoomScaleNormal="80" workbookViewId="0">
      <pane xSplit="1" ySplit="3" topLeftCell="B4" activePane="bottomRight" state="frozen"/>
      <selection activeCell="N35" sqref="N35"/>
      <selection pane="topRight" activeCell="N35" sqref="N35"/>
      <selection pane="bottomLeft" activeCell="N35" sqref="N35"/>
      <selection pane="bottomRight" activeCell="N35" sqref="N35"/>
    </sheetView>
  </sheetViews>
  <sheetFormatPr defaultRowHeight="14.4" x14ac:dyDescent="0.3"/>
  <cols>
    <col min="1" max="1" width="33" bestFit="1" customWidth="1"/>
    <col min="2" max="2" width="18" style="106" hidden="1" customWidth="1"/>
    <col min="3" max="3" width="18.44140625" style="106" customWidth="1"/>
    <col min="4" max="4" width="1.5546875" customWidth="1"/>
    <col min="5" max="5" width="33.33203125" bestFit="1" customWidth="1"/>
    <col min="6" max="6" width="18" bestFit="1" customWidth="1"/>
    <col min="7" max="8" width="1.5546875" customWidth="1"/>
    <col min="9" max="9" width="36.5546875" customWidth="1"/>
    <col min="10" max="10" width="15.44140625" bestFit="1" customWidth="1"/>
    <col min="11" max="11" width="13.5546875" bestFit="1" customWidth="1"/>
    <col min="12" max="12" width="15.88671875" bestFit="1" customWidth="1"/>
    <col min="14" max="14" width="13.44140625" customWidth="1"/>
    <col min="15" max="15" width="11" bestFit="1" customWidth="1"/>
  </cols>
  <sheetData>
    <row r="1" spans="1:14" s="212" customFormat="1" ht="21" customHeight="1" x14ac:dyDescent="0.3">
      <c r="A1" s="215" t="s">
        <v>181</v>
      </c>
      <c r="B1" s="216" t="s">
        <v>184</v>
      </c>
      <c r="C1" s="213"/>
      <c r="D1" s="214"/>
      <c r="E1" s="213" t="s">
        <v>180</v>
      </c>
      <c r="F1" s="213"/>
      <c r="H1" s="214"/>
      <c r="I1" s="213" t="s">
        <v>179</v>
      </c>
    </row>
    <row r="2" spans="1:14" x14ac:dyDescent="0.3">
      <c r="A2" s="211" t="s">
        <v>178</v>
      </c>
      <c r="B2" s="106" t="s">
        <v>177</v>
      </c>
      <c r="C2" s="227"/>
      <c r="D2" s="151"/>
      <c r="E2" s="228"/>
      <c r="F2" s="229"/>
      <c r="H2" s="151"/>
      <c r="I2" s="230"/>
      <c r="J2" s="230"/>
    </row>
    <row r="3" spans="1:14" ht="18" x14ac:dyDescent="0.3">
      <c r="B3" s="210" t="s">
        <v>175</v>
      </c>
      <c r="C3" s="216" t="s">
        <v>184</v>
      </c>
      <c r="D3" s="151"/>
      <c r="F3" s="210" t="s">
        <v>183</v>
      </c>
      <c r="H3" s="151"/>
      <c r="J3" s="210" t="s">
        <v>174</v>
      </c>
    </row>
    <row r="4" spans="1:14" x14ac:dyDescent="0.3">
      <c r="A4" t="s">
        <v>173</v>
      </c>
      <c r="B4" s="169">
        <v>1009001.94</v>
      </c>
      <c r="C4" s="169">
        <v>1009001.94</v>
      </c>
      <c r="D4" s="151"/>
      <c r="E4" s="177" t="s">
        <v>172</v>
      </c>
      <c r="H4" s="151"/>
    </row>
    <row r="5" spans="1:14" x14ac:dyDescent="0.3">
      <c r="A5" t="s">
        <v>86</v>
      </c>
      <c r="B5" s="183">
        <v>726187.96</v>
      </c>
      <c r="C5" s="183">
        <v>726187.96</v>
      </c>
      <c r="D5" s="151"/>
      <c r="E5" t="s">
        <v>56</v>
      </c>
      <c r="F5" s="195">
        <v>669723.61</v>
      </c>
      <c r="H5" s="151"/>
      <c r="I5" s="174" t="s">
        <v>123</v>
      </c>
      <c r="J5" s="209">
        <f>F40</f>
        <v>0.35799754834900577</v>
      </c>
    </row>
    <row r="6" spans="1:14" x14ac:dyDescent="0.3">
      <c r="A6" t="s">
        <v>88</v>
      </c>
      <c r="B6" s="183">
        <v>176679.29</v>
      </c>
      <c r="C6" s="169">
        <v>176679.29</v>
      </c>
      <c r="D6" s="151"/>
      <c r="E6" t="s">
        <v>88</v>
      </c>
      <c r="F6" s="183">
        <v>176679.29</v>
      </c>
      <c r="H6" s="151"/>
      <c r="J6" s="106"/>
      <c r="L6" s="207"/>
      <c r="N6" s="149"/>
    </row>
    <row r="7" spans="1:14" x14ac:dyDescent="0.3">
      <c r="A7" t="s">
        <v>171</v>
      </c>
      <c r="B7" s="183">
        <v>-25215</v>
      </c>
      <c r="C7" s="169">
        <v>-25215</v>
      </c>
      <c r="D7" s="151"/>
      <c r="E7" s="208" t="s">
        <v>170</v>
      </c>
      <c r="F7" s="183"/>
      <c r="H7" s="151"/>
      <c r="I7" s="205" t="s">
        <v>169</v>
      </c>
      <c r="J7" s="204">
        <f>F5</f>
        <v>669723.61</v>
      </c>
      <c r="L7" s="207"/>
      <c r="N7" s="149"/>
    </row>
    <row r="8" spans="1:14" x14ac:dyDescent="0.3">
      <c r="A8" t="s">
        <v>83</v>
      </c>
      <c r="B8" s="183">
        <v>0</v>
      </c>
      <c r="C8" s="170"/>
      <c r="D8" s="151"/>
      <c r="E8" t="s">
        <v>87</v>
      </c>
      <c r="F8" s="206">
        <v>50591</v>
      </c>
      <c r="H8" s="151"/>
      <c r="I8" s="205" t="s">
        <v>55</v>
      </c>
      <c r="J8" s="204">
        <f>F9</f>
        <v>896993.9</v>
      </c>
    </row>
    <row r="9" spans="1:14" x14ac:dyDescent="0.3">
      <c r="A9" t="s">
        <v>168</v>
      </c>
      <c r="B9" s="183">
        <v>49936.1</v>
      </c>
      <c r="C9" s="183">
        <v>49936.1</v>
      </c>
      <c r="D9" s="151"/>
      <c r="E9" s="1" t="s">
        <v>55</v>
      </c>
      <c r="F9" s="217">
        <f>SUM(F5:F8)</f>
        <v>896993.9</v>
      </c>
      <c r="H9" s="151"/>
      <c r="I9" s="203" t="s">
        <v>54</v>
      </c>
      <c r="J9" s="202">
        <f>J7/J8</f>
        <v>0.74663117552973324</v>
      </c>
    </row>
    <row r="10" spans="1:14" x14ac:dyDescent="0.3">
      <c r="A10" t="s">
        <v>167</v>
      </c>
      <c r="B10" s="183">
        <v>206066.67</v>
      </c>
      <c r="C10" s="183">
        <v>206066.67</v>
      </c>
      <c r="D10" s="151"/>
      <c r="F10" s="106"/>
      <c r="H10" s="151"/>
      <c r="I10" s="201"/>
      <c r="J10" s="182"/>
    </row>
    <row r="11" spans="1:14" ht="15" thickBot="1" x14ac:dyDescent="0.35">
      <c r="A11" t="s">
        <v>166</v>
      </c>
      <c r="B11" s="183">
        <v>0</v>
      </c>
      <c r="C11" s="183">
        <v>0</v>
      </c>
      <c r="D11" s="151"/>
      <c r="E11" s="21"/>
      <c r="F11" s="178"/>
      <c r="H11" s="151"/>
      <c r="J11" s="106"/>
    </row>
    <row r="12" spans="1:14" x14ac:dyDescent="0.3">
      <c r="A12" t="s">
        <v>165</v>
      </c>
      <c r="B12" s="183">
        <v>50591</v>
      </c>
      <c r="C12" s="183">
        <v>50591</v>
      </c>
      <c r="D12" s="151"/>
      <c r="F12" s="106"/>
      <c r="H12" s="151"/>
      <c r="I12" s="200"/>
    </row>
    <row r="13" spans="1:14" x14ac:dyDescent="0.3">
      <c r="A13" t="s">
        <v>164</v>
      </c>
      <c r="B13" s="183">
        <v>137220</v>
      </c>
      <c r="C13" s="183">
        <v>137220</v>
      </c>
      <c r="D13" s="151"/>
      <c r="E13" s="177" t="s">
        <v>163</v>
      </c>
      <c r="F13" s="106"/>
      <c r="H13" s="151"/>
      <c r="I13" s="200"/>
    </row>
    <row r="14" spans="1:14" x14ac:dyDescent="0.3">
      <c r="A14" s="1" t="s">
        <v>1</v>
      </c>
      <c r="B14" s="219">
        <v>2330467.96</v>
      </c>
      <c r="C14" s="217">
        <v>2330467.96</v>
      </c>
      <c r="D14" s="151"/>
      <c r="E14" s="177"/>
      <c r="F14" s="106"/>
      <c r="H14" s="151"/>
      <c r="I14" s="173" t="s">
        <v>52</v>
      </c>
      <c r="J14" s="198">
        <f>J5*J9</f>
        <v>0.26729213036058069</v>
      </c>
    </row>
    <row r="15" spans="1:14" x14ac:dyDescent="0.3">
      <c r="B15" s="169"/>
      <c r="C15" s="169"/>
      <c r="D15" s="151"/>
      <c r="E15" s="177" t="s">
        <v>162</v>
      </c>
      <c r="F15" s="106"/>
      <c r="H15" s="151"/>
      <c r="I15" s="173" t="s">
        <v>161</v>
      </c>
      <c r="J15" s="197">
        <f>J5-J14</f>
        <v>9.0705417988425074E-2</v>
      </c>
    </row>
    <row r="16" spans="1:14" x14ac:dyDescent="0.3">
      <c r="B16" s="152"/>
      <c r="C16" s="152"/>
      <c r="D16" s="151"/>
      <c r="E16" t="s">
        <v>86</v>
      </c>
      <c r="F16" s="170">
        <v>726187.96</v>
      </c>
      <c r="H16" s="151"/>
      <c r="I16" t="s">
        <v>123</v>
      </c>
      <c r="J16" s="234">
        <f>F40</f>
        <v>0.35799754834900577</v>
      </c>
      <c r="L16" s="149"/>
    </row>
    <row r="17" spans="1:12" x14ac:dyDescent="0.3">
      <c r="A17" s="177" t="s">
        <v>160</v>
      </c>
      <c r="B17" s="152"/>
      <c r="C17" s="152"/>
      <c r="D17" s="196"/>
      <c r="E17" t="s">
        <v>85</v>
      </c>
      <c r="F17" s="169">
        <v>314063.32999999996</v>
      </c>
      <c r="H17" s="196"/>
    </row>
    <row r="18" spans="1:12" ht="15" thickBot="1" x14ac:dyDescent="0.35">
      <c r="A18" s="194" t="s">
        <v>159</v>
      </c>
      <c r="B18" s="169">
        <v>25215</v>
      </c>
      <c r="C18" s="169">
        <v>25215</v>
      </c>
      <c r="D18" s="151"/>
      <c r="E18" t="s">
        <v>84</v>
      </c>
      <c r="F18" s="169">
        <v>137220</v>
      </c>
      <c r="H18" s="151"/>
      <c r="I18" s="21"/>
      <c r="J18" s="178"/>
    </row>
    <row r="19" spans="1:12" x14ac:dyDescent="0.3">
      <c r="A19" s="194" t="s">
        <v>158</v>
      </c>
      <c r="B19" s="195">
        <v>669723.61</v>
      </c>
      <c r="C19" s="169">
        <v>669723.61</v>
      </c>
      <c r="D19" s="151"/>
      <c r="E19" t="s">
        <v>83</v>
      </c>
      <c r="F19" s="170">
        <v>0</v>
      </c>
      <c r="H19" s="151"/>
      <c r="J19" s="106"/>
    </row>
    <row r="20" spans="1:12" x14ac:dyDescent="0.3">
      <c r="A20" s="194" t="s">
        <v>157</v>
      </c>
      <c r="B20" s="165">
        <v>0</v>
      </c>
      <c r="C20" s="165">
        <v>0</v>
      </c>
      <c r="D20" s="151"/>
      <c r="E20" t="s">
        <v>82</v>
      </c>
      <c r="F20" s="180">
        <v>-20427.72</v>
      </c>
      <c r="H20" s="151"/>
      <c r="I20" s="192" t="s">
        <v>156</v>
      </c>
    </row>
    <row r="21" spans="1:12" x14ac:dyDescent="0.3">
      <c r="A21" s="194" t="s">
        <v>155</v>
      </c>
      <c r="B21" s="193">
        <v>314063.32999999996</v>
      </c>
      <c r="C21" s="166">
        <v>314063.32999999996</v>
      </c>
      <c r="D21" s="151"/>
      <c r="E21" s="1" t="s">
        <v>81</v>
      </c>
      <c r="F21" s="179">
        <f>SUM(F16:F20)</f>
        <v>1157043.57</v>
      </c>
      <c r="H21" s="151"/>
      <c r="I21" s="192"/>
    </row>
    <row r="22" spans="1:12" x14ac:dyDescent="0.3">
      <c r="A22" s="191" t="s">
        <v>154</v>
      </c>
      <c r="B22" s="190">
        <v>1009001.94</v>
      </c>
      <c r="C22" s="190">
        <v>1009001.94</v>
      </c>
      <c r="D22" s="151"/>
      <c r="F22" s="106"/>
      <c r="H22" s="151"/>
      <c r="I22" t="s">
        <v>153</v>
      </c>
      <c r="J22" s="189">
        <f>F28</f>
        <v>1348543.1417993102</v>
      </c>
    </row>
    <row r="23" spans="1:12" x14ac:dyDescent="0.3">
      <c r="A23" s="173" t="s">
        <v>152</v>
      </c>
      <c r="B23" s="169">
        <v>137220</v>
      </c>
      <c r="C23" s="169">
        <v>137220</v>
      </c>
      <c r="D23" s="151"/>
      <c r="E23" s="177" t="s">
        <v>151</v>
      </c>
      <c r="F23" s="106"/>
      <c r="H23" s="151"/>
      <c r="I23" s="173" t="s">
        <v>150</v>
      </c>
      <c r="J23" s="188">
        <v>0</v>
      </c>
    </row>
    <row r="24" spans="1:12" x14ac:dyDescent="0.3">
      <c r="B24" s="218">
        <v>1146221.94</v>
      </c>
      <c r="C24" s="218">
        <v>1146221.94</v>
      </c>
      <c r="D24" s="151"/>
      <c r="E24" t="s">
        <v>149</v>
      </c>
      <c r="F24" s="169">
        <v>1851746</v>
      </c>
      <c r="H24" s="151"/>
      <c r="I24" s="173" t="s">
        <v>148</v>
      </c>
      <c r="J24" s="187"/>
      <c r="L24" s="149"/>
    </row>
    <row r="25" spans="1:12" x14ac:dyDescent="0.3">
      <c r="D25" s="151"/>
      <c r="E25" s="181" t="s">
        <v>79</v>
      </c>
      <c r="F25" s="185">
        <v>-482775.13820068975</v>
      </c>
      <c r="H25" s="151"/>
      <c r="I25" s="172" t="s">
        <v>147</v>
      </c>
      <c r="J25" s="184"/>
    </row>
    <row r="26" spans="1:12" x14ac:dyDescent="0.3">
      <c r="A26" s="177" t="s">
        <v>146</v>
      </c>
      <c r="D26" s="151"/>
      <c r="E26" s="181" t="s">
        <v>78</v>
      </c>
      <c r="F26" s="165">
        <v>0</v>
      </c>
      <c r="H26" s="151"/>
      <c r="I26" t="s">
        <v>145</v>
      </c>
      <c r="J26" s="182">
        <v>0</v>
      </c>
    </row>
    <row r="27" spans="1:12" x14ac:dyDescent="0.3">
      <c r="A27" s="173" t="s">
        <v>144</v>
      </c>
      <c r="B27" s="169">
        <v>0</v>
      </c>
      <c r="C27" s="169">
        <v>0</v>
      </c>
      <c r="D27" s="151"/>
      <c r="E27" s="181" t="s">
        <v>77</v>
      </c>
      <c r="F27" s="180">
        <v>-20427.72</v>
      </c>
      <c r="H27" s="151"/>
      <c r="I27" s="1" t="s">
        <v>143</v>
      </c>
      <c r="J27" s="17">
        <f>J22+J24</f>
        <v>1348543.1417993102</v>
      </c>
    </row>
    <row r="28" spans="1:12" x14ac:dyDescent="0.3">
      <c r="A28" s="173" t="s">
        <v>142</v>
      </c>
      <c r="B28" s="169">
        <v>10102</v>
      </c>
      <c r="C28" s="169">
        <v>10102</v>
      </c>
      <c r="D28" s="151"/>
      <c r="E28" s="1" t="s">
        <v>141</v>
      </c>
      <c r="F28" s="179">
        <f>SUM(F24:F27)</f>
        <v>1348543.1417993102</v>
      </c>
      <c r="H28" s="151"/>
    </row>
    <row r="29" spans="1:12" x14ac:dyDescent="0.3">
      <c r="A29" s="173" t="s">
        <v>140</v>
      </c>
      <c r="B29" s="169">
        <v>0</v>
      </c>
      <c r="C29" s="169">
        <v>0</v>
      </c>
      <c r="D29" s="151"/>
      <c r="F29" s="106"/>
      <c r="H29" s="151"/>
      <c r="I29" t="s">
        <v>139</v>
      </c>
      <c r="J29" s="106">
        <f>F28*F34</f>
        <v>482775.13860701869</v>
      </c>
    </row>
    <row r="30" spans="1:12" x14ac:dyDescent="0.3">
      <c r="A30" s="173" t="s">
        <v>138</v>
      </c>
      <c r="B30" s="169">
        <v>49936.1</v>
      </c>
      <c r="C30" s="169">
        <v>49936.1</v>
      </c>
      <c r="D30" s="151"/>
      <c r="E30" s="1" t="s">
        <v>137</v>
      </c>
      <c r="F30" s="179">
        <f>F21+F28</f>
        <v>2505586.7117993105</v>
      </c>
      <c r="H30" s="151"/>
    </row>
    <row r="31" spans="1:12" x14ac:dyDescent="0.3">
      <c r="A31" s="173" t="s">
        <v>136</v>
      </c>
      <c r="B31" s="169">
        <v>206066.67</v>
      </c>
      <c r="C31" s="169">
        <v>206066.67</v>
      </c>
      <c r="D31" s="151"/>
      <c r="F31" s="106"/>
      <c r="H31" s="151"/>
    </row>
    <row r="32" spans="1:12" ht="15" thickBot="1" x14ac:dyDescent="0.35">
      <c r="A32" s="173" t="s">
        <v>135</v>
      </c>
      <c r="B32" s="169">
        <v>0</v>
      </c>
      <c r="C32" s="169">
        <v>0</v>
      </c>
      <c r="D32" s="151"/>
      <c r="E32" s="21"/>
      <c r="F32" s="178"/>
      <c r="H32" s="151"/>
      <c r="I32" s="177" t="s">
        <v>134</v>
      </c>
    </row>
    <row r="33" spans="1:15" x14ac:dyDescent="0.3">
      <c r="A33" s="176" t="s">
        <v>133</v>
      </c>
      <c r="B33" s="217">
        <v>266104.77</v>
      </c>
      <c r="C33" s="217">
        <v>266104.77</v>
      </c>
      <c r="D33" s="151"/>
      <c r="F33" s="152" t="s">
        <v>132</v>
      </c>
      <c r="H33" s="151"/>
    </row>
    <row r="34" spans="1:15" x14ac:dyDescent="0.3">
      <c r="A34" s="173"/>
      <c r="D34" s="151"/>
      <c r="E34" s="174" t="s">
        <v>131</v>
      </c>
      <c r="F34" s="232">
        <f>F9/F30</f>
        <v>0.35799754834900577</v>
      </c>
      <c r="H34" s="151"/>
      <c r="I34" s="164" t="s">
        <v>130</v>
      </c>
      <c r="J34" s="231">
        <f>J29/J27</f>
        <v>0.35799754834900577</v>
      </c>
      <c r="K34" s="152"/>
      <c r="N34" s="148"/>
    </row>
    <row r="35" spans="1:15" x14ac:dyDescent="0.3">
      <c r="A35" s="173" t="s">
        <v>129</v>
      </c>
      <c r="B35" s="169">
        <v>2064363.19</v>
      </c>
      <c r="C35" s="169">
        <v>2064363.19</v>
      </c>
      <c r="D35" s="151"/>
      <c r="F35" s="106"/>
      <c r="H35" s="151"/>
      <c r="I35" s="168" t="s">
        <v>128</v>
      </c>
      <c r="J35" s="231">
        <f>J40/J27</f>
        <v>0.26729213036058069</v>
      </c>
      <c r="O35" s="3"/>
    </row>
    <row r="36" spans="1:15" x14ac:dyDescent="0.3">
      <c r="A36" s="172" t="s">
        <v>70</v>
      </c>
      <c r="B36" s="171">
        <v>0</v>
      </c>
      <c r="C36" s="167"/>
      <c r="D36" s="151"/>
      <c r="E36" t="s">
        <v>127</v>
      </c>
      <c r="F36" s="169">
        <f>F34*F28</f>
        <v>482775.13860701869</v>
      </c>
      <c r="H36" s="151"/>
      <c r="I36" s="168" t="s">
        <v>126</v>
      </c>
      <c r="J36" s="231">
        <f>J41/J27</f>
        <v>9.0705417988425074E-2</v>
      </c>
      <c r="L36" s="149"/>
    </row>
    <row r="37" spans="1:15" x14ac:dyDescent="0.3">
      <c r="D37" s="151"/>
      <c r="E37" t="s">
        <v>125</v>
      </c>
      <c r="F37" s="166">
        <v>0</v>
      </c>
      <c r="H37" s="151"/>
    </row>
    <row r="38" spans="1:15" x14ac:dyDescent="0.3">
      <c r="B38"/>
      <c r="C38"/>
      <c r="D38" s="151"/>
      <c r="E38" s="164" t="s">
        <v>124</v>
      </c>
      <c r="F38" s="163">
        <v>482775.13860701869</v>
      </c>
      <c r="H38" s="151"/>
      <c r="M38" s="148"/>
    </row>
    <row r="39" spans="1:15" x14ac:dyDescent="0.3">
      <c r="B39"/>
      <c r="C39"/>
      <c r="D39" s="151"/>
      <c r="H39" s="151"/>
      <c r="I39" s="162"/>
      <c r="J39" s="162"/>
    </row>
    <row r="40" spans="1:15" x14ac:dyDescent="0.3">
      <c r="D40" s="151"/>
      <c r="E40" s="82" t="s">
        <v>123</v>
      </c>
      <c r="F40" s="233">
        <f>F34</f>
        <v>0.35799754834900577</v>
      </c>
      <c r="H40" s="151"/>
      <c r="I40" s="161" t="s">
        <v>122</v>
      </c>
      <c r="J40" s="160">
        <f>F28*J14</f>
        <v>360454.9692546883</v>
      </c>
      <c r="K40" s="44"/>
      <c r="N40" s="148"/>
    </row>
    <row r="41" spans="1:15" x14ac:dyDescent="0.3">
      <c r="B41"/>
      <c r="C41"/>
      <c r="D41" s="151"/>
      <c r="H41" s="151"/>
      <c r="I41" s="161" t="s">
        <v>121</v>
      </c>
      <c r="J41" s="159">
        <f>F28*J15</f>
        <v>122320.16935233041</v>
      </c>
      <c r="K41" s="44"/>
    </row>
    <row r="42" spans="1:15" x14ac:dyDescent="0.3">
      <c r="B42"/>
      <c r="C42"/>
      <c r="D42" s="151"/>
      <c r="E42" s="158" t="s">
        <v>120</v>
      </c>
      <c r="F42" s="157">
        <v>0</v>
      </c>
      <c r="H42" s="151"/>
      <c r="I42" s="156" t="s">
        <v>119</v>
      </c>
      <c r="J42" s="155">
        <f>J40+J41</f>
        <v>482775.13860701874</v>
      </c>
    </row>
    <row r="43" spans="1:15" x14ac:dyDescent="0.3">
      <c r="B43"/>
      <c r="C43"/>
      <c r="D43" s="151"/>
      <c r="H43" s="151"/>
      <c r="I43" s="154"/>
      <c r="J43" s="153"/>
      <c r="K43" s="150"/>
    </row>
    <row r="44" spans="1:15" x14ac:dyDescent="0.3">
      <c r="B44"/>
      <c r="C44"/>
      <c r="D44" s="151"/>
      <c r="H44" s="151"/>
      <c r="L44" s="150"/>
    </row>
    <row r="45" spans="1:15" x14ac:dyDescent="0.3">
      <c r="B45"/>
      <c r="C45"/>
      <c r="F45" s="149"/>
      <c r="K45" s="3"/>
    </row>
    <row r="46" spans="1:15" x14ac:dyDescent="0.3">
      <c r="F46" s="106"/>
      <c r="L46" s="3"/>
    </row>
    <row r="47" spans="1:15" x14ac:dyDescent="0.3">
      <c r="F47" s="106"/>
    </row>
    <row r="48" spans="1:15" x14ac:dyDescent="0.3">
      <c r="F48" s="106"/>
    </row>
    <row r="49" spans="6:14" x14ac:dyDescent="0.3">
      <c r="F49" s="106"/>
    </row>
    <row r="50" spans="6:14" x14ac:dyDescent="0.3">
      <c r="F50" s="106"/>
      <c r="L50" s="148"/>
      <c r="N50" s="148"/>
    </row>
    <row r="51" spans="6:14" x14ac:dyDescent="0.3">
      <c r="F51" s="106"/>
    </row>
    <row r="52" spans="6:14" x14ac:dyDescent="0.3">
      <c r="F52" s="106"/>
    </row>
    <row r="53" spans="6:14" x14ac:dyDescent="0.3">
      <c r="F53" s="106"/>
    </row>
    <row r="54" spans="6:14" x14ac:dyDescent="0.3">
      <c r="F54" s="106"/>
    </row>
    <row r="55" spans="6:14" x14ac:dyDescent="0.3">
      <c r="F55" s="106"/>
    </row>
    <row r="56" spans="6:14" x14ac:dyDescent="0.3">
      <c r="F56" s="106"/>
    </row>
    <row r="57" spans="6:14" x14ac:dyDescent="0.3">
      <c r="F57" s="106"/>
    </row>
    <row r="58" spans="6:14" x14ac:dyDescent="0.3">
      <c r="F58" s="106"/>
    </row>
    <row r="59" spans="6:14" x14ac:dyDescent="0.3">
      <c r="F59" s="106"/>
    </row>
    <row r="60" spans="6:14" x14ac:dyDescent="0.3">
      <c r="F60" s="106"/>
    </row>
    <row r="61" spans="6:14" x14ac:dyDescent="0.3">
      <c r="F61" s="106"/>
    </row>
    <row r="62" spans="6:14" x14ac:dyDescent="0.3">
      <c r="F62" s="106"/>
      <c r="K62" s="147"/>
    </row>
    <row r="63" spans="6:14" x14ac:dyDescent="0.3">
      <c r="F63" s="106"/>
    </row>
    <row r="64" spans="6:14" x14ac:dyDescent="0.3">
      <c r="F64" s="106"/>
    </row>
    <row r="65" spans="6:11" x14ac:dyDescent="0.3">
      <c r="F65" s="106"/>
    </row>
    <row r="68" spans="6:11" x14ac:dyDescent="0.3">
      <c r="K68" s="147"/>
    </row>
  </sheetData>
  <conditionalFormatting sqref="F33">
    <cfRule type="containsText" dxfId="9" priority="3" operator="containsText" text="Check">
      <formula>NOT(ISERROR(SEARCH("Check",F33)))</formula>
    </cfRule>
  </conditionalFormatting>
  <pageMargins left="0.25" right="0.25" top="0.75" bottom="0.75" header="0.3" footer="0.3"/>
  <pageSetup paperSize="5" scale="41" orientation="landscape" r:id="rId1"/>
  <headerFooter>
    <oddFooter>&amp;L&amp;Z&amp;F\&amp;A&amp;R&amp;P/&amp;N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07E1B-C287-4ED7-8076-2EFDC0CB795E}">
  <sheetPr>
    <tabColor rgb="FFFFC000"/>
    <pageSetUpPr fitToPage="1"/>
  </sheetPr>
  <dimension ref="A1:U68"/>
  <sheetViews>
    <sheetView zoomScale="80" zoomScaleNormal="80" workbookViewId="0">
      <pane xSplit="1" ySplit="3" topLeftCell="B4" activePane="bottomRight" state="frozen"/>
      <selection activeCell="N35" sqref="N35"/>
      <selection pane="topRight" activeCell="N35" sqref="N35"/>
      <selection pane="bottomLeft" activeCell="N35" sqref="N35"/>
      <selection pane="bottomRight" activeCell="N35" sqref="N35"/>
    </sheetView>
  </sheetViews>
  <sheetFormatPr defaultRowHeight="14.4" x14ac:dyDescent="0.3"/>
  <cols>
    <col min="1" max="1" width="33" bestFit="1" customWidth="1"/>
    <col min="2" max="2" width="18" style="106" hidden="1" customWidth="1"/>
    <col min="3" max="3" width="18.44140625" style="106" customWidth="1"/>
    <col min="4" max="4" width="1.5546875" customWidth="1"/>
    <col min="5" max="5" width="33.33203125" bestFit="1" customWidth="1"/>
    <col min="6" max="6" width="18" bestFit="1" customWidth="1"/>
    <col min="7" max="8" width="1.5546875" customWidth="1"/>
    <col min="9" max="9" width="36.5546875" customWidth="1"/>
    <col min="10" max="10" width="15.44140625" bestFit="1" customWidth="1"/>
    <col min="11" max="11" width="13.5546875" bestFit="1" customWidth="1"/>
    <col min="12" max="12" width="15.88671875" bestFit="1" customWidth="1"/>
    <col min="14" max="14" width="13.44140625" customWidth="1"/>
    <col min="15" max="15" width="11" bestFit="1" customWidth="1"/>
  </cols>
  <sheetData>
    <row r="1" spans="1:14" s="212" customFormat="1" ht="21" customHeight="1" x14ac:dyDescent="0.3">
      <c r="A1" s="215" t="s">
        <v>181</v>
      </c>
      <c r="B1" s="216" t="s">
        <v>186</v>
      </c>
      <c r="C1" s="213"/>
      <c r="D1" s="214"/>
      <c r="E1" s="213" t="s">
        <v>180</v>
      </c>
      <c r="F1" s="213"/>
      <c r="H1" s="214"/>
      <c r="I1" s="213" t="s">
        <v>179</v>
      </c>
    </row>
    <row r="2" spans="1:14" x14ac:dyDescent="0.3">
      <c r="A2" s="211" t="s">
        <v>178</v>
      </c>
      <c r="B2" s="106" t="s">
        <v>177</v>
      </c>
      <c r="C2" s="227"/>
      <c r="D2" s="151"/>
      <c r="E2" s="228"/>
      <c r="F2" s="229"/>
      <c r="H2" s="151"/>
      <c r="I2" s="230"/>
      <c r="J2" s="230"/>
    </row>
    <row r="3" spans="1:14" ht="18" x14ac:dyDescent="0.3">
      <c r="B3" s="210" t="s">
        <v>175</v>
      </c>
      <c r="C3" s="216" t="s">
        <v>186</v>
      </c>
      <c r="D3" s="151"/>
      <c r="F3" s="210" t="s">
        <v>185</v>
      </c>
      <c r="H3" s="151"/>
      <c r="J3" s="210" t="s">
        <v>174</v>
      </c>
    </row>
    <row r="4" spans="1:14" x14ac:dyDescent="0.3">
      <c r="A4" t="s">
        <v>173</v>
      </c>
      <c r="B4" s="169">
        <v>934730.98</v>
      </c>
      <c r="C4" s="169">
        <v>934730.98</v>
      </c>
      <c r="D4" s="151"/>
      <c r="E4" s="177" t="s">
        <v>172</v>
      </c>
      <c r="H4" s="151"/>
    </row>
    <row r="5" spans="1:14" x14ac:dyDescent="0.3">
      <c r="A5" t="s">
        <v>86</v>
      </c>
      <c r="B5" s="183">
        <v>688571.4</v>
      </c>
      <c r="C5" s="183">
        <v>688571.4</v>
      </c>
      <c r="D5" s="151"/>
      <c r="E5" t="s">
        <v>56</v>
      </c>
      <c r="F5" s="195">
        <v>614392.65</v>
      </c>
      <c r="H5" s="151"/>
      <c r="I5" s="174" t="s">
        <v>123</v>
      </c>
      <c r="J5" s="209">
        <f>F40</f>
        <v>0.20208613884522539</v>
      </c>
    </row>
    <row r="6" spans="1:14" x14ac:dyDescent="0.3">
      <c r="A6" t="s">
        <v>88</v>
      </c>
      <c r="B6" s="183">
        <v>172224.88</v>
      </c>
      <c r="C6" s="169">
        <v>172224.88</v>
      </c>
      <c r="D6" s="151"/>
      <c r="E6" t="s">
        <v>88</v>
      </c>
      <c r="F6" s="183">
        <v>172224.88</v>
      </c>
      <c r="H6" s="151"/>
      <c r="J6" s="106"/>
      <c r="L6" s="207"/>
      <c r="N6" s="149"/>
    </row>
    <row r="7" spans="1:14" x14ac:dyDescent="0.3">
      <c r="A7" t="s">
        <v>171</v>
      </c>
      <c r="B7" s="183">
        <v>-23851</v>
      </c>
      <c r="C7" s="169">
        <v>-23851</v>
      </c>
      <c r="D7" s="151"/>
      <c r="E7" s="208" t="s">
        <v>170</v>
      </c>
      <c r="F7" s="183"/>
      <c r="H7" s="151"/>
      <c r="I7" s="205" t="s">
        <v>169</v>
      </c>
      <c r="J7" s="204">
        <f>F5</f>
        <v>614392.65</v>
      </c>
      <c r="L7" s="207"/>
      <c r="N7" s="149"/>
    </row>
    <row r="8" spans="1:14" x14ac:dyDescent="0.3">
      <c r="A8" t="s">
        <v>83</v>
      </c>
      <c r="B8" s="183">
        <v>0</v>
      </c>
      <c r="C8" s="170"/>
      <c r="D8" s="151"/>
      <c r="E8" t="s">
        <v>87</v>
      </c>
      <c r="F8" s="206">
        <v>47125</v>
      </c>
      <c r="H8" s="151"/>
      <c r="I8" s="205" t="s">
        <v>55</v>
      </c>
      <c r="J8" s="204">
        <f>F9</f>
        <v>833742.53</v>
      </c>
    </row>
    <row r="9" spans="1:14" x14ac:dyDescent="0.3">
      <c r="A9" t="s">
        <v>168</v>
      </c>
      <c r="B9" s="183">
        <v>35400</v>
      </c>
      <c r="C9" s="183">
        <v>35400</v>
      </c>
      <c r="D9" s="151"/>
      <c r="E9" s="1" t="s">
        <v>55</v>
      </c>
      <c r="F9" s="217">
        <f>SUM(F5:F8)</f>
        <v>833742.53</v>
      </c>
      <c r="H9" s="151"/>
      <c r="I9" s="203" t="s">
        <v>54</v>
      </c>
      <c r="J9" s="202">
        <f>J7/J8</f>
        <v>0.73690933098974809</v>
      </c>
    </row>
    <row r="10" spans="1:14" x14ac:dyDescent="0.3">
      <c r="A10" t="s">
        <v>167</v>
      </c>
      <c r="B10" s="183">
        <v>206066.67</v>
      </c>
      <c r="C10" s="183">
        <v>206066.67</v>
      </c>
      <c r="D10" s="151"/>
      <c r="F10" s="106"/>
      <c r="H10" s="151"/>
      <c r="I10" s="201"/>
      <c r="J10" s="182"/>
    </row>
    <row r="11" spans="1:14" ht="15" thickBot="1" x14ac:dyDescent="0.35">
      <c r="A11" t="s">
        <v>166</v>
      </c>
      <c r="B11" s="183">
        <v>0</v>
      </c>
      <c r="C11" s="183">
        <v>0</v>
      </c>
      <c r="D11" s="151"/>
      <c r="E11" s="21"/>
      <c r="F11" s="178"/>
      <c r="H11" s="151"/>
      <c r="J11" s="106"/>
    </row>
    <row r="12" spans="1:14" x14ac:dyDescent="0.3">
      <c r="A12" t="s">
        <v>165</v>
      </c>
      <c r="B12" s="183">
        <v>47125</v>
      </c>
      <c r="C12" s="183">
        <v>47125</v>
      </c>
      <c r="D12" s="151"/>
      <c r="F12" s="106"/>
      <c r="H12" s="151"/>
      <c r="I12" s="200"/>
    </row>
    <row r="13" spans="1:14" x14ac:dyDescent="0.3">
      <c r="A13" t="s">
        <v>164</v>
      </c>
      <c r="B13" s="183">
        <v>127818</v>
      </c>
      <c r="C13" s="183">
        <v>127818</v>
      </c>
      <c r="D13" s="151"/>
      <c r="E13" s="177" t="s">
        <v>163</v>
      </c>
      <c r="F13" s="106"/>
      <c r="H13" s="151"/>
      <c r="I13" s="200"/>
    </row>
    <row r="14" spans="1:14" x14ac:dyDescent="0.3">
      <c r="A14" s="1" t="s">
        <v>1</v>
      </c>
      <c r="B14" s="219">
        <v>2188085.9299999997</v>
      </c>
      <c r="C14" s="217">
        <v>2188085.9299999997</v>
      </c>
      <c r="D14" s="151"/>
      <c r="E14" s="177"/>
      <c r="F14" s="106"/>
      <c r="H14" s="151"/>
      <c r="I14" s="173" t="s">
        <v>52</v>
      </c>
      <c r="J14" s="198">
        <f>J5*J9</f>
        <v>0.1489191613787364</v>
      </c>
    </row>
    <row r="15" spans="1:14" x14ac:dyDescent="0.3">
      <c r="B15" s="169"/>
      <c r="C15" s="169"/>
      <c r="D15" s="151"/>
      <c r="E15" s="177" t="s">
        <v>162</v>
      </c>
      <c r="F15" s="106"/>
      <c r="H15" s="151"/>
      <c r="I15" s="173" t="s">
        <v>161</v>
      </c>
      <c r="J15" s="197">
        <f>J5-J14</f>
        <v>5.316697746648899E-2</v>
      </c>
    </row>
    <row r="16" spans="1:14" x14ac:dyDescent="0.3">
      <c r="B16" s="152"/>
      <c r="C16" s="152"/>
      <c r="D16" s="151"/>
      <c r="E16" t="s">
        <v>86</v>
      </c>
      <c r="F16" s="170">
        <v>688571.4</v>
      </c>
      <c r="H16" s="151"/>
      <c r="I16" t="s">
        <v>123</v>
      </c>
      <c r="J16" s="234">
        <f>F40</f>
        <v>0.20208613884522539</v>
      </c>
      <c r="L16" s="149"/>
    </row>
    <row r="17" spans="1:12" x14ac:dyDescent="0.3">
      <c r="A17" s="177" t="s">
        <v>160</v>
      </c>
      <c r="B17" s="152"/>
      <c r="C17" s="152"/>
      <c r="D17" s="196"/>
      <c r="E17" t="s">
        <v>85</v>
      </c>
      <c r="F17" s="169">
        <v>296487.32999999996</v>
      </c>
      <c r="H17" s="196"/>
    </row>
    <row r="18" spans="1:12" ht="15" thickBot="1" x14ac:dyDescent="0.35">
      <c r="A18" s="194" t="s">
        <v>159</v>
      </c>
      <c r="B18" s="169">
        <v>23851</v>
      </c>
      <c r="C18" s="169">
        <v>23851</v>
      </c>
      <c r="D18" s="151"/>
      <c r="E18" t="s">
        <v>84</v>
      </c>
      <c r="F18" s="169">
        <v>127818</v>
      </c>
      <c r="H18" s="151"/>
      <c r="I18" s="21"/>
      <c r="J18" s="178"/>
    </row>
    <row r="19" spans="1:12" x14ac:dyDescent="0.3">
      <c r="A19" s="194" t="s">
        <v>158</v>
      </c>
      <c r="B19" s="195">
        <v>614392.65</v>
      </c>
      <c r="C19" s="169">
        <v>614392.65</v>
      </c>
      <c r="D19" s="151"/>
      <c r="E19" t="s">
        <v>83</v>
      </c>
      <c r="F19" s="170">
        <v>0</v>
      </c>
      <c r="H19" s="151"/>
      <c r="J19" s="106"/>
    </row>
    <row r="20" spans="1:12" x14ac:dyDescent="0.3">
      <c r="A20" s="194" t="s">
        <v>157</v>
      </c>
      <c r="B20" s="165">
        <v>0</v>
      </c>
      <c r="C20" s="165">
        <v>0</v>
      </c>
      <c r="D20" s="151"/>
      <c r="E20" t="s">
        <v>82</v>
      </c>
      <c r="F20" s="180">
        <v>-44064.22</v>
      </c>
      <c r="H20" s="151"/>
      <c r="I20" s="192" t="s">
        <v>156</v>
      </c>
    </row>
    <row r="21" spans="1:12" x14ac:dyDescent="0.3">
      <c r="A21" s="194" t="s">
        <v>155</v>
      </c>
      <c r="B21" s="193">
        <v>296487.32999999996</v>
      </c>
      <c r="C21" s="166">
        <v>296487.32999999996</v>
      </c>
      <c r="D21" s="151"/>
      <c r="E21" s="1" t="s">
        <v>81</v>
      </c>
      <c r="F21" s="179">
        <f>SUM(F16:F20)</f>
        <v>1068812.51</v>
      </c>
      <c r="H21" s="151"/>
      <c r="I21" s="192"/>
    </row>
    <row r="22" spans="1:12" x14ac:dyDescent="0.3">
      <c r="A22" s="191" t="s">
        <v>154</v>
      </c>
      <c r="B22" s="190">
        <v>934730.98</v>
      </c>
      <c r="C22" s="190">
        <v>934730.98</v>
      </c>
      <c r="D22" s="151"/>
      <c r="F22" s="106"/>
      <c r="H22" s="151"/>
      <c r="I22" t="s">
        <v>153</v>
      </c>
      <c r="J22" s="189">
        <f>F28</f>
        <v>3056866.4443519879</v>
      </c>
    </row>
    <row r="23" spans="1:12" x14ac:dyDescent="0.3">
      <c r="A23" s="173" t="s">
        <v>152</v>
      </c>
      <c r="B23" s="169">
        <v>127818</v>
      </c>
      <c r="C23" s="169">
        <v>127818</v>
      </c>
      <c r="D23" s="151"/>
      <c r="E23" s="177" t="s">
        <v>151</v>
      </c>
      <c r="F23" s="106"/>
      <c r="H23" s="151"/>
      <c r="I23" s="173" t="s">
        <v>150</v>
      </c>
      <c r="J23" s="188">
        <v>0</v>
      </c>
    </row>
    <row r="24" spans="1:12" x14ac:dyDescent="0.3">
      <c r="B24" s="218">
        <v>1062548.98</v>
      </c>
      <c r="C24" s="218">
        <v>1062548.98</v>
      </c>
      <c r="D24" s="151"/>
      <c r="E24" t="s">
        <v>149</v>
      </c>
      <c r="F24" s="169">
        <v>3718681</v>
      </c>
      <c r="H24" s="151"/>
      <c r="I24" s="173" t="s">
        <v>148</v>
      </c>
      <c r="J24" s="187"/>
      <c r="L24" s="149"/>
    </row>
    <row r="25" spans="1:12" x14ac:dyDescent="0.3">
      <c r="D25" s="151"/>
      <c r="E25" s="181" t="s">
        <v>79</v>
      </c>
      <c r="F25" s="185">
        <v>-617750.33564801177</v>
      </c>
      <c r="H25" s="151"/>
      <c r="I25" s="172" t="s">
        <v>147</v>
      </c>
      <c r="J25" s="184"/>
    </row>
    <row r="26" spans="1:12" x14ac:dyDescent="0.3">
      <c r="A26" s="177" t="s">
        <v>146</v>
      </c>
      <c r="D26" s="151"/>
      <c r="E26" s="181" t="s">
        <v>78</v>
      </c>
      <c r="F26" s="165">
        <v>0</v>
      </c>
      <c r="H26" s="151"/>
      <c r="I26" t="s">
        <v>145</v>
      </c>
      <c r="J26" s="182">
        <v>0</v>
      </c>
    </row>
    <row r="27" spans="1:12" x14ac:dyDescent="0.3">
      <c r="A27" s="173" t="s">
        <v>144</v>
      </c>
      <c r="B27" s="169">
        <v>0</v>
      </c>
      <c r="C27" s="169">
        <v>0</v>
      </c>
      <c r="D27" s="151"/>
      <c r="E27" s="181" t="s">
        <v>77</v>
      </c>
      <c r="F27" s="180">
        <v>-44064.22</v>
      </c>
      <c r="H27" s="151"/>
      <c r="I27" s="1" t="s">
        <v>143</v>
      </c>
      <c r="J27" s="17">
        <f>J22+J24</f>
        <v>3056866.4443519879</v>
      </c>
    </row>
    <row r="28" spans="1:12" x14ac:dyDescent="0.3">
      <c r="A28" s="173" t="s">
        <v>142</v>
      </c>
      <c r="B28" s="169">
        <v>8827</v>
      </c>
      <c r="C28" s="169">
        <v>8827</v>
      </c>
      <c r="D28" s="151"/>
      <c r="E28" s="1" t="s">
        <v>141</v>
      </c>
      <c r="F28" s="179">
        <f>SUM(F24:F27)</f>
        <v>3056866.4443519879</v>
      </c>
      <c r="H28" s="151"/>
    </row>
    <row r="29" spans="1:12" x14ac:dyDescent="0.3">
      <c r="A29" s="173" t="s">
        <v>140</v>
      </c>
      <c r="B29" s="169">
        <v>0</v>
      </c>
      <c r="C29" s="169">
        <v>0</v>
      </c>
      <c r="D29" s="151"/>
      <c r="F29" s="106"/>
      <c r="H29" s="151"/>
      <c r="I29" t="s">
        <v>139</v>
      </c>
      <c r="J29" s="106">
        <f>F28*F34</f>
        <v>617750.33670462633</v>
      </c>
    </row>
    <row r="30" spans="1:12" x14ac:dyDescent="0.3">
      <c r="A30" s="173" t="s">
        <v>138</v>
      </c>
      <c r="B30" s="169">
        <v>35400</v>
      </c>
      <c r="C30" s="169">
        <v>35400</v>
      </c>
      <c r="D30" s="151"/>
      <c r="E30" s="1" t="s">
        <v>137</v>
      </c>
      <c r="F30" s="179">
        <f>F21+F28</f>
        <v>4125678.9543519877</v>
      </c>
      <c r="H30" s="151"/>
    </row>
    <row r="31" spans="1:12" x14ac:dyDescent="0.3">
      <c r="A31" s="173" t="s">
        <v>136</v>
      </c>
      <c r="B31" s="169">
        <v>206066.67</v>
      </c>
      <c r="C31" s="169">
        <v>206066.67</v>
      </c>
      <c r="D31" s="151"/>
      <c r="F31" s="106"/>
      <c r="H31" s="151"/>
    </row>
    <row r="32" spans="1:12" ht="15" thickBot="1" x14ac:dyDescent="0.35">
      <c r="A32" s="173" t="s">
        <v>135</v>
      </c>
      <c r="B32" s="169">
        <v>0</v>
      </c>
      <c r="C32" s="169">
        <v>0</v>
      </c>
      <c r="D32" s="151"/>
      <c r="E32" s="21"/>
      <c r="F32" s="178"/>
      <c r="H32" s="151"/>
      <c r="I32" s="177" t="s">
        <v>134</v>
      </c>
    </row>
    <row r="33" spans="1:15" x14ac:dyDescent="0.3">
      <c r="A33" s="176" t="s">
        <v>133</v>
      </c>
      <c r="B33" s="217">
        <v>250293.67</v>
      </c>
      <c r="C33" s="217">
        <v>250293.67</v>
      </c>
      <c r="D33" s="151"/>
      <c r="F33" s="152" t="s">
        <v>132</v>
      </c>
      <c r="H33" s="151"/>
    </row>
    <row r="34" spans="1:15" x14ac:dyDescent="0.3">
      <c r="A34" s="173"/>
      <c r="D34" s="151"/>
      <c r="E34" s="174" t="s">
        <v>131</v>
      </c>
      <c r="F34" s="232">
        <f>F9/F30</f>
        <v>0.20208613884522539</v>
      </c>
      <c r="H34" s="151"/>
      <c r="I34" s="164" t="s">
        <v>130</v>
      </c>
      <c r="J34" s="231">
        <f>J29/J27</f>
        <v>0.20208613884522542</v>
      </c>
      <c r="K34" s="152"/>
      <c r="N34" s="148"/>
    </row>
    <row r="35" spans="1:15" x14ac:dyDescent="0.3">
      <c r="A35" s="173" t="s">
        <v>129</v>
      </c>
      <c r="B35" s="169">
        <v>1937792.2599999998</v>
      </c>
      <c r="C35" s="169">
        <v>1937792.2599999998</v>
      </c>
      <c r="D35" s="151"/>
      <c r="F35" s="106"/>
      <c r="H35" s="151"/>
      <c r="I35" s="168" t="s">
        <v>128</v>
      </c>
      <c r="J35" s="231">
        <f>J40/J27</f>
        <v>0.1489191613787364</v>
      </c>
      <c r="O35" s="3"/>
    </row>
    <row r="36" spans="1:15" x14ac:dyDescent="0.3">
      <c r="A36" s="172" t="s">
        <v>70</v>
      </c>
      <c r="B36" s="171">
        <v>0</v>
      </c>
      <c r="C36" s="167"/>
      <c r="D36" s="151"/>
      <c r="E36" t="s">
        <v>127</v>
      </c>
      <c r="F36" s="169">
        <f>F34*F28</f>
        <v>617750.33670462633</v>
      </c>
      <c r="H36" s="151"/>
      <c r="I36" s="168" t="s">
        <v>126</v>
      </c>
      <c r="J36" s="231">
        <f>J41/J27</f>
        <v>5.316697746648899E-2</v>
      </c>
      <c r="L36" s="149"/>
    </row>
    <row r="37" spans="1:15" x14ac:dyDescent="0.3">
      <c r="D37" s="151"/>
      <c r="E37" t="s">
        <v>125</v>
      </c>
      <c r="F37" s="166">
        <v>0</v>
      </c>
      <c r="H37" s="151"/>
    </row>
    <row r="38" spans="1:15" x14ac:dyDescent="0.3">
      <c r="B38"/>
      <c r="C38"/>
      <c r="D38" s="151"/>
      <c r="E38" s="164" t="s">
        <v>124</v>
      </c>
      <c r="F38" s="163">
        <v>617750.33670462633</v>
      </c>
      <c r="H38" s="151"/>
      <c r="M38" s="148"/>
    </row>
    <row r="39" spans="1:15" x14ac:dyDescent="0.3">
      <c r="B39"/>
      <c r="C39"/>
      <c r="D39" s="151"/>
      <c r="H39" s="151"/>
      <c r="I39" s="162"/>
      <c r="J39" s="162"/>
    </row>
    <row r="40" spans="1:15" x14ac:dyDescent="0.3">
      <c r="D40" s="151"/>
      <c r="E40" s="82" t="s">
        <v>123</v>
      </c>
      <c r="F40" s="233">
        <f>F34</f>
        <v>0.20208613884522539</v>
      </c>
      <c r="H40" s="151"/>
      <c r="I40" s="161" t="s">
        <v>122</v>
      </c>
      <c r="J40" s="160">
        <f>F28*J14</f>
        <v>455225.98733969784</v>
      </c>
      <c r="K40" s="44"/>
      <c r="N40" s="148"/>
    </row>
    <row r="41" spans="1:15" x14ac:dyDescent="0.3">
      <c r="B41"/>
      <c r="C41"/>
      <c r="D41" s="151"/>
      <c r="H41" s="151"/>
      <c r="I41" s="161" t="s">
        <v>121</v>
      </c>
      <c r="J41" s="159">
        <f>F28*J15</f>
        <v>162524.34936492846</v>
      </c>
      <c r="K41" s="44"/>
    </row>
    <row r="42" spans="1:15" x14ac:dyDescent="0.3">
      <c r="B42"/>
      <c r="C42"/>
      <c r="D42" s="151"/>
      <c r="E42" s="158" t="s">
        <v>120</v>
      </c>
      <c r="F42" s="157">
        <v>0</v>
      </c>
      <c r="H42" s="151"/>
      <c r="I42" s="156" t="s">
        <v>119</v>
      </c>
      <c r="J42" s="155">
        <f>J40+J41</f>
        <v>617750.33670462633</v>
      </c>
    </row>
    <row r="43" spans="1:15" x14ac:dyDescent="0.3">
      <c r="B43"/>
      <c r="C43"/>
      <c r="D43" s="151"/>
      <c r="H43" s="151"/>
      <c r="I43" s="154"/>
      <c r="J43" s="153"/>
      <c r="K43" s="150"/>
    </row>
    <row r="44" spans="1:15" x14ac:dyDescent="0.3">
      <c r="B44"/>
      <c r="C44"/>
      <c r="D44" s="151"/>
      <c r="H44" s="151"/>
      <c r="L44" s="150"/>
    </row>
    <row r="45" spans="1:15" x14ac:dyDescent="0.3">
      <c r="B45"/>
      <c r="C45"/>
      <c r="F45" s="149"/>
      <c r="K45" s="3"/>
    </row>
    <row r="46" spans="1:15" x14ac:dyDescent="0.3">
      <c r="F46" s="106"/>
      <c r="L46" s="3"/>
    </row>
    <row r="47" spans="1:15" x14ac:dyDescent="0.3">
      <c r="F47" s="106"/>
    </row>
    <row r="48" spans="1:15" x14ac:dyDescent="0.3">
      <c r="F48" s="106"/>
    </row>
    <row r="49" spans="6:14" x14ac:dyDescent="0.3">
      <c r="F49" s="106"/>
    </row>
    <row r="50" spans="6:14" x14ac:dyDescent="0.3">
      <c r="F50" s="106"/>
      <c r="L50" s="148"/>
      <c r="N50" s="148"/>
    </row>
    <row r="51" spans="6:14" x14ac:dyDescent="0.3">
      <c r="F51" s="106"/>
    </row>
    <row r="52" spans="6:14" x14ac:dyDescent="0.3">
      <c r="F52" s="106"/>
    </row>
    <row r="53" spans="6:14" x14ac:dyDescent="0.3">
      <c r="F53" s="106"/>
    </row>
    <row r="54" spans="6:14" x14ac:dyDescent="0.3">
      <c r="F54" s="106"/>
    </row>
    <row r="55" spans="6:14" x14ac:dyDescent="0.3">
      <c r="F55" s="106"/>
    </row>
    <row r="56" spans="6:14" x14ac:dyDescent="0.3">
      <c r="F56" s="106"/>
    </row>
    <row r="57" spans="6:14" x14ac:dyDescent="0.3">
      <c r="F57" s="106"/>
    </row>
    <row r="58" spans="6:14" x14ac:dyDescent="0.3">
      <c r="F58" s="106"/>
    </row>
    <row r="59" spans="6:14" x14ac:dyDescent="0.3">
      <c r="F59" s="106"/>
    </row>
    <row r="60" spans="6:14" x14ac:dyDescent="0.3">
      <c r="F60" s="106"/>
    </row>
    <row r="61" spans="6:14" x14ac:dyDescent="0.3">
      <c r="F61" s="106"/>
    </row>
    <row r="62" spans="6:14" x14ac:dyDescent="0.3">
      <c r="F62" s="106"/>
      <c r="K62" s="147"/>
    </row>
    <row r="63" spans="6:14" x14ac:dyDescent="0.3">
      <c r="F63" s="106"/>
    </row>
    <row r="64" spans="6:14" x14ac:dyDescent="0.3">
      <c r="F64" s="106"/>
    </row>
    <row r="65" spans="6:11" x14ac:dyDescent="0.3">
      <c r="F65" s="106"/>
    </row>
    <row r="68" spans="6:11" x14ac:dyDescent="0.3">
      <c r="K68" s="147"/>
    </row>
  </sheetData>
  <conditionalFormatting sqref="F33">
    <cfRule type="containsText" dxfId="8" priority="3" operator="containsText" text="Check">
      <formula>NOT(ISERROR(SEARCH("Check",F33)))</formula>
    </cfRule>
  </conditionalFormatting>
  <pageMargins left="0.25" right="0.25" top="0.75" bottom="0.75" header="0.3" footer="0.3"/>
  <pageSetup paperSize="5" scale="41" orientation="landscape" r:id="rId1"/>
  <headerFooter>
    <oddFooter>&amp;L&amp;Z&amp;F\&amp;A&amp;R&amp;P/&amp;N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CB09-B9FC-4709-B725-61A0BDAC7052}">
  <sheetPr>
    <tabColor rgb="FFFFC000"/>
    <pageSetUpPr fitToPage="1"/>
  </sheetPr>
  <dimension ref="A1:U68"/>
  <sheetViews>
    <sheetView zoomScale="80" zoomScaleNormal="80" workbookViewId="0">
      <pane xSplit="1" ySplit="3" topLeftCell="B4" activePane="bottomRight" state="frozen"/>
      <selection activeCell="N35" sqref="N35"/>
      <selection pane="topRight" activeCell="N35" sqref="N35"/>
      <selection pane="bottomLeft" activeCell="N35" sqref="N35"/>
      <selection pane="bottomRight" activeCell="N35" sqref="N35"/>
    </sheetView>
  </sheetViews>
  <sheetFormatPr defaultRowHeight="14.4" x14ac:dyDescent="0.3"/>
  <cols>
    <col min="1" max="1" width="33" bestFit="1" customWidth="1"/>
    <col min="2" max="2" width="18" style="106" hidden="1" customWidth="1"/>
    <col min="3" max="3" width="18.44140625" style="106" customWidth="1"/>
    <col min="4" max="4" width="1.5546875" customWidth="1"/>
    <col min="5" max="5" width="33.33203125" bestFit="1" customWidth="1"/>
    <col min="6" max="6" width="18" bestFit="1" customWidth="1"/>
    <col min="7" max="8" width="1.5546875" customWidth="1"/>
    <col min="9" max="9" width="36.5546875" customWidth="1"/>
    <col min="10" max="10" width="15.44140625" bestFit="1" customWidth="1"/>
    <col min="11" max="11" width="13.5546875" bestFit="1" customWidth="1"/>
    <col min="12" max="12" width="15.88671875" bestFit="1" customWidth="1"/>
    <col min="14" max="14" width="13.44140625" customWidth="1"/>
    <col min="15" max="15" width="11" bestFit="1" customWidth="1"/>
  </cols>
  <sheetData>
    <row r="1" spans="1:14" s="212" customFormat="1" ht="21" customHeight="1" x14ac:dyDescent="0.3">
      <c r="A1" s="215" t="s">
        <v>181</v>
      </c>
      <c r="B1" s="216" t="s">
        <v>188</v>
      </c>
      <c r="C1" s="213"/>
      <c r="D1" s="214"/>
      <c r="E1" s="213" t="s">
        <v>180</v>
      </c>
      <c r="F1" s="213"/>
      <c r="H1" s="214"/>
      <c r="I1" s="213" t="s">
        <v>179</v>
      </c>
    </row>
    <row r="2" spans="1:14" x14ac:dyDescent="0.3">
      <c r="A2" s="211" t="s">
        <v>178</v>
      </c>
      <c r="B2" s="106" t="s">
        <v>177</v>
      </c>
      <c r="C2" s="227"/>
      <c r="D2" s="151"/>
      <c r="E2" s="228"/>
      <c r="F2" s="229"/>
      <c r="H2" s="151"/>
      <c r="I2" s="230"/>
      <c r="J2" s="230"/>
    </row>
    <row r="3" spans="1:14" ht="18" x14ac:dyDescent="0.3">
      <c r="B3" s="210" t="s">
        <v>175</v>
      </c>
      <c r="C3" s="216" t="s">
        <v>188</v>
      </c>
      <c r="D3" s="151"/>
      <c r="F3" s="210" t="s">
        <v>187</v>
      </c>
      <c r="H3" s="151"/>
      <c r="J3" s="210" t="s">
        <v>174</v>
      </c>
    </row>
    <row r="4" spans="1:14" x14ac:dyDescent="0.3">
      <c r="A4" t="s">
        <v>173</v>
      </c>
      <c r="B4" s="169">
        <v>1034569.9299999999</v>
      </c>
      <c r="C4" s="169">
        <v>1034569.9299999999</v>
      </c>
      <c r="D4" s="151"/>
      <c r="E4" s="177" t="s">
        <v>172</v>
      </c>
      <c r="H4" s="151"/>
    </row>
    <row r="5" spans="1:14" x14ac:dyDescent="0.3">
      <c r="A5" t="s">
        <v>86</v>
      </c>
      <c r="B5" s="183">
        <v>696446.4</v>
      </c>
      <c r="C5" s="183">
        <v>696446.4</v>
      </c>
      <c r="D5" s="151"/>
      <c r="E5" t="s">
        <v>56</v>
      </c>
      <c r="F5" s="195">
        <v>687507.6</v>
      </c>
      <c r="H5" s="151"/>
      <c r="I5" s="174" t="s">
        <v>123</v>
      </c>
      <c r="J5" s="209">
        <f>F40</f>
        <v>0.20709068006635772</v>
      </c>
    </row>
    <row r="6" spans="1:14" x14ac:dyDescent="0.3">
      <c r="A6" t="s">
        <v>88</v>
      </c>
      <c r="B6" s="183">
        <v>166272.54999999999</v>
      </c>
      <c r="C6" s="169">
        <v>166272.54999999999</v>
      </c>
      <c r="D6" s="151"/>
      <c r="E6" t="s">
        <v>88</v>
      </c>
      <c r="F6" s="183">
        <v>166272.54999999999</v>
      </c>
      <c r="H6" s="151"/>
      <c r="J6" s="106"/>
      <c r="L6" s="207"/>
      <c r="N6" s="149"/>
    </row>
    <row r="7" spans="1:14" x14ac:dyDescent="0.3">
      <c r="A7" t="s">
        <v>171</v>
      </c>
      <c r="B7" s="183">
        <v>-22766</v>
      </c>
      <c r="C7" s="169">
        <v>-22766</v>
      </c>
      <c r="D7" s="151"/>
      <c r="E7" s="208" t="s">
        <v>170</v>
      </c>
      <c r="F7" s="183"/>
      <c r="H7" s="151"/>
      <c r="I7" s="205" t="s">
        <v>169</v>
      </c>
      <c r="J7" s="204">
        <f>F5</f>
        <v>687507.6</v>
      </c>
      <c r="L7" s="207"/>
      <c r="N7" s="149"/>
    </row>
    <row r="8" spans="1:14" x14ac:dyDescent="0.3">
      <c r="A8" t="s">
        <v>83</v>
      </c>
      <c r="B8" s="183">
        <v>0</v>
      </c>
      <c r="C8" s="170"/>
      <c r="D8" s="151"/>
      <c r="E8" t="s">
        <v>87</v>
      </c>
      <c r="F8" s="206">
        <v>46340</v>
      </c>
      <c r="H8" s="151"/>
      <c r="I8" s="205" t="s">
        <v>55</v>
      </c>
      <c r="J8" s="204">
        <f>F9</f>
        <v>900120.14999999991</v>
      </c>
    </row>
    <row r="9" spans="1:14" x14ac:dyDescent="0.3">
      <c r="A9" t="s">
        <v>168</v>
      </c>
      <c r="B9" s="183">
        <v>25561.35</v>
      </c>
      <c r="C9" s="183">
        <v>25561.35</v>
      </c>
      <c r="D9" s="151"/>
      <c r="E9" s="1" t="s">
        <v>55</v>
      </c>
      <c r="F9" s="217">
        <f>SUM(F5:F8)</f>
        <v>900120.14999999991</v>
      </c>
      <c r="H9" s="151"/>
      <c r="I9" s="203" t="s">
        <v>54</v>
      </c>
      <c r="J9" s="202">
        <f>J7/J8</f>
        <v>0.76379536665188541</v>
      </c>
    </row>
    <row r="10" spans="1:14" x14ac:dyDescent="0.3">
      <c r="A10" t="s">
        <v>167</v>
      </c>
      <c r="B10" s="183">
        <v>206066.67</v>
      </c>
      <c r="C10" s="183">
        <v>206066.67</v>
      </c>
      <c r="D10" s="151"/>
      <c r="F10" s="106"/>
      <c r="H10" s="151"/>
      <c r="I10" s="201"/>
      <c r="J10" s="182"/>
    </row>
    <row r="11" spans="1:14" ht="15" thickBot="1" x14ac:dyDescent="0.35">
      <c r="A11" t="s">
        <v>166</v>
      </c>
      <c r="B11" s="183">
        <v>0</v>
      </c>
      <c r="C11" s="183">
        <v>0</v>
      </c>
      <c r="D11" s="151"/>
      <c r="E11" s="21"/>
      <c r="F11" s="178"/>
      <c r="H11" s="151"/>
      <c r="J11" s="106"/>
    </row>
    <row r="12" spans="1:14" x14ac:dyDescent="0.3">
      <c r="A12" t="s">
        <v>165</v>
      </c>
      <c r="B12" s="183">
        <v>46340</v>
      </c>
      <c r="C12" s="183">
        <v>46340</v>
      </c>
      <c r="D12" s="151"/>
      <c r="F12" s="106"/>
      <c r="H12" s="151"/>
      <c r="I12" s="200"/>
    </row>
    <row r="13" spans="1:14" x14ac:dyDescent="0.3">
      <c r="A13" t="s">
        <v>164</v>
      </c>
      <c r="B13" s="183">
        <v>125690</v>
      </c>
      <c r="C13" s="183">
        <v>125690</v>
      </c>
      <c r="D13" s="151"/>
      <c r="E13" s="177" t="s">
        <v>163</v>
      </c>
      <c r="F13" s="106"/>
      <c r="H13" s="151"/>
      <c r="I13" s="200"/>
    </row>
    <row r="14" spans="1:14" x14ac:dyDescent="0.3">
      <c r="A14" s="1" t="s">
        <v>1</v>
      </c>
      <c r="B14" s="219">
        <v>2278180.9000000004</v>
      </c>
      <c r="C14" s="217">
        <v>2278180.9000000004</v>
      </c>
      <c r="D14" s="151"/>
      <c r="E14" s="177"/>
      <c r="F14" s="106"/>
      <c r="H14" s="151"/>
      <c r="I14" s="173" t="s">
        <v>52</v>
      </c>
      <c r="J14" s="198">
        <f>J5*J9</f>
        <v>0.15817490191147199</v>
      </c>
    </row>
    <row r="15" spans="1:14" x14ac:dyDescent="0.3">
      <c r="B15" s="169"/>
      <c r="C15" s="169"/>
      <c r="D15" s="151"/>
      <c r="E15" s="177" t="s">
        <v>162</v>
      </c>
      <c r="F15" s="106"/>
      <c r="H15" s="151"/>
      <c r="I15" s="173" t="s">
        <v>161</v>
      </c>
      <c r="J15" s="197">
        <f>J5-J14</f>
        <v>4.8915778154885736E-2</v>
      </c>
    </row>
    <row r="16" spans="1:14" x14ac:dyDescent="0.3">
      <c r="B16" s="152"/>
      <c r="C16" s="152"/>
      <c r="D16" s="151"/>
      <c r="E16" t="s">
        <v>86</v>
      </c>
      <c r="F16" s="170">
        <v>696446.4</v>
      </c>
      <c r="H16" s="151"/>
      <c r="I16" t="s">
        <v>123</v>
      </c>
      <c r="J16" s="234">
        <f>F40</f>
        <v>0.20709068006635772</v>
      </c>
      <c r="L16" s="149"/>
    </row>
    <row r="17" spans="1:12" x14ac:dyDescent="0.3">
      <c r="A17" s="177" t="s">
        <v>160</v>
      </c>
      <c r="B17" s="152"/>
      <c r="C17" s="152"/>
      <c r="D17" s="196"/>
      <c r="E17" t="s">
        <v>85</v>
      </c>
      <c r="F17" s="169">
        <v>324296.32999999996</v>
      </c>
      <c r="H17" s="196"/>
    </row>
    <row r="18" spans="1:12" ht="15" thickBot="1" x14ac:dyDescent="0.35">
      <c r="A18" s="194" t="s">
        <v>159</v>
      </c>
      <c r="B18" s="169">
        <v>22766</v>
      </c>
      <c r="C18" s="169">
        <v>22766</v>
      </c>
      <c r="D18" s="151"/>
      <c r="E18" t="s">
        <v>84</v>
      </c>
      <c r="F18" s="169">
        <v>125690</v>
      </c>
      <c r="H18" s="151"/>
      <c r="I18" s="21"/>
      <c r="J18" s="178"/>
    </row>
    <row r="19" spans="1:12" x14ac:dyDescent="0.3">
      <c r="A19" s="194" t="s">
        <v>158</v>
      </c>
      <c r="B19" s="195">
        <v>687507.6</v>
      </c>
      <c r="C19" s="169">
        <v>687507.6</v>
      </c>
      <c r="D19" s="151"/>
      <c r="E19" t="s">
        <v>83</v>
      </c>
      <c r="F19" s="170">
        <v>0</v>
      </c>
      <c r="H19" s="151"/>
      <c r="J19" s="106"/>
    </row>
    <row r="20" spans="1:12" x14ac:dyDescent="0.3">
      <c r="A20" s="194" t="s">
        <v>157</v>
      </c>
      <c r="B20" s="165">
        <v>0</v>
      </c>
      <c r="C20" s="165">
        <v>0</v>
      </c>
      <c r="D20" s="151"/>
      <c r="E20" t="s">
        <v>82</v>
      </c>
      <c r="F20" s="180">
        <v>-51227.01</v>
      </c>
      <c r="H20" s="151"/>
      <c r="I20" s="192" t="s">
        <v>156</v>
      </c>
    </row>
    <row r="21" spans="1:12" x14ac:dyDescent="0.3">
      <c r="A21" s="194" t="s">
        <v>155</v>
      </c>
      <c r="B21" s="193">
        <v>324296.32999999996</v>
      </c>
      <c r="C21" s="166">
        <v>324296.32999999996</v>
      </c>
      <c r="D21" s="151"/>
      <c r="E21" s="1" t="s">
        <v>81</v>
      </c>
      <c r="F21" s="179">
        <f>SUM(F16:F20)</f>
        <v>1095205.72</v>
      </c>
      <c r="H21" s="151"/>
      <c r="I21" s="192"/>
    </row>
    <row r="22" spans="1:12" x14ac:dyDescent="0.3">
      <c r="A22" s="191" t="s">
        <v>154</v>
      </c>
      <c r="B22" s="190">
        <v>1034569.9299999999</v>
      </c>
      <c r="C22" s="190">
        <v>1034569.9299999999</v>
      </c>
      <c r="D22" s="151"/>
      <c r="F22" s="106"/>
      <c r="H22" s="151"/>
      <c r="I22" t="s">
        <v>153</v>
      </c>
      <c r="J22" s="189">
        <f>F28</f>
        <v>3251296.7383026904</v>
      </c>
    </row>
    <row r="23" spans="1:12" x14ac:dyDescent="0.3">
      <c r="A23" s="173" t="s">
        <v>152</v>
      </c>
      <c r="B23" s="169">
        <v>125690</v>
      </c>
      <c r="C23" s="169">
        <v>125690</v>
      </c>
      <c r="D23" s="151"/>
      <c r="E23" s="177" t="s">
        <v>151</v>
      </c>
      <c r="F23" s="106"/>
      <c r="H23" s="151"/>
      <c r="I23" s="173" t="s">
        <v>150</v>
      </c>
      <c r="J23" s="188">
        <v>0</v>
      </c>
    </row>
    <row r="24" spans="1:12" x14ac:dyDescent="0.3">
      <c r="B24" s="218">
        <v>1160259.93</v>
      </c>
      <c r="C24" s="218">
        <v>1160259.93</v>
      </c>
      <c r="D24" s="151"/>
      <c r="E24" t="s">
        <v>149</v>
      </c>
      <c r="F24" s="169">
        <v>3975837</v>
      </c>
      <c r="H24" s="151"/>
      <c r="I24" s="173" t="s">
        <v>148</v>
      </c>
      <c r="J24" s="187"/>
      <c r="L24" s="149"/>
    </row>
    <row r="25" spans="1:12" x14ac:dyDescent="0.3">
      <c r="D25" s="151"/>
      <c r="E25" s="181" t="s">
        <v>79</v>
      </c>
      <c r="F25" s="185">
        <v>-673313.25169730966</v>
      </c>
      <c r="H25" s="151"/>
      <c r="I25" s="172" t="s">
        <v>147</v>
      </c>
      <c r="J25" s="184"/>
    </row>
    <row r="26" spans="1:12" x14ac:dyDescent="0.3">
      <c r="A26" s="177" t="s">
        <v>146</v>
      </c>
      <c r="D26" s="151"/>
      <c r="E26" s="181" t="s">
        <v>78</v>
      </c>
      <c r="F26" s="165">
        <v>0</v>
      </c>
      <c r="H26" s="151"/>
      <c r="I26" t="s">
        <v>145</v>
      </c>
      <c r="J26" s="182">
        <v>0</v>
      </c>
    </row>
    <row r="27" spans="1:12" x14ac:dyDescent="0.3">
      <c r="A27" s="173" t="s">
        <v>144</v>
      </c>
      <c r="B27" s="169">
        <v>0</v>
      </c>
      <c r="C27" s="169">
        <v>0</v>
      </c>
      <c r="D27" s="151"/>
      <c r="E27" s="181" t="s">
        <v>77</v>
      </c>
      <c r="F27" s="180">
        <v>-51227.01</v>
      </c>
      <c r="H27" s="151"/>
      <c r="I27" s="1" t="s">
        <v>143</v>
      </c>
      <c r="J27" s="17">
        <f>J22+J24</f>
        <v>3251296.7383026904</v>
      </c>
    </row>
    <row r="28" spans="1:12" x14ac:dyDescent="0.3">
      <c r="A28" s="173" t="s">
        <v>142</v>
      </c>
      <c r="B28" s="169">
        <v>10378</v>
      </c>
      <c r="C28" s="169">
        <v>10378</v>
      </c>
      <c r="D28" s="151"/>
      <c r="E28" s="1" t="s">
        <v>141</v>
      </c>
      <c r="F28" s="179">
        <f>SUM(F24:F27)</f>
        <v>3251296.7383026904</v>
      </c>
      <c r="H28" s="151"/>
    </row>
    <row r="29" spans="1:12" x14ac:dyDescent="0.3">
      <c r="A29" s="173" t="s">
        <v>140</v>
      </c>
      <c r="B29" s="169">
        <v>0</v>
      </c>
      <c r="C29" s="169">
        <v>0</v>
      </c>
      <c r="D29" s="151"/>
      <c r="F29" s="106"/>
      <c r="H29" s="151"/>
      <c r="I29" t="s">
        <v>139</v>
      </c>
      <c r="J29" s="106">
        <f>F28*F34</f>
        <v>673313.25263263483</v>
      </c>
    </row>
    <row r="30" spans="1:12" x14ac:dyDescent="0.3">
      <c r="A30" s="173" t="s">
        <v>138</v>
      </c>
      <c r="B30" s="169">
        <v>25561.35</v>
      </c>
      <c r="C30" s="169">
        <v>25561.35</v>
      </c>
      <c r="D30" s="151"/>
      <c r="E30" s="1" t="s">
        <v>137</v>
      </c>
      <c r="F30" s="179">
        <f>F21+F28</f>
        <v>4346502.4583026906</v>
      </c>
      <c r="H30" s="151"/>
    </row>
    <row r="31" spans="1:12" x14ac:dyDescent="0.3">
      <c r="A31" s="173" t="s">
        <v>136</v>
      </c>
      <c r="B31" s="169">
        <v>206066.67</v>
      </c>
      <c r="C31" s="169">
        <v>206066.67</v>
      </c>
      <c r="D31" s="151"/>
      <c r="F31" s="106"/>
      <c r="H31" s="151"/>
    </row>
    <row r="32" spans="1:12" ht="15" thickBot="1" x14ac:dyDescent="0.35">
      <c r="A32" s="173" t="s">
        <v>135</v>
      </c>
      <c r="B32" s="169">
        <v>0</v>
      </c>
      <c r="C32" s="169">
        <v>0</v>
      </c>
      <c r="D32" s="151"/>
      <c r="E32" s="21"/>
      <c r="F32" s="178"/>
      <c r="H32" s="151"/>
      <c r="I32" s="177" t="s">
        <v>134</v>
      </c>
    </row>
    <row r="33" spans="1:15" x14ac:dyDescent="0.3">
      <c r="A33" s="176" t="s">
        <v>133</v>
      </c>
      <c r="B33" s="217">
        <v>242006.02000000002</v>
      </c>
      <c r="C33" s="217">
        <v>242006.02000000002</v>
      </c>
      <c r="D33" s="151"/>
      <c r="F33" s="152" t="s">
        <v>132</v>
      </c>
      <c r="H33" s="151"/>
    </row>
    <row r="34" spans="1:15" x14ac:dyDescent="0.3">
      <c r="A34" s="173"/>
      <c r="D34" s="151"/>
      <c r="E34" s="174" t="s">
        <v>131</v>
      </c>
      <c r="F34" s="232">
        <f>F9/F30</f>
        <v>0.20709068006635772</v>
      </c>
      <c r="H34" s="151"/>
      <c r="I34" s="164" t="s">
        <v>130</v>
      </c>
      <c r="J34" s="231">
        <f>J29/J27</f>
        <v>0.20709068006635772</v>
      </c>
      <c r="K34" s="152"/>
      <c r="N34" s="148"/>
    </row>
    <row r="35" spans="1:15" x14ac:dyDescent="0.3">
      <c r="A35" s="173" t="s">
        <v>129</v>
      </c>
      <c r="B35" s="169">
        <v>2036174.8800000004</v>
      </c>
      <c r="C35" s="169">
        <v>2036174.8800000004</v>
      </c>
      <c r="D35" s="151"/>
      <c r="F35" s="106"/>
      <c r="H35" s="151"/>
      <c r="I35" s="168" t="s">
        <v>128</v>
      </c>
      <c r="J35" s="231">
        <f>J40/J27</f>
        <v>0.15817490191147199</v>
      </c>
      <c r="O35" s="3"/>
    </row>
    <row r="36" spans="1:15" x14ac:dyDescent="0.3">
      <c r="A36" s="172" t="s">
        <v>70</v>
      </c>
      <c r="B36" s="171">
        <v>0</v>
      </c>
      <c r="C36" s="167"/>
      <c r="D36" s="151"/>
      <c r="E36" t="s">
        <v>127</v>
      </c>
      <c r="F36" s="169">
        <f>F34*F28</f>
        <v>673313.25263263483</v>
      </c>
      <c r="H36" s="151"/>
      <c r="I36" s="168" t="s">
        <v>126</v>
      </c>
      <c r="J36" s="231">
        <f>J41/J27</f>
        <v>4.8915778154885736E-2</v>
      </c>
      <c r="L36" s="149"/>
    </row>
    <row r="37" spans="1:15" x14ac:dyDescent="0.3">
      <c r="D37" s="151"/>
      <c r="E37" t="s">
        <v>125</v>
      </c>
      <c r="F37" s="166">
        <v>0</v>
      </c>
      <c r="H37" s="151"/>
    </row>
    <row r="38" spans="1:15" x14ac:dyDescent="0.3">
      <c r="B38"/>
      <c r="C38"/>
      <c r="D38" s="151"/>
      <c r="E38" s="164" t="s">
        <v>124</v>
      </c>
      <c r="F38" s="163">
        <v>673313.25263263483</v>
      </c>
      <c r="H38" s="151"/>
      <c r="M38" s="148"/>
    </row>
    <row r="39" spans="1:15" x14ac:dyDescent="0.3">
      <c r="B39"/>
      <c r="C39"/>
      <c r="D39" s="151"/>
      <c r="H39" s="151"/>
      <c r="I39" s="162"/>
      <c r="J39" s="162"/>
    </row>
    <row r="40" spans="1:15" x14ac:dyDescent="0.3">
      <c r="D40" s="151"/>
      <c r="E40" s="82" t="s">
        <v>123</v>
      </c>
      <c r="F40" s="233">
        <f>F34</f>
        <v>0.20709068006635772</v>
      </c>
      <c r="H40" s="151"/>
      <c r="I40" s="161" t="s">
        <v>122</v>
      </c>
      <c r="J40" s="160">
        <f>F28*J14</f>
        <v>514273.54266611685</v>
      </c>
      <c r="K40" s="44"/>
      <c r="N40" s="148"/>
    </row>
    <row r="41" spans="1:15" x14ac:dyDescent="0.3">
      <c r="B41"/>
      <c r="C41"/>
      <c r="D41" s="151"/>
      <c r="H41" s="151"/>
      <c r="I41" s="161" t="s">
        <v>121</v>
      </c>
      <c r="J41" s="159">
        <f>F28*J15</f>
        <v>159039.70996651798</v>
      </c>
      <c r="K41" s="44"/>
    </row>
    <row r="42" spans="1:15" x14ac:dyDescent="0.3">
      <c r="B42"/>
      <c r="C42"/>
      <c r="D42" s="151"/>
      <c r="E42" s="158" t="s">
        <v>120</v>
      </c>
      <c r="F42" s="157">
        <v>0</v>
      </c>
      <c r="H42" s="151"/>
      <c r="I42" s="156" t="s">
        <v>119</v>
      </c>
      <c r="J42" s="155">
        <f>J40+J41</f>
        <v>673313.25263263483</v>
      </c>
    </row>
    <row r="43" spans="1:15" x14ac:dyDescent="0.3">
      <c r="B43"/>
      <c r="C43"/>
      <c r="D43" s="151"/>
      <c r="H43" s="151"/>
      <c r="I43" s="154"/>
      <c r="J43" s="153"/>
      <c r="K43" s="150"/>
    </row>
    <row r="44" spans="1:15" x14ac:dyDescent="0.3">
      <c r="B44"/>
      <c r="C44"/>
      <c r="D44" s="151"/>
      <c r="H44" s="151"/>
      <c r="L44" s="150"/>
    </row>
    <row r="45" spans="1:15" x14ac:dyDescent="0.3">
      <c r="B45"/>
      <c r="C45"/>
      <c r="F45" s="149"/>
      <c r="K45" s="3"/>
    </row>
    <row r="46" spans="1:15" x14ac:dyDescent="0.3">
      <c r="F46" s="106"/>
      <c r="L46" s="3"/>
    </row>
    <row r="47" spans="1:15" x14ac:dyDescent="0.3">
      <c r="F47" s="106"/>
    </row>
    <row r="48" spans="1:15" x14ac:dyDescent="0.3">
      <c r="F48" s="106"/>
    </row>
    <row r="49" spans="6:14" x14ac:dyDescent="0.3">
      <c r="F49" s="106"/>
    </row>
    <row r="50" spans="6:14" x14ac:dyDescent="0.3">
      <c r="F50" s="106"/>
      <c r="L50" s="148"/>
      <c r="N50" s="148"/>
    </row>
    <row r="51" spans="6:14" x14ac:dyDescent="0.3">
      <c r="F51" s="106"/>
    </row>
    <row r="52" spans="6:14" x14ac:dyDescent="0.3">
      <c r="F52" s="106"/>
    </row>
    <row r="53" spans="6:14" x14ac:dyDescent="0.3">
      <c r="F53" s="106"/>
    </row>
    <row r="54" spans="6:14" x14ac:dyDescent="0.3">
      <c r="F54" s="106"/>
    </row>
    <row r="55" spans="6:14" x14ac:dyDescent="0.3">
      <c r="F55" s="106"/>
    </row>
    <row r="56" spans="6:14" x14ac:dyDescent="0.3">
      <c r="F56" s="106"/>
    </row>
    <row r="57" spans="6:14" x14ac:dyDescent="0.3">
      <c r="F57" s="106"/>
    </row>
    <row r="58" spans="6:14" x14ac:dyDescent="0.3">
      <c r="F58" s="106"/>
    </row>
    <row r="59" spans="6:14" x14ac:dyDescent="0.3">
      <c r="F59" s="106"/>
    </row>
    <row r="60" spans="6:14" x14ac:dyDescent="0.3">
      <c r="F60" s="106"/>
    </row>
    <row r="61" spans="6:14" x14ac:dyDescent="0.3">
      <c r="F61" s="106"/>
    </row>
    <row r="62" spans="6:14" x14ac:dyDescent="0.3">
      <c r="F62" s="106"/>
      <c r="K62" s="147"/>
    </row>
    <row r="63" spans="6:14" x14ac:dyDescent="0.3">
      <c r="F63" s="106"/>
    </row>
    <row r="64" spans="6:14" x14ac:dyDescent="0.3">
      <c r="F64" s="106"/>
    </row>
    <row r="65" spans="6:11" x14ac:dyDescent="0.3">
      <c r="F65" s="106"/>
    </row>
    <row r="68" spans="6:11" x14ac:dyDescent="0.3">
      <c r="K68" s="147"/>
    </row>
  </sheetData>
  <conditionalFormatting sqref="F33">
    <cfRule type="containsText" dxfId="7" priority="3" operator="containsText" text="Check">
      <formula>NOT(ISERROR(SEARCH("Check",F33)))</formula>
    </cfRule>
  </conditionalFormatting>
  <pageMargins left="0.25" right="0.25" top="0.75" bottom="0.75" header="0.3" footer="0.3"/>
  <pageSetup paperSize="5" scale="41" orientation="landscape" r:id="rId1"/>
  <headerFooter>
    <oddFooter>&amp;L&amp;Z&amp;F\&amp;A&amp;R&amp;P/&amp;N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8402004-G&amp;A FPFTY</vt:lpstr>
      <vt:lpstr>8400000-M&amp;S FPFTY</vt:lpstr>
      <vt:lpstr>8402004 - G&amp;A Calculation</vt:lpstr>
      <vt:lpstr>8400000 - M&amp;S Calculation</vt:lpstr>
      <vt:lpstr>Jan G&amp;A_Surcharge</vt:lpstr>
      <vt:lpstr>Feb G&amp;A_Surcharge</vt:lpstr>
      <vt:lpstr>Mar G&amp;A_Surcharge</vt:lpstr>
      <vt:lpstr>Apr G&amp;A_Surcharge</vt:lpstr>
      <vt:lpstr>May G&amp;A_Surcharge</vt:lpstr>
      <vt:lpstr>Jun G&amp;A_Surcharge</vt:lpstr>
      <vt:lpstr>Jul G&amp;A_Surcharge</vt:lpstr>
      <vt:lpstr>Aug G&amp;A_Surcharge</vt:lpstr>
      <vt:lpstr>Sep G&amp;A_Surcharge</vt:lpstr>
      <vt:lpstr>Oct G&amp;A_Surcharge</vt:lpstr>
      <vt:lpstr>Nov G&amp;A_Surcharge</vt:lpstr>
      <vt:lpstr>Dec G&amp;A_Surcharge</vt:lpstr>
    </vt:vector>
  </TitlesOfParts>
  <Company>Essential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Odusanya, Abdul-Azeez</dc:creator>
  <cp:lastModifiedBy>Odusanya, Abdul-Azeez</cp:lastModifiedBy>
  <dcterms:created xsi:type="dcterms:W3CDTF">2024-10-23T18:45:17Z</dcterms:created>
  <dcterms:modified xsi:type="dcterms:W3CDTF">2025-01-30T01:18:48Z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AG-II-019b.xlsx</vt:lpwstr>
  </property>
</Properties>
</file>