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0909892-9A55-4FF7-B5D9-AC20B9D46A3A}" xr6:coauthVersionLast="47" xr6:coauthVersionMax="47" xr10:uidLastSave="{00000000-0000-0000-0000-000000000000}"/>
  <bookViews>
    <workbookView xWindow="-28920" yWindow="-225" windowWidth="29040" windowHeight="15840" xr2:uid="{00000000-000D-0000-FFFF-FFFF00000000}"/>
  </bookViews>
  <sheets>
    <sheet name="Tab 64" sheetId="9" r:id="rId1"/>
    <sheet name="Bal Sheet" sheetId="10" r:id="rId2"/>
    <sheet name="2013-2023" sheetId="7" r:id="rId3"/>
    <sheet name="Delta" sheetId="2" state="hidden" r:id="rId4"/>
    <sheet name="Peoples KY" sheetId="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2">'2013-2023'!$A$1:$N$77</definedName>
    <definedName name="_xlnm.Print_Area" localSheetId="3">Delta!$A$1:$P$77</definedName>
    <definedName name="_xlnm.Print_Area" localSheetId="4">'Peoples KY'!$A$1:$M$58</definedName>
    <definedName name="_xlnm.Print_Area" localSheetId="0">'Tab 64'!$A$1:$E$66</definedName>
    <definedName name="_xlnm.Print_Titles" localSheetId="2">'2013-2023'!$1:$8</definedName>
    <definedName name="_xlnm.Print_Titles" localSheetId="3">Delta!$1:$8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9" l="1"/>
  <c r="E19" i="9"/>
  <c r="E20" i="9"/>
  <c r="E18" i="9"/>
  <c r="O118" i="10" l="1"/>
  <c r="N118" i="10"/>
  <c r="M118" i="10"/>
  <c r="L118" i="10"/>
  <c r="K118" i="10"/>
  <c r="J118" i="10"/>
  <c r="I118" i="10"/>
  <c r="H118" i="10"/>
  <c r="G118" i="10"/>
  <c r="F118" i="10"/>
  <c r="E118" i="10"/>
  <c r="D118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O116" i="10"/>
  <c r="N116" i="10"/>
  <c r="M116" i="10"/>
  <c r="L116" i="10"/>
  <c r="K116" i="10"/>
  <c r="J116" i="10"/>
  <c r="I116" i="10"/>
  <c r="H116" i="10"/>
  <c r="G116" i="10"/>
  <c r="F116" i="10"/>
  <c r="E116" i="10"/>
  <c r="D116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S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S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S83" i="10"/>
  <c r="S82" i="10"/>
  <c r="S86" i="10" s="1"/>
  <c r="O82" i="10"/>
  <c r="N82" i="10"/>
  <c r="M82" i="10"/>
  <c r="L82" i="10"/>
  <c r="K82" i="10"/>
  <c r="J82" i="10"/>
  <c r="I82" i="10"/>
  <c r="H82" i="10"/>
  <c r="G82" i="10"/>
  <c r="F82" i="10"/>
  <c r="E82" i="10"/>
  <c r="D82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S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S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E31" i="9" l="1"/>
  <c r="E30" i="9"/>
  <c r="E27" i="9"/>
  <c r="E26" i="9"/>
  <c r="E25" i="9"/>
  <c r="E24" i="9"/>
  <c r="E11" i="9" l="1"/>
  <c r="E10" i="9"/>
  <c r="E9" i="9"/>
  <c r="E8" i="9"/>
  <c r="E7" i="9"/>
  <c r="E6" i="9"/>
  <c r="D24" i="9" l="1"/>
  <c r="D25" i="9" l="1"/>
  <c r="D18" i="9" l="1"/>
  <c r="D19" i="9"/>
  <c r="D20" i="9"/>
  <c r="D13" i="9"/>
  <c r="D11" i="9"/>
  <c r="D10" i="9"/>
  <c r="D9" i="9"/>
  <c r="D8" i="9"/>
  <c r="D7" i="9"/>
  <c r="D6" i="9"/>
  <c r="F29" i="7"/>
  <c r="E29" i="7"/>
  <c r="D29" i="7"/>
  <c r="D27" i="9" l="1"/>
  <c r="D26" i="9"/>
  <c r="D30" i="9"/>
  <c r="D31" i="9"/>
  <c r="D28" i="9" l="1"/>
  <c r="E12" i="9"/>
  <c r="D12" i="9"/>
  <c r="E14" i="9" l="1"/>
  <c r="E63" i="9"/>
  <c r="D14" i="9"/>
  <c r="D61" i="9" s="1"/>
  <c r="D63" i="9"/>
  <c r="D33" i="9"/>
  <c r="D59" i="9"/>
  <c r="E56" i="9"/>
  <c r="D56" i="9"/>
  <c r="E54" i="9"/>
  <c r="D54" i="9"/>
  <c r="E53" i="9"/>
  <c r="D53" i="9"/>
  <c r="E52" i="9"/>
  <c r="D52" i="9"/>
  <c r="E51" i="9"/>
  <c r="D51" i="9"/>
  <c r="E50" i="9"/>
  <c r="D50" i="9"/>
  <c r="E48" i="9"/>
  <c r="D48" i="9"/>
  <c r="E47" i="9"/>
  <c r="D47" i="9"/>
  <c r="E46" i="9"/>
  <c r="D46" i="9"/>
  <c r="E28" i="9"/>
  <c r="A5" i="9"/>
  <c r="A6" i="9" s="1"/>
  <c r="A7" i="9" s="1"/>
  <c r="A8" i="9" s="1"/>
  <c r="A9" i="9" s="1"/>
  <c r="A10" i="9" s="1"/>
  <c r="A11" i="9" s="1"/>
  <c r="A12" i="9" s="1"/>
  <c r="A13" i="9" s="1"/>
  <c r="A14" i="9" s="1"/>
  <c r="E33" i="9" l="1"/>
  <c r="E61" i="9"/>
  <c r="E59" i="9"/>
  <c r="A16" i="9"/>
  <c r="A17" i="9" s="1"/>
  <c r="A18" i="9" s="1"/>
  <c r="A19" i="9" s="1"/>
  <c r="A20" i="9" s="1"/>
  <c r="A21" i="9" s="1"/>
  <c r="A23" i="9" s="1"/>
  <c r="A24" i="9" s="1"/>
  <c r="A25" i="9" s="1"/>
  <c r="A26" i="9" s="1"/>
  <c r="A27" i="9" s="1"/>
  <c r="A28" i="9" s="1"/>
  <c r="A30" i="9" s="1"/>
  <c r="A31" i="9" s="1"/>
  <c r="A33" i="9" s="1"/>
  <c r="A36" i="9" s="1"/>
  <c r="A37" i="9" s="1"/>
  <c r="A39" i="9" s="1"/>
  <c r="A40" i="9" s="1"/>
  <c r="A42" i="9" s="1"/>
  <c r="A44" i="9" s="1"/>
  <c r="A45" i="9" s="1"/>
  <c r="A46" i="9" s="1"/>
  <c r="A47" i="9" s="1"/>
  <c r="A48" i="9" s="1"/>
  <c r="A50" i="9" s="1"/>
  <c r="A51" i="9" s="1"/>
  <c r="A52" i="9" s="1"/>
  <c r="A53" i="9" s="1"/>
  <c r="A54" i="9" s="1"/>
  <c r="A56" i="9" s="1"/>
  <c r="A58" i="9" s="1"/>
  <c r="A59" i="9" s="1"/>
  <c r="A60" i="9" s="1"/>
  <c r="A61" i="9" s="1"/>
  <c r="A63" i="9" s="1"/>
  <c r="I74" i="7"/>
  <c r="H74" i="7"/>
  <c r="G74" i="7"/>
  <c r="F74" i="7"/>
  <c r="E74" i="7"/>
  <c r="D74" i="7"/>
  <c r="N51" i="7"/>
  <c r="E51" i="7"/>
  <c r="F51" i="7"/>
  <c r="G51" i="7"/>
  <c r="H51" i="7"/>
  <c r="I51" i="7"/>
  <c r="J51" i="7"/>
  <c r="K51" i="7"/>
  <c r="L51" i="7"/>
  <c r="M51" i="7"/>
  <c r="D51" i="7"/>
  <c r="E72" i="7"/>
  <c r="F72" i="7"/>
  <c r="G72" i="7"/>
  <c r="H72" i="7"/>
  <c r="I72" i="7"/>
  <c r="J72" i="7"/>
  <c r="K72" i="7"/>
  <c r="L72" i="7"/>
  <c r="M72" i="7"/>
  <c r="N72" i="7"/>
  <c r="D72" i="7"/>
  <c r="N71" i="7"/>
  <c r="M71" i="7"/>
  <c r="L71" i="7"/>
  <c r="K71" i="7"/>
  <c r="J71" i="7"/>
  <c r="I71" i="7"/>
  <c r="H71" i="7"/>
  <c r="G71" i="7"/>
  <c r="D30" i="7"/>
  <c r="D71" i="7" s="1"/>
  <c r="E30" i="7"/>
  <c r="E71" i="7" s="1"/>
  <c r="F30" i="7"/>
  <c r="F71" i="7" s="1"/>
  <c r="E70" i="7"/>
  <c r="F70" i="7"/>
  <c r="G70" i="7"/>
  <c r="H70" i="7"/>
  <c r="I70" i="7"/>
  <c r="J70" i="7"/>
  <c r="K70" i="7"/>
  <c r="L70" i="7"/>
  <c r="M70" i="7"/>
  <c r="N70" i="7"/>
  <c r="D70" i="7"/>
  <c r="M67" i="7"/>
  <c r="L67" i="7"/>
  <c r="K67" i="7"/>
  <c r="J67" i="7"/>
  <c r="N67" i="7"/>
  <c r="F41" i="7"/>
  <c r="D35" i="7"/>
  <c r="F38" i="7"/>
  <c r="E38" i="7"/>
  <c r="D38" i="7"/>
  <c r="E35" i="7"/>
  <c r="F35" i="7"/>
  <c r="F48" i="7"/>
  <c r="E48" i="7"/>
  <c r="D48" i="7"/>
  <c r="H44" i="7"/>
  <c r="I44" i="7"/>
  <c r="J44" i="7"/>
  <c r="K44" i="7"/>
  <c r="L44" i="7"/>
  <c r="M44" i="7"/>
  <c r="N44" i="7"/>
  <c r="G44" i="7"/>
  <c r="H42" i="7"/>
  <c r="I42" i="7"/>
  <c r="J42" i="7"/>
  <c r="K42" i="7"/>
  <c r="L42" i="7"/>
  <c r="M42" i="7"/>
  <c r="M48" i="7" s="1"/>
  <c r="N42" i="7"/>
  <c r="N48" i="7" s="1"/>
  <c r="G42" i="7"/>
  <c r="H41" i="7"/>
  <c r="I41" i="7"/>
  <c r="J41" i="7"/>
  <c r="K41" i="7"/>
  <c r="L41" i="7"/>
  <c r="M41" i="7"/>
  <c r="N41" i="7"/>
  <c r="G41" i="7"/>
  <c r="H39" i="7"/>
  <c r="I39" i="7"/>
  <c r="J39" i="7"/>
  <c r="K39" i="7"/>
  <c r="L39" i="7"/>
  <c r="M39" i="7"/>
  <c r="N39" i="7"/>
  <c r="G39" i="7"/>
  <c r="H38" i="7"/>
  <c r="I38" i="7"/>
  <c r="J38" i="7"/>
  <c r="K38" i="7"/>
  <c r="L38" i="7"/>
  <c r="M38" i="7"/>
  <c r="N38" i="7"/>
  <c r="G38" i="7"/>
  <c r="H37" i="7"/>
  <c r="I37" i="7"/>
  <c r="J37" i="7"/>
  <c r="K37" i="7"/>
  <c r="L37" i="7"/>
  <c r="M37" i="7"/>
  <c r="N37" i="7"/>
  <c r="G37" i="7"/>
  <c r="H36" i="7"/>
  <c r="I36" i="7"/>
  <c r="J36" i="7"/>
  <c r="K36" i="7"/>
  <c r="L36" i="7"/>
  <c r="M36" i="7"/>
  <c r="N36" i="7"/>
  <c r="G36" i="7"/>
  <c r="H35" i="7"/>
  <c r="I35" i="7"/>
  <c r="J35" i="7"/>
  <c r="K35" i="7"/>
  <c r="L35" i="7"/>
  <c r="M35" i="7"/>
  <c r="N35" i="7"/>
  <c r="G35" i="7"/>
  <c r="H34" i="7"/>
  <c r="I34" i="7"/>
  <c r="J34" i="7"/>
  <c r="K34" i="7"/>
  <c r="L34" i="7"/>
  <c r="M34" i="7"/>
  <c r="N34" i="7"/>
  <c r="G34" i="7"/>
  <c r="H33" i="7"/>
  <c r="I33" i="7"/>
  <c r="J33" i="7"/>
  <c r="K33" i="7"/>
  <c r="L33" i="7"/>
  <c r="M33" i="7"/>
  <c r="N33" i="7"/>
  <c r="G33" i="7"/>
  <c r="H30" i="7"/>
  <c r="I30" i="7"/>
  <c r="J30" i="7"/>
  <c r="K30" i="7"/>
  <c r="L30" i="7"/>
  <c r="M30" i="7"/>
  <c r="N30" i="7"/>
  <c r="G30" i="7"/>
  <c r="H29" i="7"/>
  <c r="I29" i="7"/>
  <c r="J29" i="7"/>
  <c r="K29" i="7"/>
  <c r="L29" i="7"/>
  <c r="M29" i="7"/>
  <c r="N29" i="7"/>
  <c r="G29" i="7"/>
  <c r="H28" i="7"/>
  <c r="I28" i="7"/>
  <c r="J28" i="7"/>
  <c r="J48" i="7" s="1"/>
  <c r="K28" i="7"/>
  <c r="L28" i="7"/>
  <c r="M28" i="7"/>
  <c r="N28" i="7"/>
  <c r="G28" i="7"/>
  <c r="H27" i="7"/>
  <c r="I27" i="7"/>
  <c r="J27" i="7"/>
  <c r="K27" i="7"/>
  <c r="L27" i="7"/>
  <c r="L48" i="7" s="1"/>
  <c r="M27" i="7"/>
  <c r="N27" i="7"/>
  <c r="G27" i="7"/>
  <c r="H23" i="7"/>
  <c r="I23" i="7"/>
  <c r="J23" i="7"/>
  <c r="K23" i="7"/>
  <c r="L23" i="7"/>
  <c r="M23" i="7"/>
  <c r="N23" i="7"/>
  <c r="G23" i="7"/>
  <c r="H19" i="7"/>
  <c r="I19" i="7"/>
  <c r="J19" i="7"/>
  <c r="K19" i="7"/>
  <c r="L19" i="7"/>
  <c r="M19" i="7"/>
  <c r="N19" i="7"/>
  <c r="G19" i="7"/>
  <c r="H18" i="7"/>
  <c r="I18" i="7"/>
  <c r="J18" i="7"/>
  <c r="K18" i="7"/>
  <c r="L18" i="7"/>
  <c r="M18" i="7"/>
  <c r="N18" i="7"/>
  <c r="G18" i="7"/>
  <c r="H21" i="7"/>
  <c r="I21" i="7"/>
  <c r="J21" i="7"/>
  <c r="K21" i="7"/>
  <c r="L21" i="7"/>
  <c r="M21" i="7"/>
  <c r="N21" i="7"/>
  <c r="G21" i="7"/>
  <c r="I11" i="7"/>
  <c r="J11" i="7"/>
  <c r="K11" i="7"/>
  <c r="L11" i="7"/>
  <c r="M11" i="7"/>
  <c r="N11" i="7"/>
  <c r="H11" i="7"/>
  <c r="G11" i="7"/>
  <c r="N59" i="7"/>
  <c r="M59" i="7"/>
  <c r="L59" i="7"/>
  <c r="K59" i="7"/>
  <c r="J59" i="7"/>
  <c r="K48" i="7"/>
  <c r="G48" i="7"/>
  <c r="H48" i="7" l="1"/>
  <c r="I48" i="7"/>
  <c r="K54" i="3"/>
  <c r="G54" i="3" l="1"/>
  <c r="G45" i="3"/>
  <c r="E54" i="3"/>
  <c r="H45" i="3"/>
  <c r="E45" i="3"/>
  <c r="I45" i="3"/>
  <c r="F45" i="3"/>
  <c r="J45" i="3"/>
  <c r="D45" i="3"/>
  <c r="I54" i="3"/>
  <c r="H54" i="3"/>
  <c r="D54" i="3"/>
  <c r="F54" i="3"/>
  <c r="J54" i="3"/>
  <c r="K56" i="3" l="1"/>
  <c r="J56" i="3"/>
  <c r="I56" i="3"/>
  <c r="H56" i="3"/>
  <c r="G56" i="3"/>
  <c r="F56" i="3"/>
  <c r="E56" i="3"/>
  <c r="D56" i="3"/>
  <c r="K42" i="3"/>
  <c r="J42" i="3"/>
  <c r="I42" i="3"/>
  <c r="H42" i="3"/>
  <c r="G42" i="3"/>
  <c r="F42" i="3"/>
  <c r="E42" i="3"/>
  <c r="D42" i="3"/>
  <c r="I51" i="2" l="1"/>
  <c r="G74" i="2"/>
  <c r="H51" i="2"/>
  <c r="G51" i="2"/>
  <c r="H74" i="2"/>
  <c r="I74" i="2"/>
  <c r="P59" i="2"/>
  <c r="O59" i="2"/>
  <c r="N59" i="2"/>
  <c r="M59" i="2"/>
  <c r="L59" i="2"/>
  <c r="K59" i="2"/>
  <c r="J59" i="2"/>
  <c r="P48" i="2"/>
  <c r="O48" i="2"/>
  <c r="N48" i="2"/>
  <c r="M48" i="2"/>
  <c r="L48" i="2"/>
  <c r="K48" i="2"/>
  <c r="J48" i="2"/>
  <c r="I48" i="2"/>
  <c r="H48" i="2"/>
  <c r="G48" i="2"/>
  <c r="L72" i="2"/>
  <c r="P70" i="2"/>
  <c r="O70" i="2"/>
  <c r="K70" i="2"/>
  <c r="P67" i="2"/>
  <c r="O67" i="2"/>
  <c r="N67" i="2"/>
  <c r="M67" i="2"/>
  <c r="L67" i="2"/>
  <c r="K67" i="2"/>
  <c r="J67" i="2"/>
  <c r="P72" i="2" l="1"/>
  <c r="K72" i="2"/>
  <c r="M72" i="2"/>
  <c r="N71" i="2"/>
  <c r="P71" i="2"/>
  <c r="L71" i="2"/>
  <c r="L70" i="2"/>
  <c r="M71" i="2"/>
  <c r="H70" i="2"/>
  <c r="H71" i="2"/>
  <c r="N72" i="2"/>
  <c r="O72" i="2"/>
  <c r="I70" i="2"/>
  <c r="M70" i="2"/>
  <c r="G70" i="2"/>
  <c r="K71" i="2"/>
  <c r="O71" i="2"/>
  <c r="J70" i="2"/>
  <c r="N70" i="2"/>
  <c r="I71" i="2" l="1"/>
  <c r="J71" i="2"/>
  <c r="J72" i="2"/>
  <c r="H72" i="2"/>
  <c r="I72" i="2"/>
  <c r="G72" i="2"/>
  <c r="G71" i="2"/>
  <c r="E37" i="9"/>
  <c r="E21" i="9"/>
  <c r="E60" i="9" s="1"/>
  <c r="D21" i="9" l="1"/>
  <c r="D60" i="9" s="1"/>
  <c r="D3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1" authorId="0" shapeId="0" xr:uid="{0BD0DD33-E251-4432-AD3F-D90F244B38D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Report, Ref Page 206, line 109</t>
        </r>
      </text>
    </comment>
    <comment ref="C12" authorId="0" shapeId="0" xr:uid="{7ED10B40-7199-4302-84DB-EEEE6F37E8B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Report, Ref Page 206, line 124</t>
        </r>
      </text>
    </comment>
    <comment ref="C13" authorId="0" shapeId="0" xr:uid="{D1C7DC01-967C-4889-9DA5-0EDD4DCB013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Report, Ref Page 204, line 5</t>
        </r>
      </text>
    </comment>
    <comment ref="C14" authorId="0" shapeId="0" xr:uid="{9E0D9D1A-B0E4-4D1B-B113-94D874C0D43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Report, Ref Page 204, line 27</t>
        </r>
      </text>
    </comment>
    <comment ref="C15" authorId="0" shapeId="0" xr:uid="{0F88CD13-BBB5-47C4-BD85-894080DFD15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 Ref Page 206, line 57</t>
        </r>
      </text>
    </comment>
    <comment ref="C16" authorId="0" shapeId="0" xr:uid="{3EC0AD53-26C0-4A1F-9A42-CD409A02BB0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 Ref P 206; Line 92</t>
        </r>
      </text>
    </comment>
    <comment ref="C17" authorId="0" shapeId="0" xr:uid="{41DDBDCF-D709-4EEE-8001-E948F703367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 Ref P 206; Total Gas Plant in Service (below line 128)</t>
        </r>
      </text>
    </comment>
    <comment ref="C18" authorId="0" shapeId="0" xr:uid="{7C62BFF0-005B-4840-A4E5-FBA9AF7E3AC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200, Line 33?</t>
        </r>
      </text>
    </comment>
    <comment ref="C19" authorId="0" shapeId="0" xr:uid="{45A52614-0C94-4302-9C25-CC216A5D232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200, Line 15?</t>
        </r>
      </text>
    </comment>
    <comment ref="C21" authorId="0" shapeId="0" xr:uid="{47E058ED-32C1-4962-B5FA-15BF192CD40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110, Line 3</t>
        </r>
      </text>
    </comment>
    <comment ref="C23" authorId="0" shapeId="0" xr:uid="{0BC77D94-7C38-4C5E-BA0C-DD2F3C7D8FD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110, Line 6</t>
        </r>
      </text>
    </comment>
    <comment ref="C27" authorId="0" shapeId="0" xr:uid="{A0CF7FBE-EFEE-4648-9E22-BCFB51AECC6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112, Line 38
</t>
        </r>
      </text>
    </comment>
    <comment ref="C28" authorId="0" shapeId="0" xr:uid="{FC7191F0-D22D-4B69-95E3-2589E29A94E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256</t>
        </r>
      </text>
    </comment>
    <comment ref="C29" authorId="0" shapeId="0" xr:uid="{BC0BB945-99A1-417D-A62B-E4F34F30E71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 112, Line 15</t>
        </r>
      </text>
    </comment>
    <comment ref="C33" authorId="0" shapeId="0" xr:uid="{82966CEA-1EF8-4161-B86D-A1389C6B327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114, Line 2</t>
        </r>
      </text>
    </comment>
    <comment ref="C34" authorId="0" shapeId="0" xr:uid="{21756275-E6E6-4EAD-8AB5-9FAD8342ABE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114, Line 25
</t>
        </r>
      </text>
    </comment>
    <comment ref="C35" authorId="0" shapeId="0" xr:uid="{CC4E4BB8-84C3-4255-9DF8-A58674E3AB3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114, Lines 15 &amp; 16</t>
        </r>
      </text>
    </comment>
    <comment ref="C36" authorId="0" shapeId="0" xr:uid="{F2189897-D03C-44CF-A599-8969B652E38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114, Line 17</t>
        </r>
      </text>
    </comment>
    <comment ref="C37" authorId="0" shapeId="0" xr:uid="{77BFD9E9-BC2A-4BF7-A22E-496EFF74379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114, Line 14
</t>
        </r>
      </text>
    </comment>
    <comment ref="C38" authorId="0" shapeId="0" xr:uid="{05736885-32DD-4AC6-BED1-1426FA2E110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114, Line 19</t>
        </r>
      </text>
    </comment>
    <comment ref="C39" authorId="0" shapeId="0" xr:uid="{49806803-4F14-496C-891F-139295F3265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114, Line 26</t>
        </r>
      </text>
    </comment>
    <comment ref="C41" authorId="0" shapeId="0" xr:uid="{D4466B2C-AEAC-4417-A7AD-6CBD478220F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116, Line 46</t>
        </r>
      </text>
    </comment>
    <comment ref="C42" authorId="0" shapeId="0" xr:uid="{12E27072-1125-4E66-B582-52B64421BFC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116, Line 66</t>
        </r>
      </text>
    </comment>
    <comment ref="C44" authorId="0" shapeId="0" xr:uid="{80835BD7-6798-458F-8D19-E9B5A29B28F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PSC Annual Report; Ref Page 116, Line 74</t>
        </r>
      </text>
    </comment>
    <comment ref="C74" authorId="0" shapeId="0" xr:uid="{A6FB51DF-AAF2-46D8-BDEF-F0D8AC8C049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=Depreciation Expense (PSC Annual Rpt; Ref P336; line labeled Total)/
Total Gas Plant (row 17 of this spreadsheet)
</t>
        </r>
      </text>
    </comment>
  </commentList>
</comments>
</file>

<file path=xl/sharedStrings.xml><?xml version="1.0" encoding="utf-8"?>
<sst xmlns="http://schemas.openxmlformats.org/spreadsheetml/2006/main" count="585" uniqueCount="282">
  <si>
    <t>Delta Natural Gas Company, Inc.</t>
  </si>
  <si>
    <t xml:space="preserve">Comparative Financial Data and Earning Measures </t>
  </si>
  <si>
    <t xml:space="preserve">Line No. </t>
  </si>
  <si>
    <t>Description</t>
  </si>
  <si>
    <t>Gas Plant ($000)</t>
  </si>
  <si>
    <t>($'s Based on Period-End Amounts)</t>
  </si>
  <si>
    <t xml:space="preserve">          Less: Accumulated Depreciation and Amortization</t>
  </si>
  <si>
    <t>Gas Plant in Service-Net</t>
  </si>
  <si>
    <t>Capital Structure: ($000)</t>
  </si>
  <si>
    <t>Short-Term Debt (Notes Payable to Associated Companies)</t>
  </si>
  <si>
    <t xml:space="preserve">Long-Term Debt </t>
  </si>
  <si>
    <t xml:space="preserve">Common Equity </t>
  </si>
  <si>
    <t>Total</t>
  </si>
  <si>
    <t>Condensed Income Statement Data: ($000)</t>
  </si>
  <si>
    <t xml:space="preserve">Operating Revenues  </t>
  </si>
  <si>
    <t xml:space="preserve">Operating Expenses (Excluding Income Taxes) </t>
  </si>
  <si>
    <t>Federal and State Income Taxes</t>
  </si>
  <si>
    <t xml:space="preserve">Property and Other Taxes </t>
  </si>
  <si>
    <t>Net Operating Income</t>
  </si>
  <si>
    <t>Other Income (Deductions), Net</t>
  </si>
  <si>
    <t xml:space="preserve">Interest Charges </t>
  </si>
  <si>
    <t xml:space="preserve">Net Income Available for Common Equity </t>
  </si>
  <si>
    <t>Cost of Capital:</t>
  </si>
  <si>
    <t>Embedded Cost of Debt (Short and Long Term)</t>
  </si>
  <si>
    <t>Fixed Charge Coverages</t>
  </si>
  <si>
    <t>Ratio of Earnings to Fixed Charges</t>
  </si>
  <si>
    <t>Stock and Bond Ratings:*</t>
  </si>
  <si>
    <t>n/a</t>
  </si>
  <si>
    <t>Common Share Related Data:*</t>
  </si>
  <si>
    <t>Shares Outstanding - Weighted Average</t>
  </si>
  <si>
    <t>Earnings per Common Share</t>
  </si>
  <si>
    <t>Cash Dividends declared per Common Share</t>
  </si>
  <si>
    <t>Dividend Payout Ratio (Declared Basis)</t>
  </si>
  <si>
    <t>Market Price - High/Low*</t>
  </si>
  <si>
    <t>1st Quarter</t>
  </si>
  <si>
    <t>2nd Quarter</t>
  </si>
  <si>
    <t>3rd Quarter</t>
  </si>
  <si>
    <t>4th Quarter</t>
  </si>
  <si>
    <t>Book Value per Share (Year-End)*</t>
  </si>
  <si>
    <t>Rate of Return Measures:</t>
  </si>
  <si>
    <t>Return on Common Equity (Average)</t>
  </si>
  <si>
    <t>Return on Total Capital (Average)</t>
  </si>
  <si>
    <t>Return on Net Plant in Service (Average)</t>
  </si>
  <si>
    <t>Composite Depreciation Rate</t>
  </si>
  <si>
    <t>* As of September 2017, Delta's stock was no longer publicly traded.</t>
  </si>
  <si>
    <t>Gas Distribution</t>
  </si>
  <si>
    <t xml:space="preserve">Gas General Plant </t>
  </si>
  <si>
    <t>Gas Intangible Plant</t>
  </si>
  <si>
    <t>Gas Production Plant</t>
  </si>
  <si>
    <t xml:space="preserve">Gas Underground Storage </t>
  </si>
  <si>
    <t xml:space="preserve">Gas Transmission </t>
  </si>
  <si>
    <t xml:space="preserve">     Total Gas Plant - Gross </t>
  </si>
  <si>
    <t xml:space="preserve">Construction Work In Progress </t>
  </si>
  <si>
    <t xml:space="preserve">Net Utility Plant  </t>
  </si>
  <si>
    <t xml:space="preserve">Deferred Federal and State Income Taxes </t>
  </si>
  <si>
    <t>Investment Tax Credit Adj. - Net</t>
  </si>
  <si>
    <t>All Long-Term Debt Issues were privately placed and therefore, not rated; Delta had no Preferred Stock</t>
  </si>
  <si>
    <t>27.36 / 23.19</t>
  </si>
  <si>
    <t>20.75 / 19.96</t>
  </si>
  <si>
    <t>22.58 / 19.50</t>
  </si>
  <si>
    <t>25.02 / 18.50</t>
  </si>
  <si>
    <t>24.82 / 18.41</t>
  </si>
  <si>
    <t>16.98 / 14.51</t>
  </si>
  <si>
    <t>15.81 / 13.17</t>
  </si>
  <si>
    <t>31.29 / 22.16</t>
  </si>
  <si>
    <t xml:space="preserve">21.38 / 20.26 </t>
  </si>
  <si>
    <t>21.54 / 19.50</t>
  </si>
  <si>
    <t>22.90 / 19.98</t>
  </si>
  <si>
    <t>22.16 / 17.08</t>
  </si>
  <si>
    <t>17.24 / 14.12</t>
  </si>
  <si>
    <t>16.49 / 14.76</t>
  </si>
  <si>
    <t>30.85 / 25.00</t>
  </si>
  <si>
    <t>23.70 / 20.83</t>
  </si>
  <si>
    <t>21.39 / 19.10</t>
  </si>
  <si>
    <t>22.29 / 18.44</t>
  </si>
  <si>
    <t>22.08 / 18.88</t>
  </si>
  <si>
    <t>19.61 / 16.72</t>
  </si>
  <si>
    <t>17.00 / 15.10</t>
  </si>
  <si>
    <t>30.82 / 29.70</t>
  </si>
  <si>
    <t>28.22 / 22.11</t>
  </si>
  <si>
    <t>20.84 / 19.39</t>
  </si>
  <si>
    <t>22.13 / 18.43</t>
  </si>
  <si>
    <t>24.18 / 19.99</t>
  </si>
  <si>
    <t>23.15 / 18.83</t>
  </si>
  <si>
    <t>16.49 / 15.00</t>
  </si>
  <si>
    <t>Peoples Gas of Kentucky</t>
  </si>
  <si>
    <t>2013 *</t>
  </si>
  <si>
    <t>2012 *</t>
  </si>
  <si>
    <t>2011 *</t>
  </si>
  <si>
    <t>Net Operating Income (Loss)</t>
  </si>
  <si>
    <t>Stock and Bond Ratings:</t>
  </si>
  <si>
    <t>Peoples was a privately held company until being acquired by Aqua America (now Essential Utilities) in 2020.</t>
  </si>
  <si>
    <t>Common Share Related Data:</t>
  </si>
  <si>
    <t>*</t>
  </si>
  <si>
    <t>Peoples Gas KY was formed in 2013; no records are available prior to formation.</t>
  </si>
  <si>
    <t>Case No. 2024-xxxxx</t>
  </si>
  <si>
    <t>Forecasted Period**</t>
  </si>
  <si>
    <t xml:space="preserve">Total Gas Plant - Gross </t>
  </si>
  <si>
    <t>**All periods shown include forecasted information.</t>
  </si>
  <si>
    <t>Case No. 2024-00346</t>
  </si>
  <si>
    <t xml:space="preserve">Base Period </t>
  </si>
  <si>
    <t>FERC Financial Statements</t>
  </si>
  <si>
    <t>0L</t>
  </si>
  <si>
    <t>Ledger</t>
  </si>
  <si>
    <t>Currency type Company code currency</t>
  </si>
  <si>
    <t>USD</t>
  </si>
  <si>
    <t>Amounts in United States Dollar</t>
  </si>
  <si>
    <t>2024.01 -2024.01</t>
  </si>
  <si>
    <t>Reporting periods</t>
  </si>
  <si>
    <t>2025.02 -2025.02</t>
  </si>
  <si>
    <t>Comparison periods</t>
  </si>
  <si>
    <t>Company Code</t>
  </si>
  <si>
    <t>Account Number</t>
  </si>
  <si>
    <t>Text for B/S P&amp;L Item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</si>
  <si>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</si>
  <si>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</si>
  <si>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</si>
  <si>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</si>
  <si>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</si>
  <si>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</si>
  <si>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</si>
  <si>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</si>
  <si>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</si>
  <si>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</si>
  <si>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</si>
  <si>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</si>
  <si>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</si>
  <si>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</si>
  <si>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ASSETS &amp; OTHER DEBITS:</t>
  </si>
  <si>
    <t xml:space="preserve"> UTILITY PLANT:</t>
  </si>
  <si>
    <t>****</t>
  </si>
  <si>
    <t>9101000</t>
  </si>
  <si>
    <t>9101000 Plant in Service</t>
  </si>
  <si>
    <t>9106000</t>
  </si>
  <si>
    <t>9106000 Completed Construction not Classified-Gas</t>
  </si>
  <si>
    <t>1600</t>
  </si>
  <si>
    <t>9114000</t>
  </si>
  <si>
    <t>9114000 Plant Acquisition Adjustments</t>
  </si>
  <si>
    <t xml:space="preserve"> Utility Plant (101,-106,114)</t>
  </si>
  <si>
    <t>9107000</t>
  </si>
  <si>
    <t>9107000 Construction Work in Progress</t>
  </si>
  <si>
    <t xml:space="preserve"> Construction Work in Progress (107)</t>
  </si>
  <si>
    <t xml:space="preserve">  Total Utility Plant (Gross)</t>
  </si>
  <si>
    <t>9108000</t>
  </si>
  <si>
    <t>9108000 Accumulated Depreciation-Utility Plant</t>
  </si>
  <si>
    <t>9115000</t>
  </si>
  <si>
    <t>9115000 Accum Prov for Amort of Plant Acquisition Adjust</t>
  </si>
  <si>
    <t xml:space="preserve"> Accum Prov for Depr &amp; Amort (108,111,115)</t>
  </si>
  <si>
    <t xml:space="preserve">  Net Utility Plant</t>
  </si>
  <si>
    <t xml:space="preserve">   Total Net Utility Plant</t>
  </si>
  <si>
    <t>9117300</t>
  </si>
  <si>
    <t>9117300 Gas Stored in Reservoirs and Pipelines-Noncurrent</t>
  </si>
  <si>
    <t xml:space="preserve">  Gas Stored Underground, Non-Curr. (117)</t>
  </si>
  <si>
    <t xml:space="preserve">    TOTAL UTILITY PLANT</t>
  </si>
  <si>
    <t>OTHER PROPERTY &amp; INVESTMENTS:</t>
  </si>
  <si>
    <t>9128000</t>
  </si>
  <si>
    <t>9128000 Other Special Funds</t>
  </si>
  <si>
    <t>Other Special Funds (128)</t>
  </si>
  <si>
    <t xml:space="preserve">  TOTAL OTHER PROPERTY &amp; INVESTMENTS</t>
  </si>
  <si>
    <t>CURRENT &amp; ACCRUED ASSETS:</t>
  </si>
  <si>
    <t>9131000</t>
  </si>
  <si>
    <t>9131000 Cash</t>
  </si>
  <si>
    <t>Cash (131)</t>
  </si>
  <si>
    <t>9135000</t>
  </si>
  <si>
    <t>9135000 Working Funds</t>
  </si>
  <si>
    <t>Working Fund (135)</t>
  </si>
  <si>
    <t>9142000</t>
  </si>
  <si>
    <t>9142000 Customer Accounts Receivable</t>
  </si>
  <si>
    <t>Customer Accounts Receivable (142)</t>
  </si>
  <si>
    <t>9143000</t>
  </si>
  <si>
    <t>9143000 Other Accounts Receivable</t>
  </si>
  <si>
    <t>Other Accounts Recevable (143)</t>
  </si>
  <si>
    <t>9144000</t>
  </si>
  <si>
    <t>9144000 Accumulated Provision for Uncollectible Accounts</t>
  </si>
  <si>
    <t>Accum Prov - Uncollectible Accts (144)</t>
  </si>
  <si>
    <t>9146000</t>
  </si>
  <si>
    <t>9146000 Accounts Receivable from Associated Companies</t>
  </si>
  <si>
    <t>Accts Receivable from Assoc. Co.'s (146)</t>
  </si>
  <si>
    <t>9154000</t>
  </si>
  <si>
    <t>9154000 Plant Materials &amp; Operating Supplies</t>
  </si>
  <si>
    <t>Plant Materials &amp; Operating Supplies (154)</t>
  </si>
  <si>
    <t>9164100</t>
  </si>
  <si>
    <t>9164100 Gas Stored - Current</t>
  </si>
  <si>
    <t>Gas Stored Underground - Current (164.1)</t>
  </si>
  <si>
    <t>9165000</t>
  </si>
  <si>
    <t>9165000 Prepayments</t>
  </si>
  <si>
    <t>Prepayments (165)</t>
  </si>
  <si>
    <t>9173000</t>
  </si>
  <si>
    <t>9173000 Accrued Utility Revenues</t>
  </si>
  <si>
    <t>Accrued Utility Revenues (173)</t>
  </si>
  <si>
    <t>9174000</t>
  </si>
  <si>
    <t>9174000 Miscellaneous Current &amp; Accrued Assets</t>
  </si>
  <si>
    <t>Misc. Current &amp; Accrued Assets (174)</t>
  </si>
  <si>
    <t xml:space="preserve">  TOTAL CURRENT &amp; ACCRUED ASSETS</t>
  </si>
  <si>
    <t>DEFERRED DEBITS:</t>
  </si>
  <si>
    <t>9181000</t>
  </si>
  <si>
    <t>9181000 Unamortized Debt Expense</t>
  </si>
  <si>
    <t>Unamortized Debt Expenses (181)</t>
  </si>
  <si>
    <t>9182300</t>
  </si>
  <si>
    <t>9182300 Other Regulatory Assets</t>
  </si>
  <si>
    <t>Other Regulatory Assets (182.3)</t>
  </si>
  <si>
    <t>9186000</t>
  </si>
  <si>
    <t>9186000 Miscellaneous Deferred Debits</t>
  </si>
  <si>
    <t>Miscellaneous Deferred Debits (186)</t>
  </si>
  <si>
    <t>9190000</t>
  </si>
  <si>
    <t>9190000 Accumulated Deferred Income Taxes</t>
  </si>
  <si>
    <t>Accumulated Deferred Income Taxes (190)</t>
  </si>
  <si>
    <t>9191000</t>
  </si>
  <si>
    <t>9191000 Unrecovered Purchased Gas Costs</t>
  </si>
  <si>
    <t>Unrecoverd Purchased Gas Costs (191)</t>
  </si>
  <si>
    <t xml:space="preserve">  TOTAL DEFERRED DEBITS</t>
  </si>
  <si>
    <t xml:space="preserve">   TOTAL ASSETS &amp; OTHER DEBITS</t>
  </si>
  <si>
    <t>LIABILITIES &amp; OTHER CREDITS:</t>
  </si>
  <si>
    <t xml:space="preserve"> PROPRIETARY CAPITAL:</t>
  </si>
  <si>
    <t>9211000</t>
  </si>
  <si>
    <t>9211000 Miscellaneous Paid-In Capital</t>
  </si>
  <si>
    <t>Other Paid-In-Capital (208-211)</t>
  </si>
  <si>
    <t>9216000</t>
  </si>
  <si>
    <t>9216000 Unappropriated Retained Earnings</t>
  </si>
  <si>
    <t>Retained Earnings - Prior Year Balance</t>
  </si>
  <si>
    <t>Current Year Profit</t>
  </si>
  <si>
    <t>Retained Earnings (215, 215.1, 216)</t>
  </si>
  <si>
    <t xml:space="preserve">  TOTAL PROPRIETARY CAPITAL</t>
  </si>
  <si>
    <t>LONG TERM DEBT:</t>
  </si>
  <si>
    <t>9223000</t>
  </si>
  <si>
    <t>9223000 Advances from Associated Companies</t>
  </si>
  <si>
    <t>Advances From Associated Companies (223)</t>
  </si>
  <si>
    <t>9225000</t>
  </si>
  <si>
    <t>9225000 Unamortized premium on long-term debt.</t>
  </si>
  <si>
    <t>Unamort Premium on Long-Term Debt (225)</t>
  </si>
  <si>
    <t xml:space="preserve">  TOTAL LONG TERM DEBT</t>
  </si>
  <si>
    <t>OTHER NON-CURRENT LIABILITIES:</t>
  </si>
  <si>
    <t>9228300</t>
  </si>
  <si>
    <t>9228300 Accumulated Provision for Pensions &amp; Benefits</t>
  </si>
  <si>
    <t>Accum Prov for Pensions &amp; Benefits (228.3)</t>
  </si>
  <si>
    <t>9230000</t>
  </si>
  <si>
    <t>9230000 Asset Retirement Obligation</t>
  </si>
  <si>
    <t>Asset Retirement Obligation (230)</t>
  </si>
  <si>
    <t xml:space="preserve">  TOTAL OTHER NON-CURRENT LIABILITIES</t>
  </si>
  <si>
    <t>CURRENT &amp; ACCRUED LIABILITIES:</t>
  </si>
  <si>
    <t>9232000</t>
  </si>
  <si>
    <t>9232000 Accounts Payable</t>
  </si>
  <si>
    <t>Accounts Payable (232)</t>
  </si>
  <si>
    <t>9233000</t>
  </si>
  <si>
    <t>9233000 Notes Payable to Associated Companies</t>
  </si>
  <si>
    <t>Notes Payable to Assoc Companies (233)</t>
  </si>
  <si>
    <t>9234000</t>
  </si>
  <si>
    <t>9234000 Accounts Payable to Associated Companies</t>
  </si>
  <si>
    <t>Accounts Payable to Assoc Companies (234)</t>
  </si>
  <si>
    <t>9235000</t>
  </si>
  <si>
    <t>9235000 Customer Deposits</t>
  </si>
  <si>
    <t>Customer Deposits (235)</t>
  </si>
  <si>
    <t>9236000</t>
  </si>
  <si>
    <t>9236000 Taxes Accrued</t>
  </si>
  <si>
    <t>Taxes Accrued (236)</t>
  </si>
  <si>
    <t>9237000</t>
  </si>
  <si>
    <t>9237000 Interest Accrued</t>
  </si>
  <si>
    <t>Interest Accrued (237)</t>
  </si>
  <si>
    <t>9241000</t>
  </si>
  <si>
    <t>9241000 Tax Collections Payable</t>
  </si>
  <si>
    <t>Tax Collections payable (241)</t>
  </si>
  <si>
    <t>9242000</t>
  </si>
  <si>
    <t>9242000 Miscellaneous Current &amp; Accrued Liabilities</t>
  </si>
  <si>
    <t>Misc Current &amp; Accrued Liabilities (242)</t>
  </si>
  <si>
    <t xml:space="preserve">  TOTAL CURRENT &amp; ACCRUED LIABILITIES</t>
  </si>
  <si>
    <t>DEFERRED CREDITS:</t>
  </si>
  <si>
    <t>9252000</t>
  </si>
  <si>
    <t>9252000 Customer Advances for Construction</t>
  </si>
  <si>
    <t>Customer Advances for Construction (252)</t>
  </si>
  <si>
    <t>9253000</t>
  </si>
  <si>
    <t>9253000 Other Deferred Credits</t>
  </si>
  <si>
    <t>Other Deferred Credits (253)</t>
  </si>
  <si>
    <t>9254000</t>
  </si>
  <si>
    <t>9254000 Other Regulatory Liabilities</t>
  </si>
  <si>
    <t>Other Regulatory Liabilities (254)</t>
  </si>
  <si>
    <t>9282000</t>
  </si>
  <si>
    <t>9282000 Accumulated Deferred Income Taxes-Other Property</t>
  </si>
  <si>
    <t>9283000</t>
  </si>
  <si>
    <t>9283000 Accumulated Deferred Income Taxes-Other</t>
  </si>
  <si>
    <t>Accum Deferred Income Taxes (281-283)</t>
  </si>
  <si>
    <t xml:space="preserve">  TOTAL DEFERRED CREDITS</t>
  </si>
  <si>
    <t xml:space="preserve">   TOTAL LIABILITIES &amp; OTHER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</si>
</sst>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_(&quot;$&quot;* #,##0.000_);_(&quot;$&quot;* \(#,##0.000\);_(&quot;$&quot;* &quot;-&quot;??_);_(@_)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B050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  <font>
      <sz val="11"/>
      <color rgb="FF7030A0"/>
      <name val="Calibri"/>
      <family val="2"/>
      <scheme val="minor"/>
    </font>
    <font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37" fontId="0" fillId="0" borderId="0" xfId="0" applyNumberFormat="1"/>
    <xf numFmtId="8" fontId="0" fillId="0" borderId="0" xfId="0" applyNumberFormat="1"/>
    <xf numFmtId="42" fontId="0" fillId="0" borderId="0" xfId="0" applyNumberFormat="1" applyFill="1"/>
    <xf numFmtId="42" fontId="0" fillId="0" borderId="0" xfId="0" applyNumberFormat="1"/>
    <xf numFmtId="41" fontId="0" fillId="0" borderId="0" xfId="0" applyNumberFormat="1" applyFill="1"/>
    <xf numFmtId="41" fontId="0" fillId="0" borderId="0" xfId="0" applyNumberFormat="1"/>
    <xf numFmtId="41" fontId="0" fillId="0" borderId="0" xfId="0" applyNumberFormat="1" applyFill="1" applyProtection="1">
      <protection locked="0"/>
    </xf>
    <xf numFmtId="41" fontId="0" fillId="0" borderId="0" xfId="0" applyNumberFormat="1" applyProtection="1">
      <protection locked="0"/>
    </xf>
    <xf numFmtId="42" fontId="0" fillId="0" borderId="1" xfId="0" applyNumberFormat="1" applyBorder="1"/>
    <xf numFmtId="41" fontId="2" fillId="0" borderId="0" xfId="0" applyNumberFormat="1" applyFont="1"/>
    <xf numFmtId="41" fontId="0" fillId="0" borderId="0" xfId="1" applyNumberFormat="1" applyFont="1"/>
    <xf numFmtId="41" fontId="0" fillId="0" borderId="2" xfId="0" applyNumberFormat="1" applyBorder="1"/>
    <xf numFmtId="0" fontId="0" fillId="2" borderId="0" xfId="0" applyFill="1"/>
    <xf numFmtId="0" fontId="0" fillId="0" borderId="0" xfId="0" applyAlignment="1"/>
    <xf numFmtId="0" fontId="0" fillId="0" borderId="0" xfId="0" applyAlignment="1">
      <alignment horizontal="right"/>
    </xf>
    <xf numFmtId="41" fontId="0" fillId="0" borderId="2" xfId="0" applyNumberFormat="1" applyBorder="1" applyAlignment="1">
      <alignment horizontal="right" vertical="top"/>
    </xf>
    <xf numFmtId="41" fontId="0" fillId="0" borderId="0" xfId="0" applyNumberFormat="1" applyAlignment="1">
      <alignment horizontal="right" vertical="top"/>
    </xf>
    <xf numFmtId="42" fontId="0" fillId="0" borderId="1" xfId="0" applyNumberFormat="1" applyBorder="1" applyAlignment="1">
      <alignment horizontal="right" vertical="top"/>
    </xf>
    <xf numFmtId="42" fontId="0" fillId="0" borderId="0" xfId="0" applyNumberFormat="1" applyAlignment="1">
      <alignment horizontal="right" vertical="top"/>
    </xf>
    <xf numFmtId="41" fontId="0" fillId="0" borderId="2" xfId="0" applyNumberFormat="1" applyFill="1" applyBorder="1" applyProtection="1">
      <protection locked="0"/>
    </xf>
    <xf numFmtId="41" fontId="0" fillId="0" borderId="2" xfId="0" applyNumberFormat="1" applyBorder="1" applyProtection="1">
      <protection locked="0"/>
    </xf>
    <xf numFmtId="0" fontId="0" fillId="0" borderId="0" xfId="0" applyBorder="1"/>
    <xf numFmtId="0" fontId="0" fillId="0" borderId="0" xfId="0" applyFill="1"/>
    <xf numFmtId="0" fontId="3" fillId="0" borderId="0" xfId="0" applyFont="1" applyFill="1"/>
    <xf numFmtId="0" fontId="3" fillId="0" borderId="0" xfId="0" applyFont="1"/>
    <xf numFmtId="37" fontId="3" fillId="0" borderId="0" xfId="0" applyNumberFormat="1" applyFont="1"/>
    <xf numFmtId="10" fontId="0" fillId="0" borderId="0" xfId="1" applyNumberFormat="1" applyFont="1"/>
    <xf numFmtId="44" fontId="0" fillId="0" borderId="0" xfId="3" applyFont="1"/>
    <xf numFmtId="10" fontId="0" fillId="0" borderId="0" xfId="0" applyNumberFormat="1" applyAlignment="1">
      <alignment horizontal="center"/>
    </xf>
    <xf numFmtId="43" fontId="0" fillId="0" borderId="0" xfId="0" applyNumberFormat="1"/>
    <xf numFmtId="164" fontId="0" fillId="0" borderId="0" xfId="0" applyNumberFormat="1"/>
    <xf numFmtId="37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3" fontId="0" fillId="0" borderId="0" xfId="2" applyFont="1"/>
    <xf numFmtId="41" fontId="0" fillId="0" borderId="3" xfId="0" applyNumberFormat="1" applyFill="1" applyBorder="1"/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Border="1"/>
    <xf numFmtId="10" fontId="0" fillId="0" borderId="0" xfId="0" applyNumberFormat="1"/>
    <xf numFmtId="41" fontId="0" fillId="0" borderId="0" xfId="0" applyNumberFormat="1" applyFill="1" applyBorder="1"/>
    <xf numFmtId="2" fontId="0" fillId="0" borderId="0" xfId="0" applyNumberFormat="1"/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left"/>
    </xf>
    <xf numFmtId="41" fontId="4" fillId="0" borderId="3" xfId="0" applyNumberFormat="1" applyFont="1" applyFill="1" applyBorder="1"/>
    <xf numFmtId="0" fontId="0" fillId="0" borderId="1" xfId="0" applyBorder="1"/>
    <xf numFmtId="0" fontId="0" fillId="0" borderId="4" xfId="0" applyBorder="1"/>
    <xf numFmtId="1" fontId="0" fillId="0" borderId="0" xfId="0" applyNumberFormat="1"/>
    <xf numFmtId="165" fontId="0" fillId="0" borderId="0" xfId="3" applyNumberFormat="1" applyFont="1"/>
    <xf numFmtId="166" fontId="0" fillId="0" borderId="0" xfId="0" applyNumberFormat="1" applyAlignment="1">
      <alignment horizontal="center"/>
    </xf>
    <xf numFmtId="42" fontId="0" fillId="0" borderId="4" xfId="0" applyNumberFormat="1" applyBorder="1"/>
    <xf numFmtId="41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/>
    <xf numFmtId="41" fontId="7" fillId="0" borderId="0" xfId="0" applyNumberFormat="1" applyFont="1"/>
    <xf numFmtId="41" fontId="0" fillId="0" borderId="3" xfId="0" applyNumberFormat="1" applyBorder="1"/>
    <xf numFmtId="10" fontId="0" fillId="0" borderId="0" xfId="1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41" fontId="0" fillId="0" borderId="0" xfId="0" applyNumberFormat="1" applyAlignment="1">
      <alignment horizontal="right"/>
    </xf>
    <xf numFmtId="42" fontId="0" fillId="0" borderId="0" xfId="0" applyNumberFormat="1" applyAlignment="1">
      <alignment horizontal="right"/>
    </xf>
    <xf numFmtId="10" fontId="0" fillId="0" borderId="0" xfId="1" applyNumberFormat="1" applyFont="1" applyFill="1"/>
    <xf numFmtId="41" fontId="0" fillId="0" borderId="2" xfId="0" applyNumberFormat="1" applyFill="1" applyBorder="1"/>
    <xf numFmtId="42" fontId="0" fillId="0" borderId="1" xfId="0" applyNumberFormat="1" applyFill="1" applyBorder="1"/>
    <xf numFmtId="2" fontId="0" fillId="0" borderId="0" xfId="0" applyNumberFormat="1" applyFill="1" applyAlignment="1">
      <alignment horizontal="center"/>
    </xf>
    <xf numFmtId="14" fontId="0" fillId="0" borderId="3" xfId="0" applyNumberForma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" fontId="13" fillId="0" borderId="6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4" fillId="3" borderId="7" xfId="0" applyNumberFormat="1" applyFont="1" applyFill="1" applyBorder="1"/>
    <xf numFmtId="49" fontId="14" fillId="3" borderId="8" xfId="0" applyNumberFormat="1" applyFont="1" applyFill="1" applyBorder="1"/>
    <xf numFmtId="49" fontId="14" fillId="4" borderId="8" xfId="0" applyNumberFormat="1" applyFont="1" applyFill="1" applyBorder="1"/>
    <xf numFmtId="0" fontId="14" fillId="3" borderId="8" xfId="0" applyFont="1" applyFill="1" applyBorder="1"/>
    <xf numFmtId="4" fontId="14" fillId="3" borderId="8" xfId="0" applyNumberFormat="1" applyFont="1" applyFill="1" applyBorder="1"/>
    <xf numFmtId="49" fontId="14" fillId="5" borderId="7" xfId="0" applyNumberFormat="1" applyFont="1" applyFill="1" applyBorder="1"/>
    <xf numFmtId="49" fontId="14" fillId="5" borderId="8" xfId="0" applyNumberFormat="1" applyFont="1" applyFill="1" applyBorder="1"/>
    <xf numFmtId="4" fontId="14" fillId="5" borderId="8" xfId="0" applyNumberFormat="1" applyFont="1" applyFill="1" applyBorder="1"/>
    <xf numFmtId="0" fontId="14" fillId="5" borderId="8" xfId="0" applyFont="1" applyFill="1" applyBorder="1"/>
    <xf numFmtId="4" fontId="0" fillId="0" borderId="0" xfId="0" applyNumberFormat="1"/>
    <xf numFmtId="4" fontId="14" fillId="6" borderId="8" xfId="0" applyNumberFormat="1" applyFont="1" applyFill="1" applyBorder="1"/>
    <xf numFmtId="49" fontId="14" fillId="5" borderId="9" xfId="0" applyNumberFormat="1" applyFont="1" applyFill="1" applyBorder="1"/>
    <xf numFmtId="49" fontId="14" fillId="5" borderId="10" xfId="0" applyNumberFormat="1" applyFont="1" applyFill="1" applyBorder="1"/>
    <xf numFmtId="49" fontId="14" fillId="4" borderId="10" xfId="0" applyNumberFormat="1" applyFont="1" applyFill="1" applyBorder="1"/>
    <xf numFmtId="0" fontId="14" fillId="5" borderId="10" xfId="0" applyFont="1" applyFill="1" applyBorder="1"/>
    <xf numFmtId="49" fontId="12" fillId="7" borderId="11" xfId="0" applyNumberFormat="1" applyFont="1" applyFill="1" applyBorder="1"/>
    <xf numFmtId="49" fontId="12" fillId="7" borderId="12" xfId="0" applyNumberFormat="1" applyFont="1" applyFill="1" applyBorder="1"/>
    <xf numFmtId="4" fontId="12" fillId="7" borderId="12" xfId="0" applyNumberFormat="1" applyFont="1" applyFill="1" applyBorder="1"/>
    <xf numFmtId="43" fontId="0" fillId="0" borderId="0" xfId="2" applyFont="1" applyFill="1"/>
    <xf numFmtId="42" fontId="15" fillId="0" borderId="0" xfId="0" applyNumberFormat="1" applyFont="1" applyFill="1"/>
    <xf numFmtId="41" fontId="15" fillId="0" borderId="0" xfId="0" applyNumberFormat="1" applyFont="1" applyFill="1"/>
    <xf numFmtId="0" fontId="16" fillId="0" borderId="0" xfId="0" applyFont="1" applyFill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FF"/>
      <color rgb="FF0000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PUBLIC\2024%20Rate%20Case\KY%20Model%2011%2020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s5092\AppData\Local\Microsoft\Windows\INetCache\Content.Outlook\PA2BHMCM\DELTA_APP_TAB%2055%20-%20de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PUBLIC\2024%20Rate%20Case\CIMP%20Files\PSC-FR-TAB56\Tab%205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PUBLIC\2024%20Rate%20Case\CIMP%20Files\PSC-FR-TAB62\FERC%20IS%20for%20Base%20Period%20Actual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Base%20and%20FPFTP%20Income%20Statement%20Detail%20v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PUBLIC\2024%20Rate%20Case\CIMP%20Files\PSC-FR-TAB62\Base%20and%20FPFTP%20Income%20Statement%20Detail%20v0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s5092\AppData\Local\Microsoft\Windows\INetCache\Content.Outlook\PA2BHMCM\FERC%20BS%20Jan%202024%20-%20Feb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s5092\AppData\Local\Microsoft\Windows\INetCache\Content.Outlook\PA2BHMCM\DELTA_BPU_TAB%2063%20-%20UPDATED%20(2)%20-%20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hway to Filing"/>
      <sheetName val="PRP Impact"/>
      <sheetName val="Tab 54 - Sched A Overall "/>
      <sheetName val="Sch 2 - Op Revenue &amp; Gas Cost"/>
      <sheetName val="Sch 2 back up"/>
      <sheetName val="Sch 3 O&amp;M Adj."/>
      <sheetName val="Sch 3.1 - Rate Case Exp"/>
      <sheetName val="Sch 3.1 back up"/>
      <sheetName val="Sch 4 - Dep Exp"/>
      <sheetName val="Sch 5 - Taxes Other"/>
      <sheetName val="Sch 5.1 - Property Taxes"/>
      <sheetName val="Sch 6 Op Inc Adj"/>
      <sheetName val="Sch 7 - Inc Tax Adj"/>
      <sheetName val="Sch 7.1 - Fed &amp; St tax rate"/>
      <sheetName val="Sch 7.2 - Fed &amp; St Income Tax"/>
      <sheetName val="Sch 8 - Interest"/>
      <sheetName val="Sch 9 - Int. Cov"/>
      <sheetName val="Base Year FERC 3 24 - 2 25"/>
      <sheetName val="JB Base Year Nat 3 24 - 2 25"/>
      <sheetName val="Base Year Nat 3 24 - 2 25"/>
      <sheetName val="Return"/>
      <sheetName val="Capital Structure"/>
      <sheetName val="Cap Structure Proj"/>
      <sheetName val="Tab 13"/>
      <sheetName val="Tab 22"/>
      <sheetName val="Tab 23"/>
      <sheetName val="Tab 24"/>
      <sheetName val="Tab 32"/>
      <sheetName val="Tab 33"/>
      <sheetName val="Tab 55 p1"/>
      <sheetName val="Tab 55 p2"/>
      <sheetName val="Tab 55 p3"/>
      <sheetName val="Tab 55 p4"/>
      <sheetName val="Tab 55 p5"/>
      <sheetName val="Tab 55 p6"/>
      <sheetName val="Tab 55 p7"/>
      <sheetName val="Tab 55 p8"/>
      <sheetName val="Tab 55 p9"/>
      <sheetName val="Tab 55 p10"/>
      <sheetName val="Tab 55 p11"/>
      <sheetName val="Tab 55 p12"/>
      <sheetName val="Tab 55 p13"/>
      <sheetName val="Tab 55 p14"/>
      <sheetName val="Tab 58 p1"/>
      <sheetName val="Tab 58 p2"/>
      <sheetName val="Tab 63"/>
      <sheetName val="Rate Base"/>
      <sheetName val="7 24 - 6 25 capex &amp; dep"/>
      <sheetName val="7 25 - 6 26 capex &amp; dep"/>
      <sheetName val="Depreciation"/>
      <sheetName val="2024 capex by month"/>
      <sheetName val="2025 capex by month"/>
      <sheetName val="2026 capex by month"/>
      <sheetName val="Aug - Aug Bal Sheet"/>
      <sheetName val="8 31 24 Bal Sheet"/>
      <sheetName val="ADIT 8 31 24"/>
      <sheetName val="ADIT 2 28 25"/>
      <sheetName val="6 30 26 ADIT"/>
      <sheetName val="13 mo Avg A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AH12">
            <v>98714181.104614437</v>
          </cell>
        </row>
        <row r="15">
          <cell r="AH15">
            <v>84499999.949999988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3">
          <cell r="J13">
            <v>9408153.1766666677</v>
          </cell>
        </row>
      </sheetData>
      <sheetData sheetId="36"/>
      <sheetData sheetId="37"/>
      <sheetData sheetId="38">
        <row r="13">
          <cell r="Q13">
            <v>10735779.76</v>
          </cell>
        </row>
        <row r="23">
          <cell r="Q23">
            <v>4404096.38</v>
          </cell>
        </row>
        <row r="39">
          <cell r="Q39">
            <v>35952849.289999999</v>
          </cell>
        </row>
        <row r="50">
          <cell r="Q50">
            <v>87002688.849999994</v>
          </cell>
        </row>
        <row r="66">
          <cell r="Q66">
            <v>204718666.51199999</v>
          </cell>
        </row>
        <row r="84">
          <cell r="Q84">
            <v>38065121.166999996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55">
          <cell r="AA55">
            <v>-151930402.84883332</v>
          </cell>
        </row>
      </sheetData>
      <sheetData sheetId="48">
        <row r="57">
          <cell r="Y57">
            <v>-166125607.31900004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55 p1"/>
      <sheetName val="Tab 55 p2"/>
      <sheetName val="Tab 55 p3"/>
      <sheetName val="Tab 55 p4"/>
      <sheetName val="Tab 55 p5"/>
      <sheetName val="Tab 55 p6"/>
      <sheetName val="Tab 55 p7"/>
      <sheetName val="Tab 55 p8"/>
      <sheetName val="Tab 55 p9"/>
      <sheetName val="Tab 55 p10"/>
      <sheetName val="Tab 55 p11"/>
      <sheetName val="Tab 55 p12"/>
      <sheetName val="Tab 55 p13"/>
      <sheetName val="Tab 55 p14"/>
      <sheetName val="Jan 24 - Feb 25"/>
      <sheetName val="2 28 25 BS"/>
    </sheetNames>
    <sheetDataSet>
      <sheetData sheetId="0" refreshError="1"/>
      <sheetData sheetId="1" refreshError="1">
        <row r="55">
          <cell r="AA55">
            <v>-152067408.43000001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3">
          <cell r="J13">
            <v>9547940.8899999987</v>
          </cell>
        </row>
        <row r="23">
          <cell r="J23">
            <v>4752010.79</v>
          </cell>
        </row>
        <row r="39">
          <cell r="J39">
            <v>35675553.629999995</v>
          </cell>
        </row>
        <row r="50">
          <cell r="J50">
            <v>71357354.770000011</v>
          </cell>
        </row>
        <row r="66">
          <cell r="J66">
            <v>194545638.35000002</v>
          </cell>
        </row>
        <row r="84">
          <cell r="J84">
            <v>35068678.07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56 C-1"/>
      <sheetName val="Tab 56 C-2"/>
    </sheetNames>
    <sheetDataSet>
      <sheetData sheetId="0">
        <row r="6">
          <cell r="G6">
            <v>-68269891.329999998</v>
          </cell>
        </row>
        <row r="8">
          <cell r="G8">
            <v>16227683.02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3">
          <cell r="D23">
            <v>-59068086.780000001</v>
          </cell>
        </row>
        <row r="76">
          <cell r="D76">
            <v>34132422.280000001</v>
          </cell>
        </row>
        <row r="108">
          <cell r="D108">
            <v>2693620.28</v>
          </cell>
        </row>
        <row r="110">
          <cell r="D110">
            <v>2942650.53</v>
          </cell>
        </row>
        <row r="136">
          <cell r="D136">
            <v>-82472.34</v>
          </cell>
        </row>
        <row r="144">
          <cell r="D144">
            <v>2308638.27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"/>
      <sheetName val="Natural"/>
    </sheetNames>
    <sheetDataSet>
      <sheetData sheetId="0">
        <row r="6">
          <cell r="D6">
            <v>-25242051.77</v>
          </cell>
        </row>
        <row r="145">
          <cell r="E145">
            <v>20136327.040349983</v>
          </cell>
        </row>
        <row r="146">
          <cell r="E146">
            <v>13171784.59</v>
          </cell>
        </row>
        <row r="147">
          <cell r="E147">
            <v>3344779.9139999999</v>
          </cell>
        </row>
        <row r="148">
          <cell r="E148">
            <v>2481059.35</v>
          </cell>
        </row>
        <row r="149">
          <cell r="E149">
            <v>0</v>
          </cell>
        </row>
        <row r="150">
          <cell r="E150">
            <v>3845087.4699999997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"/>
      <sheetName val="Natural"/>
    </sheetNames>
    <sheetDataSet>
      <sheetData sheetId="0">
        <row r="146">
          <cell r="D146">
            <v>10788805.59</v>
          </cell>
          <cell r="E146">
            <v>13171784.59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4-Feb 2025 BS"/>
      <sheetName val="01-02.2024"/>
      <sheetName val="03-04.2024"/>
      <sheetName val="05-06.2024"/>
      <sheetName val="07-08.2024"/>
      <sheetName val="09-10.2024"/>
      <sheetName val="11-12.2024"/>
      <sheetName val="01-02.2025"/>
    </sheetNames>
    <sheetDataSet>
      <sheetData sheetId="0"/>
      <sheetData sheetId="1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01.2024</v>
          </cell>
          <cell r="E9" t="str">
            <v>02.2024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308530249.56999999</v>
          </cell>
          <cell r="E12">
            <v>308576540.76999998</v>
          </cell>
        </row>
        <row r="13">
          <cell r="C13" t="str">
            <v>9106000 Completed Construction not Classified-Gas</v>
          </cell>
          <cell r="D13">
            <v>6613263.5700000003</v>
          </cell>
          <cell r="E13">
            <v>6778655.3600000003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314562754.06</v>
          </cell>
          <cell r="E15">
            <v>314774437.05000001</v>
          </cell>
        </row>
        <row r="16">
          <cell r="C16" t="str">
            <v>9107000 Construction Work in Progress</v>
          </cell>
          <cell r="D16">
            <v>10270467.84</v>
          </cell>
          <cell r="E16">
            <v>11245085.310000001</v>
          </cell>
        </row>
        <row r="17">
          <cell r="C17" t="str">
            <v xml:space="preserve"> Construction Work in Progress (107)</v>
          </cell>
          <cell r="D17">
            <v>10270467.84</v>
          </cell>
          <cell r="E17">
            <v>11245085.310000001</v>
          </cell>
        </row>
        <row r="18">
          <cell r="C18" t="str">
            <v xml:space="preserve">  Total Utility Plant (Gross)</v>
          </cell>
          <cell r="D18">
            <v>324833221.89999998</v>
          </cell>
          <cell r="E18">
            <v>326019522.36000001</v>
          </cell>
        </row>
        <row r="19">
          <cell r="C19" t="str">
            <v>9108000 Accumulated Depreciation-Utility Plant</v>
          </cell>
          <cell r="D19">
            <v>-141882344.41</v>
          </cell>
          <cell r="E19">
            <v>-142766660.63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-141301585.33000001</v>
          </cell>
          <cell r="E21">
            <v>-142185901.55000001</v>
          </cell>
        </row>
        <row r="22">
          <cell r="C22" t="str">
            <v xml:space="preserve">  Net Utility Plant</v>
          </cell>
          <cell r="D22">
            <v>183531636.56999999</v>
          </cell>
          <cell r="E22">
            <v>183833620.81</v>
          </cell>
        </row>
        <row r="23">
          <cell r="C23" t="str">
            <v xml:space="preserve">   Total Net Utility Plant</v>
          </cell>
          <cell r="D23">
            <v>183531636.56999999</v>
          </cell>
          <cell r="E23">
            <v>183833620.81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187739706.06</v>
          </cell>
          <cell r="E26">
            <v>188041690.30000001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1882353.54</v>
          </cell>
          <cell r="E28">
            <v>1882353.54</v>
          </cell>
        </row>
        <row r="29">
          <cell r="C29" t="str">
            <v>Other Special Funds (128)</v>
          </cell>
          <cell r="D29">
            <v>1882353.54</v>
          </cell>
          <cell r="E29">
            <v>1882353.54</v>
          </cell>
        </row>
        <row r="30">
          <cell r="C30" t="str">
            <v xml:space="preserve">  TOTAL OTHER PROPERTY &amp; INVESTMENTS</v>
          </cell>
          <cell r="D30">
            <v>1882353.54</v>
          </cell>
          <cell r="E30">
            <v>1882353.54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247543.63</v>
          </cell>
          <cell r="E32">
            <v>540697.32999999996</v>
          </cell>
        </row>
        <row r="33">
          <cell r="C33" t="str">
            <v>Cash (131)</v>
          </cell>
          <cell r="D33">
            <v>247543.63</v>
          </cell>
          <cell r="E33">
            <v>540697.32999999996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3297497.2</v>
          </cell>
          <cell r="E36">
            <v>4287929.53</v>
          </cell>
        </row>
        <row r="37">
          <cell r="C37" t="str">
            <v>Customer Accounts Receivable (142)</v>
          </cell>
          <cell r="D37">
            <v>3297497.2</v>
          </cell>
          <cell r="E37">
            <v>4287929.53</v>
          </cell>
        </row>
        <row r="38">
          <cell r="C38" t="str">
            <v>9143000 Other Accounts Receivable</v>
          </cell>
          <cell r="D38">
            <v>159951.49</v>
          </cell>
          <cell r="E38">
            <v>161589.72</v>
          </cell>
        </row>
        <row r="39">
          <cell r="C39" t="str">
            <v>Other Accounts Recevable (143)</v>
          </cell>
          <cell r="D39">
            <v>159951.49</v>
          </cell>
          <cell r="E39">
            <v>161589.72</v>
          </cell>
        </row>
        <row r="40">
          <cell r="C40" t="str">
            <v>9144000 Accumulated Provision for Uncollectible Accounts</v>
          </cell>
          <cell r="D40">
            <v>-800170.95</v>
          </cell>
          <cell r="E40">
            <v>-833787.46</v>
          </cell>
        </row>
        <row r="41">
          <cell r="C41" t="str">
            <v>Accum Prov - Uncollectible Accts (144)</v>
          </cell>
          <cell r="D41">
            <v>-800170.95</v>
          </cell>
          <cell r="E41">
            <v>-833787.46</v>
          </cell>
        </row>
        <row r="42">
          <cell r="C42" t="str">
            <v>9146000 Accounts Receivable from Associated Companies</v>
          </cell>
          <cell r="D42">
            <v>676685.67</v>
          </cell>
          <cell r="E42">
            <v>478292.28</v>
          </cell>
        </row>
        <row r="43">
          <cell r="C43" t="str">
            <v>Accts Receivable from Assoc. Co.'s (146)</v>
          </cell>
          <cell r="D43">
            <v>676685.67</v>
          </cell>
          <cell r="E43">
            <v>478292.28</v>
          </cell>
        </row>
        <row r="44">
          <cell r="C44" t="str">
            <v>9154000 Plant Materials &amp; Operating Supplies</v>
          </cell>
          <cell r="D44">
            <v>1169108.9099999999</v>
          </cell>
          <cell r="E44">
            <v>1176917.3799999999</v>
          </cell>
        </row>
        <row r="45">
          <cell r="C45" t="str">
            <v>Plant Materials &amp; Operating Supplies (154)</v>
          </cell>
          <cell r="D45">
            <v>1169108.9099999999</v>
          </cell>
          <cell r="E45">
            <v>1176917.3799999999</v>
          </cell>
        </row>
        <row r="46">
          <cell r="C46" t="str">
            <v>9164100 Gas Stored - Current</v>
          </cell>
          <cell r="D46">
            <v>1532134.21</v>
          </cell>
          <cell r="E46">
            <v>1241623.6100000001</v>
          </cell>
        </row>
        <row r="47">
          <cell r="C47" t="str">
            <v>Gas Stored Underground - Current (164.1)</v>
          </cell>
          <cell r="D47">
            <v>1532134.21</v>
          </cell>
          <cell r="E47">
            <v>1241623.6100000001</v>
          </cell>
        </row>
        <row r="48">
          <cell r="C48" t="str">
            <v>9165000 Prepayments</v>
          </cell>
          <cell r="D48">
            <v>94143.42</v>
          </cell>
          <cell r="E48">
            <v>83658.12</v>
          </cell>
        </row>
        <row r="49">
          <cell r="C49" t="str">
            <v>Prepayments (165)</v>
          </cell>
          <cell r="D49">
            <v>94143.42</v>
          </cell>
          <cell r="E49">
            <v>83658.12</v>
          </cell>
        </row>
        <row r="50">
          <cell r="C50" t="str">
            <v>9173000 Accrued Utility Revenues</v>
          </cell>
          <cell r="D50">
            <v>8372646.6399999997</v>
          </cell>
          <cell r="E50">
            <v>5504130.7199999997</v>
          </cell>
        </row>
        <row r="51">
          <cell r="C51" t="str">
            <v>Accrued Utility Revenues (173)</v>
          </cell>
          <cell r="D51">
            <v>8372646.6399999997</v>
          </cell>
          <cell r="E51">
            <v>5504130.7199999997</v>
          </cell>
        </row>
        <row r="52">
          <cell r="C52" t="str">
            <v>9174000 Miscellaneous Current &amp; Accrued Assets</v>
          </cell>
          <cell r="D52">
            <v>306117.18</v>
          </cell>
          <cell r="E52">
            <v>141327.57999999999</v>
          </cell>
        </row>
        <row r="53">
          <cell r="C53" t="str">
            <v>Misc. Current &amp; Accrued Assets (174)</v>
          </cell>
          <cell r="D53">
            <v>306117.18</v>
          </cell>
          <cell r="E53">
            <v>141327.57999999999</v>
          </cell>
        </row>
        <row r="54">
          <cell r="C54" t="str">
            <v xml:space="preserve">  TOTAL CURRENT &amp; ACCRUED ASSETS</v>
          </cell>
          <cell r="D54">
            <v>15055957.4</v>
          </cell>
          <cell r="E54">
            <v>12782678.810000001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115444</v>
          </cell>
          <cell r="E56">
            <v>115444</v>
          </cell>
        </row>
        <row r="57">
          <cell r="C57" t="str">
            <v>Unamortized Debt Expenses (181)</v>
          </cell>
          <cell r="D57">
            <v>115444</v>
          </cell>
          <cell r="E57">
            <v>115444</v>
          </cell>
        </row>
        <row r="58">
          <cell r="C58" t="str">
            <v>9182300 Other Regulatory Assets</v>
          </cell>
          <cell r="D58">
            <v>2150189</v>
          </cell>
          <cell r="E58">
            <v>2114820.4</v>
          </cell>
        </row>
        <row r="59">
          <cell r="C59" t="str">
            <v>Other Regulatory Assets (182.3)</v>
          </cell>
          <cell r="D59">
            <v>2150189</v>
          </cell>
          <cell r="E59">
            <v>2114820.4</v>
          </cell>
        </row>
        <row r="60">
          <cell r="C60" t="str">
            <v>9186000 Miscellaneous Deferred Debits</v>
          </cell>
          <cell r="D60">
            <v>1023081.97</v>
          </cell>
          <cell r="E60">
            <v>1030659.64</v>
          </cell>
        </row>
        <row r="61">
          <cell r="C61" t="str">
            <v>Miscellaneous Deferred Debits (186)</v>
          </cell>
          <cell r="D61">
            <v>1023081.97</v>
          </cell>
          <cell r="E61">
            <v>1030659.64</v>
          </cell>
        </row>
        <row r="62">
          <cell r="C62" t="str">
            <v>9190000 Accumulated Deferred Income Taxes</v>
          </cell>
          <cell r="D62">
            <v>5030443.4400000004</v>
          </cell>
          <cell r="E62">
            <v>5030443.4400000004</v>
          </cell>
        </row>
        <row r="63">
          <cell r="C63" t="str">
            <v>Accumulated Deferred Income Taxes (190)</v>
          </cell>
          <cell r="D63">
            <v>5030443.4400000004</v>
          </cell>
          <cell r="E63">
            <v>5030443.4400000004</v>
          </cell>
        </row>
        <row r="64">
          <cell r="C64" t="str">
            <v>9191000 Unrecovered Purchased Gas Costs</v>
          </cell>
          <cell r="D64">
            <v>5624845.2699999996</v>
          </cell>
          <cell r="E64">
            <v>6233721.5199999996</v>
          </cell>
        </row>
        <row r="65">
          <cell r="C65" t="str">
            <v>Unrecoverd Purchased Gas Costs (191)</v>
          </cell>
          <cell r="D65">
            <v>5624845.2699999996</v>
          </cell>
          <cell r="E65">
            <v>6233721.5199999996</v>
          </cell>
        </row>
        <row r="66">
          <cell r="C66" t="str">
            <v xml:space="preserve">  TOTAL DEFERRED DEBITS</v>
          </cell>
          <cell r="D66">
            <v>13944003.68</v>
          </cell>
          <cell r="E66">
            <v>14525089</v>
          </cell>
        </row>
        <row r="67">
          <cell r="C67" t="str">
            <v xml:space="preserve">   TOTAL ASSETS &amp; OTHER DEBITS</v>
          </cell>
          <cell r="D67">
            <v>218622020.68000001</v>
          </cell>
          <cell r="E67">
            <v>217231811.65000001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-2671422.36</v>
          </cell>
          <cell r="E74">
            <v>-5496261.96</v>
          </cell>
        </row>
        <row r="75">
          <cell r="C75" t="str">
            <v>Retained Earnings (215, 215.1, 216)</v>
          </cell>
          <cell r="D75">
            <v>-12161334.949999999</v>
          </cell>
          <cell r="E75">
            <v>-14986174.550000001</v>
          </cell>
        </row>
        <row r="76">
          <cell r="C76" t="str">
            <v xml:space="preserve">  TOTAL PROPRIETARY CAPITAL</v>
          </cell>
          <cell r="D76">
            <v>-86889354.230000004</v>
          </cell>
          <cell r="E76">
            <v>-89714193.829999998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-737</v>
          </cell>
          <cell r="E80">
            <v>-1474</v>
          </cell>
        </row>
        <row r="81">
          <cell r="C81" t="str">
            <v>Unamort Premium on Long-Term Debt (225)</v>
          </cell>
          <cell r="D81">
            <v>-737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-53638336.950000003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-1973848.14</v>
          </cell>
          <cell r="E84">
            <v>-1950183.01</v>
          </cell>
        </row>
        <row r="85">
          <cell r="C85" t="str">
            <v>Accum Prov for Pensions &amp; Benefits (228.3)</v>
          </cell>
          <cell r="D85">
            <v>-1973848.14</v>
          </cell>
          <cell r="E85">
            <v>-1950183.01</v>
          </cell>
        </row>
        <row r="86">
          <cell r="C86" t="str">
            <v>9230000 Asset Retirement Obligation</v>
          </cell>
          <cell r="D86">
            <v>-163969.25</v>
          </cell>
          <cell r="E86">
            <v>-164918.49</v>
          </cell>
        </row>
        <row r="87">
          <cell r="C87" t="str">
            <v>Asset Retirement Obligation (230)</v>
          </cell>
          <cell r="D87">
            <v>-163969.25</v>
          </cell>
          <cell r="E87">
            <v>-164918.49</v>
          </cell>
        </row>
        <row r="88">
          <cell r="C88" t="str">
            <v xml:space="preserve">  TOTAL OTHER NON-CURRENT LIABILITIES</v>
          </cell>
          <cell r="D88">
            <v>-2137817.39</v>
          </cell>
          <cell r="E88">
            <v>-2115101.5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-5612962.9100000001</v>
          </cell>
          <cell r="E90">
            <v>-3851002.05</v>
          </cell>
        </row>
        <row r="91">
          <cell r="C91" t="str">
            <v>Accounts Payable (232)</v>
          </cell>
          <cell r="D91">
            <v>-5612962.9100000001</v>
          </cell>
          <cell r="E91">
            <v>-3851002.05</v>
          </cell>
        </row>
        <row r="92">
          <cell r="C92" t="str">
            <v>9233000 Notes Payable to Associated Companies</v>
          </cell>
          <cell r="D92">
            <v>-2451561.2200000002</v>
          </cell>
          <cell r="E92">
            <v>2167638.42</v>
          </cell>
        </row>
        <row r="93">
          <cell r="C93" t="str">
            <v>Notes Payable to Assoc Companies (233)</v>
          </cell>
          <cell r="D93">
            <v>-2451561.2200000002</v>
          </cell>
          <cell r="E93">
            <v>2167638.42</v>
          </cell>
        </row>
        <row r="94">
          <cell r="C94" t="str">
            <v>9234000 Accounts Payable to Associated Companies</v>
          </cell>
          <cell r="D94">
            <v>-9496531.1099999994</v>
          </cell>
          <cell r="E94">
            <v>-10928757.75</v>
          </cell>
        </row>
        <row r="95">
          <cell r="C95" t="str">
            <v>Accounts Payable to Assoc Companies (234)</v>
          </cell>
          <cell r="D95">
            <v>-9496531.1099999994</v>
          </cell>
          <cell r="E95">
            <v>-10928757.75</v>
          </cell>
        </row>
        <row r="96">
          <cell r="C96" t="str">
            <v>9235000 Customer Deposits</v>
          </cell>
          <cell r="D96">
            <v>-965475.83999999997</v>
          </cell>
          <cell r="E96">
            <v>-985559.99</v>
          </cell>
        </row>
        <row r="97">
          <cell r="C97" t="str">
            <v>Customer Deposits (235)</v>
          </cell>
          <cell r="D97">
            <v>-965475.83999999997</v>
          </cell>
          <cell r="E97">
            <v>-985559.99</v>
          </cell>
        </row>
        <row r="98">
          <cell r="C98" t="str">
            <v>9236000 Taxes Accrued</v>
          </cell>
          <cell r="D98">
            <v>-6428557.54</v>
          </cell>
          <cell r="E98">
            <v>-6963791.6600000001</v>
          </cell>
        </row>
        <row r="99">
          <cell r="C99" t="str">
            <v>Taxes Accrued (236)</v>
          </cell>
          <cell r="D99">
            <v>-6428557.54</v>
          </cell>
          <cell r="E99">
            <v>-6963791.6600000001</v>
          </cell>
        </row>
        <row r="100">
          <cell r="C100" t="str">
            <v>9237000 Interest Accrued</v>
          </cell>
          <cell r="D100">
            <v>-4447.18</v>
          </cell>
          <cell r="E100">
            <v>-4333.71</v>
          </cell>
        </row>
        <row r="101">
          <cell r="C101" t="str">
            <v>Interest Accrued (237)</v>
          </cell>
          <cell r="D101">
            <v>-4447.18</v>
          </cell>
          <cell r="E101">
            <v>-4333.71</v>
          </cell>
        </row>
        <row r="102">
          <cell r="C102" t="str">
            <v>9241000 Tax Collections Payable</v>
          </cell>
          <cell r="D102">
            <v>-220396.39</v>
          </cell>
          <cell r="E102">
            <v>-401475.23</v>
          </cell>
        </row>
        <row r="103">
          <cell r="C103" t="str">
            <v>Tax Collections payable (241)</v>
          </cell>
          <cell r="D103">
            <v>-220396.39</v>
          </cell>
          <cell r="E103">
            <v>-401475.23</v>
          </cell>
        </row>
        <row r="104">
          <cell r="C104" t="str">
            <v>9242000 Miscellaneous Current &amp; Accrued Liabilities</v>
          </cell>
          <cell r="D104">
            <v>-2268409.37</v>
          </cell>
          <cell r="E104">
            <v>-2289789.9</v>
          </cell>
        </row>
        <row r="105">
          <cell r="C105" t="str">
            <v>Misc Current &amp; Accrued Liabilities (242)</v>
          </cell>
          <cell r="D105">
            <v>-2268409.37</v>
          </cell>
          <cell r="E105">
            <v>-2289789.9</v>
          </cell>
        </row>
        <row r="106">
          <cell r="C106" t="str">
            <v xml:space="preserve">  TOTAL CURRENT &amp; ACCRUED LIABILITIES</v>
          </cell>
          <cell r="D106">
            <v>-27448341.559999999</v>
          </cell>
          <cell r="E106">
            <v>-23257071.870000001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-2649934.9300000002</v>
          </cell>
          <cell r="E108">
            <v>-2649757.4</v>
          </cell>
        </row>
        <row r="109">
          <cell r="C109" t="str">
            <v>Customer Advances for Construction (252)</v>
          </cell>
          <cell r="D109">
            <v>-2649934.9300000002</v>
          </cell>
          <cell r="E109">
            <v>-2649757.4</v>
          </cell>
        </row>
        <row r="110">
          <cell r="C110" t="str">
            <v>9253000 Other Deferred Credits</v>
          </cell>
          <cell r="D110">
            <v>-255796.82</v>
          </cell>
          <cell r="E110">
            <v>-256949.73</v>
          </cell>
        </row>
        <row r="111">
          <cell r="C111" t="str">
            <v>Other Deferred Credits (253)</v>
          </cell>
          <cell r="D111">
            <v>-255796.82</v>
          </cell>
          <cell r="E111">
            <v>-256949.73</v>
          </cell>
        </row>
        <row r="112">
          <cell r="C112" t="str">
            <v>9254000 Other Regulatory Liabilities</v>
          </cell>
          <cell r="D112">
            <v>-15224699.630000001</v>
          </cell>
          <cell r="E112">
            <v>-15221924.199999999</v>
          </cell>
        </row>
        <row r="113">
          <cell r="C113" t="str">
            <v>Other Regulatory Liabilities (254)</v>
          </cell>
          <cell r="D113">
            <v>-15224699.630000001</v>
          </cell>
          <cell r="E113">
            <v>-15221924.199999999</v>
          </cell>
        </row>
        <row r="114">
          <cell r="C114" t="str">
            <v>9282000 Accumulated Deferred Income Taxes-Other Property</v>
          </cell>
          <cell r="D114">
            <v>-28640588.07</v>
          </cell>
          <cell r="E114">
            <v>-28640588.07</v>
          </cell>
        </row>
        <row r="115">
          <cell r="C115" t="str">
            <v>9283000 Accumulated Deferred Income Taxes-Other</v>
          </cell>
          <cell r="D115">
            <v>-1737151.1</v>
          </cell>
          <cell r="E115">
            <v>-1737151.1</v>
          </cell>
        </row>
        <row r="116">
          <cell r="C116" t="str">
            <v>Accum Deferred Income Taxes (281-283)</v>
          </cell>
          <cell r="D116">
            <v>-30377739.170000002</v>
          </cell>
          <cell r="E116">
            <v>-30377739.170000002</v>
          </cell>
        </row>
        <row r="117">
          <cell r="C117" t="str">
            <v xml:space="preserve">  TOTAL DEFERRED CREDITS</v>
          </cell>
          <cell r="D117">
            <v>-48508170.549999997</v>
          </cell>
          <cell r="E117">
            <v>-48506370.5</v>
          </cell>
        </row>
        <row r="118">
          <cell r="C118" t="str">
            <v xml:space="preserve">   TOTAL LIABILITIES &amp; OTHER CREDITS</v>
          </cell>
          <cell r="D118">
            <v>-218622020.68000001</v>
          </cell>
          <cell r="E118">
            <v>-217231811.65000001</v>
          </cell>
        </row>
        <row r="119">
          <cell r="D119">
            <v>0</v>
          </cell>
          <cell r="E119">
            <v>0</v>
          </cell>
        </row>
        <row r="120">
          <cell r="D120">
            <v>682406582.45000005</v>
          </cell>
          <cell r="E120">
            <v>684196851.38999999</v>
          </cell>
        </row>
      </sheetData>
      <sheetData sheetId="2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03.2024</v>
          </cell>
          <cell r="E9" t="str">
            <v>04.2024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310189905.23000002</v>
          </cell>
          <cell r="E12">
            <v>310383085.22000003</v>
          </cell>
        </row>
        <row r="13">
          <cell r="C13" t="str">
            <v>9106000 Completed Construction not Classified-Gas</v>
          </cell>
          <cell r="D13">
            <v>5779408.1399999997</v>
          </cell>
          <cell r="E13">
            <v>7745546.3399999999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315388554.29000002</v>
          </cell>
          <cell r="E15">
            <v>317547872.48000002</v>
          </cell>
        </row>
        <row r="16">
          <cell r="C16" t="str">
            <v>9107000 Construction Work in Progress</v>
          </cell>
          <cell r="D16">
            <v>11092641.77</v>
          </cell>
          <cell r="E16">
            <v>8528599.1199999992</v>
          </cell>
        </row>
        <row r="17">
          <cell r="C17" t="str">
            <v xml:space="preserve"> Construction Work in Progress (107)</v>
          </cell>
          <cell r="D17">
            <v>11092641.77</v>
          </cell>
          <cell r="E17">
            <v>8528599.1199999992</v>
          </cell>
        </row>
        <row r="18">
          <cell r="C18" t="str">
            <v xml:space="preserve">  Total Utility Plant (Gross)</v>
          </cell>
          <cell r="D18">
            <v>326481196.06</v>
          </cell>
          <cell r="E18">
            <v>326076471.60000002</v>
          </cell>
        </row>
        <row r="19">
          <cell r="C19" t="str">
            <v>9108000 Accumulated Depreciation-Utility Plant</v>
          </cell>
          <cell r="D19">
            <v>-143598533.97999999</v>
          </cell>
          <cell r="E19">
            <v>-144487379.93000001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-143017774.90000001</v>
          </cell>
          <cell r="E21">
            <v>-143906620.84999999</v>
          </cell>
        </row>
        <row r="22">
          <cell r="C22" t="str">
            <v xml:space="preserve">  Net Utility Plant</v>
          </cell>
          <cell r="D22">
            <v>183463421.16</v>
          </cell>
          <cell r="E22">
            <v>182169850.75</v>
          </cell>
        </row>
        <row r="23">
          <cell r="C23" t="str">
            <v xml:space="preserve">   Total Net Utility Plant</v>
          </cell>
          <cell r="D23">
            <v>183463421.16</v>
          </cell>
          <cell r="E23">
            <v>182169850.75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187671490.65000001</v>
          </cell>
          <cell r="E26">
            <v>186377920.24000001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2003574.9</v>
          </cell>
          <cell r="E28">
            <v>1902534.91</v>
          </cell>
        </row>
        <row r="29">
          <cell r="C29" t="str">
            <v>Other Special Funds (128)</v>
          </cell>
          <cell r="D29">
            <v>2003574.9</v>
          </cell>
          <cell r="E29">
            <v>1902534.91</v>
          </cell>
        </row>
        <row r="30">
          <cell r="C30" t="str">
            <v xml:space="preserve">  TOTAL OTHER PROPERTY &amp; INVESTMENTS</v>
          </cell>
          <cell r="D30">
            <v>2003574.9</v>
          </cell>
          <cell r="E30">
            <v>1902534.91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270891.11</v>
          </cell>
          <cell r="E32">
            <v>125967.89</v>
          </cell>
        </row>
        <row r="33">
          <cell r="C33" t="str">
            <v>Cash (131)</v>
          </cell>
          <cell r="D33">
            <v>270891.11</v>
          </cell>
          <cell r="E33">
            <v>125967.89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3687731.42</v>
          </cell>
          <cell r="E36">
            <v>3126013.01</v>
          </cell>
        </row>
        <row r="37">
          <cell r="C37" t="str">
            <v>Customer Accounts Receivable (142)</v>
          </cell>
          <cell r="D37">
            <v>3687731.42</v>
          </cell>
          <cell r="E37">
            <v>3126013.01</v>
          </cell>
        </row>
        <row r="38">
          <cell r="C38" t="str">
            <v>9143000 Other Accounts Receivable</v>
          </cell>
          <cell r="D38">
            <v>219855.71</v>
          </cell>
          <cell r="E38">
            <v>161073.69</v>
          </cell>
        </row>
        <row r="39">
          <cell r="C39" t="str">
            <v>Other Accounts Recevable (143)</v>
          </cell>
          <cell r="D39">
            <v>219855.71</v>
          </cell>
          <cell r="E39">
            <v>161073.69</v>
          </cell>
        </row>
        <row r="40">
          <cell r="C40" t="str">
            <v>9144000 Accumulated Provision for Uncollectible Accounts</v>
          </cell>
          <cell r="D40">
            <v>-736826.92</v>
          </cell>
          <cell r="E40">
            <v>-741635.21</v>
          </cell>
        </row>
        <row r="41">
          <cell r="C41" t="str">
            <v>Accum Prov - Uncollectible Accts (144)</v>
          </cell>
          <cell r="D41">
            <v>-736826.92</v>
          </cell>
          <cell r="E41">
            <v>-741635.21</v>
          </cell>
        </row>
        <row r="42">
          <cell r="C42" t="str">
            <v>9146000 Accounts Receivable from Associated Companies</v>
          </cell>
          <cell r="D42">
            <v>478572.6</v>
          </cell>
          <cell r="E42">
            <v>204558.07</v>
          </cell>
        </row>
        <row r="43">
          <cell r="C43" t="str">
            <v>Accts Receivable from Assoc. Co.'s (146)</v>
          </cell>
          <cell r="D43">
            <v>478572.6</v>
          </cell>
          <cell r="E43">
            <v>204558.07</v>
          </cell>
        </row>
        <row r="44">
          <cell r="C44" t="str">
            <v>9154000 Plant Materials &amp; Operating Supplies</v>
          </cell>
          <cell r="D44">
            <v>1192355.57</v>
          </cell>
          <cell r="E44">
            <v>1207221.77</v>
          </cell>
        </row>
        <row r="45">
          <cell r="C45" t="str">
            <v>Plant Materials &amp; Operating Supplies (154)</v>
          </cell>
          <cell r="D45">
            <v>1192355.57</v>
          </cell>
          <cell r="E45">
            <v>1207221.77</v>
          </cell>
        </row>
        <row r="46">
          <cell r="C46" t="str">
            <v>9164100 Gas Stored - Current</v>
          </cell>
          <cell r="D46">
            <v>1336275.8</v>
          </cell>
          <cell r="E46">
            <v>1425297.29</v>
          </cell>
        </row>
        <row r="47">
          <cell r="C47" t="str">
            <v>Gas Stored Underground - Current (164.1)</v>
          </cell>
          <cell r="D47">
            <v>1336275.8</v>
          </cell>
          <cell r="E47">
            <v>1425297.29</v>
          </cell>
        </row>
        <row r="48">
          <cell r="C48" t="str">
            <v>9165000 Prepayments</v>
          </cell>
          <cell r="D48">
            <v>89546.08</v>
          </cell>
          <cell r="E48">
            <v>81939.59</v>
          </cell>
        </row>
        <row r="49">
          <cell r="C49" t="str">
            <v>Prepayments (165)</v>
          </cell>
          <cell r="D49">
            <v>89546.08</v>
          </cell>
          <cell r="E49">
            <v>81939.59</v>
          </cell>
        </row>
        <row r="50">
          <cell r="C50" t="str">
            <v>9173000 Accrued Utility Revenues</v>
          </cell>
          <cell r="D50">
            <v>4435830.24</v>
          </cell>
          <cell r="E50">
            <v>2940115.74</v>
          </cell>
        </row>
        <row r="51">
          <cell r="C51" t="str">
            <v>Accrued Utility Revenues (173)</v>
          </cell>
          <cell r="D51">
            <v>4435830.24</v>
          </cell>
          <cell r="E51">
            <v>2940115.74</v>
          </cell>
        </row>
        <row r="52">
          <cell r="C52" t="str">
            <v>9174000 Miscellaneous Current &amp; Accrued Assets</v>
          </cell>
          <cell r="D52">
            <v>139974.01</v>
          </cell>
          <cell r="E52">
            <v>75558.77</v>
          </cell>
        </row>
        <row r="53">
          <cell r="C53" t="str">
            <v>Misc. Current &amp; Accrued Assets (174)</v>
          </cell>
          <cell r="D53">
            <v>139974.01</v>
          </cell>
          <cell r="E53">
            <v>75558.77</v>
          </cell>
        </row>
        <row r="54">
          <cell r="C54" t="str">
            <v xml:space="preserve">  TOTAL CURRENT &amp; ACCRUED ASSETS</v>
          </cell>
          <cell r="D54">
            <v>11114505.619999999</v>
          </cell>
          <cell r="E54">
            <v>8606410.6099999994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114707</v>
          </cell>
          <cell r="E56">
            <v>114011.7</v>
          </cell>
        </row>
        <row r="57">
          <cell r="C57" t="str">
            <v>Unamortized Debt Expenses (181)</v>
          </cell>
          <cell r="D57">
            <v>114707</v>
          </cell>
          <cell r="E57">
            <v>114011.7</v>
          </cell>
        </row>
        <row r="58">
          <cell r="C58" t="str">
            <v>9182300 Other Regulatory Assets</v>
          </cell>
          <cell r="D58">
            <v>2299988.64</v>
          </cell>
          <cell r="E58">
            <v>2259988.12</v>
          </cell>
        </row>
        <row r="59">
          <cell r="C59" t="str">
            <v>Other Regulatory Assets (182.3)</v>
          </cell>
          <cell r="D59">
            <v>2299988.64</v>
          </cell>
          <cell r="E59">
            <v>2259988.12</v>
          </cell>
        </row>
        <row r="60">
          <cell r="C60" t="str">
            <v>9186000 Miscellaneous Deferred Debits</v>
          </cell>
          <cell r="D60">
            <v>1023756.15</v>
          </cell>
          <cell r="E60">
            <v>1035378.22</v>
          </cell>
        </row>
        <row r="61">
          <cell r="C61" t="str">
            <v>Miscellaneous Deferred Debits (186)</v>
          </cell>
          <cell r="D61">
            <v>1023756.15</v>
          </cell>
          <cell r="E61">
            <v>1035378.22</v>
          </cell>
        </row>
        <row r="62">
          <cell r="C62" t="str">
            <v>9190000 Accumulated Deferred Income Taxes</v>
          </cell>
          <cell r="D62">
            <v>4993955.03</v>
          </cell>
          <cell r="E62">
            <v>4993955.03</v>
          </cell>
        </row>
        <row r="63">
          <cell r="C63" t="str">
            <v>Accumulated Deferred Income Taxes (190)</v>
          </cell>
          <cell r="D63">
            <v>4993955.03</v>
          </cell>
          <cell r="E63">
            <v>4993955.03</v>
          </cell>
        </row>
        <row r="64">
          <cell r="C64" t="str">
            <v>9191000 Unrecovered Purchased Gas Costs</v>
          </cell>
          <cell r="D64">
            <v>5776012.6100000003</v>
          </cell>
          <cell r="E64">
            <v>5188615.24</v>
          </cell>
        </row>
        <row r="65">
          <cell r="C65" t="str">
            <v>Unrecoverd Purchased Gas Costs (191)</v>
          </cell>
          <cell r="D65">
            <v>5776012.6100000003</v>
          </cell>
          <cell r="E65">
            <v>5188615.24</v>
          </cell>
        </row>
        <row r="66">
          <cell r="C66" t="str">
            <v xml:space="preserve">  TOTAL DEFERRED DEBITS</v>
          </cell>
          <cell r="D66">
            <v>14208419.43</v>
          </cell>
          <cell r="E66">
            <v>13591948.310000001</v>
          </cell>
        </row>
        <row r="67">
          <cell r="C67" t="str">
            <v xml:space="preserve">   TOTAL ASSETS &amp; OTHER DEBITS</v>
          </cell>
          <cell r="D67">
            <v>214997990.59999999</v>
          </cell>
          <cell r="E67">
            <v>210478814.06999999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-5261030.54</v>
          </cell>
          <cell r="E74">
            <v>-4354612.1399999997</v>
          </cell>
        </row>
        <row r="75">
          <cell r="C75" t="str">
            <v>Retained Earnings (215, 215.1, 216)</v>
          </cell>
          <cell r="D75">
            <v>-14750943.130000001</v>
          </cell>
          <cell r="E75">
            <v>-13844524.73</v>
          </cell>
        </row>
        <row r="76">
          <cell r="C76" t="str">
            <v xml:space="preserve">  TOTAL PROPRIETARY CAPITAL</v>
          </cell>
          <cell r="D76">
            <v>-89478962.409999996</v>
          </cell>
          <cell r="E76">
            <v>-88572544.010000005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-1926517.88</v>
          </cell>
          <cell r="E84">
            <v>-1997238.29</v>
          </cell>
        </row>
        <row r="85">
          <cell r="C85" t="str">
            <v>Accum Prov for Pensions &amp; Benefits (228.3)</v>
          </cell>
          <cell r="D85">
            <v>-1926517.88</v>
          </cell>
          <cell r="E85">
            <v>-1997238.29</v>
          </cell>
        </row>
        <row r="86">
          <cell r="C86" t="str">
            <v>9230000 Asset Retirement Obligation</v>
          </cell>
          <cell r="D86">
            <v>-165873.74</v>
          </cell>
          <cell r="E86">
            <v>-166835.04</v>
          </cell>
        </row>
        <row r="87">
          <cell r="C87" t="str">
            <v>Asset Retirement Obligation (230)</v>
          </cell>
          <cell r="D87">
            <v>-165873.74</v>
          </cell>
          <cell r="E87">
            <v>-166835.04</v>
          </cell>
        </row>
        <row r="88">
          <cell r="C88" t="str">
            <v xml:space="preserve">  TOTAL OTHER NON-CURRENT LIABILITIES</v>
          </cell>
          <cell r="D88">
            <v>-2092391.62</v>
          </cell>
          <cell r="E88">
            <v>-2164073.33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-4222428.3099999996</v>
          </cell>
          <cell r="E90">
            <v>-3357219.75</v>
          </cell>
        </row>
        <row r="91">
          <cell r="C91" t="str">
            <v>Accounts Payable (232)</v>
          </cell>
          <cell r="D91">
            <v>-4222428.3099999996</v>
          </cell>
          <cell r="E91">
            <v>-3357219.75</v>
          </cell>
        </row>
        <row r="92">
          <cell r="C92" t="str">
            <v>9233000 Notes Payable to Associated Companies</v>
          </cell>
          <cell r="D92">
            <v>2809945.86</v>
          </cell>
          <cell r="E92">
            <v>4589187.21</v>
          </cell>
        </row>
        <row r="93">
          <cell r="C93" t="str">
            <v>Notes Payable to Assoc Companies (233)</v>
          </cell>
          <cell r="D93">
            <v>2809945.86</v>
          </cell>
          <cell r="E93">
            <v>4589187.21</v>
          </cell>
        </row>
        <row r="94">
          <cell r="C94" t="str">
            <v>9234000 Accounts Payable to Associated Companies</v>
          </cell>
          <cell r="D94">
            <v>-8852779.0899999999</v>
          </cell>
          <cell r="E94">
            <v>-7883863.2699999996</v>
          </cell>
        </row>
        <row r="95">
          <cell r="C95" t="str">
            <v>Accounts Payable to Assoc Companies (234)</v>
          </cell>
          <cell r="D95">
            <v>-8852779.0899999999</v>
          </cell>
          <cell r="E95">
            <v>-7883863.2699999996</v>
          </cell>
        </row>
        <row r="96">
          <cell r="C96" t="str">
            <v>9235000 Customer Deposits</v>
          </cell>
          <cell r="D96">
            <v>-993670.75</v>
          </cell>
          <cell r="E96">
            <v>-989261.83</v>
          </cell>
        </row>
        <row r="97">
          <cell r="C97" t="str">
            <v>Customer Deposits (235)</v>
          </cell>
          <cell r="D97">
            <v>-993670.75</v>
          </cell>
          <cell r="E97">
            <v>-989261.83</v>
          </cell>
        </row>
        <row r="98">
          <cell r="C98" t="str">
            <v>9236000 Taxes Accrued</v>
          </cell>
          <cell r="D98">
            <v>-8168734.5099999998</v>
          </cell>
          <cell r="E98">
            <v>-8111103.2999999998</v>
          </cell>
        </row>
        <row r="99">
          <cell r="C99" t="str">
            <v>Taxes Accrued (236)</v>
          </cell>
          <cell r="D99">
            <v>-8168734.5099999998</v>
          </cell>
          <cell r="E99">
            <v>-8111103.2999999998</v>
          </cell>
        </row>
        <row r="100">
          <cell r="C100" t="str">
            <v>9237000 Interest Accrued</v>
          </cell>
          <cell r="D100">
            <v>-4223.3900000000003</v>
          </cell>
          <cell r="E100">
            <v>-4023.51</v>
          </cell>
        </row>
        <row r="101">
          <cell r="C101" t="str">
            <v>Interest Accrued (237)</v>
          </cell>
          <cell r="D101">
            <v>-4223.3900000000003</v>
          </cell>
          <cell r="E101">
            <v>-4023.51</v>
          </cell>
        </row>
        <row r="102">
          <cell r="C102" t="str">
            <v>9241000 Tax Collections Payable</v>
          </cell>
          <cell r="D102">
            <v>-504330.73</v>
          </cell>
          <cell r="E102">
            <v>-584045.46</v>
          </cell>
        </row>
        <row r="103">
          <cell r="C103" t="str">
            <v>Tax Collections payable (241)</v>
          </cell>
          <cell r="D103">
            <v>-504330.73</v>
          </cell>
          <cell r="E103">
            <v>-584045.46</v>
          </cell>
        </row>
        <row r="104">
          <cell r="C104" t="str">
            <v>9242000 Miscellaneous Current &amp; Accrued Liabilities</v>
          </cell>
          <cell r="D104">
            <v>-2130750.7999999998</v>
          </cell>
          <cell r="E104">
            <v>-2046555.39</v>
          </cell>
        </row>
        <row r="105">
          <cell r="C105" t="str">
            <v>Misc Current &amp; Accrued Liabilities (242)</v>
          </cell>
          <cell r="D105">
            <v>-2130750.7999999998</v>
          </cell>
          <cell r="E105">
            <v>-2046555.39</v>
          </cell>
        </row>
        <row r="106">
          <cell r="C106" t="str">
            <v xml:space="preserve">  TOTAL CURRENT &amp; ACCRUED LIABILITIES</v>
          </cell>
          <cell r="D106">
            <v>-22066971.719999999</v>
          </cell>
          <cell r="E106">
            <v>-18386885.300000001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-2218635.83</v>
          </cell>
          <cell r="E108">
            <v>-2189452.2400000002</v>
          </cell>
        </row>
        <row r="109">
          <cell r="C109" t="str">
            <v>Customer Advances for Construction (252)</v>
          </cell>
          <cell r="D109">
            <v>-2218635.83</v>
          </cell>
          <cell r="E109">
            <v>-2189452.2400000002</v>
          </cell>
        </row>
        <row r="110">
          <cell r="C110" t="str">
            <v>9253000 Other Deferred Credits</v>
          </cell>
          <cell r="D110">
            <v>-258102.64</v>
          </cell>
          <cell r="E110">
            <v>-272095.19</v>
          </cell>
        </row>
        <row r="111">
          <cell r="C111" t="str">
            <v>Other Deferred Credits (253)</v>
          </cell>
          <cell r="D111">
            <v>-258102.64</v>
          </cell>
          <cell r="E111">
            <v>-272095.19</v>
          </cell>
        </row>
        <row r="112">
          <cell r="C112" t="str">
            <v>9254000 Other Regulatory Liabilities</v>
          </cell>
          <cell r="D112">
            <v>-14923884.880000001</v>
          </cell>
          <cell r="E112">
            <v>-14934722.5</v>
          </cell>
        </row>
        <row r="113">
          <cell r="C113" t="str">
            <v>Other Regulatory Liabilities (254)</v>
          </cell>
          <cell r="D113">
            <v>-14923884.880000001</v>
          </cell>
          <cell r="E113">
            <v>-14934722.5</v>
          </cell>
        </row>
        <row r="114">
          <cell r="C114" t="str">
            <v>9282000 Accumulated Deferred Income Taxes-Other Property</v>
          </cell>
          <cell r="D114">
            <v>-28683723.510000002</v>
          </cell>
          <cell r="E114">
            <v>-28683723.510000002</v>
          </cell>
        </row>
        <row r="115">
          <cell r="C115" t="str">
            <v>9283000 Accumulated Deferred Income Taxes-Other</v>
          </cell>
          <cell r="D115">
            <v>-1636244.04</v>
          </cell>
          <cell r="E115">
            <v>-1636244.04</v>
          </cell>
        </row>
        <row r="116">
          <cell r="C116" t="str">
            <v>Accum Deferred Income Taxes (281-283)</v>
          </cell>
          <cell r="D116">
            <v>-30319967.550000001</v>
          </cell>
          <cell r="E116">
            <v>-30319967.550000001</v>
          </cell>
        </row>
        <row r="117">
          <cell r="C117" t="str">
            <v xml:space="preserve">  TOTAL DEFERRED CREDITS</v>
          </cell>
          <cell r="D117">
            <v>-47720590.899999999</v>
          </cell>
          <cell r="E117">
            <v>-47716237.479999997</v>
          </cell>
        </row>
        <row r="118">
          <cell r="C118" t="str">
            <v xml:space="preserve">   TOTAL LIABILITIES &amp; OTHER CREDITS</v>
          </cell>
          <cell r="D118">
            <v>-214997990.59999999</v>
          </cell>
          <cell r="E118">
            <v>-210478814.06999999</v>
          </cell>
        </row>
        <row r="119">
          <cell r="D119">
            <v>0</v>
          </cell>
          <cell r="E119">
            <v>0</v>
          </cell>
        </row>
        <row r="120">
          <cell r="D120">
            <v>683918125.78999996</v>
          </cell>
          <cell r="E120">
            <v>680926260.50999999</v>
          </cell>
        </row>
      </sheetData>
      <sheetData sheetId="3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05.2024</v>
          </cell>
          <cell r="E9" t="str">
            <v>06.2024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311214310.81</v>
          </cell>
          <cell r="E12">
            <v>311135226.98000002</v>
          </cell>
        </row>
        <row r="13">
          <cell r="C13" t="str">
            <v>9106000 Completed Construction not Classified-Gas</v>
          </cell>
          <cell r="D13">
            <v>7486411.1900000004</v>
          </cell>
          <cell r="E13">
            <v>11006734.789999999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318119962.92000002</v>
          </cell>
          <cell r="E15">
            <v>321561202.69</v>
          </cell>
        </row>
        <row r="16">
          <cell r="C16" t="str">
            <v>9107000 Construction Work in Progress</v>
          </cell>
          <cell r="D16">
            <v>10291831.17</v>
          </cell>
          <cell r="E16">
            <v>9401121.5700000003</v>
          </cell>
        </row>
        <row r="17">
          <cell r="C17" t="str">
            <v xml:space="preserve"> Construction Work in Progress (107)</v>
          </cell>
          <cell r="D17">
            <v>10291831.17</v>
          </cell>
          <cell r="E17">
            <v>9401121.5700000003</v>
          </cell>
        </row>
        <row r="18">
          <cell r="C18" t="str">
            <v xml:space="preserve">  Total Utility Plant (Gross)</v>
          </cell>
          <cell r="D18">
            <v>328411794.08999997</v>
          </cell>
          <cell r="E18">
            <v>330962324.25999999</v>
          </cell>
        </row>
        <row r="19">
          <cell r="C19" t="str">
            <v>9108000 Accumulated Depreciation-Utility Plant</v>
          </cell>
          <cell r="D19">
            <v>-145375194.58000001</v>
          </cell>
          <cell r="E19">
            <v>-146187621.75999999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-144794435.5</v>
          </cell>
          <cell r="E21">
            <v>-145606862.68000001</v>
          </cell>
        </row>
        <row r="22">
          <cell r="C22" t="str">
            <v xml:space="preserve">  Net Utility Plant</v>
          </cell>
          <cell r="D22">
            <v>183617358.59</v>
          </cell>
          <cell r="E22">
            <v>185355461.58000001</v>
          </cell>
        </row>
        <row r="23">
          <cell r="C23" t="str">
            <v xml:space="preserve">   Total Net Utility Plant</v>
          </cell>
          <cell r="D23">
            <v>183617358.59</v>
          </cell>
          <cell r="E23">
            <v>185355461.58000001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187825428.08000001</v>
          </cell>
          <cell r="E26">
            <v>189563531.06999999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1902534.91</v>
          </cell>
          <cell r="E28">
            <v>1942867.03</v>
          </cell>
        </row>
        <row r="29">
          <cell r="C29" t="str">
            <v>Other Special Funds (128)</v>
          </cell>
          <cell r="D29">
            <v>1902534.91</v>
          </cell>
          <cell r="E29">
            <v>1942867.03</v>
          </cell>
        </row>
        <row r="30">
          <cell r="C30" t="str">
            <v xml:space="preserve">  TOTAL OTHER PROPERTY &amp; INVESTMENTS</v>
          </cell>
          <cell r="D30">
            <v>1902534.91</v>
          </cell>
          <cell r="E30">
            <v>1942867.03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49184.47</v>
          </cell>
          <cell r="E32">
            <v>214466.73</v>
          </cell>
        </row>
        <row r="33">
          <cell r="C33" t="str">
            <v>Cash (131)</v>
          </cell>
          <cell r="D33">
            <v>49184.47</v>
          </cell>
          <cell r="E33">
            <v>214466.73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2899741.34</v>
          </cell>
          <cell r="E36">
            <v>2650743.65</v>
          </cell>
        </row>
        <row r="37">
          <cell r="C37" t="str">
            <v>Customer Accounts Receivable (142)</v>
          </cell>
          <cell r="D37">
            <v>2899741.34</v>
          </cell>
          <cell r="E37">
            <v>2650743.65</v>
          </cell>
        </row>
        <row r="38">
          <cell r="C38" t="str">
            <v>9143000 Other Accounts Receivable</v>
          </cell>
          <cell r="D38">
            <v>212595.82</v>
          </cell>
          <cell r="E38">
            <v>190096.07</v>
          </cell>
        </row>
        <row r="39">
          <cell r="C39" t="str">
            <v>Other Accounts Recevable (143)</v>
          </cell>
          <cell r="D39">
            <v>212595.82</v>
          </cell>
          <cell r="E39">
            <v>190096.07</v>
          </cell>
        </row>
        <row r="40">
          <cell r="C40" t="str">
            <v>9144000 Accumulated Provision for Uncollectible Accounts</v>
          </cell>
          <cell r="D40">
            <v>-757865.13</v>
          </cell>
          <cell r="E40">
            <v>-759257.05</v>
          </cell>
        </row>
        <row r="41">
          <cell r="C41" t="str">
            <v>Accum Prov - Uncollectible Accts (144)</v>
          </cell>
          <cell r="D41">
            <v>-757865.13</v>
          </cell>
          <cell r="E41">
            <v>-759257.05</v>
          </cell>
        </row>
        <row r="42">
          <cell r="C42" t="str">
            <v>9146000 Accounts Receivable from Associated Companies</v>
          </cell>
          <cell r="D42">
            <v>244478.51</v>
          </cell>
          <cell r="E42">
            <v>341220.19</v>
          </cell>
        </row>
        <row r="43">
          <cell r="C43" t="str">
            <v>Accts Receivable from Assoc. Co.'s (146)</v>
          </cell>
          <cell r="D43">
            <v>244478.51</v>
          </cell>
          <cell r="E43">
            <v>341220.19</v>
          </cell>
        </row>
        <row r="44">
          <cell r="C44" t="str">
            <v>9154000 Plant Materials &amp; Operating Supplies</v>
          </cell>
          <cell r="D44">
            <v>1409732.02</v>
          </cell>
          <cell r="E44">
            <v>1429162.25</v>
          </cell>
        </row>
        <row r="45">
          <cell r="C45" t="str">
            <v>Plant Materials &amp; Operating Supplies (154)</v>
          </cell>
          <cell r="D45">
            <v>1409732.02</v>
          </cell>
          <cell r="E45">
            <v>1429162.25</v>
          </cell>
        </row>
        <row r="46">
          <cell r="C46" t="str">
            <v>9164100 Gas Stored - Current</v>
          </cell>
          <cell r="D46">
            <v>2274045.1800000002</v>
          </cell>
          <cell r="E46">
            <v>2386025.02</v>
          </cell>
        </row>
        <row r="47">
          <cell r="C47" t="str">
            <v>Gas Stored Underground - Current (164.1)</v>
          </cell>
          <cell r="D47">
            <v>2274045.1800000002</v>
          </cell>
          <cell r="E47">
            <v>2386025.02</v>
          </cell>
        </row>
        <row r="48">
          <cell r="C48" t="str">
            <v>9165000 Prepayments</v>
          </cell>
          <cell r="D48">
            <v>73498.080000000002</v>
          </cell>
          <cell r="E48">
            <v>49684.21</v>
          </cell>
        </row>
        <row r="49">
          <cell r="C49" t="str">
            <v>Prepayments (165)</v>
          </cell>
          <cell r="D49">
            <v>73498.080000000002</v>
          </cell>
          <cell r="E49">
            <v>49684.21</v>
          </cell>
        </row>
        <row r="50">
          <cell r="C50" t="str">
            <v>9173000 Accrued Utility Revenues</v>
          </cell>
          <cell r="D50">
            <v>1666489.03</v>
          </cell>
          <cell r="E50">
            <v>1738306.85</v>
          </cell>
        </row>
        <row r="51">
          <cell r="C51" t="str">
            <v>Accrued Utility Revenues (173)</v>
          </cell>
          <cell r="D51">
            <v>1666489.03</v>
          </cell>
          <cell r="E51">
            <v>1738306.85</v>
          </cell>
        </row>
        <row r="52">
          <cell r="C52" t="str">
            <v>9174000 Miscellaneous Current &amp; Accrued Assets</v>
          </cell>
          <cell r="D52">
            <v>139718.68</v>
          </cell>
          <cell r="E52">
            <v>214999.9</v>
          </cell>
        </row>
        <row r="53">
          <cell r="C53" t="str">
            <v>Misc. Current &amp; Accrued Assets (174)</v>
          </cell>
          <cell r="D53">
            <v>139718.68</v>
          </cell>
          <cell r="E53">
            <v>214999.9</v>
          </cell>
        </row>
        <row r="54">
          <cell r="C54" t="str">
            <v xml:space="preserve">  TOTAL CURRENT &amp; ACCRUED ASSETS</v>
          </cell>
          <cell r="D54">
            <v>8211918</v>
          </cell>
          <cell r="E54">
            <v>8455747.8200000003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113284.78</v>
          </cell>
          <cell r="E56">
            <v>112557.86</v>
          </cell>
        </row>
        <row r="57">
          <cell r="C57" t="str">
            <v>Unamortized Debt Expenses (181)</v>
          </cell>
          <cell r="D57">
            <v>113284.78</v>
          </cell>
          <cell r="E57">
            <v>112557.86</v>
          </cell>
        </row>
        <row r="58">
          <cell r="C58" t="str">
            <v>9182300 Other Regulatory Assets</v>
          </cell>
          <cell r="D58">
            <v>2219993.67</v>
          </cell>
          <cell r="E58">
            <v>2288004.52</v>
          </cell>
        </row>
        <row r="59">
          <cell r="C59" t="str">
            <v>Other Regulatory Assets (182.3)</v>
          </cell>
          <cell r="D59">
            <v>2219993.67</v>
          </cell>
          <cell r="E59">
            <v>2288004.52</v>
          </cell>
        </row>
        <row r="60">
          <cell r="C60" t="str">
            <v>9186000 Miscellaneous Deferred Debits</v>
          </cell>
          <cell r="D60">
            <v>1054090.54</v>
          </cell>
          <cell r="E60">
            <v>1052008.45</v>
          </cell>
        </row>
        <row r="61">
          <cell r="C61" t="str">
            <v>Miscellaneous Deferred Debits (186)</v>
          </cell>
          <cell r="D61">
            <v>1054090.54</v>
          </cell>
          <cell r="E61">
            <v>1052008.45</v>
          </cell>
        </row>
        <row r="62">
          <cell r="C62" t="str">
            <v>9190000 Accumulated Deferred Income Taxes</v>
          </cell>
          <cell r="D62">
            <v>4993955.03</v>
          </cell>
          <cell r="E62">
            <v>4968127.7699999996</v>
          </cell>
        </row>
        <row r="63">
          <cell r="C63" t="str">
            <v>Accumulated Deferred Income Taxes (190)</v>
          </cell>
          <cell r="D63">
            <v>4993955.03</v>
          </cell>
          <cell r="E63">
            <v>4968127.7699999996</v>
          </cell>
        </row>
        <row r="64">
          <cell r="C64" t="str">
            <v>9191000 Unrecovered Purchased Gas Costs</v>
          </cell>
          <cell r="D64">
            <v>5061780.9000000004</v>
          </cell>
          <cell r="E64">
            <v>4877679.95</v>
          </cell>
        </row>
        <row r="65">
          <cell r="C65" t="str">
            <v>Unrecoverd Purchased Gas Costs (191)</v>
          </cell>
          <cell r="D65">
            <v>5061780.9000000004</v>
          </cell>
          <cell r="E65">
            <v>4877679.95</v>
          </cell>
        </row>
        <row r="66">
          <cell r="C66" t="str">
            <v xml:space="preserve">  TOTAL DEFERRED DEBITS</v>
          </cell>
          <cell r="D66">
            <v>13443104.92</v>
          </cell>
          <cell r="E66">
            <v>13298378.550000001</v>
          </cell>
        </row>
        <row r="67">
          <cell r="C67" t="str">
            <v xml:space="preserve">   TOTAL ASSETS &amp; OTHER DEBITS</v>
          </cell>
          <cell r="D67">
            <v>211382985.91</v>
          </cell>
          <cell r="E67">
            <v>213260524.47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-3740761.72</v>
          </cell>
          <cell r="E74">
            <v>-3494481.44</v>
          </cell>
        </row>
        <row r="75">
          <cell r="C75" t="str">
            <v>Retained Earnings (215, 215.1, 216)</v>
          </cell>
          <cell r="D75">
            <v>-13230674.310000001</v>
          </cell>
          <cell r="E75">
            <v>-12984394.029999999</v>
          </cell>
        </row>
        <row r="76">
          <cell r="C76" t="str">
            <v xml:space="preserve">  TOTAL PROPRIETARY CAPITAL</v>
          </cell>
          <cell r="D76">
            <v>-87958693.590000004</v>
          </cell>
          <cell r="E76">
            <v>-87712413.310000002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-1997169.55</v>
          </cell>
          <cell r="E84">
            <v>-1997100.81</v>
          </cell>
        </row>
        <row r="85">
          <cell r="C85" t="str">
            <v>Accum Prov for Pensions &amp; Benefits (228.3)</v>
          </cell>
          <cell r="D85">
            <v>-1997169.55</v>
          </cell>
          <cell r="E85">
            <v>-1997100.81</v>
          </cell>
        </row>
        <row r="86">
          <cell r="C86" t="str">
            <v>9230000 Asset Retirement Obligation</v>
          </cell>
          <cell r="D86">
            <v>-167802.35</v>
          </cell>
          <cell r="E86">
            <v>-168775.75</v>
          </cell>
        </row>
        <row r="87">
          <cell r="C87" t="str">
            <v>Asset Retirement Obligation (230)</v>
          </cell>
          <cell r="D87">
            <v>-167802.35</v>
          </cell>
          <cell r="E87">
            <v>-168775.75</v>
          </cell>
        </row>
        <row r="88">
          <cell r="C88" t="str">
            <v xml:space="preserve">  TOTAL OTHER NON-CURRENT LIABILITIES</v>
          </cell>
          <cell r="D88">
            <v>-2164971.9</v>
          </cell>
          <cell r="E88">
            <v>-2165876.56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-4098484.67</v>
          </cell>
          <cell r="E90">
            <v>-5459679.54</v>
          </cell>
        </row>
        <row r="91">
          <cell r="C91" t="str">
            <v>Accounts Payable (232)</v>
          </cell>
          <cell r="D91">
            <v>-4098484.67</v>
          </cell>
          <cell r="E91">
            <v>-5459679.54</v>
          </cell>
        </row>
        <row r="92">
          <cell r="C92" t="str">
            <v>9233000 Notes Payable to Associated Companies</v>
          </cell>
          <cell r="D92">
            <v>2715645.34</v>
          </cell>
          <cell r="E92">
            <v>-688122.09</v>
          </cell>
        </row>
        <row r="93">
          <cell r="C93" t="str">
            <v>Notes Payable to Assoc Companies (233)</v>
          </cell>
          <cell r="D93">
            <v>2715645.34</v>
          </cell>
          <cell r="E93">
            <v>-688122.09</v>
          </cell>
        </row>
        <row r="94">
          <cell r="C94" t="str">
            <v>9234000 Accounts Payable to Associated Companies</v>
          </cell>
          <cell r="D94">
            <v>-8243239.1500000004</v>
          </cell>
          <cell r="E94">
            <v>-6619876.8399999999</v>
          </cell>
        </row>
        <row r="95">
          <cell r="C95" t="str">
            <v>Accounts Payable to Assoc Companies (234)</v>
          </cell>
          <cell r="D95">
            <v>-8243239.1500000004</v>
          </cell>
          <cell r="E95">
            <v>-6619876.8399999999</v>
          </cell>
        </row>
        <row r="96">
          <cell r="C96" t="str">
            <v>9235000 Customer Deposits</v>
          </cell>
          <cell r="D96">
            <v>-980068.09</v>
          </cell>
          <cell r="E96">
            <v>-963809.69</v>
          </cell>
        </row>
        <row r="97">
          <cell r="C97" t="str">
            <v>Customer Deposits (235)</v>
          </cell>
          <cell r="D97">
            <v>-980068.09</v>
          </cell>
          <cell r="E97">
            <v>-963809.69</v>
          </cell>
        </row>
        <row r="98">
          <cell r="C98" t="str">
            <v>9236000 Taxes Accrued</v>
          </cell>
          <cell r="D98">
            <v>-6575651.6900000004</v>
          </cell>
          <cell r="E98">
            <v>-6174340.9900000002</v>
          </cell>
        </row>
        <row r="99">
          <cell r="C99" t="str">
            <v>Taxes Accrued (236)</v>
          </cell>
          <cell r="D99">
            <v>-6575651.6900000004</v>
          </cell>
          <cell r="E99">
            <v>-6174340.9900000002</v>
          </cell>
        </row>
        <row r="100">
          <cell r="C100" t="str">
            <v>9237000 Interest Accrued</v>
          </cell>
          <cell r="D100">
            <v>-3876.36</v>
          </cell>
          <cell r="E100">
            <v>-3706.94</v>
          </cell>
        </row>
        <row r="101">
          <cell r="C101" t="str">
            <v>Interest Accrued (237)</v>
          </cell>
          <cell r="D101">
            <v>-3876.36</v>
          </cell>
          <cell r="E101">
            <v>-3706.94</v>
          </cell>
        </row>
        <row r="102">
          <cell r="C102" t="str">
            <v>9241000 Tax Collections Payable</v>
          </cell>
          <cell r="D102">
            <v>-645169.38</v>
          </cell>
          <cell r="E102">
            <v>-682149</v>
          </cell>
        </row>
        <row r="103">
          <cell r="C103" t="str">
            <v>Tax Collections payable (241)</v>
          </cell>
          <cell r="D103">
            <v>-645169.38</v>
          </cell>
          <cell r="E103">
            <v>-682149</v>
          </cell>
        </row>
        <row r="104">
          <cell r="C104" t="str">
            <v>9242000 Miscellaneous Current &amp; Accrued Liabilities</v>
          </cell>
          <cell r="D104">
            <v>-2213905.34</v>
          </cell>
          <cell r="E104">
            <v>-2226428.2599999998</v>
          </cell>
        </row>
        <row r="105">
          <cell r="C105" t="str">
            <v>Misc Current &amp; Accrued Liabilities (242)</v>
          </cell>
          <cell r="D105">
            <v>-2213905.34</v>
          </cell>
          <cell r="E105">
            <v>-2226428.2599999998</v>
          </cell>
        </row>
        <row r="106">
          <cell r="C106" t="str">
            <v xml:space="preserve">  TOTAL CURRENT &amp; ACCRUED LIABILITIES</v>
          </cell>
          <cell r="D106">
            <v>-20044749.34</v>
          </cell>
          <cell r="E106">
            <v>-22818113.350000001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-2035558.89</v>
          </cell>
          <cell r="E108">
            <v>-1804726.2</v>
          </cell>
        </row>
        <row r="109">
          <cell r="C109" t="str">
            <v>Customer Advances for Construction (252)</v>
          </cell>
          <cell r="D109">
            <v>-2035558.89</v>
          </cell>
          <cell r="E109">
            <v>-1804726.2</v>
          </cell>
        </row>
        <row r="110">
          <cell r="C110" t="str">
            <v>9253000 Other Deferred Credits</v>
          </cell>
          <cell r="D110">
            <v>-276439.09000000003</v>
          </cell>
          <cell r="E110">
            <v>-280813.27</v>
          </cell>
        </row>
        <row r="111">
          <cell r="C111" t="str">
            <v>Other Deferred Credits (253)</v>
          </cell>
          <cell r="D111">
            <v>-276439.09000000003</v>
          </cell>
          <cell r="E111">
            <v>-280813.27</v>
          </cell>
        </row>
        <row r="112">
          <cell r="C112" t="str">
            <v>9254000 Other Regulatory Liabilities</v>
          </cell>
          <cell r="D112">
            <v>-14943531.6</v>
          </cell>
          <cell r="E112">
            <v>-14696088.09</v>
          </cell>
        </row>
        <row r="113">
          <cell r="C113" t="str">
            <v>Other Regulatory Liabilities (254)</v>
          </cell>
          <cell r="D113">
            <v>-14943531.6</v>
          </cell>
          <cell r="E113">
            <v>-14696088.09</v>
          </cell>
        </row>
        <row r="114">
          <cell r="C114" t="str">
            <v>9282000 Accumulated Deferred Income Taxes-Other Property</v>
          </cell>
          <cell r="D114">
            <v>-28683723.510000002</v>
          </cell>
          <cell r="E114">
            <v>-28726858.920000002</v>
          </cell>
        </row>
        <row r="115">
          <cell r="C115" t="str">
            <v>9283000 Accumulated Deferred Income Taxes-Other</v>
          </cell>
          <cell r="D115">
            <v>-1636244.04</v>
          </cell>
          <cell r="E115">
            <v>-1416560.82</v>
          </cell>
        </row>
        <row r="116">
          <cell r="C116" t="str">
            <v>Accum Deferred Income Taxes (281-283)</v>
          </cell>
          <cell r="D116">
            <v>-30319967.550000001</v>
          </cell>
          <cell r="E116">
            <v>-30143419.739999998</v>
          </cell>
        </row>
        <row r="117">
          <cell r="C117" t="str">
            <v xml:space="preserve">  TOTAL DEFERRED CREDITS</v>
          </cell>
          <cell r="D117">
            <v>-47575497.130000003</v>
          </cell>
          <cell r="E117">
            <v>-46925047.299999997</v>
          </cell>
        </row>
        <row r="118">
          <cell r="C118" t="str">
            <v xml:space="preserve">   TOTAL LIABILITIES &amp; OTHER CREDITS</v>
          </cell>
          <cell r="D118">
            <v>-211382985.91</v>
          </cell>
          <cell r="E118">
            <v>-213260524.47</v>
          </cell>
        </row>
        <row r="119">
          <cell r="D119">
            <v>0</v>
          </cell>
          <cell r="E119">
            <v>0</v>
          </cell>
        </row>
        <row r="120">
          <cell r="D120">
            <v>686156598.67999995</v>
          </cell>
          <cell r="E120">
            <v>692183334.83000004</v>
          </cell>
        </row>
      </sheetData>
      <sheetData sheetId="4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07.2024</v>
          </cell>
          <cell r="E9" t="str">
            <v>08.2024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311819416.16000003</v>
          </cell>
          <cell r="E12">
            <v>313025364.56</v>
          </cell>
        </row>
        <row r="13">
          <cell r="C13" t="str">
            <v>9106000 Completed Construction not Classified-Gas</v>
          </cell>
          <cell r="D13">
            <v>11143161.18</v>
          </cell>
          <cell r="E13">
            <v>11182540.050000001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322381818.25999999</v>
          </cell>
          <cell r="E15">
            <v>323627145.52999997</v>
          </cell>
        </row>
        <row r="16">
          <cell r="C16" t="str">
            <v>9107000 Construction Work in Progress</v>
          </cell>
          <cell r="D16">
            <v>13130871.359999999</v>
          </cell>
          <cell r="E16">
            <v>12898489.390000001</v>
          </cell>
        </row>
        <row r="17">
          <cell r="C17" t="str">
            <v xml:space="preserve"> Construction Work in Progress (107)</v>
          </cell>
          <cell r="D17">
            <v>13130871.359999999</v>
          </cell>
          <cell r="E17">
            <v>12898489.390000001</v>
          </cell>
        </row>
        <row r="18">
          <cell r="C18" t="str">
            <v xml:space="preserve">  Total Utility Plant (Gross)</v>
          </cell>
          <cell r="D18">
            <v>335512689.62</v>
          </cell>
          <cell r="E18">
            <v>336525634.92000002</v>
          </cell>
        </row>
        <row r="19">
          <cell r="C19" t="str">
            <v>9108000 Accumulated Depreciation-Utility Plant</v>
          </cell>
          <cell r="D19">
            <v>-147082405.16999999</v>
          </cell>
          <cell r="E19">
            <v>-147700259.97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-146501646.09</v>
          </cell>
          <cell r="E21">
            <v>-147119500.88999999</v>
          </cell>
        </row>
        <row r="22">
          <cell r="C22" t="str">
            <v xml:space="preserve">  Net Utility Plant</v>
          </cell>
          <cell r="D22">
            <v>189011043.53</v>
          </cell>
          <cell r="E22">
            <v>189406134.03</v>
          </cell>
        </row>
        <row r="23">
          <cell r="C23" t="str">
            <v xml:space="preserve">   Total Net Utility Plant</v>
          </cell>
          <cell r="D23">
            <v>189011043.53</v>
          </cell>
          <cell r="E23">
            <v>189406134.03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193219113.02000001</v>
          </cell>
          <cell r="E26">
            <v>193614203.52000001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1942891.33</v>
          </cell>
          <cell r="E28">
            <v>1942891.33</v>
          </cell>
        </row>
        <row r="29">
          <cell r="C29" t="str">
            <v>Other Special Funds (128)</v>
          </cell>
          <cell r="D29">
            <v>1942891.33</v>
          </cell>
          <cell r="E29">
            <v>1942891.33</v>
          </cell>
        </row>
        <row r="30">
          <cell r="C30" t="str">
            <v xml:space="preserve">  TOTAL OTHER PROPERTY &amp; INVESTMENTS</v>
          </cell>
          <cell r="D30">
            <v>1942891.33</v>
          </cell>
          <cell r="E30">
            <v>1942891.33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88005.81</v>
          </cell>
          <cell r="E32">
            <v>41279.040000000001</v>
          </cell>
        </row>
        <row r="33">
          <cell r="C33" t="str">
            <v>Cash (131)</v>
          </cell>
          <cell r="D33">
            <v>88005.81</v>
          </cell>
          <cell r="E33">
            <v>41279.040000000001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2447733.16</v>
          </cell>
          <cell r="E36">
            <v>2244788.67</v>
          </cell>
        </row>
        <row r="37">
          <cell r="C37" t="str">
            <v>Customer Accounts Receivable (142)</v>
          </cell>
          <cell r="D37">
            <v>2447733.16</v>
          </cell>
          <cell r="E37">
            <v>2244788.67</v>
          </cell>
        </row>
        <row r="38">
          <cell r="C38" t="str">
            <v>9143000 Other Accounts Receivable</v>
          </cell>
          <cell r="D38">
            <v>163584.07</v>
          </cell>
          <cell r="E38">
            <v>169388.44</v>
          </cell>
        </row>
        <row r="39">
          <cell r="C39" t="str">
            <v>Other Accounts Recevable (143)</v>
          </cell>
          <cell r="D39">
            <v>163584.07</v>
          </cell>
          <cell r="E39">
            <v>169388.44</v>
          </cell>
        </row>
        <row r="40">
          <cell r="C40" t="str">
            <v>9144000 Accumulated Provision for Uncollectible Accounts</v>
          </cell>
          <cell r="D40">
            <v>-748770.91</v>
          </cell>
          <cell r="E40">
            <v>-614532.73</v>
          </cell>
        </row>
        <row r="41">
          <cell r="C41" t="str">
            <v>Accum Prov - Uncollectible Accts (144)</v>
          </cell>
          <cell r="D41">
            <v>-748770.91</v>
          </cell>
          <cell r="E41">
            <v>-614532.73</v>
          </cell>
        </row>
        <row r="42">
          <cell r="C42" t="str">
            <v>9146000 Accounts Receivable from Associated Companies</v>
          </cell>
          <cell r="D42">
            <v>401121.54</v>
          </cell>
          <cell r="E42">
            <v>193593.78</v>
          </cell>
        </row>
        <row r="43">
          <cell r="C43" t="str">
            <v>Accts Receivable from Assoc. Co.'s (146)</v>
          </cell>
          <cell r="D43">
            <v>401121.54</v>
          </cell>
          <cell r="E43">
            <v>193593.78</v>
          </cell>
        </row>
        <row r="44">
          <cell r="C44" t="str">
            <v>9154000 Plant Materials &amp; Operating Supplies</v>
          </cell>
          <cell r="D44">
            <v>1405798.74</v>
          </cell>
          <cell r="E44">
            <v>1412182.49</v>
          </cell>
        </row>
        <row r="45">
          <cell r="C45" t="str">
            <v>Plant Materials &amp; Operating Supplies (154)</v>
          </cell>
          <cell r="D45">
            <v>1405798.74</v>
          </cell>
          <cell r="E45">
            <v>1412182.49</v>
          </cell>
        </row>
        <row r="46">
          <cell r="C46" t="str">
            <v>9164100 Gas Stored - Current</v>
          </cell>
          <cell r="D46">
            <v>2372763.7599999998</v>
          </cell>
          <cell r="E46">
            <v>2372763.7599999998</v>
          </cell>
        </row>
        <row r="47">
          <cell r="C47" t="str">
            <v>Gas Stored Underground - Current (164.1)</v>
          </cell>
          <cell r="D47">
            <v>2372763.7599999998</v>
          </cell>
          <cell r="E47">
            <v>2372763.7599999998</v>
          </cell>
        </row>
        <row r="48">
          <cell r="C48" t="str">
            <v>9165000 Prepayments</v>
          </cell>
          <cell r="D48">
            <v>139659.01999999999</v>
          </cell>
          <cell r="E48">
            <v>128458.35</v>
          </cell>
        </row>
        <row r="49">
          <cell r="C49" t="str">
            <v>Prepayments (165)</v>
          </cell>
          <cell r="D49">
            <v>139659.01999999999</v>
          </cell>
          <cell r="E49">
            <v>128458.35</v>
          </cell>
        </row>
        <row r="50">
          <cell r="C50" t="str">
            <v>9173000 Accrued Utility Revenues</v>
          </cell>
          <cell r="D50">
            <v>1865607.76</v>
          </cell>
          <cell r="E50">
            <v>1734239.81</v>
          </cell>
        </row>
        <row r="51">
          <cell r="C51" t="str">
            <v>Accrued Utility Revenues (173)</v>
          </cell>
          <cell r="D51">
            <v>1865607.76</v>
          </cell>
          <cell r="E51">
            <v>1734239.81</v>
          </cell>
        </row>
        <row r="52">
          <cell r="C52" t="str">
            <v>9174000 Miscellaneous Current &amp; Accrued Assets</v>
          </cell>
          <cell r="D52">
            <v>85223.64</v>
          </cell>
          <cell r="E52">
            <v>168157.74</v>
          </cell>
        </row>
        <row r="53">
          <cell r="C53" t="str">
            <v>Misc. Current &amp; Accrued Assets (174)</v>
          </cell>
          <cell r="D53">
            <v>85223.64</v>
          </cell>
          <cell r="E53">
            <v>168157.74</v>
          </cell>
        </row>
        <row r="54">
          <cell r="C54" t="str">
            <v xml:space="preserve">  TOTAL CURRENT &amp; ACCRUED ASSETS</v>
          </cell>
          <cell r="D54">
            <v>8221026.5899999999</v>
          </cell>
          <cell r="E54">
            <v>7850619.3499999996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111830.94</v>
          </cell>
          <cell r="E56">
            <v>111104.02</v>
          </cell>
        </row>
        <row r="57">
          <cell r="C57" t="str">
            <v>Unamortized Debt Expenses (181)</v>
          </cell>
          <cell r="D57">
            <v>111830.94</v>
          </cell>
          <cell r="E57">
            <v>111104.02</v>
          </cell>
        </row>
        <row r="58">
          <cell r="C58" t="str">
            <v>9182300 Other Regulatory Assets</v>
          </cell>
          <cell r="D58">
            <v>2250122.31</v>
          </cell>
          <cell r="E58">
            <v>2229916.33</v>
          </cell>
        </row>
        <row r="59">
          <cell r="C59" t="str">
            <v>Other Regulatory Assets (182.3)</v>
          </cell>
          <cell r="D59">
            <v>2250122.31</v>
          </cell>
          <cell r="E59">
            <v>2229916.33</v>
          </cell>
        </row>
        <row r="60">
          <cell r="C60" t="str">
            <v>9186000 Miscellaneous Deferred Debits</v>
          </cell>
          <cell r="D60">
            <v>1037864.11</v>
          </cell>
          <cell r="E60">
            <v>1056765.83</v>
          </cell>
        </row>
        <row r="61">
          <cell r="C61" t="str">
            <v>Miscellaneous Deferred Debits (186)</v>
          </cell>
          <cell r="D61">
            <v>1037864.11</v>
          </cell>
          <cell r="E61">
            <v>1056765.83</v>
          </cell>
        </row>
        <row r="62">
          <cell r="C62" t="str">
            <v>9190000 Accumulated Deferred Income Taxes</v>
          </cell>
          <cell r="D62">
            <v>4968127.7699999996</v>
          </cell>
          <cell r="E62">
            <v>4968127.7699999996</v>
          </cell>
        </row>
        <row r="63">
          <cell r="C63" t="str">
            <v>Accumulated Deferred Income Taxes (190)</v>
          </cell>
          <cell r="D63">
            <v>4968127.7699999996</v>
          </cell>
          <cell r="E63">
            <v>4968127.7699999996</v>
          </cell>
        </row>
        <row r="64">
          <cell r="C64" t="str">
            <v>9191000 Unrecovered Purchased Gas Costs</v>
          </cell>
          <cell r="D64">
            <v>5400186.96</v>
          </cell>
          <cell r="E64">
            <v>5025401.08</v>
          </cell>
        </row>
        <row r="65">
          <cell r="C65" t="str">
            <v>Unrecoverd Purchased Gas Costs (191)</v>
          </cell>
          <cell r="D65">
            <v>5400186.96</v>
          </cell>
          <cell r="E65">
            <v>5025401.08</v>
          </cell>
        </row>
        <row r="66">
          <cell r="C66" t="str">
            <v xml:space="preserve">  TOTAL DEFERRED DEBITS</v>
          </cell>
          <cell r="D66">
            <v>13768132.09</v>
          </cell>
          <cell r="E66">
            <v>13391315.029999999</v>
          </cell>
        </row>
        <row r="67">
          <cell r="C67" t="str">
            <v xml:space="preserve">   TOTAL ASSETS &amp; OTHER DEBITS</v>
          </cell>
          <cell r="D67">
            <v>217151163.03</v>
          </cell>
          <cell r="E67">
            <v>216799029.22999999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-3662155.67</v>
          </cell>
          <cell r="E74">
            <v>-2876518.13</v>
          </cell>
        </row>
        <row r="75">
          <cell r="C75" t="str">
            <v>Retained Earnings (215, 215.1, 216)</v>
          </cell>
          <cell r="D75">
            <v>-13152068.26</v>
          </cell>
          <cell r="E75">
            <v>-12366430.720000001</v>
          </cell>
        </row>
        <row r="76">
          <cell r="C76" t="str">
            <v xml:space="preserve">  TOTAL PROPRIETARY CAPITAL</v>
          </cell>
          <cell r="D76">
            <v>-87880087.540000007</v>
          </cell>
          <cell r="E76">
            <v>-87094450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-1997032.07</v>
          </cell>
          <cell r="E84">
            <v>-1996963.33</v>
          </cell>
        </row>
        <row r="85">
          <cell r="C85" t="str">
            <v>Accum Prov for Pensions &amp; Benefits (228.3)</v>
          </cell>
          <cell r="D85">
            <v>-1997032.07</v>
          </cell>
          <cell r="E85">
            <v>-1996963.33</v>
          </cell>
        </row>
        <row r="86">
          <cell r="C86" t="str">
            <v>9230000 Asset Retirement Obligation</v>
          </cell>
          <cell r="D86">
            <v>-169755.3</v>
          </cell>
          <cell r="E86">
            <v>-170741.04</v>
          </cell>
        </row>
        <row r="87">
          <cell r="C87" t="str">
            <v>Asset Retirement Obligation (230)</v>
          </cell>
          <cell r="D87">
            <v>-169755.3</v>
          </cell>
          <cell r="E87">
            <v>-170741.04</v>
          </cell>
        </row>
        <row r="88">
          <cell r="C88" t="str">
            <v xml:space="preserve">  TOTAL OTHER NON-CURRENT LIABILITIES</v>
          </cell>
          <cell r="D88">
            <v>-2166787.37</v>
          </cell>
          <cell r="E88">
            <v>-2167704.37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-5744435.96</v>
          </cell>
          <cell r="E90">
            <v>-4756373.83</v>
          </cell>
        </row>
        <row r="91">
          <cell r="C91" t="str">
            <v>Accounts Payable (232)</v>
          </cell>
          <cell r="D91">
            <v>-5744435.96</v>
          </cell>
          <cell r="E91">
            <v>-4756373.83</v>
          </cell>
        </row>
        <row r="92">
          <cell r="C92" t="str">
            <v>9233000 Notes Payable to Associated Companies</v>
          </cell>
          <cell r="D92">
            <v>-1092415.02</v>
          </cell>
          <cell r="E92">
            <v>-3537731.82</v>
          </cell>
        </row>
        <row r="93">
          <cell r="C93" t="str">
            <v>Notes Payable to Assoc Companies (233)</v>
          </cell>
          <cell r="D93">
            <v>-1092415.02</v>
          </cell>
          <cell r="E93">
            <v>-3537731.82</v>
          </cell>
        </row>
        <row r="94">
          <cell r="C94" t="str">
            <v>9234000 Accounts Payable to Associated Companies</v>
          </cell>
          <cell r="D94">
            <v>-9852023.8399999999</v>
          </cell>
          <cell r="E94">
            <v>-8658751.5700000003</v>
          </cell>
        </row>
        <row r="95">
          <cell r="C95" t="str">
            <v>Accounts Payable to Assoc Companies (234)</v>
          </cell>
          <cell r="D95">
            <v>-9852023.8399999999</v>
          </cell>
          <cell r="E95">
            <v>-8658751.5700000003</v>
          </cell>
        </row>
        <row r="96">
          <cell r="C96" t="str">
            <v>9235000 Customer Deposits</v>
          </cell>
          <cell r="D96">
            <v>-959848.64</v>
          </cell>
          <cell r="E96">
            <v>-963077.53</v>
          </cell>
        </row>
        <row r="97">
          <cell r="C97" t="str">
            <v>Customer Deposits (235)</v>
          </cell>
          <cell r="D97">
            <v>-959848.64</v>
          </cell>
          <cell r="E97">
            <v>-963077.53</v>
          </cell>
        </row>
        <row r="98">
          <cell r="C98" t="str">
            <v>9236000 Taxes Accrued</v>
          </cell>
          <cell r="D98">
            <v>-6276375.7300000004</v>
          </cell>
          <cell r="E98">
            <v>-6506126.1600000001</v>
          </cell>
        </row>
        <row r="99">
          <cell r="C99" t="str">
            <v>Taxes Accrued (236)</v>
          </cell>
          <cell r="D99">
            <v>-6276375.7300000004</v>
          </cell>
          <cell r="E99">
            <v>-6506126.1600000001</v>
          </cell>
        </row>
        <row r="100">
          <cell r="C100" t="str">
            <v>9237000 Interest Accrued</v>
          </cell>
          <cell r="D100">
            <v>-3447.05</v>
          </cell>
          <cell r="E100">
            <v>-3227.58</v>
          </cell>
        </row>
        <row r="101">
          <cell r="C101" t="str">
            <v>Interest Accrued (237)</v>
          </cell>
          <cell r="D101">
            <v>-3447.05</v>
          </cell>
          <cell r="E101">
            <v>-3227.58</v>
          </cell>
        </row>
        <row r="102">
          <cell r="C102" t="str">
            <v>9241000 Tax Collections Payable</v>
          </cell>
          <cell r="D102">
            <v>-715620.6</v>
          </cell>
          <cell r="E102">
            <v>-752430.36</v>
          </cell>
        </row>
        <row r="103">
          <cell r="C103" t="str">
            <v>Tax Collections payable (241)</v>
          </cell>
          <cell r="D103">
            <v>-715620.6</v>
          </cell>
          <cell r="E103">
            <v>-752430.36</v>
          </cell>
        </row>
        <row r="104">
          <cell r="C104" t="str">
            <v>9242000 Miscellaneous Current &amp; Accrued Liabilities</v>
          </cell>
          <cell r="D104">
            <v>-2240806.59</v>
          </cell>
          <cell r="E104">
            <v>-2417107.84</v>
          </cell>
        </row>
        <row r="105">
          <cell r="C105" t="str">
            <v>Misc Current &amp; Accrued Liabilities (242)</v>
          </cell>
          <cell r="D105">
            <v>-2240806.59</v>
          </cell>
          <cell r="E105">
            <v>-2417107.84</v>
          </cell>
        </row>
        <row r="106">
          <cell r="C106" t="str">
            <v xml:space="preserve">  TOTAL CURRENT &amp; ACCRUED LIABILITIES</v>
          </cell>
          <cell r="D106">
            <v>-26884973.43</v>
          </cell>
          <cell r="E106">
            <v>-27594826.690000001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-1444900.64</v>
          </cell>
          <cell r="E108">
            <v>-1152732.8500000001</v>
          </cell>
        </row>
        <row r="109">
          <cell r="C109" t="str">
            <v>Customer Advances for Construction (252)</v>
          </cell>
          <cell r="D109">
            <v>-1444900.64</v>
          </cell>
          <cell r="E109">
            <v>-1152732.8500000001</v>
          </cell>
        </row>
        <row r="110">
          <cell r="C110" t="str">
            <v>9253000 Other Deferred Credits</v>
          </cell>
          <cell r="D110">
            <v>-285187.45</v>
          </cell>
          <cell r="E110">
            <v>-289561.63</v>
          </cell>
        </row>
        <row r="111">
          <cell r="C111" t="str">
            <v>Other Deferred Credits (253)</v>
          </cell>
          <cell r="D111">
            <v>-285187.45</v>
          </cell>
          <cell r="E111">
            <v>-289561.63</v>
          </cell>
        </row>
        <row r="112">
          <cell r="C112" t="str">
            <v>9254000 Other Regulatory Liabilities</v>
          </cell>
          <cell r="D112">
            <v>-14706732.91</v>
          </cell>
          <cell r="E112">
            <v>-14717260</v>
          </cell>
        </row>
        <row r="113">
          <cell r="C113" t="str">
            <v>Other Regulatory Liabilities (254)</v>
          </cell>
          <cell r="D113">
            <v>-14706732.91</v>
          </cell>
          <cell r="E113">
            <v>-14717260</v>
          </cell>
        </row>
        <row r="114">
          <cell r="C114" t="str">
            <v>9282000 Accumulated Deferred Income Taxes-Other Property</v>
          </cell>
          <cell r="D114">
            <v>-28726858.920000002</v>
          </cell>
          <cell r="E114">
            <v>-28726858.920000002</v>
          </cell>
        </row>
        <row r="115">
          <cell r="C115" t="str">
            <v>9283000 Accumulated Deferred Income Taxes-Other</v>
          </cell>
          <cell r="D115">
            <v>-1416560.82</v>
          </cell>
          <cell r="E115">
            <v>-1416560.82</v>
          </cell>
        </row>
        <row r="116">
          <cell r="C116" t="str">
            <v>Accum Deferred Income Taxes (281-283)</v>
          </cell>
          <cell r="D116">
            <v>-30143419.739999998</v>
          </cell>
          <cell r="E116">
            <v>-30143419.739999998</v>
          </cell>
        </row>
        <row r="117">
          <cell r="C117" t="str">
            <v xml:space="preserve">  TOTAL DEFERRED CREDITS</v>
          </cell>
          <cell r="D117">
            <v>-46580240.740000002</v>
          </cell>
          <cell r="E117">
            <v>-46302974.219999999</v>
          </cell>
        </row>
        <row r="118">
          <cell r="C118" t="str">
            <v xml:space="preserve">   TOTAL LIABILITIES &amp; OTHER CREDITS</v>
          </cell>
          <cell r="D118">
            <v>-217151163.03</v>
          </cell>
          <cell r="E118">
            <v>-216799029.22999999</v>
          </cell>
        </row>
        <row r="119">
          <cell r="D119">
            <v>0</v>
          </cell>
          <cell r="E119">
            <v>0</v>
          </cell>
        </row>
        <row r="120">
          <cell r="D120">
            <v>704044864.09000003</v>
          </cell>
          <cell r="E120">
            <v>705847990.38999999</v>
          </cell>
        </row>
      </sheetData>
      <sheetData sheetId="5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09.2024</v>
          </cell>
          <cell r="E9">
            <v>10.202400000000001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313176289.75999999</v>
          </cell>
          <cell r="E12">
            <v>321241480.22000003</v>
          </cell>
        </row>
        <row r="13">
          <cell r="C13" t="str">
            <v>9106000 Completed Construction not Classified-Gas</v>
          </cell>
          <cell r="D13">
            <v>11696540.74</v>
          </cell>
          <cell r="E13">
            <v>4433461.28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324292071.42000002</v>
          </cell>
          <cell r="E15">
            <v>325094182.42000002</v>
          </cell>
        </row>
        <row r="16">
          <cell r="C16" t="str">
            <v>9107000 Construction Work in Progress</v>
          </cell>
          <cell r="D16">
            <v>15794705.529999999</v>
          </cell>
          <cell r="E16">
            <v>17753703.039999999</v>
          </cell>
        </row>
        <row r="17">
          <cell r="C17" t="str">
            <v xml:space="preserve"> Construction Work in Progress (107)</v>
          </cell>
          <cell r="D17">
            <v>15794705.529999999</v>
          </cell>
          <cell r="E17">
            <v>17753703.039999999</v>
          </cell>
        </row>
        <row r="18">
          <cell r="C18" t="str">
            <v xml:space="preserve">  Total Utility Plant (Gross)</v>
          </cell>
          <cell r="D18">
            <v>340086776.94999999</v>
          </cell>
          <cell r="E18">
            <v>342847885.45999998</v>
          </cell>
        </row>
        <row r="19">
          <cell r="C19" t="str">
            <v>9108000 Accumulated Depreciation-Utility Plant</v>
          </cell>
          <cell r="D19">
            <v>-148577672.83000001</v>
          </cell>
          <cell r="E19">
            <v>-149337678.50999999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-147996913.75</v>
          </cell>
          <cell r="E21">
            <v>-148756919.43000001</v>
          </cell>
        </row>
        <row r="22">
          <cell r="C22" t="str">
            <v xml:space="preserve">  Net Utility Plant</v>
          </cell>
          <cell r="D22">
            <v>192089863.19999999</v>
          </cell>
          <cell r="E22">
            <v>194090966.03</v>
          </cell>
        </row>
        <row r="23">
          <cell r="C23" t="str">
            <v xml:space="preserve">   Total Net Utility Plant</v>
          </cell>
          <cell r="D23">
            <v>192089863.19999999</v>
          </cell>
          <cell r="E23">
            <v>194090966.03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196297932.69</v>
          </cell>
          <cell r="E26">
            <v>198299035.52000001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2070841.98</v>
          </cell>
          <cell r="E28">
            <v>2070841.98</v>
          </cell>
        </row>
        <row r="29">
          <cell r="C29" t="str">
            <v>Other Special Funds (128)</v>
          </cell>
          <cell r="D29">
            <v>2070841.98</v>
          </cell>
          <cell r="E29">
            <v>2070841.98</v>
          </cell>
        </row>
        <row r="30">
          <cell r="C30" t="str">
            <v xml:space="preserve">  TOTAL OTHER PROPERTY &amp; INVESTMENTS</v>
          </cell>
          <cell r="D30">
            <v>2070841.98</v>
          </cell>
          <cell r="E30">
            <v>2070841.98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52073.15</v>
          </cell>
          <cell r="E32">
            <v>35457.53</v>
          </cell>
        </row>
        <row r="33">
          <cell r="C33" t="str">
            <v>Cash (131)</v>
          </cell>
          <cell r="D33">
            <v>52073.15</v>
          </cell>
          <cell r="E33">
            <v>35457.53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2151782.19</v>
          </cell>
          <cell r="E36">
            <v>2000217.94</v>
          </cell>
        </row>
        <row r="37">
          <cell r="C37" t="str">
            <v>Customer Accounts Receivable (142)</v>
          </cell>
          <cell r="D37">
            <v>2151782.19</v>
          </cell>
          <cell r="E37">
            <v>2000217.94</v>
          </cell>
        </row>
        <row r="38">
          <cell r="C38" t="str">
            <v>9143000 Other Accounts Receivable</v>
          </cell>
          <cell r="D38">
            <v>417463.76</v>
          </cell>
          <cell r="E38">
            <v>477282.54</v>
          </cell>
        </row>
        <row r="39">
          <cell r="C39" t="str">
            <v>Other Accounts Recevable (143)</v>
          </cell>
          <cell r="D39">
            <v>417463.76</v>
          </cell>
          <cell r="E39">
            <v>477282.54</v>
          </cell>
        </row>
        <row r="40">
          <cell r="C40" t="str">
            <v>9144000 Accumulated Provision for Uncollectible Accounts</v>
          </cell>
          <cell r="D40">
            <v>-542285.73</v>
          </cell>
          <cell r="E40">
            <v>-478349.59</v>
          </cell>
        </row>
        <row r="41">
          <cell r="C41" t="str">
            <v>Accum Prov - Uncollectible Accts (144)</v>
          </cell>
          <cell r="D41">
            <v>-542285.73</v>
          </cell>
          <cell r="E41">
            <v>-478349.59</v>
          </cell>
        </row>
        <row r="42">
          <cell r="C42" t="str">
            <v>9146000 Accounts Receivable from Associated Companies</v>
          </cell>
          <cell r="D42">
            <v>151673.98000000001</v>
          </cell>
          <cell r="E42">
            <v>400028.85</v>
          </cell>
        </row>
        <row r="43">
          <cell r="C43" t="str">
            <v>Accts Receivable from Assoc. Co.'s (146)</v>
          </cell>
          <cell r="D43">
            <v>151673.98000000001</v>
          </cell>
          <cell r="E43">
            <v>400028.85</v>
          </cell>
        </row>
        <row r="44">
          <cell r="C44" t="str">
            <v>9154000 Plant Materials &amp; Operating Supplies</v>
          </cell>
          <cell r="D44">
            <v>1404434.95</v>
          </cell>
          <cell r="E44">
            <v>1357713.16</v>
          </cell>
        </row>
        <row r="45">
          <cell r="C45" t="str">
            <v>Plant Materials &amp; Operating Supplies (154)</v>
          </cell>
          <cell r="D45">
            <v>1404434.95</v>
          </cell>
          <cell r="E45">
            <v>1357713.16</v>
          </cell>
        </row>
        <row r="46">
          <cell r="C46" t="str">
            <v>9164100 Gas Stored - Current</v>
          </cell>
          <cell r="D46">
            <v>2372763.7599999998</v>
          </cell>
          <cell r="E46">
            <v>2372763.7599999998</v>
          </cell>
        </row>
        <row r="47">
          <cell r="C47" t="str">
            <v>Gas Stored Underground - Current (164.1)</v>
          </cell>
          <cell r="D47">
            <v>2372763.7599999998</v>
          </cell>
          <cell r="E47">
            <v>2372763.7599999998</v>
          </cell>
        </row>
        <row r="48">
          <cell r="C48" t="str">
            <v>9165000 Prepayments</v>
          </cell>
          <cell r="D48">
            <v>114952.11</v>
          </cell>
          <cell r="E48">
            <v>97363.75</v>
          </cell>
        </row>
        <row r="49">
          <cell r="C49" t="str">
            <v>Prepayments (165)</v>
          </cell>
          <cell r="D49">
            <v>114952.11</v>
          </cell>
          <cell r="E49">
            <v>97363.75</v>
          </cell>
        </row>
        <row r="50">
          <cell r="C50" t="str">
            <v>9173000 Accrued Utility Revenues</v>
          </cell>
          <cell r="D50">
            <v>1946081.3</v>
          </cell>
          <cell r="E50">
            <v>2701177.04</v>
          </cell>
        </row>
        <row r="51">
          <cell r="C51" t="str">
            <v>Accrued Utility Revenues (173)</v>
          </cell>
          <cell r="D51">
            <v>1946081.3</v>
          </cell>
          <cell r="E51">
            <v>2701177.04</v>
          </cell>
        </row>
        <row r="52">
          <cell r="C52" t="str">
            <v>9174000 Miscellaneous Current &amp; Accrued Assets</v>
          </cell>
          <cell r="D52">
            <v>227178.88</v>
          </cell>
          <cell r="E52">
            <v>286855.71000000002</v>
          </cell>
        </row>
        <row r="53">
          <cell r="C53" t="str">
            <v>Misc. Current &amp; Accrued Assets (174)</v>
          </cell>
          <cell r="D53">
            <v>227178.88</v>
          </cell>
          <cell r="E53">
            <v>286855.71000000002</v>
          </cell>
        </row>
        <row r="54">
          <cell r="C54" t="str">
            <v xml:space="preserve">  TOTAL CURRENT &amp; ACCRUED ASSETS</v>
          </cell>
          <cell r="D54">
            <v>8296418.3499999996</v>
          </cell>
          <cell r="E54">
            <v>9250810.6899999995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110377.1</v>
          </cell>
          <cell r="E56">
            <v>109512.06</v>
          </cell>
        </row>
        <row r="57">
          <cell r="C57" t="str">
            <v>Unamortized Debt Expenses (181)</v>
          </cell>
          <cell r="D57">
            <v>110377.1</v>
          </cell>
          <cell r="E57">
            <v>109512.06</v>
          </cell>
        </row>
        <row r="58">
          <cell r="C58" t="str">
            <v>9182300 Other Regulatory Assets</v>
          </cell>
          <cell r="D58">
            <v>2092146.93</v>
          </cell>
          <cell r="E58">
            <v>2086893.48</v>
          </cell>
        </row>
        <row r="59">
          <cell r="C59" t="str">
            <v>Other Regulatory Assets (182.3)</v>
          </cell>
          <cell r="D59">
            <v>2092146.93</v>
          </cell>
          <cell r="E59">
            <v>2086893.48</v>
          </cell>
        </row>
        <row r="60">
          <cell r="C60" t="str">
            <v>9186000 Miscellaneous Deferred Debits</v>
          </cell>
          <cell r="D60">
            <v>1135151.96</v>
          </cell>
          <cell r="E60">
            <v>1090607.26</v>
          </cell>
        </row>
        <row r="61">
          <cell r="C61" t="str">
            <v>Miscellaneous Deferred Debits (186)</v>
          </cell>
          <cell r="D61">
            <v>1135151.96</v>
          </cell>
          <cell r="E61">
            <v>1090607.26</v>
          </cell>
        </row>
        <row r="62">
          <cell r="C62" t="str">
            <v>9190000 Accumulated Deferred Income Taxes</v>
          </cell>
          <cell r="D62">
            <v>4885409</v>
          </cell>
          <cell r="E62">
            <v>4885409</v>
          </cell>
        </row>
        <row r="63">
          <cell r="C63" t="str">
            <v>Accumulated Deferred Income Taxes (190)</v>
          </cell>
          <cell r="D63">
            <v>4885409</v>
          </cell>
          <cell r="E63">
            <v>4885409</v>
          </cell>
        </row>
        <row r="64">
          <cell r="C64" t="str">
            <v>9191000 Unrecovered Purchased Gas Costs</v>
          </cell>
          <cell r="D64">
            <v>5358321.38</v>
          </cell>
          <cell r="E64">
            <v>4553269.41</v>
          </cell>
        </row>
        <row r="65">
          <cell r="C65" t="str">
            <v>Unrecoverd Purchased Gas Costs (191)</v>
          </cell>
          <cell r="D65">
            <v>5358321.38</v>
          </cell>
          <cell r="E65">
            <v>4553269.41</v>
          </cell>
        </row>
        <row r="66">
          <cell r="C66" t="str">
            <v xml:space="preserve">  TOTAL DEFERRED DEBITS</v>
          </cell>
          <cell r="D66">
            <v>13581406.369999999</v>
          </cell>
          <cell r="E66">
            <v>12725691.210000001</v>
          </cell>
        </row>
        <row r="67">
          <cell r="C67" t="str">
            <v xml:space="preserve">   TOTAL ASSETS &amp; OTHER DEBITS</v>
          </cell>
          <cell r="D67">
            <v>220246599.38999999</v>
          </cell>
          <cell r="E67">
            <v>222346379.40000001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-2622174.9300000002</v>
          </cell>
          <cell r="E74">
            <v>-2378653.73</v>
          </cell>
        </row>
        <row r="75">
          <cell r="C75" t="str">
            <v>Retained Earnings (215, 215.1, 216)</v>
          </cell>
          <cell r="D75">
            <v>-12112087.52</v>
          </cell>
          <cell r="E75">
            <v>-11868566.32</v>
          </cell>
        </row>
        <row r="76">
          <cell r="C76" t="str">
            <v xml:space="preserve">  TOTAL PROPRIETARY CAPITAL</v>
          </cell>
          <cell r="D76">
            <v>-86840106.799999997</v>
          </cell>
          <cell r="E76">
            <v>-86596585.599999994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-1996894.59</v>
          </cell>
          <cell r="E84">
            <v>-1996825.85</v>
          </cell>
        </row>
        <row r="85">
          <cell r="C85" t="str">
            <v>Accum Prov for Pensions &amp; Benefits (228.3)</v>
          </cell>
          <cell r="D85">
            <v>-1996894.59</v>
          </cell>
          <cell r="E85">
            <v>-1996825.85</v>
          </cell>
        </row>
        <row r="86">
          <cell r="C86" t="str">
            <v>9230000 Asset Retirement Obligation</v>
          </cell>
          <cell r="D86">
            <v>-171732.97</v>
          </cell>
          <cell r="E86">
            <v>-172731.15</v>
          </cell>
        </row>
        <row r="87">
          <cell r="C87" t="str">
            <v>Asset Retirement Obligation (230)</v>
          </cell>
          <cell r="D87">
            <v>-171732.97</v>
          </cell>
          <cell r="E87">
            <v>-172731.15</v>
          </cell>
        </row>
        <row r="88">
          <cell r="C88" t="str">
            <v xml:space="preserve">  TOTAL OTHER NON-CURRENT LIABILITIES</v>
          </cell>
          <cell r="D88">
            <v>-2168627.56</v>
          </cell>
          <cell r="E88">
            <v>-2169557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-6929886.6399999997</v>
          </cell>
          <cell r="E90">
            <v>-5731518.5099999998</v>
          </cell>
        </row>
        <row r="91">
          <cell r="C91" t="str">
            <v>Accounts Payable (232)</v>
          </cell>
          <cell r="D91">
            <v>-6929886.6399999997</v>
          </cell>
          <cell r="E91">
            <v>-5731518.5099999998</v>
          </cell>
        </row>
        <row r="92">
          <cell r="C92" t="str">
            <v>9233000 Notes Payable to Associated Companies</v>
          </cell>
          <cell r="D92">
            <v>-7041997.54</v>
          </cell>
          <cell r="E92">
            <v>-8283744.5999999996</v>
          </cell>
        </row>
        <row r="93">
          <cell r="C93" t="str">
            <v>Notes Payable to Assoc Companies (233)</v>
          </cell>
          <cell r="D93">
            <v>-7041997.54</v>
          </cell>
          <cell r="E93">
            <v>-8283744.5999999996</v>
          </cell>
        </row>
        <row r="94">
          <cell r="C94" t="str">
            <v>9234000 Accounts Payable to Associated Companies</v>
          </cell>
          <cell r="D94">
            <v>-6853613.2999999998</v>
          </cell>
          <cell r="E94">
            <v>-8751335.6999999993</v>
          </cell>
        </row>
        <row r="95">
          <cell r="C95" t="str">
            <v>Accounts Payable to Assoc Companies (234)</v>
          </cell>
          <cell r="D95">
            <v>-6853613.2999999998</v>
          </cell>
          <cell r="E95">
            <v>-8751335.6999999993</v>
          </cell>
        </row>
        <row r="96">
          <cell r="C96" t="str">
            <v>9235000 Customer Deposits</v>
          </cell>
          <cell r="D96">
            <v>-965059.46</v>
          </cell>
          <cell r="E96">
            <v>-973817.35</v>
          </cell>
        </row>
        <row r="97">
          <cell r="C97" t="str">
            <v>Customer Deposits (235)</v>
          </cell>
          <cell r="D97">
            <v>-965059.46</v>
          </cell>
          <cell r="E97">
            <v>-973817.35</v>
          </cell>
        </row>
        <row r="98">
          <cell r="C98" t="str">
            <v>9236000 Taxes Accrued</v>
          </cell>
          <cell r="D98">
            <v>-6134266.9199999999</v>
          </cell>
          <cell r="E98">
            <v>-6413077.3399999999</v>
          </cell>
        </row>
        <row r="99">
          <cell r="C99" t="str">
            <v>Taxes Accrued (236)</v>
          </cell>
          <cell r="D99">
            <v>-6134266.9199999999</v>
          </cell>
          <cell r="E99">
            <v>-6413077.3399999999</v>
          </cell>
        </row>
        <row r="100">
          <cell r="C100" t="str">
            <v>9237000 Interest Accrued</v>
          </cell>
          <cell r="D100">
            <v>-3135.1</v>
          </cell>
          <cell r="E100">
            <v>-2882.17</v>
          </cell>
        </row>
        <row r="101">
          <cell r="C101" t="str">
            <v>Interest Accrued (237)</v>
          </cell>
          <cell r="D101">
            <v>-3135.1</v>
          </cell>
          <cell r="E101">
            <v>-2882.17</v>
          </cell>
        </row>
        <row r="102">
          <cell r="C102" t="str">
            <v>9241000 Tax Collections Payable</v>
          </cell>
          <cell r="D102">
            <v>-786366.64</v>
          </cell>
          <cell r="E102">
            <v>-826902.49</v>
          </cell>
        </row>
        <row r="103">
          <cell r="C103" t="str">
            <v>Tax Collections payable (241)</v>
          </cell>
          <cell r="D103">
            <v>-786366.64</v>
          </cell>
          <cell r="E103">
            <v>-826902.49</v>
          </cell>
        </row>
        <row r="104">
          <cell r="C104" t="str">
            <v>9242000 Miscellaneous Current &amp; Accrued Liabilities</v>
          </cell>
          <cell r="D104">
            <v>-2639247.37</v>
          </cell>
          <cell r="E104">
            <v>-2718075.04</v>
          </cell>
        </row>
        <row r="105">
          <cell r="C105" t="str">
            <v>Misc Current &amp; Accrued Liabilities (242)</v>
          </cell>
          <cell r="D105">
            <v>-2639247.37</v>
          </cell>
          <cell r="E105">
            <v>-2718075.04</v>
          </cell>
        </row>
        <row r="106">
          <cell r="C106" t="str">
            <v xml:space="preserve">  TOTAL CURRENT &amp; ACCRUED LIABILITIES</v>
          </cell>
          <cell r="D106">
            <v>-31353572.969999999</v>
          </cell>
          <cell r="E106">
            <v>-33701353.200000003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-1097531.25</v>
          </cell>
          <cell r="E108">
            <v>-1077934.3799999999</v>
          </cell>
        </row>
        <row r="109">
          <cell r="C109" t="str">
            <v>Customer Advances for Construction (252)</v>
          </cell>
          <cell r="D109">
            <v>-1097531.25</v>
          </cell>
          <cell r="E109">
            <v>-1077934.3799999999</v>
          </cell>
        </row>
        <row r="110">
          <cell r="C110" t="str">
            <v>9253000 Other Deferred Credits</v>
          </cell>
          <cell r="D110">
            <v>-327963.31</v>
          </cell>
          <cell r="E110">
            <v>-332337.49</v>
          </cell>
        </row>
        <row r="111">
          <cell r="C111" t="str">
            <v>Other Deferred Credits (253)</v>
          </cell>
          <cell r="D111">
            <v>-327963.31</v>
          </cell>
          <cell r="E111">
            <v>-332337.49</v>
          </cell>
        </row>
        <row r="112">
          <cell r="C112" t="str">
            <v>9254000 Other Regulatory Liabilities</v>
          </cell>
          <cell r="D112">
            <v>-14469086.689999999</v>
          </cell>
          <cell r="E112">
            <v>-14478900.92</v>
          </cell>
        </row>
        <row r="113">
          <cell r="C113" t="str">
            <v>Other Regulatory Liabilities (254)</v>
          </cell>
          <cell r="D113">
            <v>-14469086.689999999</v>
          </cell>
          <cell r="E113">
            <v>-14478900.92</v>
          </cell>
        </row>
        <row r="114">
          <cell r="C114" t="str">
            <v>9282000 Accumulated Deferred Income Taxes-Other Property</v>
          </cell>
          <cell r="D114">
            <v>-28858310.02</v>
          </cell>
          <cell r="E114">
            <v>-28858310.02</v>
          </cell>
        </row>
        <row r="115">
          <cell r="C115" t="str">
            <v>9283000 Accumulated Deferred Income Taxes-Other</v>
          </cell>
          <cell r="D115">
            <v>-1492326.84</v>
          </cell>
          <cell r="E115">
            <v>-1492326.84</v>
          </cell>
        </row>
        <row r="116">
          <cell r="C116" t="str">
            <v>Accum Deferred Income Taxes (281-283)</v>
          </cell>
          <cell r="D116">
            <v>-30350636.859999999</v>
          </cell>
          <cell r="E116">
            <v>-30350636.859999999</v>
          </cell>
        </row>
        <row r="117">
          <cell r="C117" t="str">
            <v xml:space="preserve">  TOTAL DEFERRED CREDITS</v>
          </cell>
          <cell r="D117">
            <v>-46245218.109999999</v>
          </cell>
          <cell r="E117">
            <v>-46239809.649999999</v>
          </cell>
        </row>
        <row r="118">
          <cell r="C118" t="str">
            <v xml:space="preserve">   TOTAL LIABILITIES &amp; OTHER CREDITS</v>
          </cell>
          <cell r="D118">
            <v>-220246599.38999999</v>
          </cell>
          <cell r="E118">
            <v>-222346379.40000001</v>
          </cell>
        </row>
        <row r="119">
          <cell r="D119">
            <v>0</v>
          </cell>
          <cell r="E119">
            <v>0</v>
          </cell>
        </row>
        <row r="120">
          <cell r="D120">
            <v>714776590.75999999</v>
          </cell>
          <cell r="E120">
            <v>721539904.92999995</v>
          </cell>
        </row>
      </sheetData>
      <sheetData sheetId="6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11.2024</v>
          </cell>
          <cell r="E9">
            <v>12.202400000000001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323805144.69999999</v>
          </cell>
          <cell r="E12">
            <v>325264224.80000001</v>
          </cell>
        </row>
        <row r="13">
          <cell r="C13" t="str">
            <v>9106000 Completed Construction not Classified-Gas</v>
          </cell>
          <cell r="D13">
            <v>3702258.27</v>
          </cell>
          <cell r="E13">
            <v>3636372.21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326926643.88999999</v>
          </cell>
          <cell r="E15">
            <v>328319837.93000001</v>
          </cell>
        </row>
        <row r="16">
          <cell r="C16" t="str">
            <v>9107000 Construction Work in Progress</v>
          </cell>
          <cell r="D16">
            <v>17509993.739999998</v>
          </cell>
          <cell r="E16">
            <v>18486649.780000001</v>
          </cell>
        </row>
        <row r="17">
          <cell r="C17" t="str">
            <v xml:space="preserve"> Construction Work in Progress (107)</v>
          </cell>
          <cell r="D17">
            <v>17509993.739999998</v>
          </cell>
          <cell r="E17">
            <v>18486649.780000001</v>
          </cell>
        </row>
        <row r="18">
          <cell r="C18" t="str">
            <v xml:space="preserve">  Total Utility Plant (Gross)</v>
          </cell>
          <cell r="D18">
            <v>344436637.63</v>
          </cell>
          <cell r="E18">
            <v>346806487.70999998</v>
          </cell>
        </row>
        <row r="19">
          <cell r="C19" t="str">
            <v>9108000 Accumulated Depreciation-Utility Plant</v>
          </cell>
          <cell r="D19">
            <v>-149162119.47999999</v>
          </cell>
          <cell r="E19">
            <v>-150230551.15000001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-148581360.40000001</v>
          </cell>
          <cell r="E21">
            <v>-149649792.06999999</v>
          </cell>
        </row>
        <row r="22">
          <cell r="C22" t="str">
            <v xml:space="preserve">  Net Utility Plant</v>
          </cell>
          <cell r="D22">
            <v>195855277.22999999</v>
          </cell>
          <cell r="E22">
            <v>197156695.63999999</v>
          </cell>
        </row>
        <row r="23">
          <cell r="C23" t="str">
            <v xml:space="preserve">   Total Net Utility Plant</v>
          </cell>
          <cell r="D23">
            <v>195855277.22999999</v>
          </cell>
          <cell r="E23">
            <v>197156695.63999999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200063346.72</v>
          </cell>
          <cell r="E26">
            <v>201364765.13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2070841.98</v>
          </cell>
          <cell r="E28">
            <v>2041798.25</v>
          </cell>
        </row>
        <row r="29">
          <cell r="C29" t="str">
            <v>Other Special Funds (128)</v>
          </cell>
          <cell r="D29">
            <v>2070841.98</v>
          </cell>
          <cell r="E29">
            <v>2041798.25</v>
          </cell>
        </row>
        <row r="30">
          <cell r="C30" t="str">
            <v xml:space="preserve">  TOTAL OTHER PROPERTY &amp; INVESTMENTS</v>
          </cell>
          <cell r="D30">
            <v>2070841.98</v>
          </cell>
          <cell r="E30">
            <v>2041798.25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96227.9</v>
          </cell>
          <cell r="E32">
            <v>139735.54999999999</v>
          </cell>
        </row>
        <row r="33">
          <cell r="C33" t="str">
            <v>Cash (131)</v>
          </cell>
          <cell r="D33">
            <v>96227.9</v>
          </cell>
          <cell r="E33">
            <v>139735.54999999999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2129426.38</v>
          </cell>
          <cell r="E36">
            <v>2587542.0099999998</v>
          </cell>
        </row>
        <row r="37">
          <cell r="C37" t="str">
            <v>Customer Accounts Receivable (142)</v>
          </cell>
          <cell r="D37">
            <v>2129426.38</v>
          </cell>
          <cell r="E37">
            <v>2587542.0099999998</v>
          </cell>
        </row>
        <row r="38">
          <cell r="C38" t="str">
            <v>9143000 Other Accounts Receivable</v>
          </cell>
          <cell r="D38">
            <v>502789.27</v>
          </cell>
          <cell r="E38">
            <v>513152.22</v>
          </cell>
        </row>
        <row r="39">
          <cell r="C39" t="str">
            <v>Other Accounts Recevable (143)</v>
          </cell>
          <cell r="D39">
            <v>502789.27</v>
          </cell>
          <cell r="E39">
            <v>513152.22</v>
          </cell>
        </row>
        <row r="40">
          <cell r="C40" t="str">
            <v>9144000 Accumulated Provision for Uncollectible Accounts</v>
          </cell>
          <cell r="D40">
            <v>-462807.32</v>
          </cell>
          <cell r="E40">
            <v>-478167.72</v>
          </cell>
        </row>
        <row r="41">
          <cell r="C41" t="str">
            <v>Accum Prov - Uncollectible Accts (144)</v>
          </cell>
          <cell r="D41">
            <v>-462807.32</v>
          </cell>
          <cell r="E41">
            <v>-478167.72</v>
          </cell>
        </row>
        <row r="42">
          <cell r="C42" t="str">
            <v>9146000 Accounts Receivable from Associated Companies</v>
          </cell>
          <cell r="D42">
            <v>274768.57</v>
          </cell>
          <cell r="E42">
            <v>22555.34</v>
          </cell>
        </row>
        <row r="43">
          <cell r="C43" t="str">
            <v>Accts Receivable from Assoc. Co.'s (146)</v>
          </cell>
          <cell r="D43">
            <v>274768.57</v>
          </cell>
          <cell r="E43">
            <v>22555.34</v>
          </cell>
        </row>
        <row r="44">
          <cell r="C44" t="str">
            <v>9154000 Plant Materials &amp; Operating Supplies</v>
          </cell>
          <cell r="D44">
            <v>946464.4</v>
          </cell>
          <cell r="E44">
            <v>1086857.52</v>
          </cell>
        </row>
        <row r="45">
          <cell r="C45" t="str">
            <v>Plant Materials &amp; Operating Supplies (154)</v>
          </cell>
          <cell r="D45">
            <v>946464.4</v>
          </cell>
          <cell r="E45">
            <v>1086857.52</v>
          </cell>
        </row>
        <row r="46">
          <cell r="C46" t="str">
            <v>9164100 Gas Stored - Current</v>
          </cell>
          <cell r="D46">
            <v>2372763.7599999998</v>
          </cell>
          <cell r="E46">
            <v>1637940.52</v>
          </cell>
        </row>
        <row r="47">
          <cell r="C47" t="str">
            <v>Gas Stored Underground - Current (164.1)</v>
          </cell>
          <cell r="D47">
            <v>2372763.7599999998</v>
          </cell>
          <cell r="E47">
            <v>1637940.52</v>
          </cell>
        </row>
        <row r="48">
          <cell r="C48" t="str">
            <v>9165000 Prepayments</v>
          </cell>
          <cell r="D48">
            <v>101998.19</v>
          </cell>
          <cell r="E48">
            <v>115189.15</v>
          </cell>
        </row>
        <row r="49">
          <cell r="C49" t="str">
            <v>Prepayments (165)</v>
          </cell>
          <cell r="D49">
            <v>101998.19</v>
          </cell>
          <cell r="E49">
            <v>115189.15</v>
          </cell>
        </row>
        <row r="50">
          <cell r="C50" t="str">
            <v>9173000 Accrued Utility Revenues</v>
          </cell>
          <cell r="D50">
            <v>4771951.24</v>
          </cell>
          <cell r="E50">
            <v>7871884.3700000001</v>
          </cell>
        </row>
        <row r="51">
          <cell r="C51" t="str">
            <v>Accrued Utility Revenues (173)</v>
          </cell>
          <cell r="D51">
            <v>4771951.24</v>
          </cell>
          <cell r="E51">
            <v>7871884.3700000001</v>
          </cell>
        </row>
        <row r="52">
          <cell r="C52" t="str">
            <v>9174000 Miscellaneous Current &amp; Accrued Assets</v>
          </cell>
          <cell r="D52">
            <v>167623.79</v>
          </cell>
          <cell r="E52">
            <v>558844.43000000005</v>
          </cell>
        </row>
        <row r="53">
          <cell r="C53" t="str">
            <v>Misc. Current &amp; Accrued Assets (174)</v>
          </cell>
          <cell r="D53">
            <v>167623.79</v>
          </cell>
          <cell r="E53">
            <v>558844.43000000005</v>
          </cell>
        </row>
        <row r="54">
          <cell r="C54" t="str">
            <v xml:space="preserve">  TOTAL CURRENT &amp; ACCRUED ASSETS</v>
          </cell>
          <cell r="D54">
            <v>10901506.18</v>
          </cell>
          <cell r="E54">
            <v>14055833.390000001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108771.46</v>
          </cell>
          <cell r="E56">
            <v>108030.86</v>
          </cell>
        </row>
        <row r="57">
          <cell r="C57" t="str">
            <v>Unamortized Debt Expenses (181)</v>
          </cell>
          <cell r="D57">
            <v>108771.46</v>
          </cell>
          <cell r="E57">
            <v>108030.86</v>
          </cell>
        </row>
        <row r="58">
          <cell r="C58" t="str">
            <v>9182300 Other Regulatory Assets</v>
          </cell>
          <cell r="D58">
            <v>2106913.5499999998</v>
          </cell>
          <cell r="E58">
            <v>1832212.17</v>
          </cell>
        </row>
        <row r="59">
          <cell r="C59" t="str">
            <v>Other Regulatory Assets (182.3)</v>
          </cell>
          <cell r="D59">
            <v>2106913.5499999998</v>
          </cell>
          <cell r="E59">
            <v>1832212.17</v>
          </cell>
        </row>
        <row r="60">
          <cell r="C60" t="str">
            <v>9186000 Miscellaneous Deferred Debits</v>
          </cell>
          <cell r="D60">
            <v>81197.649999999994</v>
          </cell>
          <cell r="E60">
            <v>684044.85</v>
          </cell>
        </row>
        <row r="61">
          <cell r="C61" t="str">
            <v>Miscellaneous Deferred Debits (186)</v>
          </cell>
          <cell r="D61">
            <v>81197.649999999994</v>
          </cell>
          <cell r="E61">
            <v>684044.85</v>
          </cell>
        </row>
        <row r="62">
          <cell r="C62" t="str">
            <v>9190000 Accumulated Deferred Income Taxes</v>
          </cell>
          <cell r="D62">
            <v>4839479.4400000004</v>
          </cell>
          <cell r="E62">
            <v>4777537.1500000004</v>
          </cell>
        </row>
        <row r="63">
          <cell r="C63" t="str">
            <v>Accumulated Deferred Income Taxes (190)</v>
          </cell>
          <cell r="D63">
            <v>4839479.4400000004</v>
          </cell>
          <cell r="E63">
            <v>4777537.1500000004</v>
          </cell>
        </row>
        <row r="64">
          <cell r="C64" t="str">
            <v>9191000 Unrecovered Purchased Gas Costs</v>
          </cell>
          <cell r="D64">
            <v>4678062.28</v>
          </cell>
          <cell r="E64">
            <v>4121006.55</v>
          </cell>
        </row>
        <row r="65">
          <cell r="C65" t="str">
            <v>Unrecoverd Purchased Gas Costs (191)</v>
          </cell>
          <cell r="D65">
            <v>4678062.28</v>
          </cell>
          <cell r="E65">
            <v>4121006.55</v>
          </cell>
        </row>
        <row r="66">
          <cell r="C66" t="str">
            <v xml:space="preserve">  TOTAL DEFERRED DEBITS</v>
          </cell>
          <cell r="D66">
            <v>11814424.380000001</v>
          </cell>
          <cell r="E66">
            <v>11522831.58</v>
          </cell>
        </row>
        <row r="67">
          <cell r="C67" t="str">
            <v xml:space="preserve">   TOTAL ASSETS &amp; OTHER DEBITS</v>
          </cell>
          <cell r="D67">
            <v>224850119.25999999</v>
          </cell>
          <cell r="E67">
            <v>228985228.34999999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-3805139.82</v>
          </cell>
          <cell r="E74">
            <v>-5915940.2400000002</v>
          </cell>
        </row>
        <row r="75">
          <cell r="C75" t="str">
            <v>Retained Earnings (215, 215.1, 216)</v>
          </cell>
          <cell r="D75">
            <v>-13295052.41</v>
          </cell>
          <cell r="E75">
            <v>-15405852.83</v>
          </cell>
        </row>
        <row r="76">
          <cell r="C76" t="str">
            <v xml:space="preserve">  TOTAL PROPRIETARY CAPITAL</v>
          </cell>
          <cell r="D76">
            <v>-88023071.689999998</v>
          </cell>
          <cell r="E76">
            <v>-90133872.109999999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-51999999.950000003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-51999999.950000003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-52001473.950000003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-1996757.11</v>
          </cell>
          <cell r="E84">
            <v>-1996688.37</v>
          </cell>
        </row>
        <row r="85">
          <cell r="C85" t="str">
            <v>Accum Prov for Pensions &amp; Benefits (228.3)</v>
          </cell>
          <cell r="D85">
            <v>-1996757.11</v>
          </cell>
          <cell r="E85">
            <v>-1996688.37</v>
          </cell>
        </row>
        <row r="86">
          <cell r="C86" t="str">
            <v>9230000 Asset Retirement Obligation</v>
          </cell>
          <cell r="D86">
            <v>-173735.62</v>
          </cell>
          <cell r="E86">
            <v>-174746.39</v>
          </cell>
        </row>
        <row r="87">
          <cell r="C87" t="str">
            <v>Asset Retirement Obligation (230)</v>
          </cell>
          <cell r="D87">
            <v>-173735.62</v>
          </cell>
          <cell r="E87">
            <v>-174746.39</v>
          </cell>
        </row>
        <row r="88">
          <cell r="C88" t="str">
            <v xml:space="preserve">  TOTAL OTHER NON-CURRENT LIABILITIES</v>
          </cell>
          <cell r="D88">
            <v>-2170492.73</v>
          </cell>
          <cell r="E88">
            <v>-2171434.7599999998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-7470005.9800000004</v>
          </cell>
          <cell r="E90">
            <v>-8296686.9500000002</v>
          </cell>
        </row>
        <row r="91">
          <cell r="C91" t="str">
            <v>Accounts Payable (232)</v>
          </cell>
          <cell r="D91">
            <v>-7470005.9800000004</v>
          </cell>
          <cell r="E91">
            <v>-8296686.9500000002</v>
          </cell>
        </row>
        <row r="92">
          <cell r="C92" t="str">
            <v>9233000 Notes Payable to Associated Companies</v>
          </cell>
          <cell r="D92">
            <v>-9343650.3000000007</v>
          </cell>
          <cell r="E92">
            <v>-19313993.52</v>
          </cell>
        </row>
        <row r="93">
          <cell r="C93" t="str">
            <v>Notes Payable to Assoc Companies (233)</v>
          </cell>
          <cell r="D93">
            <v>-9343650.3000000007</v>
          </cell>
          <cell r="E93">
            <v>-19313993.52</v>
          </cell>
        </row>
        <row r="94">
          <cell r="C94" t="str">
            <v>9234000 Accounts Payable to Associated Companies</v>
          </cell>
          <cell r="D94">
            <v>-9069727.5899999999</v>
          </cell>
          <cell r="E94">
            <v>-1443566.17</v>
          </cell>
        </row>
        <row r="95">
          <cell r="C95" t="str">
            <v>Accounts Payable to Assoc Companies (234)</v>
          </cell>
          <cell r="D95">
            <v>-9069727.5899999999</v>
          </cell>
          <cell r="E95">
            <v>-1443566.17</v>
          </cell>
        </row>
        <row r="96">
          <cell r="C96" t="str">
            <v>9235000 Customer Deposits</v>
          </cell>
          <cell r="D96">
            <v>-1001241.15</v>
          </cell>
          <cell r="E96">
            <v>-1034998.43</v>
          </cell>
        </row>
        <row r="97">
          <cell r="C97" t="str">
            <v>Customer Deposits (235)</v>
          </cell>
          <cell r="D97">
            <v>-1001241.15</v>
          </cell>
          <cell r="E97">
            <v>-1034998.43</v>
          </cell>
        </row>
        <row r="98">
          <cell r="C98" t="str">
            <v>9236000 Taxes Accrued</v>
          </cell>
          <cell r="D98">
            <v>-4399260.32</v>
          </cell>
          <cell r="E98">
            <v>-6001616.8499999996</v>
          </cell>
        </row>
        <row r="99">
          <cell r="C99" t="str">
            <v>Taxes Accrued (236)</v>
          </cell>
          <cell r="D99">
            <v>-4399260.32</v>
          </cell>
          <cell r="E99">
            <v>-6001616.8499999996</v>
          </cell>
        </row>
        <row r="100">
          <cell r="C100" t="str">
            <v>9237000 Interest Accrued</v>
          </cell>
          <cell r="D100">
            <v>-2742.9</v>
          </cell>
          <cell r="E100">
            <v>-2696.74</v>
          </cell>
        </row>
        <row r="101">
          <cell r="C101" t="str">
            <v>Interest Accrued (237)</v>
          </cell>
          <cell r="D101">
            <v>-2742.9</v>
          </cell>
          <cell r="E101">
            <v>-2696.74</v>
          </cell>
        </row>
        <row r="102">
          <cell r="C102" t="str">
            <v>9241000 Tax Collections Payable</v>
          </cell>
          <cell r="D102">
            <v>-878283.07</v>
          </cell>
          <cell r="E102">
            <v>-952253.3</v>
          </cell>
        </row>
        <row r="103">
          <cell r="C103" t="str">
            <v>Tax Collections payable (241)</v>
          </cell>
          <cell r="D103">
            <v>-878283.07</v>
          </cell>
          <cell r="E103">
            <v>-952253.3</v>
          </cell>
        </row>
        <row r="104">
          <cell r="C104" t="str">
            <v>9242000 Miscellaneous Current &amp; Accrued Liabilities</v>
          </cell>
          <cell r="D104">
            <v>-2730082.33</v>
          </cell>
          <cell r="E104">
            <v>-2572634.59</v>
          </cell>
        </row>
        <row r="105">
          <cell r="C105" t="str">
            <v>Misc Current &amp; Accrued Liabilities (242)</v>
          </cell>
          <cell r="D105">
            <v>-2730082.33</v>
          </cell>
          <cell r="E105">
            <v>-2572634.59</v>
          </cell>
        </row>
        <row r="106">
          <cell r="C106" t="str">
            <v xml:space="preserve">  TOTAL CURRENT &amp; ACCRUED LIABILITIES</v>
          </cell>
          <cell r="D106">
            <v>-34894993.640000001</v>
          </cell>
          <cell r="E106">
            <v>-39618446.549999997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-936009.66</v>
          </cell>
          <cell r="E108">
            <v>-938032.96</v>
          </cell>
        </row>
        <row r="109">
          <cell r="C109" t="str">
            <v>Customer Advances for Construction (252)</v>
          </cell>
          <cell r="D109">
            <v>-936009.66</v>
          </cell>
          <cell r="E109">
            <v>-938032.96</v>
          </cell>
        </row>
        <row r="110">
          <cell r="C110" t="str">
            <v>9253000 Other Deferred Credits</v>
          </cell>
          <cell r="D110">
            <v>-337491.67</v>
          </cell>
          <cell r="E110">
            <v>-367730.4</v>
          </cell>
        </row>
        <row r="111">
          <cell r="C111" t="str">
            <v>Other Deferred Credits (253)</v>
          </cell>
          <cell r="D111">
            <v>-337491.67</v>
          </cell>
          <cell r="E111">
            <v>-367730.4</v>
          </cell>
        </row>
        <row r="112">
          <cell r="C112" t="str">
            <v>9254000 Other Regulatory Liabilities</v>
          </cell>
          <cell r="D112">
            <v>-14555154.390000001</v>
          </cell>
          <cell r="E112">
            <v>-14307937.15</v>
          </cell>
        </row>
        <row r="113">
          <cell r="C113" t="str">
            <v>Other Regulatory Liabilities (254)</v>
          </cell>
          <cell r="D113">
            <v>-14555154.390000001</v>
          </cell>
          <cell r="E113">
            <v>-14307937.15</v>
          </cell>
        </row>
        <row r="114">
          <cell r="C114" t="str">
            <v>9282000 Accumulated Deferred Income Taxes-Other Property</v>
          </cell>
          <cell r="D114">
            <v>-28801504.18</v>
          </cell>
          <cell r="E114">
            <v>-28044508.210000001</v>
          </cell>
        </row>
        <row r="115">
          <cell r="C115" t="str">
            <v>9283000 Accumulated Deferred Income Taxes-Other</v>
          </cell>
          <cell r="D115">
            <v>-1492327.35</v>
          </cell>
          <cell r="E115">
            <v>-1401792.26</v>
          </cell>
        </row>
        <row r="116">
          <cell r="C116" t="str">
            <v>Accum Deferred Income Taxes (281-283)</v>
          </cell>
          <cell r="D116">
            <v>-30293831.530000001</v>
          </cell>
          <cell r="E116">
            <v>-29446300.469999999</v>
          </cell>
        </row>
        <row r="117">
          <cell r="C117" t="str">
            <v xml:space="preserve">  TOTAL DEFERRED CREDITS</v>
          </cell>
          <cell r="D117">
            <v>-46122487.25</v>
          </cell>
          <cell r="E117">
            <v>-45060000.979999997</v>
          </cell>
        </row>
        <row r="118">
          <cell r="C118" t="str">
            <v xml:space="preserve">   TOTAL LIABILITIES &amp; OTHER CREDITS</v>
          </cell>
          <cell r="D118">
            <v>-224850119.25999999</v>
          </cell>
          <cell r="E118">
            <v>-228985228.34999999</v>
          </cell>
        </row>
        <row r="119">
          <cell r="D119">
            <v>0</v>
          </cell>
          <cell r="E119">
            <v>0</v>
          </cell>
        </row>
        <row r="120">
          <cell r="D120">
            <v>726657279.5</v>
          </cell>
          <cell r="E120">
            <v>731629966.39999998</v>
          </cell>
        </row>
      </sheetData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63"/>
      <sheetName val="Jan 24 - Feb 25"/>
      <sheetName val="2 28 25 BS"/>
    </sheetNames>
    <sheetDataSet>
      <sheetData sheetId="0">
        <row r="36">
          <cell r="H36">
            <v>164194693.69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1EC3-AE11-4FC1-832D-624C79F5EED8}">
  <sheetPr>
    <tabColor rgb="FFCCFFFF"/>
    <pageSetUpPr fitToPage="1"/>
  </sheetPr>
  <dimension ref="A1:N66"/>
  <sheetViews>
    <sheetView tabSelected="1" topLeftCell="B1" zoomScale="110" zoomScaleNormal="110" zoomScaleSheetLayoutView="100" workbookViewId="0">
      <selection activeCell="L16" sqref="L16"/>
    </sheetView>
  </sheetViews>
  <sheetFormatPr defaultRowHeight="15" x14ac:dyDescent="0.25"/>
  <cols>
    <col min="2" max="2" width="5.5703125" customWidth="1"/>
    <col min="3" max="3" width="50.5703125" customWidth="1"/>
    <col min="4" max="4" width="14.85546875" style="8" customWidth="1"/>
    <col min="5" max="5" width="14.5703125" style="8" customWidth="1"/>
    <col min="6" max="6" width="1.85546875" customWidth="1"/>
    <col min="7" max="7" width="8" customWidth="1"/>
    <col min="8" max="8" width="12.5703125" bestFit="1" customWidth="1"/>
  </cols>
  <sheetData>
    <row r="1" spans="1:5" ht="13.35" customHeight="1" x14ac:dyDescent="0.25">
      <c r="D1"/>
      <c r="E1"/>
    </row>
    <row r="2" spans="1:5" ht="30" x14ac:dyDescent="0.25">
      <c r="A2" t="s">
        <v>2</v>
      </c>
      <c r="B2" t="s">
        <v>3</v>
      </c>
      <c r="D2" s="54" t="s">
        <v>96</v>
      </c>
      <c r="E2" s="55" t="s">
        <v>100</v>
      </c>
    </row>
    <row r="3" spans="1:5" x14ac:dyDescent="0.25">
      <c r="D3" s="67">
        <v>46203</v>
      </c>
      <c r="E3" s="67">
        <v>45716</v>
      </c>
    </row>
    <row r="4" spans="1:5" x14ac:dyDescent="0.25">
      <c r="A4" s="1">
        <v>1</v>
      </c>
      <c r="B4" t="s">
        <v>4</v>
      </c>
      <c r="E4" s="56"/>
    </row>
    <row r="5" spans="1:5" ht="15" customHeight="1" x14ac:dyDescent="0.25">
      <c r="A5" s="1">
        <f>1+A4</f>
        <v>2</v>
      </c>
      <c r="B5" t="s">
        <v>5</v>
      </c>
      <c r="E5" s="57"/>
    </row>
    <row r="6" spans="1:5" ht="15" customHeight="1" x14ac:dyDescent="0.25">
      <c r="A6" s="1">
        <f t="shared" ref="A6:A14" si="0">1+A5</f>
        <v>3</v>
      </c>
      <c r="B6" t="s">
        <v>45</v>
      </c>
      <c r="D6" s="6">
        <f>'[1]Tab 55 p10'!$Q$66/1000</f>
        <v>204718.666512</v>
      </c>
      <c r="E6" s="6">
        <f>'[2]Tab 55 p7'!$J$66/1000</f>
        <v>194545.63835000002</v>
      </c>
    </row>
    <row r="7" spans="1:5" ht="15" customHeight="1" x14ac:dyDescent="0.25">
      <c r="A7" s="1">
        <f t="shared" si="0"/>
        <v>4</v>
      </c>
      <c r="B7" t="s">
        <v>46</v>
      </c>
      <c r="D7" s="8">
        <f>'[1]Tab 55 p10'!$Q$84/1000</f>
        <v>38065.121166999998</v>
      </c>
      <c r="E7" s="8">
        <f>'[2]Tab 55 p7'!$J$84/1000</f>
        <v>35068.678070000002</v>
      </c>
    </row>
    <row r="8" spans="1:5" ht="15" customHeight="1" x14ac:dyDescent="0.25">
      <c r="A8" s="1">
        <f t="shared" si="0"/>
        <v>5</v>
      </c>
      <c r="B8" t="s">
        <v>47</v>
      </c>
      <c r="D8" s="8">
        <f>'[1]Tab 55 p10'!$Q$13/1000</f>
        <v>10735.779759999999</v>
      </c>
      <c r="E8" s="8">
        <f>'[2]Tab 55 p7'!$J$13/1000</f>
        <v>9547.940889999998</v>
      </c>
    </row>
    <row r="9" spans="1:5" ht="15" customHeight="1" x14ac:dyDescent="0.25">
      <c r="A9" s="1">
        <f t="shared" si="0"/>
        <v>6</v>
      </c>
      <c r="B9" t="s">
        <v>48</v>
      </c>
      <c r="D9" s="8">
        <f>'[1]Tab 55 p10'!$Q$23/1000</f>
        <v>4404.09638</v>
      </c>
      <c r="E9" s="8">
        <f>'[2]Tab 55 p7'!$J$23/1000</f>
        <v>4752.0107900000003</v>
      </c>
    </row>
    <row r="10" spans="1:5" ht="15" customHeight="1" x14ac:dyDescent="0.25">
      <c r="A10" s="1">
        <f t="shared" si="0"/>
        <v>7</v>
      </c>
      <c r="B10" t="s">
        <v>49</v>
      </c>
      <c r="D10" s="8">
        <f>'[1]Tab 55 p10'!$Q$39/1000</f>
        <v>35952.849289999998</v>
      </c>
      <c r="E10" s="8">
        <f>'[2]Tab 55 p7'!$J$39/1000</f>
        <v>35675.553629999995</v>
      </c>
    </row>
    <row r="11" spans="1:5" ht="15" customHeight="1" x14ac:dyDescent="0.25">
      <c r="A11" s="1">
        <f t="shared" si="0"/>
        <v>8</v>
      </c>
      <c r="B11" t="s">
        <v>50</v>
      </c>
      <c r="D11" s="58">
        <f>'[1]Tab 55 p10'!$Q$50/1000</f>
        <v>87002.688849999991</v>
      </c>
      <c r="E11" s="58">
        <f>'[2]Tab 55 p7'!$J$50/1000</f>
        <v>71357.354770000005</v>
      </c>
    </row>
    <row r="12" spans="1:5" x14ac:dyDescent="0.25">
      <c r="A12" s="1">
        <f t="shared" si="0"/>
        <v>9</v>
      </c>
      <c r="B12" t="s">
        <v>97</v>
      </c>
      <c r="D12" s="6">
        <f>SUM(D6:D11)</f>
        <v>380879.20195899997</v>
      </c>
      <c r="E12" s="6">
        <f>SUM(E6:E11)</f>
        <v>350947.17650000006</v>
      </c>
    </row>
    <row r="13" spans="1:5" x14ac:dyDescent="0.25">
      <c r="A13" s="1">
        <f t="shared" si="0"/>
        <v>10</v>
      </c>
      <c r="B13" t="s">
        <v>6</v>
      </c>
      <c r="D13" s="58">
        <f>-'[1]7 25 - 6 26 capex &amp; dep'!$Y$57/1000</f>
        <v>166125.60731900003</v>
      </c>
      <c r="E13" s="38">
        <f>-'[2]Tab 55 p2'!$AA$55/1000</f>
        <v>152067.40843000001</v>
      </c>
    </row>
    <row r="14" spans="1:5" x14ac:dyDescent="0.25">
      <c r="A14" s="1">
        <f t="shared" si="0"/>
        <v>11</v>
      </c>
      <c r="C14" t="s">
        <v>7</v>
      </c>
      <c r="D14" s="6">
        <f>D12-D13</f>
        <v>214753.59463999994</v>
      </c>
      <c r="E14" s="6">
        <f>E12-E13</f>
        <v>198879.76807000005</v>
      </c>
    </row>
    <row r="15" spans="1:5" x14ac:dyDescent="0.25">
      <c r="A15" s="1"/>
      <c r="D15" s="32"/>
      <c r="E15" s="32"/>
    </row>
    <row r="16" spans="1:5" x14ac:dyDescent="0.25">
      <c r="A16" s="1">
        <f>1+A14</f>
        <v>12</v>
      </c>
      <c r="B16" t="s">
        <v>8</v>
      </c>
    </row>
    <row r="17" spans="1:14" x14ac:dyDescent="0.25">
      <c r="A17" s="1">
        <f>1+A16</f>
        <v>13</v>
      </c>
      <c r="B17" t="s">
        <v>5</v>
      </c>
    </row>
    <row r="18" spans="1:14" x14ac:dyDescent="0.25">
      <c r="A18" s="1">
        <f>1+A17</f>
        <v>14</v>
      </c>
      <c r="B18" t="s">
        <v>9</v>
      </c>
      <c r="D18" s="6">
        <f>1275294.88649511/1000</f>
        <v>1275.2948864951102</v>
      </c>
      <c r="E18" s="95">
        <f>-'Bal Sheet'!Q93/1000</f>
        <v>242.22351</v>
      </c>
      <c r="F18" s="25"/>
      <c r="G18" s="25"/>
      <c r="H18" s="94"/>
      <c r="I18" s="25"/>
      <c r="J18" s="25"/>
      <c r="K18" s="25"/>
      <c r="L18" s="25"/>
      <c r="M18" s="25"/>
      <c r="N18" s="25"/>
    </row>
    <row r="19" spans="1:14" x14ac:dyDescent="0.25">
      <c r="A19" s="1">
        <f>1+A18</f>
        <v>15</v>
      </c>
      <c r="B19" t="s">
        <v>10</v>
      </c>
      <c r="D19" s="8">
        <f>'[1]Cap Structure Proj'!$AH$15/1000</f>
        <v>84499.999949999983</v>
      </c>
      <c r="E19" s="96">
        <f>-'Bal Sheet'!Q79/1000</f>
        <v>67111.110950000002</v>
      </c>
      <c r="F19" s="25"/>
      <c r="G19" s="25"/>
      <c r="H19" s="25"/>
    </row>
    <row r="20" spans="1:14" x14ac:dyDescent="0.25">
      <c r="A20" s="1">
        <f>1+A19</f>
        <v>16</v>
      </c>
      <c r="B20" t="s">
        <v>11</v>
      </c>
      <c r="D20" s="8">
        <f>'[1]Cap Structure Proj'!$AH$12/1000</f>
        <v>98714.181104614443</v>
      </c>
      <c r="E20" s="96">
        <f>-'Bal Sheet'!Q76/1000</f>
        <v>96703.759180000008</v>
      </c>
      <c r="F20" s="25"/>
      <c r="G20" s="25"/>
      <c r="H20" s="97"/>
    </row>
    <row r="21" spans="1:14" ht="15.75" thickBot="1" x14ac:dyDescent="0.3">
      <c r="A21" s="1">
        <f>1+A20</f>
        <v>17</v>
      </c>
      <c r="B21" t="s">
        <v>12</v>
      </c>
      <c r="D21" s="11">
        <f>SUM(D18:D20)</f>
        <v>184489.47594110953</v>
      </c>
      <c r="E21" s="11">
        <f>SUM(E18:E20)</f>
        <v>164057.09364000001</v>
      </c>
    </row>
    <row r="22" spans="1:14" ht="15.75" thickTop="1" x14ac:dyDescent="0.25">
      <c r="A22" s="1"/>
      <c r="E22" s="6"/>
    </row>
    <row r="23" spans="1:14" x14ac:dyDescent="0.25">
      <c r="A23" s="1">
        <f>1+A21</f>
        <v>18</v>
      </c>
      <c r="B23" t="s">
        <v>13</v>
      </c>
      <c r="E23" s="6"/>
    </row>
    <row r="24" spans="1:14" ht="15" customHeight="1" x14ac:dyDescent="0.25">
      <c r="A24" s="1">
        <f>1+A23</f>
        <v>19</v>
      </c>
      <c r="B24" t="s">
        <v>14</v>
      </c>
      <c r="D24" s="6">
        <f>-('[3]Tab 56 C-1'!$G$6+'[3]Tab 56 C-1'!$G$8)/1000</f>
        <v>52042.208310000002</v>
      </c>
      <c r="E24" s="5">
        <f>-[4]Sheet1!$D$23/1000</f>
        <v>59068.086779999998</v>
      </c>
    </row>
    <row r="25" spans="1:14" x14ac:dyDescent="0.25">
      <c r="A25" s="1">
        <f>1+A24</f>
        <v>20</v>
      </c>
      <c r="B25" t="s">
        <v>15</v>
      </c>
      <c r="D25" s="7">
        <f>('[5]FERC '!$E$145+'[5]FERC '!$E$146)/1000-0.157</f>
        <v>33307.954630349981</v>
      </c>
      <c r="E25" s="7">
        <f>[4]Sheet1!$D$76/1000</f>
        <v>34132.422279999999</v>
      </c>
    </row>
    <row r="26" spans="1:14" x14ac:dyDescent="0.25">
      <c r="A26" s="1">
        <f>1+A25</f>
        <v>21</v>
      </c>
      <c r="B26" t="s">
        <v>16</v>
      </c>
      <c r="C26" s="3"/>
      <c r="D26" s="8">
        <f>'[5]FERC '!$E$148/1000</f>
        <v>2481.05935</v>
      </c>
      <c r="E26" s="7">
        <f>[4]Sheet1!$D$110/1000</f>
        <v>2942.6505299999999</v>
      </c>
    </row>
    <row r="27" spans="1:14" x14ac:dyDescent="0.25">
      <c r="A27" s="1">
        <f>1+A26</f>
        <v>22</v>
      </c>
      <c r="B27" t="s">
        <v>17</v>
      </c>
      <c r="D27" s="8">
        <f>'[5]FERC '!$E$147/1000</f>
        <v>3344.7799139999997</v>
      </c>
      <c r="E27" s="7">
        <f>[4]Sheet1!$D$108/1000</f>
        <v>2693.6202799999996</v>
      </c>
    </row>
    <row r="28" spans="1:14" x14ac:dyDescent="0.25">
      <c r="A28" s="1">
        <f>1+A27</f>
        <v>23</v>
      </c>
      <c r="B28" t="s">
        <v>18</v>
      </c>
      <c r="D28" s="14">
        <f>D24-D25-D26-D27</f>
        <v>12908.414415650022</v>
      </c>
      <c r="E28" s="64">
        <f>E24-E25-E26-E27</f>
        <v>19299.393690000001</v>
      </c>
    </row>
    <row r="29" spans="1:14" x14ac:dyDescent="0.25">
      <c r="A29" s="1"/>
      <c r="E29" s="6"/>
    </row>
    <row r="30" spans="1:14" x14ac:dyDescent="0.25">
      <c r="A30" s="1">
        <f>1+A28</f>
        <v>24</v>
      </c>
      <c r="B30" t="s">
        <v>19</v>
      </c>
      <c r="D30" s="8">
        <f>'[5]FERC '!$E$149</f>
        <v>0</v>
      </c>
      <c r="E30" s="5">
        <f>-[4]Sheet1!$D$136/1000</f>
        <v>82.472340000000003</v>
      </c>
    </row>
    <row r="31" spans="1:14" x14ac:dyDescent="0.25">
      <c r="A31" s="1">
        <f>1+A30</f>
        <v>25</v>
      </c>
      <c r="B31" t="s">
        <v>20</v>
      </c>
      <c r="D31" s="8">
        <f>'[5]FERC '!$E$150/1000</f>
        <v>3845.0874699999999</v>
      </c>
      <c r="E31" s="7">
        <f>[4]Sheet1!$D$144/1000</f>
        <v>2308.6382699999999</v>
      </c>
    </row>
    <row r="32" spans="1:14" x14ac:dyDescent="0.25">
      <c r="A32" s="1"/>
      <c r="E32" s="6"/>
    </row>
    <row r="33" spans="1:5" ht="15.75" thickBot="1" x14ac:dyDescent="0.3">
      <c r="A33" s="1">
        <f>1+A31</f>
        <v>26</v>
      </c>
      <c r="B33" t="s">
        <v>21</v>
      </c>
      <c r="D33" s="11">
        <f>+D28+D30-D31</f>
        <v>9063.326945650022</v>
      </c>
      <c r="E33" s="65">
        <f>+E28+E30-E31</f>
        <v>17073.227760000002</v>
      </c>
    </row>
    <row r="34" spans="1:5" ht="15.75" thickTop="1" x14ac:dyDescent="0.25">
      <c r="A34" s="1"/>
      <c r="E34" s="6"/>
    </row>
    <row r="35" spans="1:5" x14ac:dyDescent="0.25">
      <c r="A35" s="1"/>
      <c r="E35"/>
    </row>
    <row r="36" spans="1:5" x14ac:dyDescent="0.25">
      <c r="A36" s="1">
        <f>+A33+1</f>
        <v>27</v>
      </c>
      <c r="B36" s="27" t="s">
        <v>22</v>
      </c>
      <c r="E36"/>
    </row>
    <row r="37" spans="1:5" x14ac:dyDescent="0.25">
      <c r="A37" s="1">
        <f>1+A36</f>
        <v>28</v>
      </c>
      <c r="B37" t="s">
        <v>23</v>
      </c>
      <c r="D37" s="59">
        <f>+E31/(D18+D19)</f>
        <v>2.6914955808671103E-2</v>
      </c>
      <c r="E37" s="59">
        <f>+D31/(E18+E19)</f>
        <v>5.7088301578944574E-2</v>
      </c>
    </row>
    <row r="38" spans="1:5" x14ac:dyDescent="0.25">
      <c r="A38" s="1"/>
      <c r="D38" s="60"/>
      <c r="E38"/>
    </row>
    <row r="39" spans="1:5" x14ac:dyDescent="0.25">
      <c r="A39" s="1">
        <f>1+A37</f>
        <v>29</v>
      </c>
      <c r="B39" s="27" t="s">
        <v>24</v>
      </c>
      <c r="D39" s="60"/>
      <c r="E39"/>
    </row>
    <row r="40" spans="1:5" x14ac:dyDescent="0.25">
      <c r="A40" s="1">
        <f>1+A39</f>
        <v>30</v>
      </c>
      <c r="B40" t="s">
        <v>25</v>
      </c>
      <c r="D40" s="60"/>
      <c r="E40" s="44"/>
    </row>
    <row r="41" spans="1:5" x14ac:dyDescent="0.25">
      <c r="A41" s="1"/>
      <c r="D41" s="39"/>
      <c r="E41"/>
    </row>
    <row r="42" spans="1:5" x14ac:dyDescent="0.25">
      <c r="A42" s="1">
        <f>1+A40</f>
        <v>31</v>
      </c>
      <c r="B42" s="27" t="s">
        <v>26</v>
      </c>
      <c r="D42" s="61" t="s">
        <v>27</v>
      </c>
      <c r="E42" s="62" t="s">
        <v>27</v>
      </c>
    </row>
    <row r="43" spans="1:5" x14ac:dyDescent="0.25">
      <c r="A43" s="1"/>
      <c r="B43" s="27"/>
      <c r="E43" s="6"/>
    </row>
    <row r="44" spans="1:5" x14ac:dyDescent="0.25">
      <c r="A44" s="1">
        <f>1+A42</f>
        <v>32</v>
      </c>
      <c r="B44" s="27" t="s">
        <v>28</v>
      </c>
      <c r="D44" s="61" t="s">
        <v>27</v>
      </c>
      <c r="E44" s="62" t="s">
        <v>27</v>
      </c>
    </row>
    <row r="45" spans="1:5" x14ac:dyDescent="0.25">
      <c r="A45" s="1">
        <f>1+A44</f>
        <v>33</v>
      </c>
      <c r="B45" t="s">
        <v>29</v>
      </c>
      <c r="D45" s="61" t="s">
        <v>27</v>
      </c>
      <c r="E45" s="61" t="s">
        <v>27</v>
      </c>
    </row>
    <row r="46" spans="1:5" x14ac:dyDescent="0.25">
      <c r="A46" s="1">
        <f>1+A45</f>
        <v>34</v>
      </c>
      <c r="B46" t="s">
        <v>30</v>
      </c>
      <c r="D46" s="61" t="str">
        <f t="shared" ref="D46:E48" si="1">$D$44</f>
        <v>n/a</v>
      </c>
      <c r="E46" s="61" t="str">
        <f t="shared" si="1"/>
        <v>n/a</v>
      </c>
    </row>
    <row r="47" spans="1:5" x14ac:dyDescent="0.25">
      <c r="A47" s="1">
        <f>1+A46</f>
        <v>35</v>
      </c>
      <c r="B47" t="s">
        <v>31</v>
      </c>
      <c r="D47" s="61" t="str">
        <f t="shared" si="1"/>
        <v>n/a</v>
      </c>
      <c r="E47" s="61" t="str">
        <f t="shared" si="1"/>
        <v>n/a</v>
      </c>
    </row>
    <row r="48" spans="1:5" x14ac:dyDescent="0.25">
      <c r="A48" s="1">
        <f>1+A47</f>
        <v>36</v>
      </c>
      <c r="B48" t="s">
        <v>32</v>
      </c>
      <c r="D48" s="61" t="str">
        <f t="shared" si="1"/>
        <v>n/a</v>
      </c>
      <c r="E48" s="61" t="str">
        <f t="shared" si="1"/>
        <v>n/a</v>
      </c>
    </row>
    <row r="49" spans="1:5" x14ac:dyDescent="0.25">
      <c r="A49" s="1"/>
      <c r="E49" s="6"/>
    </row>
    <row r="50" spans="1:5" x14ac:dyDescent="0.25">
      <c r="A50" s="1">
        <f>1+A48</f>
        <v>37</v>
      </c>
      <c r="B50" t="s">
        <v>33</v>
      </c>
      <c r="D50" s="61" t="str">
        <f t="shared" ref="D50:E54" si="2">$D$44</f>
        <v>n/a</v>
      </c>
      <c r="E50" s="61" t="str">
        <f t="shared" si="2"/>
        <v>n/a</v>
      </c>
    </row>
    <row r="51" spans="1:5" x14ac:dyDescent="0.25">
      <c r="A51" s="1">
        <f>1+A50</f>
        <v>38</v>
      </c>
      <c r="B51" t="s">
        <v>34</v>
      </c>
      <c r="D51" s="61" t="str">
        <f t="shared" si="2"/>
        <v>n/a</v>
      </c>
      <c r="E51" s="61" t="str">
        <f t="shared" si="2"/>
        <v>n/a</v>
      </c>
    </row>
    <row r="52" spans="1:5" x14ac:dyDescent="0.25">
      <c r="A52" s="1">
        <f>1+A51</f>
        <v>39</v>
      </c>
      <c r="B52" t="s">
        <v>35</v>
      </c>
      <c r="D52" s="61" t="str">
        <f t="shared" si="2"/>
        <v>n/a</v>
      </c>
      <c r="E52" s="61" t="str">
        <f t="shared" si="2"/>
        <v>n/a</v>
      </c>
    </row>
    <row r="53" spans="1:5" x14ac:dyDescent="0.25">
      <c r="A53" s="1">
        <f>1+A52</f>
        <v>40</v>
      </c>
      <c r="B53" t="s">
        <v>36</v>
      </c>
      <c r="D53" s="61" t="str">
        <f t="shared" si="2"/>
        <v>n/a</v>
      </c>
      <c r="E53" s="61" t="str">
        <f t="shared" si="2"/>
        <v>n/a</v>
      </c>
    </row>
    <row r="54" spans="1:5" x14ac:dyDescent="0.25">
      <c r="A54" s="1">
        <f>1+A53</f>
        <v>41</v>
      </c>
      <c r="B54" t="s">
        <v>37</v>
      </c>
      <c r="D54" s="61" t="str">
        <f t="shared" si="2"/>
        <v>n/a</v>
      </c>
      <c r="E54" s="61" t="str">
        <f t="shared" si="2"/>
        <v>n/a</v>
      </c>
    </row>
    <row r="55" spans="1:5" x14ac:dyDescent="0.25">
      <c r="A55" s="1"/>
      <c r="E55" s="6"/>
    </row>
    <row r="56" spans="1:5" x14ac:dyDescent="0.25">
      <c r="A56" s="1">
        <f>1+A54</f>
        <v>42</v>
      </c>
      <c r="B56" t="s">
        <v>38</v>
      </c>
      <c r="D56" s="61" t="str">
        <f>$D$44</f>
        <v>n/a</v>
      </c>
      <c r="E56" s="61" t="str">
        <f>$D$44</f>
        <v>n/a</v>
      </c>
    </row>
    <row r="57" spans="1:5" x14ac:dyDescent="0.25">
      <c r="A57" s="1"/>
      <c r="E57"/>
    </row>
    <row r="58" spans="1:5" x14ac:dyDescent="0.25">
      <c r="A58" s="1">
        <f>1+A56</f>
        <v>43</v>
      </c>
      <c r="B58" s="27" t="s">
        <v>39</v>
      </c>
      <c r="E58"/>
    </row>
    <row r="59" spans="1:5" x14ac:dyDescent="0.25">
      <c r="A59" s="1">
        <f>1+A58</f>
        <v>44</v>
      </c>
      <c r="B59" t="s">
        <v>40</v>
      </c>
      <c r="D59" s="63">
        <f>D28/D20</f>
        <v>0.13076555233710602</v>
      </c>
      <c r="E59" s="63">
        <f>E28/E20</f>
        <v>0.1995723212173891</v>
      </c>
    </row>
    <row r="60" spans="1:5" x14ac:dyDescent="0.25">
      <c r="A60" s="1">
        <f>1+A59</f>
        <v>45</v>
      </c>
      <c r="B60" t="s">
        <v>41</v>
      </c>
      <c r="D60" s="63">
        <f>D28/D21</f>
        <v>6.9968296835373353E-2</v>
      </c>
      <c r="E60" s="63">
        <f>E28/E21</f>
        <v>0.11763827617445045</v>
      </c>
    </row>
    <row r="61" spans="1:5" x14ac:dyDescent="0.25">
      <c r="A61" s="1">
        <f>1+A60</f>
        <v>46</v>
      </c>
      <c r="B61" t="s">
        <v>42</v>
      </c>
      <c r="D61" s="63">
        <f>D28/D14</f>
        <v>6.0108024907750274E-2</v>
      </c>
      <c r="E61" s="63">
        <f>E28/E14</f>
        <v>9.7040507826855277E-2</v>
      </c>
    </row>
    <row r="62" spans="1:5" x14ac:dyDescent="0.25">
      <c r="E62"/>
    </row>
    <row r="63" spans="1:5" x14ac:dyDescent="0.25">
      <c r="A63" s="1">
        <f>1+A61</f>
        <v>47</v>
      </c>
      <c r="B63" s="27" t="s">
        <v>43</v>
      </c>
      <c r="D63" s="42">
        <f>('[6]FERC '!$E$146/1000)/D12</f>
        <v>3.4582577684086534E-2</v>
      </c>
      <c r="E63" s="42">
        <f>('[6]FERC '!$D$146/1000)/E12</f>
        <v>3.0741964353715203E-2</v>
      </c>
    </row>
    <row r="65" spans="2:2" x14ac:dyDescent="0.25">
      <c r="B65" t="s">
        <v>44</v>
      </c>
    </row>
    <row r="66" spans="2:2" x14ac:dyDescent="0.25">
      <c r="B66" t="s">
        <v>98</v>
      </c>
    </row>
  </sheetData>
  <pageMargins left="0.7" right="0.7" top="0.85" bottom="0.55000000000000004" header="0.45" footer="0.3"/>
  <pageSetup scale="70" orientation="portrait" r:id="rId1"/>
  <headerFooter>
    <oddHeader>&amp;CDelta Natural Gas Company, Inc.
Case No. 2024-00346
Comparative Financial Data and Earning Measures
&amp;RTab 64
Witness: Abdul-Azeez Odusanya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AD4B-1B1E-495C-BCA2-7FFAF0BE5864}">
  <dimension ref="A1:S120"/>
  <sheetViews>
    <sheetView topLeftCell="M75" workbookViewId="0">
      <selection activeCell="Q93" sqref="Q93"/>
    </sheetView>
  </sheetViews>
  <sheetFormatPr defaultRowHeight="15" outlineLevelRow="1" x14ac:dyDescent="0.25"/>
  <cols>
    <col min="1" max="1" width="9" customWidth="1"/>
    <col min="2" max="2" width="8.7109375" customWidth="1"/>
    <col min="3" max="3" width="46" customWidth="1"/>
    <col min="4" max="17" width="14.42578125" customWidth="1"/>
    <col min="19" max="19" width="16.5703125" bestFit="1" customWidth="1"/>
  </cols>
  <sheetData>
    <row r="1" spans="1:17" ht="20.25" hidden="1" outlineLevel="1" x14ac:dyDescent="0.3">
      <c r="A1" s="68" t="s">
        <v>101</v>
      </c>
      <c r="B1" s="68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idden="1" outlineLevel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idden="1" outlineLevel="1" x14ac:dyDescent="0.25">
      <c r="A3" s="70" t="s">
        <v>102</v>
      </c>
      <c r="B3" s="69"/>
      <c r="C3" s="69" t="s">
        <v>103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idden="1" outlineLevel="1" x14ac:dyDescent="0.25">
      <c r="A4" s="70">
        <v>10</v>
      </c>
      <c r="B4" s="69"/>
      <c r="C4" s="69" t="s">
        <v>104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idden="1" outlineLevel="1" x14ac:dyDescent="0.25">
      <c r="A5" s="70" t="s">
        <v>105</v>
      </c>
      <c r="B5" s="69"/>
      <c r="C5" s="69" t="s">
        <v>106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idden="1" outlineLevel="1" x14ac:dyDescent="0.25">
      <c r="A6" s="70" t="s">
        <v>107</v>
      </c>
      <c r="B6" s="70"/>
      <c r="C6" s="69" t="s">
        <v>108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 hidden="1" outlineLevel="1" x14ac:dyDescent="0.25">
      <c r="A7" s="69" t="s">
        <v>109</v>
      </c>
      <c r="B7" s="69"/>
      <c r="C7" s="69" t="s">
        <v>110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collapsed="1" x14ac:dyDescent="0.25">
      <c r="A8" s="71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7" s="75" customFormat="1" ht="33" customHeight="1" x14ac:dyDescent="0.25">
      <c r="A9" s="72" t="s">
        <v>111</v>
      </c>
      <c r="B9" s="73" t="s">
        <v>112</v>
      </c>
      <c r="C9" s="73" t="s">
        <v>113</v>
      </c>
      <c r="D9" s="74" t="s">
        <v>114</v>
      </c>
      <c r="E9" s="74" t="s">
        <v>115</v>
      </c>
      <c r="F9" s="74" t="s">
        <v>116</v>
      </c>
      <c r="G9" s="74" t="s">
        <v>117</v>
      </c>
      <c r="H9" s="74" t="s">
        <v>118</v>
      </c>
      <c r="I9" s="74" t="s">
        <v>119</v>
      </c>
      <c r="J9" s="74" t="s">
        <v>120</v>
      </c>
      <c r="K9" s="74" t="s">
        <v>121</v>
      </c>
      <c r="L9" s="74" t="s">
        <v>122</v>
      </c>
      <c r="M9" s="74" t="s">
        <v>123</v>
      </c>
      <c r="N9" s="74" t="s">
        <v>124</v>
      </c>
      <c r="O9" s="74" t="s">
        <v>125</v>
      </c>
      <c r="P9" s="74" t="s">
        <v>126</v>
      </c>
      <c r="Q9" s="74" t="s">
        <v>127</v>
      </c>
    </row>
    <row r="10" spans="1:17" x14ac:dyDescent="0.25">
      <c r="A10" s="76"/>
      <c r="B10" s="77"/>
      <c r="C10" s="78" t="s">
        <v>128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1:17" x14ac:dyDescent="0.25">
      <c r="A11" s="76"/>
      <c r="B11" s="77"/>
      <c r="C11" s="78" t="s">
        <v>129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spans="1:17" x14ac:dyDescent="0.25">
      <c r="A12" s="76" t="s">
        <v>130</v>
      </c>
      <c r="B12" s="77" t="s">
        <v>131</v>
      </c>
      <c r="C12" s="78" t="s">
        <v>132</v>
      </c>
      <c r="D12" s="80">
        <f>IFERROR(VLOOKUP($C12,'[7]01-02.2024'!$C:$E,2,FALSE),0)</f>
        <v>308530249.56999999</v>
      </c>
      <c r="E12" s="80">
        <f>IFERROR(VLOOKUP($C12,'[7]01-02.2024'!$C:$E,3,FALSE),0)</f>
        <v>308576540.76999998</v>
      </c>
      <c r="F12" s="80">
        <f>IFERROR(VLOOKUP($C12,'[7]03-04.2024'!$C:$E,2,FALSE),0)</f>
        <v>310189905.23000002</v>
      </c>
      <c r="G12" s="80">
        <f>IFERROR(VLOOKUP($C12,'[7]03-04.2024'!$C:$E,3,FALSE),0)</f>
        <v>310383085.22000003</v>
      </c>
      <c r="H12" s="80">
        <f>IFERROR(VLOOKUP($C12,'[7]05-06.2024'!$C:$E,2,FALSE),0)</f>
        <v>311214310.81</v>
      </c>
      <c r="I12" s="80">
        <f>IFERROR(VLOOKUP($C12,'[7]05-06.2024'!$C:$E,3,FALSE),0)</f>
        <v>311135226.98000002</v>
      </c>
      <c r="J12" s="80">
        <f>IFERROR(VLOOKUP($C12,'[7]07-08.2024'!$C:$E,2,FALSE),0)</f>
        <v>311819416.16000003</v>
      </c>
      <c r="K12" s="80">
        <f>IFERROR(VLOOKUP($C12,'[7]07-08.2024'!$C:$E,3,FALSE),0)</f>
        <v>313025364.56</v>
      </c>
      <c r="L12" s="80">
        <f>IFERROR(VLOOKUP($C12,'[7]09-10.2024'!$C:$E,2,FALSE),0)</f>
        <v>313176289.75999999</v>
      </c>
      <c r="M12" s="80">
        <f>IFERROR(VLOOKUP($C12,'[7]09-10.2024'!$C:$E,3,FALSE),0)</f>
        <v>321241480.22000003</v>
      </c>
      <c r="N12" s="80">
        <f>IFERROR(VLOOKUP($C12,'[7]11-12.2024'!$C:$E,2,FALSE),0)</f>
        <v>323805144.69999999</v>
      </c>
      <c r="O12" s="80">
        <f>IFERROR(VLOOKUP($C12,'[7]11-12.2024'!$C:$E,3,FALSE),0)</f>
        <v>325264224.80000001</v>
      </c>
      <c r="P12" s="80">
        <v>325604814.97000003</v>
      </c>
      <c r="Q12" s="80">
        <v>331461964.91000003</v>
      </c>
    </row>
    <row r="13" spans="1:17" x14ac:dyDescent="0.25">
      <c r="A13" s="76" t="s">
        <v>130</v>
      </c>
      <c r="B13" s="77" t="s">
        <v>133</v>
      </c>
      <c r="C13" s="78" t="s">
        <v>134</v>
      </c>
      <c r="D13" s="80">
        <f>IFERROR(VLOOKUP($C13,'[7]01-02.2024'!$C:$E,2,FALSE),0)</f>
        <v>6613263.5700000003</v>
      </c>
      <c r="E13" s="80">
        <f>IFERROR(VLOOKUP($C13,'[7]01-02.2024'!$C:$E,3,FALSE),0)</f>
        <v>6778655.3600000003</v>
      </c>
      <c r="F13" s="80">
        <f>IFERROR(VLOOKUP($C13,'[7]03-04.2024'!$C:$E,2,FALSE),0)</f>
        <v>5779408.1399999997</v>
      </c>
      <c r="G13" s="80">
        <f>IFERROR(VLOOKUP($C13,'[7]03-04.2024'!$C:$E,3,FALSE),0)</f>
        <v>7745546.3399999999</v>
      </c>
      <c r="H13" s="80">
        <f>IFERROR(VLOOKUP($C13,'[7]05-06.2024'!$C:$E,2,FALSE),0)</f>
        <v>7486411.1900000004</v>
      </c>
      <c r="I13" s="80">
        <f>IFERROR(VLOOKUP($C13,'[7]05-06.2024'!$C:$E,3,FALSE),0)</f>
        <v>11006734.789999999</v>
      </c>
      <c r="J13" s="80">
        <f>IFERROR(VLOOKUP($C13,'[7]07-08.2024'!$C:$E,2,FALSE),0)</f>
        <v>11143161.18</v>
      </c>
      <c r="K13" s="80">
        <f>IFERROR(VLOOKUP($C13,'[7]07-08.2024'!$C:$E,3,FALSE),0)</f>
        <v>11182540.050000001</v>
      </c>
      <c r="L13" s="80">
        <f>IFERROR(VLOOKUP($C13,'[7]09-10.2024'!$C:$E,2,FALSE),0)</f>
        <v>11696540.74</v>
      </c>
      <c r="M13" s="80">
        <f>IFERROR(VLOOKUP($C13,'[7]09-10.2024'!$C:$E,3,FALSE),0)</f>
        <v>4433461.28</v>
      </c>
      <c r="N13" s="80">
        <f>IFERROR(VLOOKUP($C13,'[7]11-12.2024'!$C:$E,2,FALSE),0)</f>
        <v>3702258.27</v>
      </c>
      <c r="O13" s="80">
        <f>IFERROR(VLOOKUP($C13,'[7]11-12.2024'!$C:$E,3,FALSE),0)</f>
        <v>3636372.21</v>
      </c>
      <c r="P13" s="80">
        <v>3774651.42</v>
      </c>
      <c r="Q13" s="80">
        <v>2258215.11</v>
      </c>
    </row>
    <row r="14" spans="1:17" x14ac:dyDescent="0.25">
      <c r="A14" s="76" t="s">
        <v>135</v>
      </c>
      <c r="B14" s="77" t="s">
        <v>136</v>
      </c>
      <c r="C14" s="78" t="s">
        <v>137</v>
      </c>
      <c r="D14" s="80">
        <f>IFERROR(VLOOKUP($C14,'[7]01-02.2024'!$C:$E,2,FALSE),0)</f>
        <v>-580759.07999999996</v>
      </c>
      <c r="E14" s="80">
        <f>IFERROR(VLOOKUP($C14,'[7]01-02.2024'!$C:$E,3,FALSE),0)</f>
        <v>-580759.07999999996</v>
      </c>
      <c r="F14" s="80">
        <f>IFERROR(VLOOKUP($C14,'[7]03-04.2024'!$C:$E,2,FALSE),0)</f>
        <v>-580759.07999999996</v>
      </c>
      <c r="G14" s="80">
        <f>IFERROR(VLOOKUP($C14,'[7]03-04.2024'!$C:$E,3,FALSE),0)</f>
        <v>-580759.07999999996</v>
      </c>
      <c r="H14" s="80">
        <f>IFERROR(VLOOKUP($C14,'[7]05-06.2024'!$C:$E,2,FALSE),0)</f>
        <v>-580759.07999999996</v>
      </c>
      <c r="I14" s="80">
        <f>IFERROR(VLOOKUP($C14,'[7]05-06.2024'!$C:$E,3,FALSE),0)</f>
        <v>-580759.07999999996</v>
      </c>
      <c r="J14" s="80">
        <f>IFERROR(VLOOKUP($C14,'[7]07-08.2024'!$C:$E,2,FALSE),0)</f>
        <v>-580759.07999999996</v>
      </c>
      <c r="K14" s="80">
        <f>IFERROR(VLOOKUP($C14,'[7]07-08.2024'!$C:$E,3,FALSE),0)</f>
        <v>-580759.07999999996</v>
      </c>
      <c r="L14" s="80">
        <f>IFERROR(VLOOKUP($C14,'[7]09-10.2024'!$C:$E,2,FALSE),0)</f>
        <v>-580759.07999999996</v>
      </c>
      <c r="M14" s="80">
        <f>IFERROR(VLOOKUP($C14,'[7]09-10.2024'!$C:$E,3,FALSE),0)</f>
        <v>-580759.07999999996</v>
      </c>
      <c r="N14" s="80">
        <f>IFERROR(VLOOKUP($C14,'[7]11-12.2024'!$C:$E,2,FALSE),0)</f>
        <v>-580759.07999999996</v>
      </c>
      <c r="O14" s="80">
        <f>IFERROR(VLOOKUP($C14,'[7]11-12.2024'!$C:$E,3,FALSE),0)</f>
        <v>-580759.07999999996</v>
      </c>
      <c r="P14" s="80">
        <v>-580759.07999999996</v>
      </c>
      <c r="Q14" s="80">
        <v>-580759.07999999996</v>
      </c>
    </row>
    <row r="15" spans="1:17" x14ac:dyDescent="0.25">
      <c r="A15" s="81"/>
      <c r="B15" s="82"/>
      <c r="C15" s="78" t="s">
        <v>138</v>
      </c>
      <c r="D15" s="83">
        <f>IFERROR(VLOOKUP($C15,'[7]01-02.2024'!$C:$E,2,FALSE),0)</f>
        <v>314562754.06</v>
      </c>
      <c r="E15" s="83">
        <f>IFERROR(VLOOKUP($C15,'[7]01-02.2024'!$C:$E,3,FALSE),0)</f>
        <v>314774437.05000001</v>
      </c>
      <c r="F15" s="83">
        <f>IFERROR(VLOOKUP($C15,'[7]03-04.2024'!$C:$E,2,FALSE),0)</f>
        <v>315388554.29000002</v>
      </c>
      <c r="G15" s="83">
        <f>IFERROR(VLOOKUP($C15,'[7]03-04.2024'!$C:$E,3,FALSE),0)</f>
        <v>317547872.48000002</v>
      </c>
      <c r="H15" s="83">
        <f>IFERROR(VLOOKUP($C15,'[7]05-06.2024'!$C:$E,2,FALSE),0)</f>
        <v>318119962.92000002</v>
      </c>
      <c r="I15" s="83">
        <f>IFERROR(VLOOKUP($C15,'[7]05-06.2024'!$C:$E,3,FALSE),0)</f>
        <v>321561202.69</v>
      </c>
      <c r="J15" s="83">
        <f>IFERROR(VLOOKUP($C15,'[7]07-08.2024'!$C:$E,2,FALSE),0)</f>
        <v>322381818.25999999</v>
      </c>
      <c r="K15" s="83">
        <f>IFERROR(VLOOKUP($C15,'[7]07-08.2024'!$C:$E,3,FALSE),0)</f>
        <v>323627145.52999997</v>
      </c>
      <c r="L15" s="83">
        <f>IFERROR(VLOOKUP($C15,'[7]09-10.2024'!$C:$E,2,FALSE),0)</f>
        <v>324292071.42000002</v>
      </c>
      <c r="M15" s="83">
        <f>IFERROR(VLOOKUP($C15,'[7]09-10.2024'!$C:$E,3,FALSE),0)</f>
        <v>325094182.42000002</v>
      </c>
      <c r="N15" s="83">
        <f>IFERROR(VLOOKUP($C15,'[7]11-12.2024'!$C:$E,2,FALSE),0)</f>
        <v>326926643.88999999</v>
      </c>
      <c r="O15" s="83">
        <f>IFERROR(VLOOKUP($C15,'[7]11-12.2024'!$C:$E,3,FALSE),0)</f>
        <v>328319837.93000001</v>
      </c>
      <c r="P15" s="83">
        <v>328798707.31</v>
      </c>
      <c r="Q15" s="83">
        <v>333139420.94</v>
      </c>
    </row>
    <row r="16" spans="1:17" x14ac:dyDescent="0.25">
      <c r="A16" s="76" t="s">
        <v>130</v>
      </c>
      <c r="B16" s="77" t="s">
        <v>139</v>
      </c>
      <c r="C16" s="78" t="s">
        <v>140</v>
      </c>
      <c r="D16" s="80">
        <f>IFERROR(VLOOKUP($C16,'[7]01-02.2024'!$C:$E,2,FALSE),0)</f>
        <v>10270467.84</v>
      </c>
      <c r="E16" s="80">
        <f>IFERROR(VLOOKUP($C16,'[7]01-02.2024'!$C:$E,3,FALSE),0)</f>
        <v>11245085.310000001</v>
      </c>
      <c r="F16" s="80">
        <f>IFERROR(VLOOKUP($C16,'[7]03-04.2024'!$C:$E,2,FALSE),0)</f>
        <v>11092641.77</v>
      </c>
      <c r="G16" s="80">
        <f>IFERROR(VLOOKUP($C16,'[7]03-04.2024'!$C:$E,3,FALSE),0)</f>
        <v>8528599.1199999992</v>
      </c>
      <c r="H16" s="80">
        <f>IFERROR(VLOOKUP($C16,'[7]05-06.2024'!$C:$E,2,FALSE),0)</f>
        <v>10291831.17</v>
      </c>
      <c r="I16" s="80">
        <f>IFERROR(VLOOKUP($C16,'[7]05-06.2024'!$C:$E,3,FALSE),0)</f>
        <v>9401121.5700000003</v>
      </c>
      <c r="J16" s="80">
        <f>IFERROR(VLOOKUP($C16,'[7]07-08.2024'!$C:$E,2,FALSE),0)</f>
        <v>13130871.359999999</v>
      </c>
      <c r="K16" s="80">
        <f>IFERROR(VLOOKUP($C16,'[7]07-08.2024'!$C:$E,3,FALSE),0)</f>
        <v>12898489.390000001</v>
      </c>
      <c r="L16" s="80">
        <f>IFERROR(VLOOKUP($C16,'[7]09-10.2024'!$C:$E,2,FALSE),0)</f>
        <v>15794705.529999999</v>
      </c>
      <c r="M16" s="80">
        <f>IFERROR(VLOOKUP($C16,'[7]09-10.2024'!$C:$E,3,FALSE),0)</f>
        <v>17753703.039999999</v>
      </c>
      <c r="N16" s="80">
        <f>IFERROR(VLOOKUP($C16,'[7]11-12.2024'!$C:$E,2,FALSE),0)</f>
        <v>17509993.739999998</v>
      </c>
      <c r="O16" s="80">
        <f>IFERROR(VLOOKUP($C16,'[7]11-12.2024'!$C:$E,3,FALSE),0)</f>
        <v>18486649.780000001</v>
      </c>
      <c r="P16" s="80">
        <v>19203028.440000001</v>
      </c>
      <c r="Q16" s="80">
        <v>17287970.920000002</v>
      </c>
    </row>
    <row r="17" spans="1:17" x14ac:dyDescent="0.25">
      <c r="A17" s="81"/>
      <c r="B17" s="82"/>
      <c r="C17" s="78" t="s">
        <v>141</v>
      </c>
      <c r="D17" s="83">
        <f>IFERROR(VLOOKUP($C17,'[7]01-02.2024'!$C:$E,2,FALSE),0)</f>
        <v>10270467.84</v>
      </c>
      <c r="E17" s="83">
        <f>IFERROR(VLOOKUP($C17,'[7]01-02.2024'!$C:$E,3,FALSE),0)</f>
        <v>11245085.310000001</v>
      </c>
      <c r="F17" s="83">
        <f>IFERROR(VLOOKUP($C17,'[7]03-04.2024'!$C:$E,2,FALSE),0)</f>
        <v>11092641.77</v>
      </c>
      <c r="G17" s="83">
        <f>IFERROR(VLOOKUP($C17,'[7]03-04.2024'!$C:$E,3,FALSE),0)</f>
        <v>8528599.1199999992</v>
      </c>
      <c r="H17" s="83">
        <f>IFERROR(VLOOKUP($C17,'[7]05-06.2024'!$C:$E,2,FALSE),0)</f>
        <v>10291831.17</v>
      </c>
      <c r="I17" s="83">
        <f>IFERROR(VLOOKUP($C17,'[7]05-06.2024'!$C:$E,3,FALSE),0)</f>
        <v>9401121.5700000003</v>
      </c>
      <c r="J17" s="83">
        <f>IFERROR(VLOOKUP($C17,'[7]07-08.2024'!$C:$E,2,FALSE),0)</f>
        <v>13130871.359999999</v>
      </c>
      <c r="K17" s="83">
        <f>IFERROR(VLOOKUP($C17,'[7]07-08.2024'!$C:$E,3,FALSE),0)</f>
        <v>12898489.390000001</v>
      </c>
      <c r="L17" s="83">
        <f>IFERROR(VLOOKUP($C17,'[7]09-10.2024'!$C:$E,2,FALSE),0)</f>
        <v>15794705.529999999</v>
      </c>
      <c r="M17" s="83">
        <f>IFERROR(VLOOKUP($C17,'[7]09-10.2024'!$C:$E,3,FALSE),0)</f>
        <v>17753703.039999999</v>
      </c>
      <c r="N17" s="83">
        <f>IFERROR(VLOOKUP($C17,'[7]11-12.2024'!$C:$E,2,FALSE),0)</f>
        <v>17509993.739999998</v>
      </c>
      <c r="O17" s="83">
        <f>IFERROR(VLOOKUP($C17,'[7]11-12.2024'!$C:$E,3,FALSE),0)</f>
        <v>18486649.780000001</v>
      </c>
      <c r="P17" s="83">
        <v>19203028.440000001</v>
      </c>
      <c r="Q17" s="83">
        <v>17287970.920000002</v>
      </c>
    </row>
    <row r="18" spans="1:17" x14ac:dyDescent="0.25">
      <c r="A18" s="81"/>
      <c r="B18" s="82"/>
      <c r="C18" s="78" t="s">
        <v>142</v>
      </c>
      <c r="D18" s="83">
        <f>IFERROR(VLOOKUP($C18,'[7]01-02.2024'!$C:$E,2,FALSE),0)</f>
        <v>324833221.89999998</v>
      </c>
      <c r="E18" s="83">
        <f>IFERROR(VLOOKUP($C18,'[7]01-02.2024'!$C:$E,3,FALSE),0)</f>
        <v>326019522.36000001</v>
      </c>
      <c r="F18" s="83">
        <f>IFERROR(VLOOKUP($C18,'[7]03-04.2024'!$C:$E,2,FALSE),0)</f>
        <v>326481196.06</v>
      </c>
      <c r="G18" s="83">
        <f>IFERROR(VLOOKUP($C18,'[7]03-04.2024'!$C:$E,3,FALSE),0)</f>
        <v>326076471.60000002</v>
      </c>
      <c r="H18" s="83">
        <f>IFERROR(VLOOKUP($C18,'[7]05-06.2024'!$C:$E,2,FALSE),0)</f>
        <v>328411794.08999997</v>
      </c>
      <c r="I18" s="83">
        <f>IFERROR(VLOOKUP($C18,'[7]05-06.2024'!$C:$E,3,FALSE),0)</f>
        <v>330962324.25999999</v>
      </c>
      <c r="J18" s="83">
        <f>IFERROR(VLOOKUP($C18,'[7]07-08.2024'!$C:$E,2,FALSE),0)</f>
        <v>335512689.62</v>
      </c>
      <c r="K18" s="83">
        <f>IFERROR(VLOOKUP($C18,'[7]07-08.2024'!$C:$E,3,FALSE),0)</f>
        <v>336525634.92000002</v>
      </c>
      <c r="L18" s="83">
        <f>IFERROR(VLOOKUP($C18,'[7]09-10.2024'!$C:$E,2,FALSE),0)</f>
        <v>340086776.94999999</v>
      </c>
      <c r="M18" s="83">
        <f>IFERROR(VLOOKUP($C18,'[7]09-10.2024'!$C:$E,3,FALSE),0)</f>
        <v>342847885.45999998</v>
      </c>
      <c r="N18" s="83">
        <f>IFERROR(VLOOKUP($C18,'[7]11-12.2024'!$C:$E,2,FALSE),0)</f>
        <v>344436637.63</v>
      </c>
      <c r="O18" s="83">
        <f>IFERROR(VLOOKUP($C18,'[7]11-12.2024'!$C:$E,3,FALSE),0)</f>
        <v>346806487.70999998</v>
      </c>
      <c r="P18" s="83">
        <v>348001735.75</v>
      </c>
      <c r="Q18" s="83">
        <v>350427391.86000001</v>
      </c>
    </row>
    <row r="19" spans="1:17" x14ac:dyDescent="0.25">
      <c r="A19" s="76" t="s">
        <v>130</v>
      </c>
      <c r="B19" s="77" t="s">
        <v>143</v>
      </c>
      <c r="C19" s="78" t="s">
        <v>144</v>
      </c>
      <c r="D19" s="80">
        <f>IFERROR(VLOOKUP($C19,'[7]01-02.2024'!$C:$E,2,FALSE),0)</f>
        <v>-141882344.41</v>
      </c>
      <c r="E19" s="80">
        <f>IFERROR(VLOOKUP($C19,'[7]01-02.2024'!$C:$E,3,FALSE),0)</f>
        <v>-142766660.63</v>
      </c>
      <c r="F19" s="80">
        <f>IFERROR(VLOOKUP($C19,'[7]03-04.2024'!$C:$E,2,FALSE),0)</f>
        <v>-143598533.97999999</v>
      </c>
      <c r="G19" s="80">
        <f>IFERROR(VLOOKUP($C19,'[7]03-04.2024'!$C:$E,3,FALSE),0)</f>
        <v>-144487379.93000001</v>
      </c>
      <c r="H19" s="80">
        <f>IFERROR(VLOOKUP($C19,'[7]05-06.2024'!$C:$E,2,FALSE),0)</f>
        <v>-145375194.58000001</v>
      </c>
      <c r="I19" s="80">
        <f>IFERROR(VLOOKUP($C19,'[7]05-06.2024'!$C:$E,3,FALSE),0)</f>
        <v>-146187621.75999999</v>
      </c>
      <c r="J19" s="80">
        <f>IFERROR(VLOOKUP($C19,'[7]07-08.2024'!$C:$E,2,FALSE),0)</f>
        <v>-147082405.16999999</v>
      </c>
      <c r="K19" s="80">
        <f>IFERROR(VLOOKUP($C19,'[7]07-08.2024'!$C:$E,3,FALSE),0)</f>
        <v>-147700259.97</v>
      </c>
      <c r="L19" s="80">
        <f>IFERROR(VLOOKUP($C19,'[7]09-10.2024'!$C:$E,2,FALSE),0)</f>
        <v>-148577672.83000001</v>
      </c>
      <c r="M19" s="80">
        <f>IFERROR(VLOOKUP($C19,'[7]09-10.2024'!$C:$E,3,FALSE),0)</f>
        <v>-149337678.50999999</v>
      </c>
      <c r="N19" s="80">
        <f>IFERROR(VLOOKUP($C19,'[7]11-12.2024'!$C:$E,2,FALSE),0)</f>
        <v>-149162119.47999999</v>
      </c>
      <c r="O19" s="80">
        <f>IFERROR(VLOOKUP($C19,'[7]11-12.2024'!$C:$E,3,FALSE),0)</f>
        <v>-150230551.15000001</v>
      </c>
      <c r="P19" s="80">
        <v>-150574632.47999999</v>
      </c>
      <c r="Q19" s="80">
        <v>-152067408.43000001</v>
      </c>
    </row>
    <row r="20" spans="1:17" x14ac:dyDescent="0.25">
      <c r="A20" s="76" t="s">
        <v>135</v>
      </c>
      <c r="B20" s="77" t="s">
        <v>145</v>
      </c>
      <c r="C20" s="78" t="s">
        <v>146</v>
      </c>
      <c r="D20" s="80">
        <f>IFERROR(VLOOKUP($C20,'[7]01-02.2024'!$C:$E,2,FALSE),0)</f>
        <v>580759.07999999996</v>
      </c>
      <c r="E20" s="80">
        <f>IFERROR(VLOOKUP($C20,'[7]01-02.2024'!$C:$E,3,FALSE),0)</f>
        <v>580759.07999999996</v>
      </c>
      <c r="F20" s="80">
        <f>IFERROR(VLOOKUP($C20,'[7]03-04.2024'!$C:$E,2,FALSE),0)</f>
        <v>580759.07999999996</v>
      </c>
      <c r="G20" s="80">
        <f>IFERROR(VLOOKUP($C20,'[7]03-04.2024'!$C:$E,3,FALSE),0)</f>
        <v>580759.07999999996</v>
      </c>
      <c r="H20" s="80">
        <f>IFERROR(VLOOKUP($C20,'[7]05-06.2024'!$C:$E,2,FALSE),0)</f>
        <v>580759.07999999996</v>
      </c>
      <c r="I20" s="80">
        <f>IFERROR(VLOOKUP($C20,'[7]05-06.2024'!$C:$E,3,FALSE),0)</f>
        <v>580759.07999999996</v>
      </c>
      <c r="J20" s="80">
        <f>IFERROR(VLOOKUP($C20,'[7]07-08.2024'!$C:$E,2,FALSE),0)</f>
        <v>580759.07999999996</v>
      </c>
      <c r="K20" s="80">
        <f>IFERROR(VLOOKUP($C20,'[7]07-08.2024'!$C:$E,3,FALSE),0)</f>
        <v>580759.07999999996</v>
      </c>
      <c r="L20" s="80">
        <f>IFERROR(VLOOKUP($C20,'[7]09-10.2024'!$C:$E,2,FALSE),0)</f>
        <v>580759.07999999996</v>
      </c>
      <c r="M20" s="80">
        <f>IFERROR(VLOOKUP($C20,'[7]09-10.2024'!$C:$E,3,FALSE),0)</f>
        <v>580759.07999999996</v>
      </c>
      <c r="N20" s="80">
        <f>IFERROR(VLOOKUP($C20,'[7]11-12.2024'!$C:$E,2,FALSE),0)</f>
        <v>580759.07999999996</v>
      </c>
      <c r="O20" s="80">
        <f>IFERROR(VLOOKUP($C20,'[7]11-12.2024'!$C:$E,3,FALSE),0)</f>
        <v>580759.07999999996</v>
      </c>
      <c r="P20" s="80">
        <v>580759.07999999996</v>
      </c>
      <c r="Q20" s="80">
        <v>580759.07999999996</v>
      </c>
    </row>
    <row r="21" spans="1:17" x14ac:dyDescent="0.25">
      <c r="A21" s="81"/>
      <c r="B21" s="82"/>
      <c r="C21" s="78" t="s">
        <v>147</v>
      </c>
      <c r="D21" s="83">
        <f>IFERROR(VLOOKUP($C21,'[7]01-02.2024'!$C:$E,2,FALSE),0)</f>
        <v>-141301585.33000001</v>
      </c>
      <c r="E21" s="83">
        <f>IFERROR(VLOOKUP($C21,'[7]01-02.2024'!$C:$E,3,FALSE),0)</f>
        <v>-142185901.55000001</v>
      </c>
      <c r="F21" s="83">
        <f>IFERROR(VLOOKUP($C21,'[7]03-04.2024'!$C:$E,2,FALSE),0)</f>
        <v>-143017774.90000001</v>
      </c>
      <c r="G21" s="83">
        <f>IFERROR(VLOOKUP($C21,'[7]03-04.2024'!$C:$E,3,FALSE),0)</f>
        <v>-143906620.84999999</v>
      </c>
      <c r="H21" s="83">
        <f>IFERROR(VLOOKUP($C21,'[7]05-06.2024'!$C:$E,2,FALSE),0)</f>
        <v>-144794435.5</v>
      </c>
      <c r="I21" s="83">
        <f>IFERROR(VLOOKUP($C21,'[7]05-06.2024'!$C:$E,3,FALSE),0)</f>
        <v>-145606862.68000001</v>
      </c>
      <c r="J21" s="83">
        <f>IFERROR(VLOOKUP($C21,'[7]07-08.2024'!$C:$E,2,FALSE),0)</f>
        <v>-146501646.09</v>
      </c>
      <c r="K21" s="83">
        <f>IFERROR(VLOOKUP($C21,'[7]07-08.2024'!$C:$E,3,FALSE),0)</f>
        <v>-147119500.88999999</v>
      </c>
      <c r="L21" s="83">
        <f>IFERROR(VLOOKUP($C21,'[7]09-10.2024'!$C:$E,2,FALSE),0)</f>
        <v>-147996913.75</v>
      </c>
      <c r="M21" s="83">
        <f>IFERROR(VLOOKUP($C21,'[7]09-10.2024'!$C:$E,3,FALSE),0)</f>
        <v>-148756919.43000001</v>
      </c>
      <c r="N21" s="83">
        <f>IFERROR(VLOOKUP($C21,'[7]11-12.2024'!$C:$E,2,FALSE),0)</f>
        <v>-148581360.40000001</v>
      </c>
      <c r="O21" s="83">
        <f>IFERROR(VLOOKUP($C21,'[7]11-12.2024'!$C:$E,3,FALSE),0)</f>
        <v>-149649792.06999999</v>
      </c>
      <c r="P21" s="83">
        <v>-149993873.40000001</v>
      </c>
      <c r="Q21" s="83">
        <v>-151486649.34999999</v>
      </c>
    </row>
    <row r="22" spans="1:17" x14ac:dyDescent="0.25">
      <c r="A22" s="81"/>
      <c r="B22" s="82"/>
      <c r="C22" s="78" t="s">
        <v>148</v>
      </c>
      <c r="D22" s="83">
        <f>IFERROR(VLOOKUP($C22,'[7]01-02.2024'!$C:$E,2,FALSE),0)</f>
        <v>183531636.56999999</v>
      </c>
      <c r="E22" s="83">
        <f>IFERROR(VLOOKUP($C22,'[7]01-02.2024'!$C:$E,3,FALSE),0)</f>
        <v>183833620.81</v>
      </c>
      <c r="F22" s="83">
        <f>IFERROR(VLOOKUP($C22,'[7]03-04.2024'!$C:$E,2,FALSE),0)</f>
        <v>183463421.16</v>
      </c>
      <c r="G22" s="83">
        <f>IFERROR(VLOOKUP($C22,'[7]03-04.2024'!$C:$E,3,FALSE),0)</f>
        <v>182169850.75</v>
      </c>
      <c r="H22" s="83">
        <f>IFERROR(VLOOKUP($C22,'[7]05-06.2024'!$C:$E,2,FALSE),0)</f>
        <v>183617358.59</v>
      </c>
      <c r="I22" s="83">
        <f>IFERROR(VLOOKUP($C22,'[7]05-06.2024'!$C:$E,3,FALSE),0)</f>
        <v>185355461.58000001</v>
      </c>
      <c r="J22" s="83">
        <f>IFERROR(VLOOKUP($C22,'[7]07-08.2024'!$C:$E,2,FALSE),0)</f>
        <v>189011043.53</v>
      </c>
      <c r="K22" s="83">
        <f>IFERROR(VLOOKUP($C22,'[7]07-08.2024'!$C:$E,3,FALSE),0)</f>
        <v>189406134.03</v>
      </c>
      <c r="L22" s="83">
        <f>IFERROR(VLOOKUP($C22,'[7]09-10.2024'!$C:$E,2,FALSE),0)</f>
        <v>192089863.19999999</v>
      </c>
      <c r="M22" s="83">
        <f>IFERROR(VLOOKUP($C22,'[7]09-10.2024'!$C:$E,3,FALSE),0)</f>
        <v>194090966.03</v>
      </c>
      <c r="N22" s="83">
        <f>IFERROR(VLOOKUP($C22,'[7]11-12.2024'!$C:$E,2,FALSE),0)</f>
        <v>195855277.22999999</v>
      </c>
      <c r="O22" s="83">
        <f>IFERROR(VLOOKUP($C22,'[7]11-12.2024'!$C:$E,3,FALSE),0)</f>
        <v>197156695.63999999</v>
      </c>
      <c r="P22" s="83">
        <v>198007862.34999999</v>
      </c>
      <c r="Q22" s="83">
        <v>198940742.50999999</v>
      </c>
    </row>
    <row r="23" spans="1:17" x14ac:dyDescent="0.25">
      <c r="A23" s="81"/>
      <c r="B23" s="82"/>
      <c r="C23" s="78" t="s">
        <v>149</v>
      </c>
      <c r="D23" s="83">
        <f>IFERROR(VLOOKUP($C23,'[7]01-02.2024'!$C:$E,2,FALSE),0)</f>
        <v>183531636.56999999</v>
      </c>
      <c r="E23" s="83">
        <f>IFERROR(VLOOKUP($C23,'[7]01-02.2024'!$C:$E,3,FALSE),0)</f>
        <v>183833620.81</v>
      </c>
      <c r="F23" s="83">
        <f>IFERROR(VLOOKUP($C23,'[7]03-04.2024'!$C:$E,2,FALSE),0)</f>
        <v>183463421.16</v>
      </c>
      <c r="G23" s="83">
        <f>IFERROR(VLOOKUP($C23,'[7]03-04.2024'!$C:$E,3,FALSE),0)</f>
        <v>182169850.75</v>
      </c>
      <c r="H23" s="83">
        <f>IFERROR(VLOOKUP($C23,'[7]05-06.2024'!$C:$E,2,FALSE),0)</f>
        <v>183617358.59</v>
      </c>
      <c r="I23" s="83">
        <f>IFERROR(VLOOKUP($C23,'[7]05-06.2024'!$C:$E,3,FALSE),0)</f>
        <v>185355461.58000001</v>
      </c>
      <c r="J23" s="83">
        <f>IFERROR(VLOOKUP($C23,'[7]07-08.2024'!$C:$E,2,FALSE),0)</f>
        <v>189011043.53</v>
      </c>
      <c r="K23" s="83">
        <f>IFERROR(VLOOKUP($C23,'[7]07-08.2024'!$C:$E,3,FALSE),0)</f>
        <v>189406134.03</v>
      </c>
      <c r="L23" s="83">
        <f>IFERROR(VLOOKUP($C23,'[7]09-10.2024'!$C:$E,2,FALSE),0)</f>
        <v>192089863.19999999</v>
      </c>
      <c r="M23" s="83">
        <f>IFERROR(VLOOKUP($C23,'[7]09-10.2024'!$C:$E,3,FALSE),0)</f>
        <v>194090966.03</v>
      </c>
      <c r="N23" s="83">
        <f>IFERROR(VLOOKUP($C23,'[7]11-12.2024'!$C:$E,2,FALSE),0)</f>
        <v>195855277.22999999</v>
      </c>
      <c r="O23" s="83">
        <f>IFERROR(VLOOKUP($C23,'[7]11-12.2024'!$C:$E,3,FALSE),0)</f>
        <v>197156695.63999999</v>
      </c>
      <c r="P23" s="83">
        <v>198007862.34999999</v>
      </c>
      <c r="Q23" s="83">
        <v>198940742.50999999</v>
      </c>
    </row>
    <row r="24" spans="1:17" x14ac:dyDescent="0.25">
      <c r="A24" s="76" t="s">
        <v>135</v>
      </c>
      <c r="B24" s="77" t="s">
        <v>150</v>
      </c>
      <c r="C24" s="78" t="s">
        <v>151</v>
      </c>
      <c r="D24" s="80">
        <f>IFERROR(VLOOKUP($C24,'[7]01-02.2024'!$C:$E,2,FALSE),0)</f>
        <v>4208069.49</v>
      </c>
      <c r="E24" s="80">
        <f>IFERROR(VLOOKUP($C24,'[7]01-02.2024'!$C:$E,3,FALSE),0)</f>
        <v>4208069.49</v>
      </c>
      <c r="F24" s="80">
        <f>IFERROR(VLOOKUP($C24,'[7]03-04.2024'!$C:$E,2,FALSE),0)</f>
        <v>4208069.49</v>
      </c>
      <c r="G24" s="80">
        <f>IFERROR(VLOOKUP($C24,'[7]03-04.2024'!$C:$E,3,FALSE),0)</f>
        <v>4208069.49</v>
      </c>
      <c r="H24" s="80">
        <f>IFERROR(VLOOKUP($C24,'[7]05-06.2024'!$C:$E,2,FALSE),0)</f>
        <v>4208069.49</v>
      </c>
      <c r="I24" s="80">
        <f>IFERROR(VLOOKUP($C24,'[7]05-06.2024'!$C:$E,3,FALSE),0)</f>
        <v>4208069.49</v>
      </c>
      <c r="J24" s="80">
        <f>IFERROR(VLOOKUP($C24,'[7]07-08.2024'!$C:$E,2,FALSE),0)</f>
        <v>4208069.49</v>
      </c>
      <c r="K24" s="80">
        <f>IFERROR(VLOOKUP($C24,'[7]07-08.2024'!$C:$E,3,FALSE),0)</f>
        <v>4208069.49</v>
      </c>
      <c r="L24" s="80">
        <f>IFERROR(VLOOKUP($C24,'[7]09-10.2024'!$C:$E,2,FALSE),0)</f>
        <v>4208069.49</v>
      </c>
      <c r="M24" s="80">
        <f>IFERROR(VLOOKUP($C24,'[7]09-10.2024'!$C:$E,3,FALSE),0)</f>
        <v>4208069.49</v>
      </c>
      <c r="N24" s="80">
        <f>IFERROR(VLOOKUP($C24,'[7]11-12.2024'!$C:$E,2,FALSE),0)</f>
        <v>4208069.49</v>
      </c>
      <c r="O24" s="80">
        <f>IFERROR(VLOOKUP($C24,'[7]11-12.2024'!$C:$E,3,FALSE),0)</f>
        <v>4208069.49</v>
      </c>
      <c r="P24" s="80">
        <v>4208069.49</v>
      </c>
      <c r="Q24" s="80">
        <v>4208069.49</v>
      </c>
    </row>
    <row r="25" spans="1:17" x14ac:dyDescent="0.25">
      <c r="A25" s="81"/>
      <c r="B25" s="82"/>
      <c r="C25" s="78" t="s">
        <v>152</v>
      </c>
      <c r="D25" s="83">
        <f>IFERROR(VLOOKUP($C25,'[7]01-02.2024'!$C:$E,2,FALSE),0)</f>
        <v>4208069.49</v>
      </c>
      <c r="E25" s="83">
        <f>IFERROR(VLOOKUP($C25,'[7]01-02.2024'!$C:$E,3,FALSE),0)</f>
        <v>4208069.49</v>
      </c>
      <c r="F25" s="83">
        <f>IFERROR(VLOOKUP($C25,'[7]03-04.2024'!$C:$E,2,FALSE),0)</f>
        <v>4208069.49</v>
      </c>
      <c r="G25" s="83">
        <f>IFERROR(VLOOKUP($C25,'[7]03-04.2024'!$C:$E,3,FALSE),0)</f>
        <v>4208069.49</v>
      </c>
      <c r="H25" s="83">
        <f>IFERROR(VLOOKUP($C25,'[7]05-06.2024'!$C:$E,2,FALSE),0)</f>
        <v>4208069.49</v>
      </c>
      <c r="I25" s="83">
        <f>IFERROR(VLOOKUP($C25,'[7]05-06.2024'!$C:$E,3,FALSE),0)</f>
        <v>4208069.49</v>
      </c>
      <c r="J25" s="83">
        <f>IFERROR(VLOOKUP($C25,'[7]07-08.2024'!$C:$E,2,FALSE),0)</f>
        <v>4208069.49</v>
      </c>
      <c r="K25" s="83">
        <f>IFERROR(VLOOKUP($C25,'[7]07-08.2024'!$C:$E,3,FALSE),0)</f>
        <v>4208069.49</v>
      </c>
      <c r="L25" s="83">
        <f>IFERROR(VLOOKUP($C25,'[7]09-10.2024'!$C:$E,2,FALSE),0)</f>
        <v>4208069.49</v>
      </c>
      <c r="M25" s="83">
        <f>IFERROR(VLOOKUP($C25,'[7]09-10.2024'!$C:$E,3,FALSE),0)</f>
        <v>4208069.49</v>
      </c>
      <c r="N25" s="83">
        <f>IFERROR(VLOOKUP($C25,'[7]11-12.2024'!$C:$E,2,FALSE),0)</f>
        <v>4208069.49</v>
      </c>
      <c r="O25" s="83">
        <f>IFERROR(VLOOKUP($C25,'[7]11-12.2024'!$C:$E,3,FALSE),0)</f>
        <v>4208069.49</v>
      </c>
      <c r="P25" s="83">
        <v>4208069.49</v>
      </c>
      <c r="Q25" s="83">
        <v>4208069.49</v>
      </c>
    </row>
    <row r="26" spans="1:17" x14ac:dyDescent="0.25">
      <c r="A26" s="81"/>
      <c r="B26" s="82"/>
      <c r="C26" s="78" t="s">
        <v>153</v>
      </c>
      <c r="D26" s="83">
        <f>IFERROR(VLOOKUP($C26,'[7]01-02.2024'!$C:$E,2,FALSE),0)</f>
        <v>187739706.06</v>
      </c>
      <c r="E26" s="83">
        <f>IFERROR(VLOOKUP($C26,'[7]01-02.2024'!$C:$E,3,FALSE),0)</f>
        <v>188041690.30000001</v>
      </c>
      <c r="F26" s="83">
        <f>IFERROR(VLOOKUP($C26,'[7]03-04.2024'!$C:$E,2,FALSE),0)</f>
        <v>187671490.65000001</v>
      </c>
      <c r="G26" s="83">
        <f>IFERROR(VLOOKUP($C26,'[7]03-04.2024'!$C:$E,3,FALSE),0)</f>
        <v>186377920.24000001</v>
      </c>
      <c r="H26" s="83">
        <f>IFERROR(VLOOKUP($C26,'[7]05-06.2024'!$C:$E,2,FALSE),0)</f>
        <v>187825428.08000001</v>
      </c>
      <c r="I26" s="83">
        <f>IFERROR(VLOOKUP($C26,'[7]05-06.2024'!$C:$E,3,FALSE),0)</f>
        <v>189563531.06999999</v>
      </c>
      <c r="J26" s="83">
        <f>IFERROR(VLOOKUP($C26,'[7]07-08.2024'!$C:$E,2,FALSE),0)</f>
        <v>193219113.02000001</v>
      </c>
      <c r="K26" s="83">
        <f>IFERROR(VLOOKUP($C26,'[7]07-08.2024'!$C:$E,3,FALSE),0)</f>
        <v>193614203.52000001</v>
      </c>
      <c r="L26" s="83">
        <f>IFERROR(VLOOKUP($C26,'[7]09-10.2024'!$C:$E,2,FALSE),0)</f>
        <v>196297932.69</v>
      </c>
      <c r="M26" s="83">
        <f>IFERROR(VLOOKUP($C26,'[7]09-10.2024'!$C:$E,3,FALSE),0)</f>
        <v>198299035.52000001</v>
      </c>
      <c r="N26" s="83">
        <f>IFERROR(VLOOKUP($C26,'[7]11-12.2024'!$C:$E,2,FALSE),0)</f>
        <v>200063346.72</v>
      </c>
      <c r="O26" s="83">
        <f>IFERROR(VLOOKUP($C26,'[7]11-12.2024'!$C:$E,3,FALSE),0)</f>
        <v>201364765.13</v>
      </c>
      <c r="P26" s="83">
        <v>202215931.84</v>
      </c>
      <c r="Q26" s="83">
        <v>203148812</v>
      </c>
    </row>
    <row r="27" spans="1:17" x14ac:dyDescent="0.25">
      <c r="A27" s="76"/>
      <c r="B27" s="77"/>
      <c r="C27" s="78" t="s">
        <v>154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</row>
    <row r="28" spans="1:17" x14ac:dyDescent="0.25">
      <c r="A28" s="76" t="s">
        <v>135</v>
      </c>
      <c r="B28" s="77" t="s">
        <v>155</v>
      </c>
      <c r="C28" s="78" t="s">
        <v>156</v>
      </c>
      <c r="D28" s="80">
        <f>IFERROR(VLOOKUP($C28,'[7]01-02.2024'!$C:$E,2,FALSE),0)</f>
        <v>1882353.54</v>
      </c>
      <c r="E28" s="80">
        <f>IFERROR(VLOOKUP($C28,'[7]01-02.2024'!$C:$E,3,FALSE),0)</f>
        <v>1882353.54</v>
      </c>
      <c r="F28" s="80">
        <f>IFERROR(VLOOKUP($C28,'[7]03-04.2024'!$C:$E,2,FALSE),0)</f>
        <v>2003574.9</v>
      </c>
      <c r="G28" s="80">
        <f>IFERROR(VLOOKUP($C28,'[7]03-04.2024'!$C:$E,3,FALSE),0)</f>
        <v>1902534.91</v>
      </c>
      <c r="H28" s="80">
        <f>IFERROR(VLOOKUP($C28,'[7]05-06.2024'!$C:$E,2,FALSE),0)</f>
        <v>1902534.91</v>
      </c>
      <c r="I28" s="80">
        <f>IFERROR(VLOOKUP($C28,'[7]05-06.2024'!$C:$E,3,FALSE),0)</f>
        <v>1942867.03</v>
      </c>
      <c r="J28" s="80">
        <f>IFERROR(VLOOKUP($C28,'[7]07-08.2024'!$C:$E,2,FALSE),0)</f>
        <v>1942891.33</v>
      </c>
      <c r="K28" s="80">
        <f>IFERROR(VLOOKUP($C28,'[7]07-08.2024'!$C:$E,3,FALSE),0)</f>
        <v>1942891.33</v>
      </c>
      <c r="L28" s="80">
        <f>IFERROR(VLOOKUP($C28,'[7]09-10.2024'!$C:$E,2,FALSE),0)</f>
        <v>2070841.98</v>
      </c>
      <c r="M28" s="80">
        <f>IFERROR(VLOOKUP($C28,'[7]09-10.2024'!$C:$E,3,FALSE),0)</f>
        <v>2070841.98</v>
      </c>
      <c r="N28" s="80">
        <f>IFERROR(VLOOKUP($C28,'[7]11-12.2024'!$C:$E,2,FALSE),0)</f>
        <v>2070841.98</v>
      </c>
      <c r="O28" s="80">
        <f>IFERROR(VLOOKUP($C28,'[7]11-12.2024'!$C:$E,3,FALSE),0)</f>
        <v>2041798.25</v>
      </c>
      <c r="P28" s="80">
        <v>2041798.25</v>
      </c>
      <c r="Q28" s="80">
        <v>2041798.25</v>
      </c>
    </row>
    <row r="29" spans="1:17" x14ac:dyDescent="0.25">
      <c r="A29" s="81"/>
      <c r="B29" s="82"/>
      <c r="C29" s="78" t="s">
        <v>157</v>
      </c>
      <c r="D29" s="83">
        <f>IFERROR(VLOOKUP($C29,'[7]01-02.2024'!$C:$E,2,FALSE),0)</f>
        <v>1882353.54</v>
      </c>
      <c r="E29" s="83">
        <f>IFERROR(VLOOKUP($C29,'[7]01-02.2024'!$C:$E,3,FALSE),0)</f>
        <v>1882353.54</v>
      </c>
      <c r="F29" s="83">
        <f>IFERROR(VLOOKUP($C29,'[7]03-04.2024'!$C:$E,2,FALSE),0)</f>
        <v>2003574.9</v>
      </c>
      <c r="G29" s="83">
        <f>IFERROR(VLOOKUP($C29,'[7]03-04.2024'!$C:$E,3,FALSE),0)</f>
        <v>1902534.91</v>
      </c>
      <c r="H29" s="83">
        <f>IFERROR(VLOOKUP($C29,'[7]05-06.2024'!$C:$E,2,FALSE),0)</f>
        <v>1902534.91</v>
      </c>
      <c r="I29" s="83">
        <f>IFERROR(VLOOKUP($C29,'[7]05-06.2024'!$C:$E,3,FALSE),0)</f>
        <v>1942867.03</v>
      </c>
      <c r="J29" s="83">
        <f>IFERROR(VLOOKUP($C29,'[7]07-08.2024'!$C:$E,2,FALSE),0)</f>
        <v>1942891.33</v>
      </c>
      <c r="K29" s="83">
        <f>IFERROR(VLOOKUP($C29,'[7]07-08.2024'!$C:$E,3,FALSE),0)</f>
        <v>1942891.33</v>
      </c>
      <c r="L29" s="83">
        <f>IFERROR(VLOOKUP($C29,'[7]09-10.2024'!$C:$E,2,FALSE),0)</f>
        <v>2070841.98</v>
      </c>
      <c r="M29" s="83">
        <f>IFERROR(VLOOKUP($C29,'[7]09-10.2024'!$C:$E,3,FALSE),0)</f>
        <v>2070841.98</v>
      </c>
      <c r="N29" s="83">
        <f>IFERROR(VLOOKUP($C29,'[7]11-12.2024'!$C:$E,2,FALSE),0)</f>
        <v>2070841.98</v>
      </c>
      <c r="O29" s="83">
        <f>IFERROR(VLOOKUP($C29,'[7]11-12.2024'!$C:$E,3,FALSE),0)</f>
        <v>2041798.25</v>
      </c>
      <c r="P29" s="83">
        <v>2041798.25</v>
      </c>
      <c r="Q29" s="83">
        <v>2041798.25</v>
      </c>
    </row>
    <row r="30" spans="1:17" x14ac:dyDescent="0.25">
      <c r="A30" s="81"/>
      <c r="B30" s="82"/>
      <c r="C30" s="78" t="s">
        <v>158</v>
      </c>
      <c r="D30" s="83">
        <f>IFERROR(VLOOKUP($C30,'[7]01-02.2024'!$C:$E,2,FALSE),0)</f>
        <v>1882353.54</v>
      </c>
      <c r="E30" s="83">
        <f>IFERROR(VLOOKUP($C30,'[7]01-02.2024'!$C:$E,3,FALSE),0)</f>
        <v>1882353.54</v>
      </c>
      <c r="F30" s="83">
        <f>IFERROR(VLOOKUP($C30,'[7]03-04.2024'!$C:$E,2,FALSE),0)</f>
        <v>2003574.9</v>
      </c>
      <c r="G30" s="83">
        <f>IFERROR(VLOOKUP($C30,'[7]03-04.2024'!$C:$E,3,FALSE),0)</f>
        <v>1902534.91</v>
      </c>
      <c r="H30" s="83">
        <f>IFERROR(VLOOKUP($C30,'[7]05-06.2024'!$C:$E,2,FALSE),0)</f>
        <v>1902534.91</v>
      </c>
      <c r="I30" s="83">
        <f>IFERROR(VLOOKUP($C30,'[7]05-06.2024'!$C:$E,3,FALSE),0)</f>
        <v>1942867.03</v>
      </c>
      <c r="J30" s="83">
        <f>IFERROR(VLOOKUP($C30,'[7]07-08.2024'!$C:$E,2,FALSE),0)</f>
        <v>1942891.33</v>
      </c>
      <c r="K30" s="83">
        <f>IFERROR(VLOOKUP($C30,'[7]07-08.2024'!$C:$E,3,FALSE),0)</f>
        <v>1942891.33</v>
      </c>
      <c r="L30" s="83">
        <f>IFERROR(VLOOKUP($C30,'[7]09-10.2024'!$C:$E,2,FALSE),0)</f>
        <v>2070841.98</v>
      </c>
      <c r="M30" s="83">
        <f>IFERROR(VLOOKUP($C30,'[7]09-10.2024'!$C:$E,3,FALSE),0)</f>
        <v>2070841.98</v>
      </c>
      <c r="N30" s="83">
        <f>IFERROR(VLOOKUP($C30,'[7]11-12.2024'!$C:$E,2,FALSE),0)</f>
        <v>2070841.98</v>
      </c>
      <c r="O30" s="83">
        <f>IFERROR(VLOOKUP($C30,'[7]11-12.2024'!$C:$E,3,FALSE),0)</f>
        <v>2041798.25</v>
      </c>
      <c r="P30" s="83">
        <v>2041798.25</v>
      </c>
      <c r="Q30" s="83">
        <v>2041798.25</v>
      </c>
    </row>
    <row r="31" spans="1:17" x14ac:dyDescent="0.25">
      <c r="A31" s="76"/>
      <c r="B31" s="77"/>
      <c r="C31" s="78" t="s">
        <v>159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</row>
    <row r="32" spans="1:17" x14ac:dyDescent="0.25">
      <c r="A32" s="76" t="s">
        <v>130</v>
      </c>
      <c r="B32" s="77" t="s">
        <v>160</v>
      </c>
      <c r="C32" s="78" t="s">
        <v>161</v>
      </c>
      <c r="D32" s="80">
        <f>IFERROR(VLOOKUP($C32,'[7]01-02.2024'!$C:$E,2,FALSE),0)</f>
        <v>247543.63</v>
      </c>
      <c r="E32" s="80">
        <f>IFERROR(VLOOKUP($C32,'[7]01-02.2024'!$C:$E,3,FALSE),0)</f>
        <v>540697.32999999996</v>
      </c>
      <c r="F32" s="80">
        <f>IFERROR(VLOOKUP($C32,'[7]03-04.2024'!$C:$E,2,FALSE),0)</f>
        <v>270891.11</v>
      </c>
      <c r="G32" s="80">
        <f>IFERROR(VLOOKUP($C32,'[7]03-04.2024'!$C:$E,3,FALSE),0)</f>
        <v>125967.89</v>
      </c>
      <c r="H32" s="80">
        <f>IFERROR(VLOOKUP($C32,'[7]05-06.2024'!$C:$E,2,FALSE),0)</f>
        <v>49184.47</v>
      </c>
      <c r="I32" s="80">
        <f>IFERROR(VLOOKUP($C32,'[7]05-06.2024'!$C:$E,3,FALSE),0)</f>
        <v>214466.73</v>
      </c>
      <c r="J32" s="80">
        <f>IFERROR(VLOOKUP($C32,'[7]07-08.2024'!$C:$E,2,FALSE),0)</f>
        <v>88005.81</v>
      </c>
      <c r="K32" s="80">
        <f>IFERROR(VLOOKUP($C32,'[7]07-08.2024'!$C:$E,3,FALSE),0)</f>
        <v>41279.040000000001</v>
      </c>
      <c r="L32" s="80">
        <f>IFERROR(VLOOKUP($C32,'[7]09-10.2024'!$C:$E,2,FALSE),0)</f>
        <v>52073.15</v>
      </c>
      <c r="M32" s="80">
        <f>IFERROR(VLOOKUP($C32,'[7]09-10.2024'!$C:$E,3,FALSE),0)</f>
        <v>35457.53</v>
      </c>
      <c r="N32" s="80">
        <f>IFERROR(VLOOKUP($C32,'[7]11-12.2024'!$C:$E,2,FALSE),0)</f>
        <v>96227.9</v>
      </c>
      <c r="O32" s="80">
        <f>IFERROR(VLOOKUP($C32,'[7]11-12.2024'!$C:$E,3,FALSE),0)</f>
        <v>139735.54999999999</v>
      </c>
      <c r="P32" s="80">
        <v>57032.35</v>
      </c>
      <c r="Q32" s="80">
        <v>121765.04</v>
      </c>
    </row>
    <row r="33" spans="1:17" x14ac:dyDescent="0.25">
      <c r="A33" s="81"/>
      <c r="B33" s="82"/>
      <c r="C33" s="78" t="s">
        <v>162</v>
      </c>
      <c r="D33" s="83">
        <f>IFERROR(VLOOKUP($C33,'[7]01-02.2024'!$C:$E,2,FALSE),0)</f>
        <v>247543.63</v>
      </c>
      <c r="E33" s="83">
        <f>IFERROR(VLOOKUP($C33,'[7]01-02.2024'!$C:$E,3,FALSE),0)</f>
        <v>540697.32999999996</v>
      </c>
      <c r="F33" s="83">
        <f>IFERROR(VLOOKUP($C33,'[7]03-04.2024'!$C:$E,2,FALSE),0)</f>
        <v>270891.11</v>
      </c>
      <c r="G33" s="83">
        <f>IFERROR(VLOOKUP($C33,'[7]03-04.2024'!$C:$E,3,FALSE),0)</f>
        <v>125967.89</v>
      </c>
      <c r="H33" s="83">
        <f>IFERROR(VLOOKUP($C33,'[7]05-06.2024'!$C:$E,2,FALSE),0)</f>
        <v>49184.47</v>
      </c>
      <c r="I33" s="83">
        <f>IFERROR(VLOOKUP($C33,'[7]05-06.2024'!$C:$E,3,FALSE),0)</f>
        <v>214466.73</v>
      </c>
      <c r="J33" s="83">
        <f>IFERROR(VLOOKUP($C33,'[7]07-08.2024'!$C:$E,2,FALSE),0)</f>
        <v>88005.81</v>
      </c>
      <c r="K33" s="83">
        <f>IFERROR(VLOOKUP($C33,'[7]07-08.2024'!$C:$E,3,FALSE),0)</f>
        <v>41279.040000000001</v>
      </c>
      <c r="L33" s="83">
        <f>IFERROR(VLOOKUP($C33,'[7]09-10.2024'!$C:$E,2,FALSE),0)</f>
        <v>52073.15</v>
      </c>
      <c r="M33" s="83">
        <f>IFERROR(VLOOKUP($C33,'[7]09-10.2024'!$C:$E,3,FALSE),0)</f>
        <v>35457.53</v>
      </c>
      <c r="N33" s="83">
        <f>IFERROR(VLOOKUP($C33,'[7]11-12.2024'!$C:$E,2,FALSE),0)</f>
        <v>96227.9</v>
      </c>
      <c r="O33" s="83">
        <f>IFERROR(VLOOKUP($C33,'[7]11-12.2024'!$C:$E,3,FALSE),0)</f>
        <v>139735.54999999999</v>
      </c>
      <c r="P33" s="83">
        <v>57032.35</v>
      </c>
      <c r="Q33" s="83">
        <v>121765.04</v>
      </c>
    </row>
    <row r="34" spans="1:17" x14ac:dyDescent="0.25">
      <c r="A34" s="76" t="s">
        <v>135</v>
      </c>
      <c r="B34" s="77" t="s">
        <v>163</v>
      </c>
      <c r="C34" s="78" t="s">
        <v>164</v>
      </c>
      <c r="D34" s="79">
        <f>IFERROR(VLOOKUP($C34,'[7]01-02.2024'!$C:$E,2,FALSE),0)</f>
        <v>300</v>
      </c>
      <c r="E34" s="79">
        <f>IFERROR(VLOOKUP($C34,'[7]01-02.2024'!$C:$E,3,FALSE),0)</f>
        <v>300</v>
      </c>
      <c r="F34" s="79">
        <f>IFERROR(VLOOKUP($C34,'[7]03-04.2024'!$C:$E,2,FALSE),0)</f>
        <v>300</v>
      </c>
      <c r="G34" s="79">
        <f>IFERROR(VLOOKUP($C34,'[7]03-04.2024'!$C:$E,3,FALSE),0)</f>
        <v>300</v>
      </c>
      <c r="H34" s="79">
        <f>IFERROR(VLOOKUP($C34,'[7]05-06.2024'!$C:$E,2,FALSE),0)</f>
        <v>300</v>
      </c>
      <c r="I34" s="79">
        <f>IFERROR(VLOOKUP($C34,'[7]05-06.2024'!$C:$E,3,FALSE),0)</f>
        <v>300</v>
      </c>
      <c r="J34" s="79">
        <f>IFERROR(VLOOKUP($C34,'[7]07-08.2024'!$C:$E,2,FALSE),0)</f>
        <v>300</v>
      </c>
      <c r="K34" s="79">
        <f>IFERROR(VLOOKUP($C34,'[7]07-08.2024'!$C:$E,3,FALSE),0)</f>
        <v>300</v>
      </c>
      <c r="L34" s="79">
        <f>IFERROR(VLOOKUP($C34,'[7]09-10.2024'!$C:$E,2,FALSE),0)</f>
        <v>300</v>
      </c>
      <c r="M34" s="79">
        <f>IFERROR(VLOOKUP($C34,'[7]09-10.2024'!$C:$E,3,FALSE),0)</f>
        <v>300</v>
      </c>
      <c r="N34" s="79">
        <f>IFERROR(VLOOKUP($C34,'[7]11-12.2024'!$C:$E,2,FALSE),0)</f>
        <v>300</v>
      </c>
      <c r="O34" s="79">
        <f>IFERROR(VLOOKUP($C34,'[7]11-12.2024'!$C:$E,3,FALSE),0)</f>
        <v>300</v>
      </c>
      <c r="P34" s="79">
        <v>300</v>
      </c>
      <c r="Q34" s="79">
        <v>300</v>
      </c>
    </row>
    <row r="35" spans="1:17" x14ac:dyDescent="0.25">
      <c r="A35" s="81"/>
      <c r="B35" s="82"/>
      <c r="C35" s="78" t="s">
        <v>165</v>
      </c>
      <c r="D35" s="84">
        <f>IFERROR(VLOOKUP($C35,'[7]01-02.2024'!$C:$E,2,FALSE),0)</f>
        <v>300</v>
      </c>
      <c r="E35" s="84">
        <f>IFERROR(VLOOKUP($C35,'[7]01-02.2024'!$C:$E,3,FALSE),0)</f>
        <v>300</v>
      </c>
      <c r="F35" s="84">
        <f>IFERROR(VLOOKUP($C35,'[7]03-04.2024'!$C:$E,2,FALSE),0)</f>
        <v>300</v>
      </c>
      <c r="G35" s="84">
        <f>IFERROR(VLOOKUP($C35,'[7]03-04.2024'!$C:$E,3,FALSE),0)</f>
        <v>300</v>
      </c>
      <c r="H35" s="84">
        <f>IFERROR(VLOOKUP($C35,'[7]05-06.2024'!$C:$E,2,FALSE),0)</f>
        <v>300</v>
      </c>
      <c r="I35" s="84">
        <f>IFERROR(VLOOKUP($C35,'[7]05-06.2024'!$C:$E,3,FALSE),0)</f>
        <v>300</v>
      </c>
      <c r="J35" s="84">
        <f>IFERROR(VLOOKUP($C35,'[7]07-08.2024'!$C:$E,2,FALSE),0)</f>
        <v>300</v>
      </c>
      <c r="K35" s="84">
        <f>IFERROR(VLOOKUP($C35,'[7]07-08.2024'!$C:$E,3,FALSE),0)</f>
        <v>300</v>
      </c>
      <c r="L35" s="84">
        <f>IFERROR(VLOOKUP($C35,'[7]09-10.2024'!$C:$E,2,FALSE),0)</f>
        <v>300</v>
      </c>
      <c r="M35" s="84">
        <f>IFERROR(VLOOKUP($C35,'[7]09-10.2024'!$C:$E,3,FALSE),0)</f>
        <v>300</v>
      </c>
      <c r="N35" s="84">
        <f>IFERROR(VLOOKUP($C35,'[7]11-12.2024'!$C:$E,2,FALSE),0)</f>
        <v>300</v>
      </c>
      <c r="O35" s="84">
        <f>IFERROR(VLOOKUP($C35,'[7]11-12.2024'!$C:$E,3,FALSE),0)</f>
        <v>300</v>
      </c>
      <c r="P35" s="84">
        <v>300</v>
      </c>
      <c r="Q35" s="84">
        <v>300</v>
      </c>
    </row>
    <row r="36" spans="1:17" x14ac:dyDescent="0.25">
      <c r="A36" s="76" t="s">
        <v>130</v>
      </c>
      <c r="B36" s="77" t="s">
        <v>166</v>
      </c>
      <c r="C36" s="78" t="s">
        <v>167</v>
      </c>
      <c r="D36" s="80">
        <f>IFERROR(VLOOKUP($C36,'[7]01-02.2024'!$C:$E,2,FALSE),0)</f>
        <v>3297497.2</v>
      </c>
      <c r="E36" s="80">
        <f>IFERROR(VLOOKUP($C36,'[7]01-02.2024'!$C:$E,3,FALSE),0)</f>
        <v>4287929.53</v>
      </c>
      <c r="F36" s="80">
        <f>IFERROR(VLOOKUP($C36,'[7]03-04.2024'!$C:$E,2,FALSE),0)</f>
        <v>3687731.42</v>
      </c>
      <c r="G36" s="80">
        <f>IFERROR(VLOOKUP($C36,'[7]03-04.2024'!$C:$E,3,FALSE),0)</f>
        <v>3126013.01</v>
      </c>
      <c r="H36" s="80">
        <f>IFERROR(VLOOKUP($C36,'[7]05-06.2024'!$C:$E,2,FALSE),0)</f>
        <v>2899741.34</v>
      </c>
      <c r="I36" s="80">
        <f>IFERROR(VLOOKUP($C36,'[7]05-06.2024'!$C:$E,3,FALSE),0)</f>
        <v>2650743.65</v>
      </c>
      <c r="J36" s="80">
        <f>IFERROR(VLOOKUP($C36,'[7]07-08.2024'!$C:$E,2,FALSE),0)</f>
        <v>2447733.16</v>
      </c>
      <c r="K36" s="80">
        <f>IFERROR(VLOOKUP($C36,'[7]07-08.2024'!$C:$E,3,FALSE),0)</f>
        <v>2244788.67</v>
      </c>
      <c r="L36" s="80">
        <f>IFERROR(VLOOKUP($C36,'[7]09-10.2024'!$C:$E,2,FALSE),0)</f>
        <v>2151782.19</v>
      </c>
      <c r="M36" s="80">
        <f>IFERROR(VLOOKUP($C36,'[7]09-10.2024'!$C:$E,3,FALSE),0)</f>
        <v>2000217.94</v>
      </c>
      <c r="N36" s="80">
        <f>IFERROR(VLOOKUP($C36,'[7]11-12.2024'!$C:$E,2,FALSE),0)</f>
        <v>2129426.38</v>
      </c>
      <c r="O36" s="80">
        <f>IFERROR(VLOOKUP($C36,'[7]11-12.2024'!$C:$E,3,FALSE),0)</f>
        <v>2587542.0099999998</v>
      </c>
      <c r="P36" s="80">
        <v>3487943.03</v>
      </c>
      <c r="Q36" s="80">
        <v>4637265.42</v>
      </c>
    </row>
    <row r="37" spans="1:17" x14ac:dyDescent="0.25">
      <c r="A37" s="81"/>
      <c r="B37" s="82"/>
      <c r="C37" s="78" t="s">
        <v>168</v>
      </c>
      <c r="D37" s="83">
        <f>IFERROR(VLOOKUP($C37,'[7]01-02.2024'!$C:$E,2,FALSE),0)</f>
        <v>3297497.2</v>
      </c>
      <c r="E37" s="83">
        <f>IFERROR(VLOOKUP($C37,'[7]01-02.2024'!$C:$E,3,FALSE),0)</f>
        <v>4287929.53</v>
      </c>
      <c r="F37" s="83">
        <f>IFERROR(VLOOKUP($C37,'[7]03-04.2024'!$C:$E,2,FALSE),0)</f>
        <v>3687731.42</v>
      </c>
      <c r="G37" s="83">
        <f>IFERROR(VLOOKUP($C37,'[7]03-04.2024'!$C:$E,3,FALSE),0)</f>
        <v>3126013.01</v>
      </c>
      <c r="H37" s="83">
        <f>IFERROR(VLOOKUP($C37,'[7]05-06.2024'!$C:$E,2,FALSE),0)</f>
        <v>2899741.34</v>
      </c>
      <c r="I37" s="83">
        <f>IFERROR(VLOOKUP($C37,'[7]05-06.2024'!$C:$E,3,FALSE),0)</f>
        <v>2650743.65</v>
      </c>
      <c r="J37" s="83">
        <f>IFERROR(VLOOKUP($C37,'[7]07-08.2024'!$C:$E,2,FALSE),0)</f>
        <v>2447733.16</v>
      </c>
      <c r="K37" s="83">
        <f>IFERROR(VLOOKUP($C37,'[7]07-08.2024'!$C:$E,3,FALSE),0)</f>
        <v>2244788.67</v>
      </c>
      <c r="L37" s="83">
        <f>IFERROR(VLOOKUP($C37,'[7]09-10.2024'!$C:$E,2,FALSE),0)</f>
        <v>2151782.19</v>
      </c>
      <c r="M37" s="83">
        <f>IFERROR(VLOOKUP($C37,'[7]09-10.2024'!$C:$E,3,FALSE),0)</f>
        <v>2000217.94</v>
      </c>
      <c r="N37" s="83">
        <f>IFERROR(VLOOKUP($C37,'[7]11-12.2024'!$C:$E,2,FALSE),0)</f>
        <v>2129426.38</v>
      </c>
      <c r="O37" s="83">
        <f>IFERROR(VLOOKUP($C37,'[7]11-12.2024'!$C:$E,3,FALSE),0)</f>
        <v>2587542.0099999998</v>
      </c>
      <c r="P37" s="83">
        <v>3487943.03</v>
      </c>
      <c r="Q37" s="83">
        <v>4637265.42</v>
      </c>
    </row>
    <row r="38" spans="1:17" x14ac:dyDescent="0.25">
      <c r="A38" s="76" t="s">
        <v>135</v>
      </c>
      <c r="B38" s="77" t="s">
        <v>169</v>
      </c>
      <c r="C38" s="78" t="s">
        <v>170</v>
      </c>
      <c r="D38" s="80">
        <f>IFERROR(VLOOKUP($C38,'[7]01-02.2024'!$C:$E,2,FALSE),0)</f>
        <v>159951.49</v>
      </c>
      <c r="E38" s="80">
        <f>IFERROR(VLOOKUP($C38,'[7]01-02.2024'!$C:$E,3,FALSE),0)</f>
        <v>161589.72</v>
      </c>
      <c r="F38" s="80">
        <f>IFERROR(VLOOKUP($C38,'[7]03-04.2024'!$C:$E,2,FALSE),0)</f>
        <v>219855.71</v>
      </c>
      <c r="G38" s="80">
        <f>IFERROR(VLOOKUP($C38,'[7]03-04.2024'!$C:$E,3,FALSE),0)</f>
        <v>161073.69</v>
      </c>
      <c r="H38" s="80">
        <f>IFERROR(VLOOKUP($C38,'[7]05-06.2024'!$C:$E,2,FALSE),0)</f>
        <v>212595.82</v>
      </c>
      <c r="I38" s="80">
        <f>IFERROR(VLOOKUP($C38,'[7]05-06.2024'!$C:$E,3,FALSE),0)</f>
        <v>190096.07</v>
      </c>
      <c r="J38" s="80">
        <f>IFERROR(VLOOKUP($C38,'[7]07-08.2024'!$C:$E,2,FALSE),0)</f>
        <v>163584.07</v>
      </c>
      <c r="K38" s="80">
        <f>IFERROR(VLOOKUP($C38,'[7]07-08.2024'!$C:$E,3,FALSE),0)</f>
        <v>169388.44</v>
      </c>
      <c r="L38" s="80">
        <f>IFERROR(VLOOKUP($C38,'[7]09-10.2024'!$C:$E,2,FALSE),0)</f>
        <v>417463.76</v>
      </c>
      <c r="M38" s="80">
        <f>IFERROR(VLOOKUP($C38,'[7]09-10.2024'!$C:$E,3,FALSE),0)</f>
        <v>477282.54</v>
      </c>
      <c r="N38" s="80">
        <f>IFERROR(VLOOKUP($C38,'[7]11-12.2024'!$C:$E,2,FALSE),0)</f>
        <v>502789.27</v>
      </c>
      <c r="O38" s="80">
        <f>IFERROR(VLOOKUP($C38,'[7]11-12.2024'!$C:$E,3,FALSE),0)</f>
        <v>513152.22</v>
      </c>
      <c r="P38" s="80">
        <v>524958.12</v>
      </c>
      <c r="Q38" s="80">
        <v>535550.25</v>
      </c>
    </row>
    <row r="39" spans="1:17" x14ac:dyDescent="0.25">
      <c r="A39" s="81"/>
      <c r="B39" s="82"/>
      <c r="C39" s="78" t="s">
        <v>171</v>
      </c>
      <c r="D39" s="83">
        <f>IFERROR(VLOOKUP($C39,'[7]01-02.2024'!$C:$E,2,FALSE),0)</f>
        <v>159951.49</v>
      </c>
      <c r="E39" s="83">
        <f>IFERROR(VLOOKUP($C39,'[7]01-02.2024'!$C:$E,3,FALSE),0)</f>
        <v>161589.72</v>
      </c>
      <c r="F39" s="83">
        <f>IFERROR(VLOOKUP($C39,'[7]03-04.2024'!$C:$E,2,FALSE),0)</f>
        <v>219855.71</v>
      </c>
      <c r="G39" s="83">
        <f>IFERROR(VLOOKUP($C39,'[7]03-04.2024'!$C:$E,3,FALSE),0)</f>
        <v>161073.69</v>
      </c>
      <c r="H39" s="83">
        <f>IFERROR(VLOOKUP($C39,'[7]05-06.2024'!$C:$E,2,FALSE),0)</f>
        <v>212595.82</v>
      </c>
      <c r="I39" s="83">
        <f>IFERROR(VLOOKUP($C39,'[7]05-06.2024'!$C:$E,3,FALSE),0)</f>
        <v>190096.07</v>
      </c>
      <c r="J39" s="83">
        <f>IFERROR(VLOOKUP($C39,'[7]07-08.2024'!$C:$E,2,FALSE),0)</f>
        <v>163584.07</v>
      </c>
      <c r="K39" s="83">
        <f>IFERROR(VLOOKUP($C39,'[7]07-08.2024'!$C:$E,3,FALSE),0)</f>
        <v>169388.44</v>
      </c>
      <c r="L39" s="83">
        <f>IFERROR(VLOOKUP($C39,'[7]09-10.2024'!$C:$E,2,FALSE),0)</f>
        <v>417463.76</v>
      </c>
      <c r="M39" s="83">
        <f>IFERROR(VLOOKUP($C39,'[7]09-10.2024'!$C:$E,3,FALSE),0)</f>
        <v>477282.54</v>
      </c>
      <c r="N39" s="83">
        <f>IFERROR(VLOOKUP($C39,'[7]11-12.2024'!$C:$E,2,FALSE),0)</f>
        <v>502789.27</v>
      </c>
      <c r="O39" s="83">
        <f>IFERROR(VLOOKUP($C39,'[7]11-12.2024'!$C:$E,3,FALSE),0)</f>
        <v>513152.22</v>
      </c>
      <c r="P39" s="83">
        <v>524958.12</v>
      </c>
      <c r="Q39" s="83">
        <v>535550.25</v>
      </c>
    </row>
    <row r="40" spans="1:17" x14ac:dyDescent="0.25">
      <c r="A40" s="76" t="s">
        <v>130</v>
      </c>
      <c r="B40" s="77" t="s">
        <v>172</v>
      </c>
      <c r="C40" s="78" t="s">
        <v>173</v>
      </c>
      <c r="D40" s="80">
        <f>IFERROR(VLOOKUP($C40,'[7]01-02.2024'!$C:$E,2,FALSE),0)</f>
        <v>-800170.95</v>
      </c>
      <c r="E40" s="80">
        <f>IFERROR(VLOOKUP($C40,'[7]01-02.2024'!$C:$E,3,FALSE),0)</f>
        <v>-833787.46</v>
      </c>
      <c r="F40" s="80">
        <f>IFERROR(VLOOKUP($C40,'[7]03-04.2024'!$C:$E,2,FALSE),0)</f>
        <v>-736826.92</v>
      </c>
      <c r="G40" s="80">
        <f>IFERROR(VLOOKUP($C40,'[7]03-04.2024'!$C:$E,3,FALSE),0)</f>
        <v>-741635.21</v>
      </c>
      <c r="H40" s="80">
        <f>IFERROR(VLOOKUP($C40,'[7]05-06.2024'!$C:$E,2,FALSE),0)</f>
        <v>-757865.13</v>
      </c>
      <c r="I40" s="80">
        <f>IFERROR(VLOOKUP($C40,'[7]05-06.2024'!$C:$E,3,FALSE),0)</f>
        <v>-759257.05</v>
      </c>
      <c r="J40" s="80">
        <f>IFERROR(VLOOKUP($C40,'[7]07-08.2024'!$C:$E,2,FALSE),0)</f>
        <v>-748770.91</v>
      </c>
      <c r="K40" s="80">
        <f>IFERROR(VLOOKUP($C40,'[7]07-08.2024'!$C:$E,3,FALSE),0)</f>
        <v>-614532.73</v>
      </c>
      <c r="L40" s="80">
        <f>IFERROR(VLOOKUP($C40,'[7]09-10.2024'!$C:$E,2,FALSE),0)</f>
        <v>-542285.73</v>
      </c>
      <c r="M40" s="80">
        <f>IFERROR(VLOOKUP($C40,'[7]09-10.2024'!$C:$E,3,FALSE),0)</f>
        <v>-478349.59</v>
      </c>
      <c r="N40" s="80">
        <f>IFERROR(VLOOKUP($C40,'[7]11-12.2024'!$C:$E,2,FALSE),0)</f>
        <v>-462807.32</v>
      </c>
      <c r="O40" s="80">
        <f>IFERROR(VLOOKUP($C40,'[7]11-12.2024'!$C:$E,3,FALSE),0)</f>
        <v>-478167.72</v>
      </c>
      <c r="P40" s="80">
        <v>-545579.68999999994</v>
      </c>
      <c r="Q40" s="80">
        <v>-602898.02</v>
      </c>
    </row>
    <row r="41" spans="1:17" x14ac:dyDescent="0.25">
      <c r="A41" s="81"/>
      <c r="B41" s="82"/>
      <c r="C41" s="78" t="s">
        <v>174</v>
      </c>
      <c r="D41" s="83">
        <f>IFERROR(VLOOKUP($C41,'[7]01-02.2024'!$C:$E,2,FALSE),0)</f>
        <v>-800170.95</v>
      </c>
      <c r="E41" s="83">
        <f>IFERROR(VLOOKUP($C41,'[7]01-02.2024'!$C:$E,3,FALSE),0)</f>
        <v>-833787.46</v>
      </c>
      <c r="F41" s="83">
        <f>IFERROR(VLOOKUP($C41,'[7]03-04.2024'!$C:$E,2,FALSE),0)</f>
        <v>-736826.92</v>
      </c>
      <c r="G41" s="83">
        <f>IFERROR(VLOOKUP($C41,'[7]03-04.2024'!$C:$E,3,FALSE),0)</f>
        <v>-741635.21</v>
      </c>
      <c r="H41" s="83">
        <f>IFERROR(VLOOKUP($C41,'[7]05-06.2024'!$C:$E,2,FALSE),0)</f>
        <v>-757865.13</v>
      </c>
      <c r="I41" s="83">
        <f>IFERROR(VLOOKUP($C41,'[7]05-06.2024'!$C:$E,3,FALSE),0)</f>
        <v>-759257.05</v>
      </c>
      <c r="J41" s="83">
        <f>IFERROR(VLOOKUP($C41,'[7]07-08.2024'!$C:$E,2,FALSE),0)</f>
        <v>-748770.91</v>
      </c>
      <c r="K41" s="83">
        <f>IFERROR(VLOOKUP($C41,'[7]07-08.2024'!$C:$E,3,FALSE),0)</f>
        <v>-614532.73</v>
      </c>
      <c r="L41" s="83">
        <f>IFERROR(VLOOKUP($C41,'[7]09-10.2024'!$C:$E,2,FALSE),0)</f>
        <v>-542285.73</v>
      </c>
      <c r="M41" s="83">
        <f>IFERROR(VLOOKUP($C41,'[7]09-10.2024'!$C:$E,3,FALSE),0)</f>
        <v>-478349.59</v>
      </c>
      <c r="N41" s="83">
        <f>IFERROR(VLOOKUP($C41,'[7]11-12.2024'!$C:$E,2,FALSE),0)</f>
        <v>-462807.32</v>
      </c>
      <c r="O41" s="83">
        <f>IFERROR(VLOOKUP($C41,'[7]11-12.2024'!$C:$E,3,FALSE),0)</f>
        <v>-478167.72</v>
      </c>
      <c r="P41" s="83">
        <v>-545579.68999999994</v>
      </c>
      <c r="Q41" s="83">
        <v>-602898.02</v>
      </c>
    </row>
    <row r="42" spans="1:17" x14ac:dyDescent="0.25">
      <c r="A42" s="76" t="s">
        <v>130</v>
      </c>
      <c r="B42" s="77" t="s">
        <v>175</v>
      </c>
      <c r="C42" s="78" t="s">
        <v>176</v>
      </c>
      <c r="D42" s="80">
        <f>IFERROR(VLOOKUP($C42,'[7]01-02.2024'!$C:$E,2,FALSE),0)</f>
        <v>676685.67</v>
      </c>
      <c r="E42" s="80">
        <f>IFERROR(VLOOKUP($C42,'[7]01-02.2024'!$C:$E,3,FALSE),0)</f>
        <v>478292.28</v>
      </c>
      <c r="F42" s="80">
        <f>IFERROR(VLOOKUP($C42,'[7]03-04.2024'!$C:$E,2,FALSE),0)</f>
        <v>478572.6</v>
      </c>
      <c r="G42" s="80">
        <f>IFERROR(VLOOKUP($C42,'[7]03-04.2024'!$C:$E,3,FALSE),0)</f>
        <v>204558.07</v>
      </c>
      <c r="H42" s="80">
        <f>IFERROR(VLOOKUP($C42,'[7]05-06.2024'!$C:$E,2,FALSE),0)</f>
        <v>244478.51</v>
      </c>
      <c r="I42" s="80">
        <f>IFERROR(VLOOKUP($C42,'[7]05-06.2024'!$C:$E,3,FALSE),0)</f>
        <v>341220.19</v>
      </c>
      <c r="J42" s="80">
        <f>IFERROR(VLOOKUP($C42,'[7]07-08.2024'!$C:$E,2,FALSE),0)</f>
        <v>401121.54</v>
      </c>
      <c r="K42" s="80">
        <f>IFERROR(VLOOKUP($C42,'[7]07-08.2024'!$C:$E,3,FALSE),0)</f>
        <v>193593.78</v>
      </c>
      <c r="L42" s="80">
        <f>IFERROR(VLOOKUP($C42,'[7]09-10.2024'!$C:$E,2,FALSE),0)</f>
        <v>151673.98000000001</v>
      </c>
      <c r="M42" s="80">
        <f>IFERROR(VLOOKUP($C42,'[7]09-10.2024'!$C:$E,3,FALSE),0)</f>
        <v>400028.85</v>
      </c>
      <c r="N42" s="80">
        <f>IFERROR(VLOOKUP($C42,'[7]11-12.2024'!$C:$E,2,FALSE),0)</f>
        <v>274768.57</v>
      </c>
      <c r="O42" s="80">
        <f>IFERROR(VLOOKUP($C42,'[7]11-12.2024'!$C:$E,3,FALSE),0)</f>
        <v>22555.34</v>
      </c>
      <c r="P42" s="80">
        <v>67911.710000000006</v>
      </c>
      <c r="Q42" s="80">
        <v>388330.53</v>
      </c>
    </row>
    <row r="43" spans="1:17" x14ac:dyDescent="0.25">
      <c r="A43" s="81"/>
      <c r="B43" s="82"/>
      <c r="C43" s="78" t="s">
        <v>177</v>
      </c>
      <c r="D43" s="83">
        <f>IFERROR(VLOOKUP($C43,'[7]01-02.2024'!$C:$E,2,FALSE),0)</f>
        <v>676685.67</v>
      </c>
      <c r="E43" s="83">
        <f>IFERROR(VLOOKUP($C43,'[7]01-02.2024'!$C:$E,3,FALSE),0)</f>
        <v>478292.28</v>
      </c>
      <c r="F43" s="83">
        <f>IFERROR(VLOOKUP($C43,'[7]03-04.2024'!$C:$E,2,FALSE),0)</f>
        <v>478572.6</v>
      </c>
      <c r="G43" s="83">
        <f>IFERROR(VLOOKUP($C43,'[7]03-04.2024'!$C:$E,3,FALSE),0)</f>
        <v>204558.07</v>
      </c>
      <c r="H43" s="83">
        <f>IFERROR(VLOOKUP($C43,'[7]05-06.2024'!$C:$E,2,FALSE),0)</f>
        <v>244478.51</v>
      </c>
      <c r="I43" s="83">
        <f>IFERROR(VLOOKUP($C43,'[7]05-06.2024'!$C:$E,3,FALSE),0)</f>
        <v>341220.19</v>
      </c>
      <c r="J43" s="83">
        <f>IFERROR(VLOOKUP($C43,'[7]07-08.2024'!$C:$E,2,FALSE),0)</f>
        <v>401121.54</v>
      </c>
      <c r="K43" s="83">
        <f>IFERROR(VLOOKUP($C43,'[7]07-08.2024'!$C:$E,3,FALSE),0)</f>
        <v>193593.78</v>
      </c>
      <c r="L43" s="83">
        <f>IFERROR(VLOOKUP($C43,'[7]09-10.2024'!$C:$E,2,FALSE),0)</f>
        <v>151673.98000000001</v>
      </c>
      <c r="M43" s="83">
        <f>IFERROR(VLOOKUP($C43,'[7]09-10.2024'!$C:$E,3,FALSE),0)</f>
        <v>400028.85</v>
      </c>
      <c r="N43" s="83">
        <f>IFERROR(VLOOKUP($C43,'[7]11-12.2024'!$C:$E,2,FALSE),0)</f>
        <v>274768.57</v>
      </c>
      <c r="O43" s="83">
        <f>IFERROR(VLOOKUP($C43,'[7]11-12.2024'!$C:$E,3,FALSE),0)</f>
        <v>22555.34</v>
      </c>
      <c r="P43" s="83">
        <v>67911.710000000006</v>
      </c>
      <c r="Q43" s="83">
        <v>388330.53</v>
      </c>
    </row>
    <row r="44" spans="1:17" x14ac:dyDescent="0.25">
      <c r="A44" s="76" t="s">
        <v>130</v>
      </c>
      <c r="B44" s="77" t="s">
        <v>178</v>
      </c>
      <c r="C44" s="78" t="s">
        <v>179</v>
      </c>
      <c r="D44" s="80">
        <f>IFERROR(VLOOKUP($C44,'[7]01-02.2024'!$C:$E,2,FALSE),0)</f>
        <v>1169108.9099999999</v>
      </c>
      <c r="E44" s="80">
        <f>IFERROR(VLOOKUP($C44,'[7]01-02.2024'!$C:$E,3,FALSE),0)</f>
        <v>1176917.3799999999</v>
      </c>
      <c r="F44" s="80">
        <f>IFERROR(VLOOKUP($C44,'[7]03-04.2024'!$C:$E,2,FALSE),0)</f>
        <v>1192355.57</v>
      </c>
      <c r="G44" s="80">
        <f>IFERROR(VLOOKUP($C44,'[7]03-04.2024'!$C:$E,3,FALSE),0)</f>
        <v>1207221.77</v>
      </c>
      <c r="H44" s="80">
        <f>IFERROR(VLOOKUP($C44,'[7]05-06.2024'!$C:$E,2,FALSE),0)</f>
        <v>1409732.02</v>
      </c>
      <c r="I44" s="80">
        <f>IFERROR(VLOOKUP($C44,'[7]05-06.2024'!$C:$E,3,FALSE),0)</f>
        <v>1429162.25</v>
      </c>
      <c r="J44" s="80">
        <f>IFERROR(VLOOKUP($C44,'[7]07-08.2024'!$C:$E,2,FALSE),0)</f>
        <v>1405798.74</v>
      </c>
      <c r="K44" s="80">
        <f>IFERROR(VLOOKUP($C44,'[7]07-08.2024'!$C:$E,3,FALSE),0)</f>
        <v>1412182.49</v>
      </c>
      <c r="L44" s="80">
        <f>IFERROR(VLOOKUP($C44,'[7]09-10.2024'!$C:$E,2,FALSE),0)</f>
        <v>1404434.95</v>
      </c>
      <c r="M44" s="80">
        <f>IFERROR(VLOOKUP($C44,'[7]09-10.2024'!$C:$E,3,FALSE),0)</f>
        <v>1357713.16</v>
      </c>
      <c r="N44" s="80">
        <f>IFERROR(VLOOKUP($C44,'[7]11-12.2024'!$C:$E,2,FALSE),0)</f>
        <v>946464.4</v>
      </c>
      <c r="O44" s="80">
        <f>IFERROR(VLOOKUP($C44,'[7]11-12.2024'!$C:$E,3,FALSE),0)</f>
        <v>1086857.52</v>
      </c>
      <c r="P44" s="80">
        <v>1079573.3400000001</v>
      </c>
      <c r="Q44" s="80">
        <v>1099523.6000000001</v>
      </c>
    </row>
    <row r="45" spans="1:17" x14ac:dyDescent="0.25">
      <c r="A45" s="81"/>
      <c r="B45" s="82"/>
      <c r="C45" s="78" t="s">
        <v>180</v>
      </c>
      <c r="D45" s="83">
        <f>IFERROR(VLOOKUP($C45,'[7]01-02.2024'!$C:$E,2,FALSE),0)</f>
        <v>1169108.9099999999</v>
      </c>
      <c r="E45" s="83">
        <f>IFERROR(VLOOKUP($C45,'[7]01-02.2024'!$C:$E,3,FALSE),0)</f>
        <v>1176917.3799999999</v>
      </c>
      <c r="F45" s="83">
        <f>IFERROR(VLOOKUP($C45,'[7]03-04.2024'!$C:$E,2,FALSE),0)</f>
        <v>1192355.57</v>
      </c>
      <c r="G45" s="83">
        <f>IFERROR(VLOOKUP($C45,'[7]03-04.2024'!$C:$E,3,FALSE),0)</f>
        <v>1207221.77</v>
      </c>
      <c r="H45" s="83">
        <f>IFERROR(VLOOKUP($C45,'[7]05-06.2024'!$C:$E,2,FALSE),0)</f>
        <v>1409732.02</v>
      </c>
      <c r="I45" s="83">
        <f>IFERROR(VLOOKUP($C45,'[7]05-06.2024'!$C:$E,3,FALSE),0)</f>
        <v>1429162.25</v>
      </c>
      <c r="J45" s="83">
        <f>IFERROR(VLOOKUP($C45,'[7]07-08.2024'!$C:$E,2,FALSE),0)</f>
        <v>1405798.74</v>
      </c>
      <c r="K45" s="83">
        <f>IFERROR(VLOOKUP($C45,'[7]07-08.2024'!$C:$E,3,FALSE),0)</f>
        <v>1412182.49</v>
      </c>
      <c r="L45" s="83">
        <f>IFERROR(VLOOKUP($C45,'[7]09-10.2024'!$C:$E,2,FALSE),0)</f>
        <v>1404434.95</v>
      </c>
      <c r="M45" s="83">
        <f>IFERROR(VLOOKUP($C45,'[7]09-10.2024'!$C:$E,3,FALSE),0)</f>
        <v>1357713.16</v>
      </c>
      <c r="N45" s="83">
        <f>IFERROR(VLOOKUP($C45,'[7]11-12.2024'!$C:$E,2,FALSE),0)</f>
        <v>946464.4</v>
      </c>
      <c r="O45" s="83">
        <f>IFERROR(VLOOKUP($C45,'[7]11-12.2024'!$C:$E,3,FALSE),0)</f>
        <v>1086857.52</v>
      </c>
      <c r="P45" s="83">
        <v>1079573.3400000001</v>
      </c>
      <c r="Q45" s="83">
        <v>1099523.6000000001</v>
      </c>
    </row>
    <row r="46" spans="1:17" x14ac:dyDescent="0.25">
      <c r="A46" s="76" t="s">
        <v>135</v>
      </c>
      <c r="B46" s="77" t="s">
        <v>181</v>
      </c>
      <c r="C46" s="78" t="s">
        <v>182</v>
      </c>
      <c r="D46" s="80">
        <f>IFERROR(VLOOKUP($C46,'[7]01-02.2024'!$C:$E,2,FALSE),0)</f>
        <v>1532134.21</v>
      </c>
      <c r="E46" s="80">
        <f>IFERROR(VLOOKUP($C46,'[7]01-02.2024'!$C:$E,3,FALSE),0)</f>
        <v>1241623.6100000001</v>
      </c>
      <c r="F46" s="80">
        <f>IFERROR(VLOOKUP($C46,'[7]03-04.2024'!$C:$E,2,FALSE),0)</f>
        <v>1336275.8</v>
      </c>
      <c r="G46" s="80">
        <f>IFERROR(VLOOKUP($C46,'[7]03-04.2024'!$C:$E,3,FALSE),0)</f>
        <v>1425297.29</v>
      </c>
      <c r="H46" s="80">
        <f>IFERROR(VLOOKUP($C46,'[7]05-06.2024'!$C:$E,2,FALSE),0)</f>
        <v>2274045.1800000002</v>
      </c>
      <c r="I46" s="80">
        <f>IFERROR(VLOOKUP($C46,'[7]05-06.2024'!$C:$E,3,FALSE),0)</f>
        <v>2386025.02</v>
      </c>
      <c r="J46" s="80">
        <f>IFERROR(VLOOKUP($C46,'[7]07-08.2024'!$C:$E,2,FALSE),0)</f>
        <v>2372763.7599999998</v>
      </c>
      <c r="K46" s="80">
        <f>IFERROR(VLOOKUP($C46,'[7]07-08.2024'!$C:$E,3,FALSE),0)</f>
        <v>2372763.7599999998</v>
      </c>
      <c r="L46" s="80">
        <f>IFERROR(VLOOKUP($C46,'[7]09-10.2024'!$C:$E,2,FALSE),0)</f>
        <v>2372763.7599999998</v>
      </c>
      <c r="M46" s="80">
        <f>IFERROR(VLOOKUP($C46,'[7]09-10.2024'!$C:$E,3,FALSE),0)</f>
        <v>2372763.7599999998</v>
      </c>
      <c r="N46" s="80">
        <f>IFERROR(VLOOKUP($C46,'[7]11-12.2024'!$C:$E,2,FALSE),0)</f>
        <v>2372763.7599999998</v>
      </c>
      <c r="O46" s="80">
        <f>IFERROR(VLOOKUP($C46,'[7]11-12.2024'!$C:$E,3,FALSE),0)</f>
        <v>1637940.52</v>
      </c>
      <c r="P46" s="80">
        <v>1425751.93</v>
      </c>
      <c r="Q46" s="80">
        <v>1028557.96</v>
      </c>
    </row>
    <row r="47" spans="1:17" x14ac:dyDescent="0.25">
      <c r="A47" s="81"/>
      <c r="B47" s="82"/>
      <c r="C47" s="78" t="s">
        <v>183</v>
      </c>
      <c r="D47" s="83">
        <f>IFERROR(VLOOKUP($C47,'[7]01-02.2024'!$C:$E,2,FALSE),0)</f>
        <v>1532134.21</v>
      </c>
      <c r="E47" s="83">
        <f>IFERROR(VLOOKUP($C47,'[7]01-02.2024'!$C:$E,3,FALSE),0)</f>
        <v>1241623.6100000001</v>
      </c>
      <c r="F47" s="83">
        <f>IFERROR(VLOOKUP($C47,'[7]03-04.2024'!$C:$E,2,FALSE),0)</f>
        <v>1336275.8</v>
      </c>
      <c r="G47" s="83">
        <f>IFERROR(VLOOKUP($C47,'[7]03-04.2024'!$C:$E,3,FALSE),0)</f>
        <v>1425297.29</v>
      </c>
      <c r="H47" s="83">
        <f>IFERROR(VLOOKUP($C47,'[7]05-06.2024'!$C:$E,2,FALSE),0)</f>
        <v>2274045.1800000002</v>
      </c>
      <c r="I47" s="83">
        <f>IFERROR(VLOOKUP($C47,'[7]05-06.2024'!$C:$E,3,FALSE),0)</f>
        <v>2386025.02</v>
      </c>
      <c r="J47" s="83">
        <f>IFERROR(VLOOKUP($C47,'[7]07-08.2024'!$C:$E,2,FALSE),0)</f>
        <v>2372763.7599999998</v>
      </c>
      <c r="K47" s="83">
        <f>IFERROR(VLOOKUP($C47,'[7]07-08.2024'!$C:$E,3,FALSE),0)</f>
        <v>2372763.7599999998</v>
      </c>
      <c r="L47" s="83">
        <f>IFERROR(VLOOKUP($C47,'[7]09-10.2024'!$C:$E,2,FALSE),0)</f>
        <v>2372763.7599999998</v>
      </c>
      <c r="M47" s="83">
        <f>IFERROR(VLOOKUP($C47,'[7]09-10.2024'!$C:$E,3,FALSE),0)</f>
        <v>2372763.7599999998</v>
      </c>
      <c r="N47" s="83">
        <f>IFERROR(VLOOKUP($C47,'[7]11-12.2024'!$C:$E,2,FALSE),0)</f>
        <v>2372763.7599999998</v>
      </c>
      <c r="O47" s="83">
        <f>IFERROR(VLOOKUP($C47,'[7]11-12.2024'!$C:$E,3,FALSE),0)</f>
        <v>1637940.52</v>
      </c>
      <c r="P47" s="83">
        <v>1425751.93</v>
      </c>
      <c r="Q47" s="83">
        <v>1028557.96</v>
      </c>
    </row>
    <row r="48" spans="1:17" x14ac:dyDescent="0.25">
      <c r="A48" s="76" t="s">
        <v>135</v>
      </c>
      <c r="B48" s="77" t="s">
        <v>184</v>
      </c>
      <c r="C48" s="78" t="s">
        <v>185</v>
      </c>
      <c r="D48" s="80">
        <f>IFERROR(VLOOKUP($C48,'[7]01-02.2024'!$C:$E,2,FALSE),0)</f>
        <v>94143.42</v>
      </c>
      <c r="E48" s="80">
        <f>IFERROR(VLOOKUP($C48,'[7]01-02.2024'!$C:$E,3,FALSE),0)</f>
        <v>83658.12</v>
      </c>
      <c r="F48" s="80">
        <f>IFERROR(VLOOKUP($C48,'[7]03-04.2024'!$C:$E,2,FALSE),0)</f>
        <v>89546.08</v>
      </c>
      <c r="G48" s="80">
        <f>IFERROR(VLOOKUP($C48,'[7]03-04.2024'!$C:$E,3,FALSE),0)</f>
        <v>81939.59</v>
      </c>
      <c r="H48" s="80">
        <f>IFERROR(VLOOKUP($C48,'[7]05-06.2024'!$C:$E,2,FALSE),0)</f>
        <v>73498.080000000002</v>
      </c>
      <c r="I48" s="80">
        <f>IFERROR(VLOOKUP($C48,'[7]05-06.2024'!$C:$E,3,FALSE),0)</f>
        <v>49684.21</v>
      </c>
      <c r="J48" s="80">
        <f>IFERROR(VLOOKUP($C48,'[7]07-08.2024'!$C:$E,2,FALSE),0)</f>
        <v>139659.01999999999</v>
      </c>
      <c r="K48" s="80">
        <f>IFERROR(VLOOKUP($C48,'[7]07-08.2024'!$C:$E,3,FALSE),0)</f>
        <v>128458.35</v>
      </c>
      <c r="L48" s="80">
        <f>IFERROR(VLOOKUP($C48,'[7]09-10.2024'!$C:$E,2,FALSE),0)</f>
        <v>114952.11</v>
      </c>
      <c r="M48" s="80">
        <f>IFERROR(VLOOKUP($C48,'[7]09-10.2024'!$C:$E,3,FALSE),0)</f>
        <v>97363.75</v>
      </c>
      <c r="N48" s="80">
        <f>IFERROR(VLOOKUP($C48,'[7]11-12.2024'!$C:$E,2,FALSE),0)</f>
        <v>101998.19</v>
      </c>
      <c r="O48" s="80">
        <f>IFERROR(VLOOKUP($C48,'[7]11-12.2024'!$C:$E,3,FALSE),0)</f>
        <v>115189.15</v>
      </c>
      <c r="P48" s="80">
        <v>103509.15</v>
      </c>
      <c r="Q48" s="80">
        <v>106775.29</v>
      </c>
    </row>
    <row r="49" spans="1:17" x14ac:dyDescent="0.25">
      <c r="A49" s="81"/>
      <c r="B49" s="82"/>
      <c r="C49" s="78" t="s">
        <v>186</v>
      </c>
      <c r="D49" s="83">
        <f>IFERROR(VLOOKUP($C49,'[7]01-02.2024'!$C:$E,2,FALSE),0)</f>
        <v>94143.42</v>
      </c>
      <c r="E49" s="83">
        <f>IFERROR(VLOOKUP($C49,'[7]01-02.2024'!$C:$E,3,FALSE),0)</f>
        <v>83658.12</v>
      </c>
      <c r="F49" s="83">
        <f>IFERROR(VLOOKUP($C49,'[7]03-04.2024'!$C:$E,2,FALSE),0)</f>
        <v>89546.08</v>
      </c>
      <c r="G49" s="83">
        <f>IFERROR(VLOOKUP($C49,'[7]03-04.2024'!$C:$E,3,FALSE),0)</f>
        <v>81939.59</v>
      </c>
      <c r="H49" s="83">
        <f>IFERROR(VLOOKUP($C49,'[7]05-06.2024'!$C:$E,2,FALSE),0)</f>
        <v>73498.080000000002</v>
      </c>
      <c r="I49" s="83">
        <f>IFERROR(VLOOKUP($C49,'[7]05-06.2024'!$C:$E,3,FALSE),0)</f>
        <v>49684.21</v>
      </c>
      <c r="J49" s="83">
        <f>IFERROR(VLOOKUP($C49,'[7]07-08.2024'!$C:$E,2,FALSE),0)</f>
        <v>139659.01999999999</v>
      </c>
      <c r="K49" s="83">
        <f>IFERROR(VLOOKUP($C49,'[7]07-08.2024'!$C:$E,3,FALSE),0)</f>
        <v>128458.35</v>
      </c>
      <c r="L49" s="83">
        <f>IFERROR(VLOOKUP($C49,'[7]09-10.2024'!$C:$E,2,FALSE),0)</f>
        <v>114952.11</v>
      </c>
      <c r="M49" s="83">
        <f>IFERROR(VLOOKUP($C49,'[7]09-10.2024'!$C:$E,3,FALSE),0)</f>
        <v>97363.75</v>
      </c>
      <c r="N49" s="83">
        <f>IFERROR(VLOOKUP($C49,'[7]11-12.2024'!$C:$E,2,FALSE),0)</f>
        <v>101998.19</v>
      </c>
      <c r="O49" s="83">
        <f>IFERROR(VLOOKUP($C49,'[7]11-12.2024'!$C:$E,3,FALSE),0)</f>
        <v>115189.15</v>
      </c>
      <c r="P49" s="83">
        <v>103509.15</v>
      </c>
      <c r="Q49" s="83">
        <v>106775.29</v>
      </c>
    </row>
    <row r="50" spans="1:17" x14ac:dyDescent="0.25">
      <c r="A50" s="76" t="s">
        <v>130</v>
      </c>
      <c r="B50" s="77" t="s">
        <v>187</v>
      </c>
      <c r="C50" s="78" t="s">
        <v>188</v>
      </c>
      <c r="D50" s="80">
        <f>IFERROR(VLOOKUP($C50,'[7]01-02.2024'!$C:$E,2,FALSE),0)</f>
        <v>8372646.6399999997</v>
      </c>
      <c r="E50" s="80">
        <f>IFERROR(VLOOKUP($C50,'[7]01-02.2024'!$C:$E,3,FALSE),0)</f>
        <v>5504130.7199999997</v>
      </c>
      <c r="F50" s="80">
        <f>IFERROR(VLOOKUP($C50,'[7]03-04.2024'!$C:$E,2,FALSE),0)</f>
        <v>4435830.24</v>
      </c>
      <c r="G50" s="80">
        <f>IFERROR(VLOOKUP($C50,'[7]03-04.2024'!$C:$E,3,FALSE),0)</f>
        <v>2940115.74</v>
      </c>
      <c r="H50" s="80">
        <f>IFERROR(VLOOKUP($C50,'[7]05-06.2024'!$C:$E,2,FALSE),0)</f>
        <v>1666489.03</v>
      </c>
      <c r="I50" s="80">
        <f>IFERROR(VLOOKUP($C50,'[7]05-06.2024'!$C:$E,3,FALSE),0)</f>
        <v>1738306.85</v>
      </c>
      <c r="J50" s="80">
        <f>IFERROR(VLOOKUP($C50,'[7]07-08.2024'!$C:$E,2,FALSE),0)</f>
        <v>1865607.76</v>
      </c>
      <c r="K50" s="80">
        <f>IFERROR(VLOOKUP($C50,'[7]07-08.2024'!$C:$E,3,FALSE),0)</f>
        <v>1734239.81</v>
      </c>
      <c r="L50" s="80">
        <f>IFERROR(VLOOKUP($C50,'[7]09-10.2024'!$C:$E,2,FALSE),0)</f>
        <v>1946081.3</v>
      </c>
      <c r="M50" s="80">
        <f>IFERROR(VLOOKUP($C50,'[7]09-10.2024'!$C:$E,3,FALSE),0)</f>
        <v>2701177.04</v>
      </c>
      <c r="N50" s="80">
        <f>IFERROR(VLOOKUP($C50,'[7]11-12.2024'!$C:$E,2,FALSE),0)</f>
        <v>4771951.24</v>
      </c>
      <c r="O50" s="80">
        <f>IFERROR(VLOOKUP($C50,'[7]11-12.2024'!$C:$E,3,FALSE),0)</f>
        <v>7871884.3700000001</v>
      </c>
      <c r="P50" s="80">
        <v>10219637.720000001</v>
      </c>
      <c r="Q50" s="80">
        <v>7735706.1500000004</v>
      </c>
    </row>
    <row r="51" spans="1:17" x14ac:dyDescent="0.25">
      <c r="A51" s="81"/>
      <c r="B51" s="82"/>
      <c r="C51" s="78" t="s">
        <v>189</v>
      </c>
      <c r="D51" s="83">
        <f>IFERROR(VLOOKUP($C51,'[7]01-02.2024'!$C:$E,2,FALSE),0)</f>
        <v>8372646.6399999997</v>
      </c>
      <c r="E51" s="83">
        <f>IFERROR(VLOOKUP($C51,'[7]01-02.2024'!$C:$E,3,FALSE),0)</f>
        <v>5504130.7199999997</v>
      </c>
      <c r="F51" s="83">
        <f>IFERROR(VLOOKUP($C51,'[7]03-04.2024'!$C:$E,2,FALSE),0)</f>
        <v>4435830.24</v>
      </c>
      <c r="G51" s="83">
        <f>IFERROR(VLOOKUP($C51,'[7]03-04.2024'!$C:$E,3,FALSE),0)</f>
        <v>2940115.74</v>
      </c>
      <c r="H51" s="83">
        <f>IFERROR(VLOOKUP($C51,'[7]05-06.2024'!$C:$E,2,FALSE),0)</f>
        <v>1666489.03</v>
      </c>
      <c r="I51" s="83">
        <f>IFERROR(VLOOKUP($C51,'[7]05-06.2024'!$C:$E,3,FALSE),0)</f>
        <v>1738306.85</v>
      </c>
      <c r="J51" s="83">
        <f>IFERROR(VLOOKUP($C51,'[7]07-08.2024'!$C:$E,2,FALSE),0)</f>
        <v>1865607.76</v>
      </c>
      <c r="K51" s="83">
        <f>IFERROR(VLOOKUP($C51,'[7]07-08.2024'!$C:$E,3,FALSE),0)</f>
        <v>1734239.81</v>
      </c>
      <c r="L51" s="83">
        <f>IFERROR(VLOOKUP($C51,'[7]09-10.2024'!$C:$E,2,FALSE),0)</f>
        <v>1946081.3</v>
      </c>
      <c r="M51" s="83">
        <f>IFERROR(VLOOKUP($C51,'[7]09-10.2024'!$C:$E,3,FALSE),0)</f>
        <v>2701177.04</v>
      </c>
      <c r="N51" s="83">
        <f>IFERROR(VLOOKUP($C51,'[7]11-12.2024'!$C:$E,2,FALSE),0)</f>
        <v>4771951.24</v>
      </c>
      <c r="O51" s="83">
        <f>IFERROR(VLOOKUP($C51,'[7]11-12.2024'!$C:$E,3,FALSE),0)</f>
        <v>7871884.3700000001</v>
      </c>
      <c r="P51" s="83">
        <v>10219637.720000001</v>
      </c>
      <c r="Q51" s="83">
        <v>7735706.1500000004</v>
      </c>
    </row>
    <row r="52" spans="1:17" x14ac:dyDescent="0.25">
      <c r="A52" s="76" t="s">
        <v>135</v>
      </c>
      <c r="B52" s="77" t="s">
        <v>190</v>
      </c>
      <c r="C52" s="78" t="s">
        <v>191</v>
      </c>
      <c r="D52" s="80">
        <f>IFERROR(VLOOKUP($C52,'[7]01-02.2024'!$C:$E,2,FALSE),0)</f>
        <v>306117.18</v>
      </c>
      <c r="E52" s="80">
        <f>IFERROR(VLOOKUP($C52,'[7]01-02.2024'!$C:$E,3,FALSE),0)</f>
        <v>141327.57999999999</v>
      </c>
      <c r="F52" s="80">
        <f>IFERROR(VLOOKUP($C52,'[7]03-04.2024'!$C:$E,2,FALSE),0)</f>
        <v>139974.01</v>
      </c>
      <c r="G52" s="80">
        <f>IFERROR(VLOOKUP($C52,'[7]03-04.2024'!$C:$E,3,FALSE),0)</f>
        <v>75558.77</v>
      </c>
      <c r="H52" s="80">
        <f>IFERROR(VLOOKUP($C52,'[7]05-06.2024'!$C:$E,2,FALSE),0)</f>
        <v>139718.68</v>
      </c>
      <c r="I52" s="80">
        <f>IFERROR(VLOOKUP($C52,'[7]05-06.2024'!$C:$E,3,FALSE),0)</f>
        <v>214999.9</v>
      </c>
      <c r="J52" s="80">
        <f>IFERROR(VLOOKUP($C52,'[7]07-08.2024'!$C:$E,2,FALSE),0)</f>
        <v>85223.64</v>
      </c>
      <c r="K52" s="80">
        <f>IFERROR(VLOOKUP($C52,'[7]07-08.2024'!$C:$E,3,FALSE),0)</f>
        <v>168157.74</v>
      </c>
      <c r="L52" s="80">
        <f>IFERROR(VLOOKUP($C52,'[7]09-10.2024'!$C:$E,2,FALSE),0)</f>
        <v>227178.88</v>
      </c>
      <c r="M52" s="80">
        <f>IFERROR(VLOOKUP($C52,'[7]09-10.2024'!$C:$E,3,FALSE),0)</f>
        <v>286855.71000000002</v>
      </c>
      <c r="N52" s="80">
        <f>IFERROR(VLOOKUP($C52,'[7]11-12.2024'!$C:$E,2,FALSE),0)</f>
        <v>167623.79</v>
      </c>
      <c r="O52" s="80">
        <f>IFERROR(VLOOKUP($C52,'[7]11-12.2024'!$C:$E,3,FALSE),0)</f>
        <v>558844.43000000005</v>
      </c>
      <c r="P52" s="80">
        <v>681821.64</v>
      </c>
      <c r="Q52" s="80">
        <v>385069.93</v>
      </c>
    </row>
    <row r="53" spans="1:17" x14ac:dyDescent="0.25">
      <c r="A53" s="81"/>
      <c r="B53" s="82"/>
      <c r="C53" s="78" t="s">
        <v>192</v>
      </c>
      <c r="D53" s="83">
        <f>IFERROR(VLOOKUP($C53,'[7]01-02.2024'!$C:$E,2,FALSE),0)</f>
        <v>306117.18</v>
      </c>
      <c r="E53" s="83">
        <f>IFERROR(VLOOKUP($C53,'[7]01-02.2024'!$C:$E,3,FALSE),0)</f>
        <v>141327.57999999999</v>
      </c>
      <c r="F53" s="83">
        <f>IFERROR(VLOOKUP($C53,'[7]03-04.2024'!$C:$E,2,FALSE),0)</f>
        <v>139974.01</v>
      </c>
      <c r="G53" s="83">
        <f>IFERROR(VLOOKUP($C53,'[7]03-04.2024'!$C:$E,3,FALSE),0)</f>
        <v>75558.77</v>
      </c>
      <c r="H53" s="83">
        <f>IFERROR(VLOOKUP($C53,'[7]05-06.2024'!$C:$E,2,FALSE),0)</f>
        <v>139718.68</v>
      </c>
      <c r="I53" s="83">
        <f>IFERROR(VLOOKUP($C53,'[7]05-06.2024'!$C:$E,3,FALSE),0)</f>
        <v>214999.9</v>
      </c>
      <c r="J53" s="83">
        <f>IFERROR(VLOOKUP($C53,'[7]07-08.2024'!$C:$E,2,FALSE),0)</f>
        <v>85223.64</v>
      </c>
      <c r="K53" s="83">
        <f>IFERROR(VLOOKUP($C53,'[7]07-08.2024'!$C:$E,3,FALSE),0)</f>
        <v>168157.74</v>
      </c>
      <c r="L53" s="83">
        <f>IFERROR(VLOOKUP($C53,'[7]09-10.2024'!$C:$E,2,FALSE),0)</f>
        <v>227178.88</v>
      </c>
      <c r="M53" s="83">
        <f>IFERROR(VLOOKUP($C53,'[7]09-10.2024'!$C:$E,3,FALSE),0)</f>
        <v>286855.71000000002</v>
      </c>
      <c r="N53" s="83">
        <f>IFERROR(VLOOKUP($C53,'[7]11-12.2024'!$C:$E,2,FALSE),0)</f>
        <v>167623.79</v>
      </c>
      <c r="O53" s="83">
        <f>IFERROR(VLOOKUP($C53,'[7]11-12.2024'!$C:$E,3,FALSE),0)</f>
        <v>558844.43000000005</v>
      </c>
      <c r="P53" s="83">
        <v>681821.64</v>
      </c>
      <c r="Q53" s="83">
        <v>385069.93</v>
      </c>
    </row>
    <row r="54" spans="1:17" x14ac:dyDescent="0.25">
      <c r="A54" s="81"/>
      <c r="B54" s="82"/>
      <c r="C54" s="78" t="s">
        <v>193</v>
      </c>
      <c r="D54" s="83">
        <f>IFERROR(VLOOKUP($C54,'[7]01-02.2024'!$C:$E,2,FALSE),0)</f>
        <v>15055957.4</v>
      </c>
      <c r="E54" s="83">
        <f>IFERROR(VLOOKUP($C54,'[7]01-02.2024'!$C:$E,3,FALSE),0)</f>
        <v>12782678.810000001</v>
      </c>
      <c r="F54" s="83">
        <f>IFERROR(VLOOKUP($C54,'[7]03-04.2024'!$C:$E,2,FALSE),0)</f>
        <v>11114505.619999999</v>
      </c>
      <c r="G54" s="83">
        <f>IFERROR(VLOOKUP($C54,'[7]03-04.2024'!$C:$E,3,FALSE),0)</f>
        <v>8606410.6099999994</v>
      </c>
      <c r="H54" s="83">
        <f>IFERROR(VLOOKUP($C54,'[7]05-06.2024'!$C:$E,2,FALSE),0)</f>
        <v>8211918</v>
      </c>
      <c r="I54" s="83">
        <f>IFERROR(VLOOKUP($C54,'[7]05-06.2024'!$C:$E,3,FALSE),0)</f>
        <v>8455747.8200000003</v>
      </c>
      <c r="J54" s="83">
        <f>IFERROR(VLOOKUP($C54,'[7]07-08.2024'!$C:$E,2,FALSE),0)</f>
        <v>8221026.5899999999</v>
      </c>
      <c r="K54" s="83">
        <f>IFERROR(VLOOKUP($C54,'[7]07-08.2024'!$C:$E,3,FALSE),0)</f>
        <v>7850619.3499999996</v>
      </c>
      <c r="L54" s="83">
        <f>IFERROR(VLOOKUP($C54,'[7]09-10.2024'!$C:$E,2,FALSE),0)</f>
        <v>8296418.3499999996</v>
      </c>
      <c r="M54" s="83">
        <f>IFERROR(VLOOKUP($C54,'[7]09-10.2024'!$C:$E,3,FALSE),0)</f>
        <v>9250810.6899999995</v>
      </c>
      <c r="N54" s="83">
        <f>IFERROR(VLOOKUP($C54,'[7]11-12.2024'!$C:$E,2,FALSE),0)</f>
        <v>10901506.18</v>
      </c>
      <c r="O54" s="83">
        <f>IFERROR(VLOOKUP($C54,'[7]11-12.2024'!$C:$E,3,FALSE),0)</f>
        <v>14055833.390000001</v>
      </c>
      <c r="P54" s="83">
        <v>17102859.300000001</v>
      </c>
      <c r="Q54" s="83">
        <v>15435946.15</v>
      </c>
    </row>
    <row r="55" spans="1:17" x14ac:dyDescent="0.25">
      <c r="A55" s="76"/>
      <c r="B55" s="77"/>
      <c r="C55" s="78" t="s">
        <v>194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x14ac:dyDescent="0.25">
      <c r="A56" s="76" t="s">
        <v>135</v>
      </c>
      <c r="B56" s="77" t="s">
        <v>195</v>
      </c>
      <c r="C56" s="78" t="s">
        <v>196</v>
      </c>
      <c r="D56" s="80">
        <f>IFERROR(VLOOKUP($C56,'[7]01-02.2024'!$C:$E,2,FALSE),0)</f>
        <v>115444</v>
      </c>
      <c r="E56" s="80">
        <f>IFERROR(VLOOKUP($C56,'[7]01-02.2024'!$C:$E,3,FALSE),0)</f>
        <v>115444</v>
      </c>
      <c r="F56" s="80">
        <f>IFERROR(VLOOKUP($C56,'[7]03-04.2024'!$C:$E,2,FALSE),0)</f>
        <v>114707</v>
      </c>
      <c r="G56" s="80">
        <f>IFERROR(VLOOKUP($C56,'[7]03-04.2024'!$C:$E,3,FALSE),0)</f>
        <v>114011.7</v>
      </c>
      <c r="H56" s="80">
        <f>IFERROR(VLOOKUP($C56,'[7]05-06.2024'!$C:$E,2,FALSE),0)</f>
        <v>113284.78</v>
      </c>
      <c r="I56" s="80">
        <f>IFERROR(VLOOKUP($C56,'[7]05-06.2024'!$C:$E,3,FALSE),0)</f>
        <v>112557.86</v>
      </c>
      <c r="J56" s="80">
        <f>IFERROR(VLOOKUP($C56,'[7]07-08.2024'!$C:$E,2,FALSE),0)</f>
        <v>111830.94</v>
      </c>
      <c r="K56" s="80">
        <f>IFERROR(VLOOKUP($C56,'[7]07-08.2024'!$C:$E,3,FALSE),0)</f>
        <v>111104.02</v>
      </c>
      <c r="L56" s="80">
        <f>IFERROR(VLOOKUP($C56,'[7]09-10.2024'!$C:$E,2,FALSE),0)</f>
        <v>110377.1</v>
      </c>
      <c r="M56" s="80">
        <f>IFERROR(VLOOKUP($C56,'[7]09-10.2024'!$C:$E,3,FALSE),0)</f>
        <v>109512.06</v>
      </c>
      <c r="N56" s="80">
        <f>IFERROR(VLOOKUP($C56,'[7]11-12.2024'!$C:$E,2,FALSE),0)</f>
        <v>108771.46</v>
      </c>
      <c r="O56" s="80">
        <f>IFERROR(VLOOKUP($C56,'[7]11-12.2024'!$C:$E,3,FALSE),0)</f>
        <v>108030.86</v>
      </c>
      <c r="P56" s="80">
        <v>107290.28</v>
      </c>
      <c r="Q56" s="80">
        <v>352807.53</v>
      </c>
    </row>
    <row r="57" spans="1:17" x14ac:dyDescent="0.25">
      <c r="A57" s="81"/>
      <c r="B57" s="82"/>
      <c r="C57" s="78" t="s">
        <v>197</v>
      </c>
      <c r="D57" s="83">
        <f>IFERROR(VLOOKUP($C57,'[7]01-02.2024'!$C:$E,2,FALSE),0)</f>
        <v>115444</v>
      </c>
      <c r="E57" s="83">
        <f>IFERROR(VLOOKUP($C57,'[7]01-02.2024'!$C:$E,3,FALSE),0)</f>
        <v>115444</v>
      </c>
      <c r="F57" s="83">
        <f>IFERROR(VLOOKUP($C57,'[7]03-04.2024'!$C:$E,2,FALSE),0)</f>
        <v>114707</v>
      </c>
      <c r="G57" s="83">
        <f>IFERROR(VLOOKUP($C57,'[7]03-04.2024'!$C:$E,3,FALSE),0)</f>
        <v>114011.7</v>
      </c>
      <c r="H57" s="83">
        <f>IFERROR(VLOOKUP($C57,'[7]05-06.2024'!$C:$E,2,FALSE),0)</f>
        <v>113284.78</v>
      </c>
      <c r="I57" s="83">
        <f>IFERROR(VLOOKUP($C57,'[7]05-06.2024'!$C:$E,3,FALSE),0)</f>
        <v>112557.86</v>
      </c>
      <c r="J57" s="83">
        <f>IFERROR(VLOOKUP($C57,'[7]07-08.2024'!$C:$E,2,FALSE),0)</f>
        <v>111830.94</v>
      </c>
      <c r="K57" s="83">
        <f>IFERROR(VLOOKUP($C57,'[7]07-08.2024'!$C:$E,3,FALSE),0)</f>
        <v>111104.02</v>
      </c>
      <c r="L57" s="83">
        <f>IFERROR(VLOOKUP($C57,'[7]09-10.2024'!$C:$E,2,FALSE),0)</f>
        <v>110377.1</v>
      </c>
      <c r="M57" s="83">
        <f>IFERROR(VLOOKUP($C57,'[7]09-10.2024'!$C:$E,3,FALSE),0)</f>
        <v>109512.06</v>
      </c>
      <c r="N57" s="83">
        <f>IFERROR(VLOOKUP($C57,'[7]11-12.2024'!$C:$E,2,FALSE),0)</f>
        <v>108771.46</v>
      </c>
      <c r="O57" s="83">
        <f>IFERROR(VLOOKUP($C57,'[7]11-12.2024'!$C:$E,3,FALSE),0)</f>
        <v>108030.86</v>
      </c>
      <c r="P57" s="83">
        <v>107290.28</v>
      </c>
      <c r="Q57" s="83">
        <v>352807.53</v>
      </c>
    </row>
    <row r="58" spans="1:17" x14ac:dyDescent="0.25">
      <c r="A58" s="76" t="s">
        <v>130</v>
      </c>
      <c r="B58" s="77" t="s">
        <v>198</v>
      </c>
      <c r="C58" s="78" t="s">
        <v>199</v>
      </c>
      <c r="D58" s="80">
        <f>IFERROR(VLOOKUP($C58,'[7]01-02.2024'!$C:$E,2,FALSE),0)</f>
        <v>2150189</v>
      </c>
      <c r="E58" s="80">
        <f>IFERROR(VLOOKUP($C58,'[7]01-02.2024'!$C:$E,3,FALSE),0)</f>
        <v>2114820.4</v>
      </c>
      <c r="F58" s="80">
        <f>IFERROR(VLOOKUP($C58,'[7]03-04.2024'!$C:$E,2,FALSE),0)</f>
        <v>2299988.64</v>
      </c>
      <c r="G58" s="80">
        <f>IFERROR(VLOOKUP($C58,'[7]03-04.2024'!$C:$E,3,FALSE),0)</f>
        <v>2259988.12</v>
      </c>
      <c r="H58" s="80">
        <f>IFERROR(VLOOKUP($C58,'[7]05-06.2024'!$C:$E,2,FALSE),0)</f>
        <v>2219993.67</v>
      </c>
      <c r="I58" s="80">
        <f>IFERROR(VLOOKUP($C58,'[7]05-06.2024'!$C:$E,3,FALSE),0)</f>
        <v>2288004.52</v>
      </c>
      <c r="J58" s="80">
        <f>IFERROR(VLOOKUP($C58,'[7]07-08.2024'!$C:$E,2,FALSE),0)</f>
        <v>2250122.31</v>
      </c>
      <c r="K58" s="80">
        <f>IFERROR(VLOOKUP($C58,'[7]07-08.2024'!$C:$E,3,FALSE),0)</f>
        <v>2229916.33</v>
      </c>
      <c r="L58" s="80">
        <f>IFERROR(VLOOKUP($C58,'[7]09-10.2024'!$C:$E,2,FALSE),0)</f>
        <v>2092146.93</v>
      </c>
      <c r="M58" s="80">
        <f>IFERROR(VLOOKUP($C58,'[7]09-10.2024'!$C:$E,3,FALSE),0)</f>
        <v>2086893.48</v>
      </c>
      <c r="N58" s="80">
        <f>IFERROR(VLOOKUP($C58,'[7]11-12.2024'!$C:$E,2,FALSE),0)</f>
        <v>2106913.5499999998</v>
      </c>
      <c r="O58" s="80">
        <f>IFERROR(VLOOKUP($C58,'[7]11-12.2024'!$C:$E,3,FALSE),0)</f>
        <v>1832212.17</v>
      </c>
      <c r="P58" s="80">
        <v>2118300.7000000002</v>
      </c>
      <c r="Q58" s="80">
        <v>2195420.9900000002</v>
      </c>
    </row>
    <row r="59" spans="1:17" x14ac:dyDescent="0.25">
      <c r="A59" s="81"/>
      <c r="B59" s="82"/>
      <c r="C59" s="78" t="s">
        <v>200</v>
      </c>
      <c r="D59" s="83">
        <f>IFERROR(VLOOKUP($C59,'[7]01-02.2024'!$C:$E,2,FALSE),0)</f>
        <v>2150189</v>
      </c>
      <c r="E59" s="83">
        <f>IFERROR(VLOOKUP($C59,'[7]01-02.2024'!$C:$E,3,FALSE),0)</f>
        <v>2114820.4</v>
      </c>
      <c r="F59" s="83">
        <f>IFERROR(VLOOKUP($C59,'[7]03-04.2024'!$C:$E,2,FALSE),0)</f>
        <v>2299988.64</v>
      </c>
      <c r="G59" s="83">
        <f>IFERROR(VLOOKUP($C59,'[7]03-04.2024'!$C:$E,3,FALSE),0)</f>
        <v>2259988.12</v>
      </c>
      <c r="H59" s="83">
        <f>IFERROR(VLOOKUP($C59,'[7]05-06.2024'!$C:$E,2,FALSE),0)</f>
        <v>2219993.67</v>
      </c>
      <c r="I59" s="83">
        <f>IFERROR(VLOOKUP($C59,'[7]05-06.2024'!$C:$E,3,FALSE),0)</f>
        <v>2288004.52</v>
      </c>
      <c r="J59" s="83">
        <f>IFERROR(VLOOKUP($C59,'[7]07-08.2024'!$C:$E,2,FALSE),0)</f>
        <v>2250122.31</v>
      </c>
      <c r="K59" s="83">
        <f>IFERROR(VLOOKUP($C59,'[7]07-08.2024'!$C:$E,3,FALSE),0)</f>
        <v>2229916.33</v>
      </c>
      <c r="L59" s="83">
        <f>IFERROR(VLOOKUP($C59,'[7]09-10.2024'!$C:$E,2,FALSE),0)</f>
        <v>2092146.93</v>
      </c>
      <c r="M59" s="83">
        <f>IFERROR(VLOOKUP($C59,'[7]09-10.2024'!$C:$E,3,FALSE),0)</f>
        <v>2086893.48</v>
      </c>
      <c r="N59" s="83">
        <f>IFERROR(VLOOKUP($C59,'[7]11-12.2024'!$C:$E,2,FALSE),0)</f>
        <v>2106913.5499999998</v>
      </c>
      <c r="O59" s="83">
        <f>IFERROR(VLOOKUP($C59,'[7]11-12.2024'!$C:$E,3,FALSE),0)</f>
        <v>1832212.17</v>
      </c>
      <c r="P59" s="83">
        <v>2118300.7000000002</v>
      </c>
      <c r="Q59" s="83">
        <v>2195420.9900000002</v>
      </c>
    </row>
    <row r="60" spans="1:17" x14ac:dyDescent="0.25">
      <c r="A60" s="76" t="s">
        <v>130</v>
      </c>
      <c r="B60" s="77" t="s">
        <v>201</v>
      </c>
      <c r="C60" s="78" t="s">
        <v>202</v>
      </c>
      <c r="D60" s="80">
        <f>IFERROR(VLOOKUP($C60,'[7]01-02.2024'!$C:$E,2,FALSE),0)</f>
        <v>1023081.97</v>
      </c>
      <c r="E60" s="80">
        <f>IFERROR(VLOOKUP($C60,'[7]01-02.2024'!$C:$E,3,FALSE),0)</f>
        <v>1030659.64</v>
      </c>
      <c r="F60" s="80">
        <f>IFERROR(VLOOKUP($C60,'[7]03-04.2024'!$C:$E,2,FALSE),0)</f>
        <v>1023756.15</v>
      </c>
      <c r="G60" s="80">
        <f>IFERROR(VLOOKUP($C60,'[7]03-04.2024'!$C:$E,3,FALSE),0)</f>
        <v>1035378.22</v>
      </c>
      <c r="H60" s="80">
        <f>IFERROR(VLOOKUP($C60,'[7]05-06.2024'!$C:$E,2,FALSE),0)</f>
        <v>1054090.54</v>
      </c>
      <c r="I60" s="80">
        <f>IFERROR(VLOOKUP($C60,'[7]05-06.2024'!$C:$E,3,FALSE),0)</f>
        <v>1052008.45</v>
      </c>
      <c r="J60" s="80">
        <f>IFERROR(VLOOKUP($C60,'[7]07-08.2024'!$C:$E,2,FALSE),0)</f>
        <v>1037864.11</v>
      </c>
      <c r="K60" s="80">
        <f>IFERROR(VLOOKUP($C60,'[7]07-08.2024'!$C:$E,3,FALSE),0)</f>
        <v>1056765.83</v>
      </c>
      <c r="L60" s="80">
        <f>IFERROR(VLOOKUP($C60,'[7]09-10.2024'!$C:$E,2,FALSE),0)</f>
        <v>1135151.96</v>
      </c>
      <c r="M60" s="80">
        <f>IFERROR(VLOOKUP($C60,'[7]09-10.2024'!$C:$E,3,FALSE),0)</f>
        <v>1090607.26</v>
      </c>
      <c r="N60" s="80">
        <f>IFERROR(VLOOKUP($C60,'[7]11-12.2024'!$C:$E,2,FALSE),0)</f>
        <v>81197.649999999994</v>
      </c>
      <c r="O60" s="80">
        <f>IFERROR(VLOOKUP($C60,'[7]11-12.2024'!$C:$E,3,FALSE),0)</f>
        <v>684044.85</v>
      </c>
      <c r="P60" s="80">
        <v>101590.3</v>
      </c>
      <c r="Q60" s="80">
        <v>669684.71</v>
      </c>
    </row>
    <row r="61" spans="1:17" x14ac:dyDescent="0.25">
      <c r="A61" s="81"/>
      <c r="B61" s="82"/>
      <c r="C61" s="78" t="s">
        <v>203</v>
      </c>
      <c r="D61" s="83">
        <f>IFERROR(VLOOKUP($C61,'[7]01-02.2024'!$C:$E,2,FALSE),0)</f>
        <v>1023081.97</v>
      </c>
      <c r="E61" s="83">
        <f>IFERROR(VLOOKUP($C61,'[7]01-02.2024'!$C:$E,3,FALSE),0)</f>
        <v>1030659.64</v>
      </c>
      <c r="F61" s="83">
        <f>IFERROR(VLOOKUP($C61,'[7]03-04.2024'!$C:$E,2,FALSE),0)</f>
        <v>1023756.15</v>
      </c>
      <c r="G61" s="83">
        <f>IFERROR(VLOOKUP($C61,'[7]03-04.2024'!$C:$E,3,FALSE),0)</f>
        <v>1035378.22</v>
      </c>
      <c r="H61" s="83">
        <f>IFERROR(VLOOKUP($C61,'[7]05-06.2024'!$C:$E,2,FALSE),0)</f>
        <v>1054090.54</v>
      </c>
      <c r="I61" s="83">
        <f>IFERROR(VLOOKUP($C61,'[7]05-06.2024'!$C:$E,3,FALSE),0)</f>
        <v>1052008.45</v>
      </c>
      <c r="J61" s="83">
        <f>IFERROR(VLOOKUP($C61,'[7]07-08.2024'!$C:$E,2,FALSE),0)</f>
        <v>1037864.11</v>
      </c>
      <c r="K61" s="83">
        <f>IFERROR(VLOOKUP($C61,'[7]07-08.2024'!$C:$E,3,FALSE),0)</f>
        <v>1056765.83</v>
      </c>
      <c r="L61" s="83">
        <f>IFERROR(VLOOKUP($C61,'[7]09-10.2024'!$C:$E,2,FALSE),0)</f>
        <v>1135151.96</v>
      </c>
      <c r="M61" s="83">
        <f>IFERROR(VLOOKUP($C61,'[7]09-10.2024'!$C:$E,3,FALSE),0)</f>
        <v>1090607.26</v>
      </c>
      <c r="N61" s="83">
        <f>IFERROR(VLOOKUP($C61,'[7]11-12.2024'!$C:$E,2,FALSE),0)</f>
        <v>81197.649999999994</v>
      </c>
      <c r="O61" s="83">
        <f>IFERROR(VLOOKUP($C61,'[7]11-12.2024'!$C:$E,3,FALSE),0)</f>
        <v>684044.85</v>
      </c>
      <c r="P61" s="83">
        <v>101590.3</v>
      </c>
      <c r="Q61" s="83">
        <v>669684.71</v>
      </c>
    </row>
    <row r="62" spans="1:17" x14ac:dyDescent="0.25">
      <c r="A62" s="76" t="s">
        <v>130</v>
      </c>
      <c r="B62" s="77" t="s">
        <v>204</v>
      </c>
      <c r="C62" s="78" t="s">
        <v>205</v>
      </c>
      <c r="D62" s="80">
        <f>IFERROR(VLOOKUP($C62,'[7]01-02.2024'!$C:$E,2,FALSE),0)</f>
        <v>5030443.4400000004</v>
      </c>
      <c r="E62" s="80">
        <f>IFERROR(VLOOKUP($C62,'[7]01-02.2024'!$C:$E,3,FALSE),0)</f>
        <v>5030443.4400000004</v>
      </c>
      <c r="F62" s="80">
        <f>IFERROR(VLOOKUP($C62,'[7]03-04.2024'!$C:$E,2,FALSE),0)</f>
        <v>4993955.03</v>
      </c>
      <c r="G62" s="80">
        <f>IFERROR(VLOOKUP($C62,'[7]03-04.2024'!$C:$E,3,FALSE),0)</f>
        <v>4993955.03</v>
      </c>
      <c r="H62" s="80">
        <f>IFERROR(VLOOKUP($C62,'[7]05-06.2024'!$C:$E,2,FALSE),0)</f>
        <v>4993955.03</v>
      </c>
      <c r="I62" s="80">
        <f>IFERROR(VLOOKUP($C62,'[7]05-06.2024'!$C:$E,3,FALSE),0)</f>
        <v>4968127.7699999996</v>
      </c>
      <c r="J62" s="80">
        <f>IFERROR(VLOOKUP($C62,'[7]07-08.2024'!$C:$E,2,FALSE),0)</f>
        <v>4968127.7699999996</v>
      </c>
      <c r="K62" s="80">
        <f>IFERROR(VLOOKUP($C62,'[7]07-08.2024'!$C:$E,3,FALSE),0)</f>
        <v>4968127.7699999996</v>
      </c>
      <c r="L62" s="80">
        <f>IFERROR(VLOOKUP($C62,'[7]09-10.2024'!$C:$E,2,FALSE),0)</f>
        <v>4885409</v>
      </c>
      <c r="M62" s="80">
        <f>IFERROR(VLOOKUP($C62,'[7]09-10.2024'!$C:$E,3,FALSE),0)</f>
        <v>4885409</v>
      </c>
      <c r="N62" s="80">
        <f>IFERROR(VLOOKUP($C62,'[7]11-12.2024'!$C:$E,2,FALSE),0)</f>
        <v>4839479.4400000004</v>
      </c>
      <c r="O62" s="80">
        <f>IFERROR(VLOOKUP($C62,'[7]11-12.2024'!$C:$E,3,FALSE),0)</f>
        <v>4777537.1500000004</v>
      </c>
      <c r="P62" s="80">
        <v>4777537.1500000004</v>
      </c>
      <c r="Q62" s="80">
        <v>4777537.1500000004</v>
      </c>
    </row>
    <row r="63" spans="1:17" x14ac:dyDescent="0.25">
      <c r="A63" s="81"/>
      <c r="B63" s="82"/>
      <c r="C63" s="78" t="s">
        <v>206</v>
      </c>
      <c r="D63" s="83">
        <f>IFERROR(VLOOKUP($C63,'[7]01-02.2024'!$C:$E,2,FALSE),0)</f>
        <v>5030443.4400000004</v>
      </c>
      <c r="E63" s="83">
        <f>IFERROR(VLOOKUP($C63,'[7]01-02.2024'!$C:$E,3,FALSE),0)</f>
        <v>5030443.4400000004</v>
      </c>
      <c r="F63" s="83">
        <f>IFERROR(VLOOKUP($C63,'[7]03-04.2024'!$C:$E,2,FALSE),0)</f>
        <v>4993955.03</v>
      </c>
      <c r="G63" s="83">
        <f>IFERROR(VLOOKUP($C63,'[7]03-04.2024'!$C:$E,3,FALSE),0)</f>
        <v>4993955.03</v>
      </c>
      <c r="H63" s="83">
        <f>IFERROR(VLOOKUP($C63,'[7]05-06.2024'!$C:$E,2,FALSE),0)</f>
        <v>4993955.03</v>
      </c>
      <c r="I63" s="83">
        <f>IFERROR(VLOOKUP($C63,'[7]05-06.2024'!$C:$E,3,FALSE),0)</f>
        <v>4968127.7699999996</v>
      </c>
      <c r="J63" s="83">
        <f>IFERROR(VLOOKUP($C63,'[7]07-08.2024'!$C:$E,2,FALSE),0)</f>
        <v>4968127.7699999996</v>
      </c>
      <c r="K63" s="83">
        <f>IFERROR(VLOOKUP($C63,'[7]07-08.2024'!$C:$E,3,FALSE),0)</f>
        <v>4968127.7699999996</v>
      </c>
      <c r="L63" s="83">
        <f>IFERROR(VLOOKUP($C63,'[7]09-10.2024'!$C:$E,2,FALSE),0)</f>
        <v>4885409</v>
      </c>
      <c r="M63" s="83">
        <f>IFERROR(VLOOKUP($C63,'[7]09-10.2024'!$C:$E,3,FALSE),0)</f>
        <v>4885409</v>
      </c>
      <c r="N63" s="83">
        <f>IFERROR(VLOOKUP($C63,'[7]11-12.2024'!$C:$E,2,FALSE),0)</f>
        <v>4839479.4400000004</v>
      </c>
      <c r="O63" s="83">
        <f>IFERROR(VLOOKUP($C63,'[7]11-12.2024'!$C:$E,3,FALSE),0)</f>
        <v>4777537.1500000004</v>
      </c>
      <c r="P63" s="83">
        <v>4777537.1500000004</v>
      </c>
      <c r="Q63" s="83">
        <v>4777537.1500000004</v>
      </c>
    </row>
    <row r="64" spans="1:17" x14ac:dyDescent="0.25">
      <c r="A64" s="76" t="s">
        <v>130</v>
      </c>
      <c r="B64" s="77" t="s">
        <v>207</v>
      </c>
      <c r="C64" s="78" t="s">
        <v>208</v>
      </c>
      <c r="D64" s="80">
        <f>IFERROR(VLOOKUP($C64,'[7]01-02.2024'!$C:$E,2,FALSE),0)</f>
        <v>5624845.2699999996</v>
      </c>
      <c r="E64" s="80">
        <f>IFERROR(VLOOKUP($C64,'[7]01-02.2024'!$C:$E,3,FALSE),0)</f>
        <v>6233721.5199999996</v>
      </c>
      <c r="F64" s="80">
        <f>IFERROR(VLOOKUP($C64,'[7]03-04.2024'!$C:$E,2,FALSE),0)</f>
        <v>5776012.6100000003</v>
      </c>
      <c r="G64" s="80">
        <f>IFERROR(VLOOKUP($C64,'[7]03-04.2024'!$C:$E,3,FALSE),0)</f>
        <v>5188615.24</v>
      </c>
      <c r="H64" s="80">
        <f>IFERROR(VLOOKUP($C64,'[7]05-06.2024'!$C:$E,2,FALSE),0)</f>
        <v>5061780.9000000004</v>
      </c>
      <c r="I64" s="80">
        <f>IFERROR(VLOOKUP($C64,'[7]05-06.2024'!$C:$E,3,FALSE),0)</f>
        <v>4877679.95</v>
      </c>
      <c r="J64" s="80">
        <f>IFERROR(VLOOKUP($C64,'[7]07-08.2024'!$C:$E,2,FALSE),0)</f>
        <v>5400186.96</v>
      </c>
      <c r="K64" s="80">
        <f>IFERROR(VLOOKUP($C64,'[7]07-08.2024'!$C:$E,3,FALSE),0)</f>
        <v>5025401.08</v>
      </c>
      <c r="L64" s="80">
        <f>IFERROR(VLOOKUP($C64,'[7]09-10.2024'!$C:$E,2,FALSE),0)</f>
        <v>5358321.38</v>
      </c>
      <c r="M64" s="80">
        <f>IFERROR(VLOOKUP($C64,'[7]09-10.2024'!$C:$E,3,FALSE),0)</f>
        <v>4553269.41</v>
      </c>
      <c r="N64" s="80">
        <f>IFERROR(VLOOKUP($C64,'[7]11-12.2024'!$C:$E,2,FALSE),0)</f>
        <v>4678062.28</v>
      </c>
      <c r="O64" s="80">
        <f>IFERROR(VLOOKUP($C64,'[7]11-12.2024'!$C:$E,3,FALSE),0)</f>
        <v>4121006.55</v>
      </c>
      <c r="P64" s="80">
        <v>4111883.07</v>
      </c>
      <c r="Q64" s="80">
        <v>4056149.82</v>
      </c>
    </row>
    <row r="65" spans="1:19" x14ac:dyDescent="0.25">
      <c r="A65" s="81"/>
      <c r="B65" s="82"/>
      <c r="C65" s="78" t="s">
        <v>209</v>
      </c>
      <c r="D65" s="83">
        <f>IFERROR(VLOOKUP($C65,'[7]01-02.2024'!$C:$E,2,FALSE),0)</f>
        <v>5624845.2699999996</v>
      </c>
      <c r="E65" s="83">
        <f>IFERROR(VLOOKUP($C65,'[7]01-02.2024'!$C:$E,3,FALSE),0)</f>
        <v>6233721.5199999996</v>
      </c>
      <c r="F65" s="83">
        <f>IFERROR(VLOOKUP($C65,'[7]03-04.2024'!$C:$E,2,FALSE),0)</f>
        <v>5776012.6100000003</v>
      </c>
      <c r="G65" s="83">
        <f>IFERROR(VLOOKUP($C65,'[7]03-04.2024'!$C:$E,3,FALSE),0)</f>
        <v>5188615.24</v>
      </c>
      <c r="H65" s="83">
        <f>IFERROR(VLOOKUP($C65,'[7]05-06.2024'!$C:$E,2,FALSE),0)</f>
        <v>5061780.9000000004</v>
      </c>
      <c r="I65" s="83">
        <f>IFERROR(VLOOKUP($C65,'[7]05-06.2024'!$C:$E,3,FALSE),0)</f>
        <v>4877679.95</v>
      </c>
      <c r="J65" s="83">
        <f>IFERROR(VLOOKUP($C65,'[7]07-08.2024'!$C:$E,2,FALSE),0)</f>
        <v>5400186.96</v>
      </c>
      <c r="K65" s="83">
        <f>IFERROR(VLOOKUP($C65,'[7]07-08.2024'!$C:$E,3,FALSE),0)</f>
        <v>5025401.08</v>
      </c>
      <c r="L65" s="83">
        <f>IFERROR(VLOOKUP($C65,'[7]09-10.2024'!$C:$E,2,FALSE),0)</f>
        <v>5358321.38</v>
      </c>
      <c r="M65" s="83">
        <f>IFERROR(VLOOKUP($C65,'[7]09-10.2024'!$C:$E,3,FALSE),0)</f>
        <v>4553269.41</v>
      </c>
      <c r="N65" s="83">
        <f>IFERROR(VLOOKUP($C65,'[7]11-12.2024'!$C:$E,2,FALSE),0)</f>
        <v>4678062.28</v>
      </c>
      <c r="O65" s="83">
        <f>IFERROR(VLOOKUP($C65,'[7]11-12.2024'!$C:$E,3,FALSE),0)</f>
        <v>4121006.55</v>
      </c>
      <c r="P65" s="83">
        <v>4111883.07</v>
      </c>
      <c r="Q65" s="83">
        <v>4056149.82</v>
      </c>
    </row>
    <row r="66" spans="1:19" x14ac:dyDescent="0.25">
      <c r="A66" s="81"/>
      <c r="B66" s="82"/>
      <c r="C66" s="78" t="s">
        <v>210</v>
      </c>
      <c r="D66" s="83">
        <f>IFERROR(VLOOKUP($C66,'[7]01-02.2024'!$C:$E,2,FALSE),0)</f>
        <v>13944003.68</v>
      </c>
      <c r="E66" s="83">
        <f>IFERROR(VLOOKUP($C66,'[7]01-02.2024'!$C:$E,3,FALSE),0)</f>
        <v>14525089</v>
      </c>
      <c r="F66" s="83">
        <f>IFERROR(VLOOKUP($C66,'[7]03-04.2024'!$C:$E,2,FALSE),0)</f>
        <v>14208419.43</v>
      </c>
      <c r="G66" s="83">
        <f>IFERROR(VLOOKUP($C66,'[7]03-04.2024'!$C:$E,3,FALSE),0)</f>
        <v>13591948.310000001</v>
      </c>
      <c r="H66" s="83">
        <f>IFERROR(VLOOKUP($C66,'[7]05-06.2024'!$C:$E,2,FALSE),0)</f>
        <v>13443104.92</v>
      </c>
      <c r="I66" s="83">
        <f>IFERROR(VLOOKUP($C66,'[7]05-06.2024'!$C:$E,3,FALSE),0)</f>
        <v>13298378.550000001</v>
      </c>
      <c r="J66" s="83">
        <f>IFERROR(VLOOKUP($C66,'[7]07-08.2024'!$C:$E,2,FALSE),0)</f>
        <v>13768132.09</v>
      </c>
      <c r="K66" s="83">
        <f>IFERROR(VLOOKUP($C66,'[7]07-08.2024'!$C:$E,3,FALSE),0)</f>
        <v>13391315.029999999</v>
      </c>
      <c r="L66" s="83">
        <f>IFERROR(VLOOKUP($C66,'[7]09-10.2024'!$C:$E,2,FALSE),0)</f>
        <v>13581406.369999999</v>
      </c>
      <c r="M66" s="83">
        <f>IFERROR(VLOOKUP($C66,'[7]09-10.2024'!$C:$E,3,FALSE),0)</f>
        <v>12725691.210000001</v>
      </c>
      <c r="N66" s="83">
        <f>IFERROR(VLOOKUP($C66,'[7]11-12.2024'!$C:$E,2,FALSE),0)</f>
        <v>11814424.380000001</v>
      </c>
      <c r="O66" s="83">
        <f>IFERROR(VLOOKUP($C66,'[7]11-12.2024'!$C:$E,3,FALSE),0)</f>
        <v>11522831.58</v>
      </c>
      <c r="P66" s="83">
        <v>11216601.5</v>
      </c>
      <c r="Q66" s="83">
        <v>12051600.199999999</v>
      </c>
    </row>
    <row r="67" spans="1:19" x14ac:dyDescent="0.25">
      <c r="A67" s="81"/>
      <c r="B67" s="82"/>
      <c r="C67" s="78" t="s">
        <v>211</v>
      </c>
      <c r="D67" s="83">
        <f>IFERROR(VLOOKUP($C67,'[7]01-02.2024'!$C:$E,2,FALSE),0)</f>
        <v>218622020.68000001</v>
      </c>
      <c r="E67" s="83">
        <f>IFERROR(VLOOKUP($C67,'[7]01-02.2024'!$C:$E,3,FALSE),0)</f>
        <v>217231811.65000001</v>
      </c>
      <c r="F67" s="83">
        <f>IFERROR(VLOOKUP($C67,'[7]03-04.2024'!$C:$E,2,FALSE),0)</f>
        <v>214997990.59999999</v>
      </c>
      <c r="G67" s="83">
        <f>IFERROR(VLOOKUP($C67,'[7]03-04.2024'!$C:$E,3,FALSE),0)</f>
        <v>210478814.06999999</v>
      </c>
      <c r="H67" s="83">
        <f>IFERROR(VLOOKUP($C67,'[7]05-06.2024'!$C:$E,2,FALSE),0)</f>
        <v>211382985.91</v>
      </c>
      <c r="I67" s="83">
        <f>IFERROR(VLOOKUP($C67,'[7]05-06.2024'!$C:$E,3,FALSE),0)</f>
        <v>213260524.47</v>
      </c>
      <c r="J67" s="83">
        <f>IFERROR(VLOOKUP($C67,'[7]07-08.2024'!$C:$E,2,FALSE),0)</f>
        <v>217151163.03</v>
      </c>
      <c r="K67" s="83">
        <f>IFERROR(VLOOKUP($C67,'[7]07-08.2024'!$C:$E,3,FALSE),0)</f>
        <v>216799029.22999999</v>
      </c>
      <c r="L67" s="83">
        <f>IFERROR(VLOOKUP($C67,'[7]09-10.2024'!$C:$E,2,FALSE),0)</f>
        <v>220246599.38999999</v>
      </c>
      <c r="M67" s="83">
        <f>IFERROR(VLOOKUP($C67,'[7]09-10.2024'!$C:$E,3,FALSE),0)</f>
        <v>222346379.40000001</v>
      </c>
      <c r="N67" s="83">
        <f>IFERROR(VLOOKUP($C67,'[7]11-12.2024'!$C:$E,2,FALSE),0)</f>
        <v>224850119.25999999</v>
      </c>
      <c r="O67" s="83">
        <f>IFERROR(VLOOKUP($C67,'[7]11-12.2024'!$C:$E,3,FALSE),0)</f>
        <v>228985228.34999999</v>
      </c>
      <c r="P67" s="83">
        <v>232577190.88999999</v>
      </c>
      <c r="Q67" s="83">
        <v>232678156.59999999</v>
      </c>
    </row>
    <row r="68" spans="1:19" x14ac:dyDescent="0.25">
      <c r="A68" s="76"/>
      <c r="B68" s="77"/>
      <c r="C68" s="78" t="s">
        <v>212</v>
      </c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</row>
    <row r="69" spans="1:19" x14ac:dyDescent="0.25">
      <c r="A69" s="76"/>
      <c r="B69" s="77"/>
      <c r="C69" s="78" t="s">
        <v>213</v>
      </c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</row>
    <row r="70" spans="1:19" x14ac:dyDescent="0.25">
      <c r="A70" s="76" t="s">
        <v>130</v>
      </c>
      <c r="B70" s="77" t="s">
        <v>214</v>
      </c>
      <c r="C70" s="78" t="s">
        <v>215</v>
      </c>
      <c r="D70" s="80">
        <f>IFERROR(VLOOKUP($C70,'[7]01-02.2024'!$C:$E,2,FALSE),0)</f>
        <v>-74728019.280000001</v>
      </c>
      <c r="E70" s="80">
        <f>IFERROR(VLOOKUP($C70,'[7]01-02.2024'!$C:$E,3,FALSE),0)</f>
        <v>-74728019.280000001</v>
      </c>
      <c r="F70" s="80">
        <f>IFERROR(VLOOKUP($C70,'[7]03-04.2024'!$C:$E,2,FALSE),0)</f>
        <v>-74728019.280000001</v>
      </c>
      <c r="G70" s="80">
        <f>IFERROR(VLOOKUP($C70,'[7]03-04.2024'!$C:$E,3,FALSE),0)</f>
        <v>-74728019.280000001</v>
      </c>
      <c r="H70" s="80">
        <f>IFERROR(VLOOKUP($C70,'[7]05-06.2024'!$C:$E,2,FALSE),0)</f>
        <v>-74728019.280000001</v>
      </c>
      <c r="I70" s="80">
        <f>IFERROR(VLOOKUP($C70,'[7]05-06.2024'!$C:$E,3,FALSE),0)</f>
        <v>-74728019.280000001</v>
      </c>
      <c r="J70" s="80">
        <f>IFERROR(VLOOKUP($C70,'[7]07-08.2024'!$C:$E,2,FALSE),0)</f>
        <v>-74728019.280000001</v>
      </c>
      <c r="K70" s="80">
        <f>IFERROR(VLOOKUP($C70,'[7]07-08.2024'!$C:$E,3,FALSE),0)</f>
        <v>-74728019.280000001</v>
      </c>
      <c r="L70" s="80">
        <f>IFERROR(VLOOKUP($C70,'[7]09-10.2024'!$C:$E,2,FALSE),0)</f>
        <v>-74728019.280000001</v>
      </c>
      <c r="M70" s="80">
        <f>IFERROR(VLOOKUP($C70,'[7]09-10.2024'!$C:$E,3,FALSE),0)</f>
        <v>-74728019.280000001</v>
      </c>
      <c r="N70" s="80">
        <f>IFERROR(VLOOKUP($C70,'[7]11-12.2024'!$C:$E,2,FALSE),0)</f>
        <v>-74728019.280000001</v>
      </c>
      <c r="O70" s="80">
        <f>IFERROR(VLOOKUP($C70,'[7]11-12.2024'!$C:$E,3,FALSE),0)</f>
        <v>-74728019.280000001</v>
      </c>
      <c r="P70" s="80">
        <v>-74728019.280000001</v>
      </c>
      <c r="Q70" s="80">
        <v>-74728019.280000001</v>
      </c>
    </row>
    <row r="71" spans="1:19" x14ac:dyDescent="0.25">
      <c r="A71" s="81"/>
      <c r="B71" s="82"/>
      <c r="C71" s="78" t="s">
        <v>216</v>
      </c>
      <c r="D71" s="83">
        <f>IFERROR(VLOOKUP($C71,'[7]01-02.2024'!$C:$E,2,FALSE),0)</f>
        <v>-74728019.280000001</v>
      </c>
      <c r="E71" s="83">
        <f>IFERROR(VLOOKUP($C71,'[7]01-02.2024'!$C:$E,3,FALSE),0)</f>
        <v>-74728019.280000001</v>
      </c>
      <c r="F71" s="83">
        <f>IFERROR(VLOOKUP($C71,'[7]03-04.2024'!$C:$E,2,FALSE),0)</f>
        <v>-74728019.280000001</v>
      </c>
      <c r="G71" s="83">
        <f>IFERROR(VLOOKUP($C71,'[7]03-04.2024'!$C:$E,3,FALSE),0)</f>
        <v>-74728019.280000001</v>
      </c>
      <c r="H71" s="83">
        <f>IFERROR(VLOOKUP($C71,'[7]05-06.2024'!$C:$E,2,FALSE),0)</f>
        <v>-74728019.280000001</v>
      </c>
      <c r="I71" s="83">
        <f>IFERROR(VLOOKUP($C71,'[7]05-06.2024'!$C:$E,3,FALSE),0)</f>
        <v>-74728019.280000001</v>
      </c>
      <c r="J71" s="83">
        <f>IFERROR(VLOOKUP($C71,'[7]07-08.2024'!$C:$E,2,FALSE),0)</f>
        <v>-74728019.280000001</v>
      </c>
      <c r="K71" s="83">
        <f>IFERROR(VLOOKUP($C71,'[7]07-08.2024'!$C:$E,3,FALSE),0)</f>
        <v>-74728019.280000001</v>
      </c>
      <c r="L71" s="83">
        <f>IFERROR(VLOOKUP($C71,'[7]09-10.2024'!$C:$E,2,FALSE),0)</f>
        <v>-74728019.280000001</v>
      </c>
      <c r="M71" s="83">
        <f>IFERROR(VLOOKUP($C71,'[7]09-10.2024'!$C:$E,3,FALSE),0)</f>
        <v>-74728019.280000001</v>
      </c>
      <c r="N71" s="83">
        <f>IFERROR(VLOOKUP($C71,'[7]11-12.2024'!$C:$E,2,FALSE),0)</f>
        <v>-74728019.280000001</v>
      </c>
      <c r="O71" s="83">
        <f>IFERROR(VLOOKUP($C71,'[7]11-12.2024'!$C:$E,3,FALSE),0)</f>
        <v>-74728019.280000001</v>
      </c>
      <c r="P71" s="83">
        <v>-74728019.280000001</v>
      </c>
      <c r="Q71" s="83">
        <v>-74728019.280000001</v>
      </c>
    </row>
    <row r="72" spans="1:19" x14ac:dyDescent="0.25">
      <c r="A72" s="76" t="s">
        <v>130</v>
      </c>
      <c r="B72" s="77" t="s">
        <v>217</v>
      </c>
      <c r="C72" s="78" t="s">
        <v>218</v>
      </c>
      <c r="D72" s="80">
        <f>IFERROR(VLOOKUP($C72,'[7]01-02.2024'!$C:$E,2,FALSE),0)</f>
        <v>-9489912.5899999999</v>
      </c>
      <c r="E72" s="80">
        <f>IFERROR(VLOOKUP($C72,'[7]01-02.2024'!$C:$E,3,FALSE),0)</f>
        <v>-9489912.5899999999</v>
      </c>
      <c r="F72" s="80">
        <f>IFERROR(VLOOKUP($C72,'[7]03-04.2024'!$C:$E,2,FALSE),0)</f>
        <v>-9489912.5899999999</v>
      </c>
      <c r="G72" s="80">
        <f>IFERROR(VLOOKUP($C72,'[7]03-04.2024'!$C:$E,3,FALSE),0)</f>
        <v>-9489912.5899999999</v>
      </c>
      <c r="H72" s="80">
        <f>IFERROR(VLOOKUP($C72,'[7]05-06.2024'!$C:$E,2,FALSE),0)</f>
        <v>-9489912.5899999999</v>
      </c>
      <c r="I72" s="80">
        <f>IFERROR(VLOOKUP($C72,'[7]05-06.2024'!$C:$E,3,FALSE),0)</f>
        <v>-9489912.5899999999</v>
      </c>
      <c r="J72" s="80">
        <f>IFERROR(VLOOKUP($C72,'[7]07-08.2024'!$C:$E,2,FALSE),0)</f>
        <v>-9489912.5899999999</v>
      </c>
      <c r="K72" s="80">
        <f>IFERROR(VLOOKUP($C72,'[7]07-08.2024'!$C:$E,3,FALSE),0)</f>
        <v>-9489912.5899999999</v>
      </c>
      <c r="L72" s="80">
        <f>IFERROR(VLOOKUP($C72,'[7]09-10.2024'!$C:$E,2,FALSE),0)</f>
        <v>-9489912.5899999999</v>
      </c>
      <c r="M72" s="80">
        <f>IFERROR(VLOOKUP($C72,'[7]09-10.2024'!$C:$E,3,FALSE),0)</f>
        <v>-9489912.5899999999</v>
      </c>
      <c r="N72" s="80">
        <f>IFERROR(VLOOKUP($C72,'[7]11-12.2024'!$C:$E,2,FALSE),0)</f>
        <v>-9489912.5899999999</v>
      </c>
      <c r="O72" s="80">
        <f>IFERROR(VLOOKUP($C72,'[7]11-12.2024'!$C:$E,3,FALSE),0)</f>
        <v>-9489912.5899999999</v>
      </c>
      <c r="P72" s="80">
        <v>-15405852.83</v>
      </c>
      <c r="Q72" s="80">
        <v>-15405852.83</v>
      </c>
    </row>
    <row r="73" spans="1:19" x14ac:dyDescent="0.25">
      <c r="A73" s="81"/>
      <c r="B73" s="82"/>
      <c r="C73" s="78" t="s">
        <v>219</v>
      </c>
      <c r="D73" s="83">
        <f>IFERROR(VLOOKUP($C73,'[7]01-02.2024'!$C:$E,2,FALSE),0)</f>
        <v>-9489912.5899999999</v>
      </c>
      <c r="E73" s="83">
        <f>IFERROR(VLOOKUP($C73,'[7]01-02.2024'!$C:$E,3,FALSE),0)</f>
        <v>-9489912.5899999999</v>
      </c>
      <c r="F73" s="83">
        <f>IFERROR(VLOOKUP($C73,'[7]03-04.2024'!$C:$E,2,FALSE),0)</f>
        <v>-9489912.5899999999</v>
      </c>
      <c r="G73" s="83">
        <f>IFERROR(VLOOKUP($C73,'[7]03-04.2024'!$C:$E,3,FALSE),0)</f>
        <v>-9489912.5899999999</v>
      </c>
      <c r="H73" s="83">
        <f>IFERROR(VLOOKUP($C73,'[7]05-06.2024'!$C:$E,2,FALSE),0)</f>
        <v>-9489912.5899999999</v>
      </c>
      <c r="I73" s="83">
        <f>IFERROR(VLOOKUP($C73,'[7]05-06.2024'!$C:$E,3,FALSE),0)</f>
        <v>-9489912.5899999999</v>
      </c>
      <c r="J73" s="83">
        <f>IFERROR(VLOOKUP($C73,'[7]07-08.2024'!$C:$E,2,FALSE),0)</f>
        <v>-9489912.5899999999</v>
      </c>
      <c r="K73" s="83">
        <f>IFERROR(VLOOKUP($C73,'[7]07-08.2024'!$C:$E,3,FALSE),0)</f>
        <v>-9489912.5899999999</v>
      </c>
      <c r="L73" s="83">
        <f>IFERROR(VLOOKUP($C73,'[7]09-10.2024'!$C:$E,2,FALSE),0)</f>
        <v>-9489912.5899999999</v>
      </c>
      <c r="M73" s="83">
        <f>IFERROR(VLOOKUP($C73,'[7]09-10.2024'!$C:$E,3,FALSE),0)</f>
        <v>-9489912.5899999999</v>
      </c>
      <c r="N73" s="83">
        <f>IFERROR(VLOOKUP($C73,'[7]11-12.2024'!$C:$E,2,FALSE),0)</f>
        <v>-9489912.5899999999</v>
      </c>
      <c r="O73" s="83">
        <f>IFERROR(VLOOKUP($C73,'[7]11-12.2024'!$C:$E,3,FALSE),0)</f>
        <v>-9489912.5899999999</v>
      </c>
      <c r="P73" s="83">
        <v>-15405852.83</v>
      </c>
      <c r="Q73" s="83">
        <v>-15405852.83</v>
      </c>
    </row>
    <row r="74" spans="1:19" x14ac:dyDescent="0.25">
      <c r="A74" s="81"/>
      <c r="B74" s="82"/>
      <c r="C74" s="78" t="s">
        <v>220</v>
      </c>
      <c r="D74" s="83">
        <f>IFERROR(VLOOKUP($C74,'[7]01-02.2024'!$C:$E,2,FALSE),0)</f>
        <v>-2671422.36</v>
      </c>
      <c r="E74" s="83">
        <f>IFERROR(VLOOKUP($C74,'[7]01-02.2024'!$C:$E,3,FALSE),0)</f>
        <v>-5496261.96</v>
      </c>
      <c r="F74" s="83">
        <f>IFERROR(VLOOKUP($C74,'[7]03-04.2024'!$C:$E,2,FALSE),0)</f>
        <v>-5261030.54</v>
      </c>
      <c r="G74" s="83">
        <f>IFERROR(VLOOKUP($C74,'[7]03-04.2024'!$C:$E,3,FALSE),0)</f>
        <v>-4354612.1399999997</v>
      </c>
      <c r="H74" s="83">
        <f>IFERROR(VLOOKUP($C74,'[7]05-06.2024'!$C:$E,2,FALSE),0)</f>
        <v>-3740761.72</v>
      </c>
      <c r="I74" s="83">
        <f>IFERROR(VLOOKUP($C74,'[7]05-06.2024'!$C:$E,3,FALSE),0)</f>
        <v>-3494481.44</v>
      </c>
      <c r="J74" s="83">
        <f>IFERROR(VLOOKUP($C74,'[7]07-08.2024'!$C:$E,2,FALSE),0)</f>
        <v>-3662155.67</v>
      </c>
      <c r="K74" s="83">
        <f>IFERROR(VLOOKUP($C74,'[7]07-08.2024'!$C:$E,3,FALSE),0)</f>
        <v>-2876518.13</v>
      </c>
      <c r="L74" s="83">
        <f>IFERROR(VLOOKUP($C74,'[7]09-10.2024'!$C:$E,2,FALSE),0)</f>
        <v>-2622174.9300000002</v>
      </c>
      <c r="M74" s="83">
        <f>IFERROR(VLOOKUP($C74,'[7]09-10.2024'!$C:$E,3,FALSE),0)</f>
        <v>-2378653.73</v>
      </c>
      <c r="N74" s="83">
        <f>IFERROR(VLOOKUP($C74,'[7]11-12.2024'!$C:$E,2,FALSE),0)</f>
        <v>-3805139.82</v>
      </c>
      <c r="O74" s="83">
        <f>IFERROR(VLOOKUP($C74,'[7]11-12.2024'!$C:$E,3,FALSE),0)</f>
        <v>-5915940.2400000002</v>
      </c>
      <c r="P74" s="83">
        <v>-3557576.65</v>
      </c>
      <c r="Q74" s="83">
        <v>-6569887.0700000003</v>
      </c>
    </row>
    <row r="75" spans="1:19" x14ac:dyDescent="0.25">
      <c r="A75" s="81"/>
      <c r="B75" s="82"/>
      <c r="C75" s="78" t="s">
        <v>221</v>
      </c>
      <c r="D75" s="83">
        <f>IFERROR(VLOOKUP($C75,'[7]01-02.2024'!$C:$E,2,FALSE),0)</f>
        <v>-12161334.949999999</v>
      </c>
      <c r="E75" s="83">
        <f>IFERROR(VLOOKUP($C75,'[7]01-02.2024'!$C:$E,3,FALSE),0)</f>
        <v>-14986174.550000001</v>
      </c>
      <c r="F75" s="83">
        <f>IFERROR(VLOOKUP($C75,'[7]03-04.2024'!$C:$E,2,FALSE),0)</f>
        <v>-14750943.130000001</v>
      </c>
      <c r="G75" s="83">
        <f>IFERROR(VLOOKUP($C75,'[7]03-04.2024'!$C:$E,3,FALSE),0)</f>
        <v>-13844524.73</v>
      </c>
      <c r="H75" s="83">
        <f>IFERROR(VLOOKUP($C75,'[7]05-06.2024'!$C:$E,2,FALSE),0)</f>
        <v>-13230674.310000001</v>
      </c>
      <c r="I75" s="83">
        <f>IFERROR(VLOOKUP($C75,'[7]05-06.2024'!$C:$E,3,FALSE),0)</f>
        <v>-12984394.029999999</v>
      </c>
      <c r="J75" s="83">
        <f>IFERROR(VLOOKUP($C75,'[7]07-08.2024'!$C:$E,2,FALSE),0)</f>
        <v>-13152068.26</v>
      </c>
      <c r="K75" s="83">
        <f>IFERROR(VLOOKUP($C75,'[7]07-08.2024'!$C:$E,3,FALSE),0)</f>
        <v>-12366430.720000001</v>
      </c>
      <c r="L75" s="83">
        <f>IFERROR(VLOOKUP($C75,'[7]09-10.2024'!$C:$E,2,FALSE),0)</f>
        <v>-12112087.52</v>
      </c>
      <c r="M75" s="83">
        <f>IFERROR(VLOOKUP($C75,'[7]09-10.2024'!$C:$E,3,FALSE),0)</f>
        <v>-11868566.32</v>
      </c>
      <c r="N75" s="83">
        <f>IFERROR(VLOOKUP($C75,'[7]11-12.2024'!$C:$E,2,FALSE),0)</f>
        <v>-13295052.41</v>
      </c>
      <c r="O75" s="83">
        <f>IFERROR(VLOOKUP($C75,'[7]11-12.2024'!$C:$E,3,FALSE),0)</f>
        <v>-15405852.83</v>
      </c>
      <c r="P75" s="83">
        <v>-18963429.48</v>
      </c>
      <c r="Q75" s="83">
        <v>-21975739.899999999</v>
      </c>
    </row>
    <row r="76" spans="1:19" x14ac:dyDescent="0.25">
      <c r="A76" s="81"/>
      <c r="B76" s="82"/>
      <c r="C76" s="78" t="s">
        <v>222</v>
      </c>
      <c r="D76" s="83">
        <f>IFERROR(VLOOKUP($C76,'[7]01-02.2024'!$C:$E,2,FALSE),0)</f>
        <v>-86889354.230000004</v>
      </c>
      <c r="E76" s="83">
        <f>IFERROR(VLOOKUP($C76,'[7]01-02.2024'!$C:$E,3,FALSE),0)</f>
        <v>-89714193.829999998</v>
      </c>
      <c r="F76" s="83">
        <f>IFERROR(VLOOKUP($C76,'[7]03-04.2024'!$C:$E,2,FALSE),0)</f>
        <v>-89478962.409999996</v>
      </c>
      <c r="G76" s="83">
        <f>IFERROR(VLOOKUP($C76,'[7]03-04.2024'!$C:$E,3,FALSE),0)</f>
        <v>-88572544.010000005</v>
      </c>
      <c r="H76" s="83">
        <f>IFERROR(VLOOKUP($C76,'[7]05-06.2024'!$C:$E,2,FALSE),0)</f>
        <v>-87958693.590000004</v>
      </c>
      <c r="I76" s="83">
        <f>IFERROR(VLOOKUP($C76,'[7]05-06.2024'!$C:$E,3,FALSE),0)</f>
        <v>-87712413.310000002</v>
      </c>
      <c r="J76" s="83">
        <f>IFERROR(VLOOKUP($C76,'[7]07-08.2024'!$C:$E,2,FALSE),0)</f>
        <v>-87880087.540000007</v>
      </c>
      <c r="K76" s="83">
        <f>IFERROR(VLOOKUP($C76,'[7]07-08.2024'!$C:$E,3,FALSE),0)</f>
        <v>-87094450</v>
      </c>
      <c r="L76" s="83">
        <f>IFERROR(VLOOKUP($C76,'[7]09-10.2024'!$C:$E,2,FALSE),0)</f>
        <v>-86840106.799999997</v>
      </c>
      <c r="M76" s="83">
        <f>IFERROR(VLOOKUP($C76,'[7]09-10.2024'!$C:$E,3,FALSE),0)</f>
        <v>-86596585.599999994</v>
      </c>
      <c r="N76" s="83">
        <f>IFERROR(VLOOKUP($C76,'[7]11-12.2024'!$C:$E,2,FALSE),0)</f>
        <v>-88023071.689999998</v>
      </c>
      <c r="O76" s="83">
        <f>IFERROR(VLOOKUP($C76,'[7]11-12.2024'!$C:$E,3,FALSE),0)</f>
        <v>-90133872.109999999</v>
      </c>
      <c r="P76" s="83">
        <v>-93691448.760000005</v>
      </c>
      <c r="Q76" s="86">
        <v>-96703759.180000007</v>
      </c>
    </row>
    <row r="77" spans="1:19" x14ac:dyDescent="0.25">
      <c r="A77" s="76"/>
      <c r="B77" s="77"/>
      <c r="C77" s="78" t="s">
        <v>223</v>
      </c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</row>
    <row r="78" spans="1:19" x14ac:dyDescent="0.25">
      <c r="A78" s="76" t="s">
        <v>135</v>
      </c>
      <c r="B78" s="77" t="s">
        <v>224</v>
      </c>
      <c r="C78" s="78" t="s">
        <v>225</v>
      </c>
      <c r="D78" s="80">
        <f>IFERROR(VLOOKUP($C78,'[7]01-02.2024'!$C:$E,2,FALSE),0)</f>
        <v>-53637599.950000003</v>
      </c>
      <c r="E78" s="80">
        <f>IFERROR(VLOOKUP($C78,'[7]01-02.2024'!$C:$E,3,FALSE),0)</f>
        <v>-53637599.950000003</v>
      </c>
      <c r="F78" s="80">
        <f>IFERROR(VLOOKUP($C78,'[7]03-04.2024'!$C:$E,2,FALSE),0)</f>
        <v>-53637599.950000003</v>
      </c>
      <c r="G78" s="80">
        <f>IFERROR(VLOOKUP($C78,'[7]03-04.2024'!$C:$E,3,FALSE),0)</f>
        <v>-53637599.950000003</v>
      </c>
      <c r="H78" s="80">
        <f>IFERROR(VLOOKUP($C78,'[7]05-06.2024'!$C:$E,2,FALSE),0)</f>
        <v>-53637599.950000003</v>
      </c>
      <c r="I78" s="80">
        <f>IFERROR(VLOOKUP($C78,'[7]05-06.2024'!$C:$E,3,FALSE),0)</f>
        <v>-53637599.950000003</v>
      </c>
      <c r="J78" s="80">
        <f>IFERROR(VLOOKUP($C78,'[7]07-08.2024'!$C:$E,2,FALSE),0)</f>
        <v>-53637599.950000003</v>
      </c>
      <c r="K78" s="80">
        <f>IFERROR(VLOOKUP($C78,'[7]07-08.2024'!$C:$E,3,FALSE),0)</f>
        <v>-53637599.950000003</v>
      </c>
      <c r="L78" s="80">
        <f>IFERROR(VLOOKUP($C78,'[7]09-10.2024'!$C:$E,2,FALSE),0)</f>
        <v>-53637599.950000003</v>
      </c>
      <c r="M78" s="80">
        <f>IFERROR(VLOOKUP($C78,'[7]09-10.2024'!$C:$E,3,FALSE),0)</f>
        <v>-53637599.950000003</v>
      </c>
      <c r="N78" s="80">
        <f>IFERROR(VLOOKUP($C78,'[7]11-12.2024'!$C:$E,2,FALSE),0)</f>
        <v>-53637599.950000003</v>
      </c>
      <c r="O78" s="80">
        <f>IFERROR(VLOOKUP($C78,'[7]11-12.2024'!$C:$E,3,FALSE),0)</f>
        <v>-51999999.950000003</v>
      </c>
      <c r="P78" s="80">
        <v>-51999999.950000003</v>
      </c>
      <c r="Q78" s="80">
        <v>-67111110.950000003</v>
      </c>
      <c r="S78" s="85">
        <f>O78-N78</f>
        <v>1637600</v>
      </c>
    </row>
    <row r="79" spans="1:19" x14ac:dyDescent="0.25">
      <c r="A79" s="81"/>
      <c r="B79" s="82"/>
      <c r="C79" s="78" t="s">
        <v>226</v>
      </c>
      <c r="D79" s="83">
        <f>IFERROR(VLOOKUP($C79,'[7]01-02.2024'!$C:$E,2,FALSE),0)</f>
        <v>-53637599.950000003</v>
      </c>
      <c r="E79" s="83">
        <f>IFERROR(VLOOKUP($C79,'[7]01-02.2024'!$C:$E,3,FALSE),0)</f>
        <v>-53637599.950000003</v>
      </c>
      <c r="F79" s="83">
        <f>IFERROR(VLOOKUP($C79,'[7]03-04.2024'!$C:$E,2,FALSE),0)</f>
        <v>-53637599.950000003</v>
      </c>
      <c r="G79" s="83">
        <f>IFERROR(VLOOKUP($C79,'[7]03-04.2024'!$C:$E,3,FALSE),0)</f>
        <v>-53637599.950000003</v>
      </c>
      <c r="H79" s="83">
        <f>IFERROR(VLOOKUP($C79,'[7]05-06.2024'!$C:$E,2,FALSE),0)</f>
        <v>-53637599.950000003</v>
      </c>
      <c r="I79" s="83">
        <f>IFERROR(VLOOKUP($C79,'[7]05-06.2024'!$C:$E,3,FALSE),0)</f>
        <v>-53637599.950000003</v>
      </c>
      <c r="J79" s="83">
        <f>IFERROR(VLOOKUP($C79,'[7]07-08.2024'!$C:$E,2,FALSE),0)</f>
        <v>-53637599.950000003</v>
      </c>
      <c r="K79" s="83">
        <f>IFERROR(VLOOKUP($C79,'[7]07-08.2024'!$C:$E,3,FALSE),0)</f>
        <v>-53637599.950000003</v>
      </c>
      <c r="L79" s="83">
        <f>IFERROR(VLOOKUP($C79,'[7]09-10.2024'!$C:$E,2,FALSE),0)</f>
        <v>-53637599.950000003</v>
      </c>
      <c r="M79" s="83">
        <f>IFERROR(VLOOKUP($C79,'[7]09-10.2024'!$C:$E,3,FALSE),0)</f>
        <v>-53637599.950000003</v>
      </c>
      <c r="N79" s="83">
        <f>IFERROR(VLOOKUP($C79,'[7]11-12.2024'!$C:$E,2,FALSE),0)</f>
        <v>-53637599.950000003</v>
      </c>
      <c r="O79" s="83">
        <f>IFERROR(VLOOKUP($C79,'[7]11-12.2024'!$C:$E,3,FALSE),0)</f>
        <v>-51999999.950000003</v>
      </c>
      <c r="P79" s="83">
        <v>-51999999.950000003</v>
      </c>
      <c r="Q79" s="86">
        <v>-67111110.950000003</v>
      </c>
      <c r="S79" s="85">
        <f>Q79-P79</f>
        <v>-15111111</v>
      </c>
    </row>
    <row r="80" spans="1:19" x14ac:dyDescent="0.25">
      <c r="A80" s="76" t="s">
        <v>135</v>
      </c>
      <c r="B80" s="77" t="s">
        <v>227</v>
      </c>
      <c r="C80" s="78" t="s">
        <v>228</v>
      </c>
      <c r="D80" s="80">
        <f>IFERROR(VLOOKUP($C80,'[7]01-02.2024'!$C:$E,2,FALSE),0)</f>
        <v>-737</v>
      </c>
      <c r="E80" s="80">
        <f>IFERROR(VLOOKUP($C80,'[7]01-02.2024'!$C:$E,3,FALSE),0)</f>
        <v>-1474</v>
      </c>
      <c r="F80" s="80">
        <f>IFERROR(VLOOKUP($C80,'[7]03-04.2024'!$C:$E,2,FALSE),0)</f>
        <v>-1474</v>
      </c>
      <c r="G80" s="80">
        <f>IFERROR(VLOOKUP($C80,'[7]03-04.2024'!$C:$E,3,FALSE),0)</f>
        <v>-1474</v>
      </c>
      <c r="H80" s="80">
        <f>IFERROR(VLOOKUP($C80,'[7]05-06.2024'!$C:$E,2,FALSE),0)</f>
        <v>-1474</v>
      </c>
      <c r="I80" s="80">
        <f>IFERROR(VLOOKUP($C80,'[7]05-06.2024'!$C:$E,3,FALSE),0)</f>
        <v>-1474</v>
      </c>
      <c r="J80" s="80">
        <f>IFERROR(VLOOKUP($C80,'[7]07-08.2024'!$C:$E,2,FALSE),0)</f>
        <v>-1474</v>
      </c>
      <c r="K80" s="80">
        <f>IFERROR(VLOOKUP($C80,'[7]07-08.2024'!$C:$E,3,FALSE),0)</f>
        <v>-1474</v>
      </c>
      <c r="L80" s="80">
        <f>IFERROR(VLOOKUP($C80,'[7]09-10.2024'!$C:$E,2,FALSE),0)</f>
        <v>-1474</v>
      </c>
      <c r="M80" s="80">
        <f>IFERROR(VLOOKUP($C80,'[7]09-10.2024'!$C:$E,3,FALSE),0)</f>
        <v>-1474</v>
      </c>
      <c r="N80" s="80">
        <f>IFERROR(VLOOKUP($C80,'[7]11-12.2024'!$C:$E,2,FALSE),0)</f>
        <v>-1474</v>
      </c>
      <c r="O80" s="80">
        <f>IFERROR(VLOOKUP($C80,'[7]11-12.2024'!$C:$E,3,FALSE),0)</f>
        <v>-1474</v>
      </c>
      <c r="P80" s="80">
        <v>-1474</v>
      </c>
      <c r="Q80" s="80">
        <v>-1474</v>
      </c>
    </row>
    <row r="81" spans="1:19" x14ac:dyDescent="0.25">
      <c r="A81" s="81"/>
      <c r="B81" s="82"/>
      <c r="C81" s="78" t="s">
        <v>229</v>
      </c>
      <c r="D81" s="83">
        <f>IFERROR(VLOOKUP($C81,'[7]01-02.2024'!$C:$E,2,FALSE),0)</f>
        <v>-737</v>
      </c>
      <c r="E81" s="83">
        <f>IFERROR(VLOOKUP($C81,'[7]01-02.2024'!$C:$E,3,FALSE),0)</f>
        <v>-1474</v>
      </c>
      <c r="F81" s="83">
        <f>IFERROR(VLOOKUP($C81,'[7]03-04.2024'!$C:$E,2,FALSE),0)</f>
        <v>-1474</v>
      </c>
      <c r="G81" s="83">
        <f>IFERROR(VLOOKUP($C81,'[7]03-04.2024'!$C:$E,3,FALSE),0)</f>
        <v>-1474</v>
      </c>
      <c r="H81" s="83">
        <f>IFERROR(VLOOKUP($C81,'[7]05-06.2024'!$C:$E,2,FALSE),0)</f>
        <v>-1474</v>
      </c>
      <c r="I81" s="83">
        <f>IFERROR(VLOOKUP($C81,'[7]05-06.2024'!$C:$E,3,FALSE),0)</f>
        <v>-1474</v>
      </c>
      <c r="J81" s="83">
        <f>IFERROR(VLOOKUP($C81,'[7]07-08.2024'!$C:$E,2,FALSE),0)</f>
        <v>-1474</v>
      </c>
      <c r="K81" s="83">
        <f>IFERROR(VLOOKUP($C81,'[7]07-08.2024'!$C:$E,3,FALSE),0)</f>
        <v>-1474</v>
      </c>
      <c r="L81" s="83">
        <f>IFERROR(VLOOKUP($C81,'[7]09-10.2024'!$C:$E,2,FALSE),0)</f>
        <v>-1474</v>
      </c>
      <c r="M81" s="83">
        <f>IFERROR(VLOOKUP($C81,'[7]09-10.2024'!$C:$E,3,FALSE),0)</f>
        <v>-1474</v>
      </c>
      <c r="N81" s="83">
        <f>IFERROR(VLOOKUP($C81,'[7]11-12.2024'!$C:$E,2,FALSE),0)</f>
        <v>-1474</v>
      </c>
      <c r="O81" s="83">
        <f>IFERROR(VLOOKUP($C81,'[7]11-12.2024'!$C:$E,3,FALSE),0)</f>
        <v>-1474</v>
      </c>
      <c r="P81" s="83">
        <v>-1474</v>
      </c>
      <c r="Q81" s="83">
        <v>-1474</v>
      </c>
    </row>
    <row r="82" spans="1:19" x14ac:dyDescent="0.25">
      <c r="A82" s="81"/>
      <c r="B82" s="82"/>
      <c r="C82" s="78" t="s">
        <v>230</v>
      </c>
      <c r="D82" s="83">
        <f>IFERROR(VLOOKUP($C82,'[7]01-02.2024'!$C:$E,2,FALSE),0)</f>
        <v>-53638336.950000003</v>
      </c>
      <c r="E82" s="83">
        <f>IFERROR(VLOOKUP($C82,'[7]01-02.2024'!$C:$E,3,FALSE),0)</f>
        <v>-53639073.950000003</v>
      </c>
      <c r="F82" s="83">
        <f>IFERROR(VLOOKUP($C82,'[7]03-04.2024'!$C:$E,2,FALSE),0)</f>
        <v>-53639073.950000003</v>
      </c>
      <c r="G82" s="83">
        <f>IFERROR(VLOOKUP($C82,'[7]03-04.2024'!$C:$E,3,FALSE),0)</f>
        <v>-53639073.950000003</v>
      </c>
      <c r="H82" s="83">
        <f>IFERROR(VLOOKUP($C82,'[7]05-06.2024'!$C:$E,2,FALSE),0)</f>
        <v>-53639073.950000003</v>
      </c>
      <c r="I82" s="83">
        <f>IFERROR(VLOOKUP($C82,'[7]05-06.2024'!$C:$E,3,FALSE),0)</f>
        <v>-53639073.950000003</v>
      </c>
      <c r="J82" s="83">
        <f>IFERROR(VLOOKUP($C82,'[7]07-08.2024'!$C:$E,2,FALSE),0)</f>
        <v>-53639073.950000003</v>
      </c>
      <c r="K82" s="83">
        <f>IFERROR(VLOOKUP($C82,'[7]07-08.2024'!$C:$E,3,FALSE),0)</f>
        <v>-53639073.950000003</v>
      </c>
      <c r="L82" s="83">
        <f>IFERROR(VLOOKUP($C82,'[7]09-10.2024'!$C:$E,2,FALSE),0)</f>
        <v>-53639073.950000003</v>
      </c>
      <c r="M82" s="83">
        <f>IFERROR(VLOOKUP($C82,'[7]09-10.2024'!$C:$E,3,FALSE),0)</f>
        <v>-53639073.950000003</v>
      </c>
      <c r="N82" s="83">
        <f>IFERROR(VLOOKUP($C82,'[7]11-12.2024'!$C:$E,2,FALSE),0)</f>
        <v>-53639073.950000003</v>
      </c>
      <c r="O82" s="83">
        <f>IFERROR(VLOOKUP($C82,'[7]11-12.2024'!$C:$E,3,FALSE),0)</f>
        <v>-52001473.950000003</v>
      </c>
      <c r="P82" s="83">
        <v>-52001473.950000003</v>
      </c>
      <c r="Q82" s="83">
        <v>-67112584.950000003</v>
      </c>
      <c r="S82" s="85">
        <f>Q76+Q82</f>
        <v>-163816344.13</v>
      </c>
    </row>
    <row r="83" spans="1:19" x14ac:dyDescent="0.25">
      <c r="A83" s="76"/>
      <c r="B83" s="77"/>
      <c r="C83" s="78" t="s">
        <v>231</v>
      </c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S83" s="85">
        <f>-Q81</f>
        <v>1474</v>
      </c>
    </row>
    <row r="84" spans="1:19" x14ac:dyDescent="0.25">
      <c r="A84" s="76" t="s">
        <v>130</v>
      </c>
      <c r="B84" s="77" t="s">
        <v>232</v>
      </c>
      <c r="C84" s="78" t="s">
        <v>233</v>
      </c>
      <c r="D84" s="80">
        <f>IFERROR(VLOOKUP($C84,'[7]01-02.2024'!$C:$E,2,FALSE),0)</f>
        <v>-1973848.14</v>
      </c>
      <c r="E84" s="80">
        <f>IFERROR(VLOOKUP($C84,'[7]01-02.2024'!$C:$E,3,FALSE),0)</f>
        <v>-1950183.01</v>
      </c>
      <c r="F84" s="80">
        <f>IFERROR(VLOOKUP($C84,'[7]03-04.2024'!$C:$E,2,FALSE),0)</f>
        <v>-1926517.88</v>
      </c>
      <c r="G84" s="80">
        <f>IFERROR(VLOOKUP($C84,'[7]03-04.2024'!$C:$E,3,FALSE),0)</f>
        <v>-1997238.29</v>
      </c>
      <c r="H84" s="80">
        <f>IFERROR(VLOOKUP($C84,'[7]05-06.2024'!$C:$E,2,FALSE),0)</f>
        <v>-1997169.55</v>
      </c>
      <c r="I84" s="80">
        <f>IFERROR(VLOOKUP($C84,'[7]05-06.2024'!$C:$E,3,FALSE),0)</f>
        <v>-1997100.81</v>
      </c>
      <c r="J84" s="80">
        <f>IFERROR(VLOOKUP($C84,'[7]07-08.2024'!$C:$E,2,FALSE),0)</f>
        <v>-1997032.07</v>
      </c>
      <c r="K84" s="80">
        <f>IFERROR(VLOOKUP($C84,'[7]07-08.2024'!$C:$E,3,FALSE),0)</f>
        <v>-1996963.33</v>
      </c>
      <c r="L84" s="80">
        <f>IFERROR(VLOOKUP($C84,'[7]09-10.2024'!$C:$E,2,FALSE),0)</f>
        <v>-1996894.59</v>
      </c>
      <c r="M84" s="80">
        <f>IFERROR(VLOOKUP($C84,'[7]09-10.2024'!$C:$E,3,FALSE),0)</f>
        <v>-1996825.85</v>
      </c>
      <c r="N84" s="80">
        <f>IFERROR(VLOOKUP($C84,'[7]11-12.2024'!$C:$E,2,FALSE),0)</f>
        <v>-1996757.11</v>
      </c>
      <c r="O84" s="80">
        <f>IFERROR(VLOOKUP($C84,'[7]11-12.2024'!$C:$E,3,FALSE),0)</f>
        <v>-1996688.37</v>
      </c>
      <c r="P84" s="80">
        <v>-2007235.61</v>
      </c>
      <c r="Q84" s="80">
        <v>-2017782.85</v>
      </c>
      <c r="S84" s="85">
        <v>-137600</v>
      </c>
    </row>
    <row r="85" spans="1:19" x14ac:dyDescent="0.25">
      <c r="A85" s="81"/>
      <c r="B85" s="82"/>
      <c r="C85" s="78" t="s">
        <v>234</v>
      </c>
      <c r="D85" s="83">
        <f>IFERROR(VLOOKUP($C85,'[7]01-02.2024'!$C:$E,2,FALSE),0)</f>
        <v>-1973848.14</v>
      </c>
      <c r="E85" s="83">
        <f>IFERROR(VLOOKUP($C85,'[7]01-02.2024'!$C:$E,3,FALSE),0)</f>
        <v>-1950183.01</v>
      </c>
      <c r="F85" s="83">
        <f>IFERROR(VLOOKUP($C85,'[7]03-04.2024'!$C:$E,2,FALSE),0)</f>
        <v>-1926517.88</v>
      </c>
      <c r="G85" s="83">
        <f>IFERROR(VLOOKUP($C85,'[7]03-04.2024'!$C:$E,3,FALSE),0)</f>
        <v>-1997238.29</v>
      </c>
      <c r="H85" s="83">
        <f>IFERROR(VLOOKUP($C85,'[7]05-06.2024'!$C:$E,2,FALSE),0)</f>
        <v>-1997169.55</v>
      </c>
      <c r="I85" s="83">
        <f>IFERROR(VLOOKUP($C85,'[7]05-06.2024'!$C:$E,3,FALSE),0)</f>
        <v>-1997100.81</v>
      </c>
      <c r="J85" s="83">
        <f>IFERROR(VLOOKUP($C85,'[7]07-08.2024'!$C:$E,2,FALSE),0)</f>
        <v>-1997032.07</v>
      </c>
      <c r="K85" s="83">
        <f>IFERROR(VLOOKUP($C85,'[7]07-08.2024'!$C:$E,3,FALSE),0)</f>
        <v>-1996963.33</v>
      </c>
      <c r="L85" s="83">
        <f>IFERROR(VLOOKUP($C85,'[7]09-10.2024'!$C:$E,2,FALSE),0)</f>
        <v>-1996894.59</v>
      </c>
      <c r="M85" s="83">
        <f>IFERROR(VLOOKUP($C85,'[7]09-10.2024'!$C:$E,3,FALSE),0)</f>
        <v>-1996825.85</v>
      </c>
      <c r="N85" s="83">
        <f>IFERROR(VLOOKUP($C85,'[7]11-12.2024'!$C:$E,2,FALSE),0)</f>
        <v>-1996757.11</v>
      </c>
      <c r="O85" s="83">
        <f>IFERROR(VLOOKUP($C85,'[7]11-12.2024'!$C:$E,3,FALSE),0)</f>
        <v>-1996688.37</v>
      </c>
      <c r="P85" s="83">
        <v>-2007235.61</v>
      </c>
      <c r="Q85" s="83">
        <v>-2017782.85</v>
      </c>
      <c r="S85" s="85">
        <f>Q93</f>
        <v>-242223.51</v>
      </c>
    </row>
    <row r="86" spans="1:19" x14ac:dyDescent="0.25">
      <c r="A86" s="76" t="s">
        <v>135</v>
      </c>
      <c r="B86" s="77" t="s">
        <v>235</v>
      </c>
      <c r="C86" s="78" t="s">
        <v>236</v>
      </c>
      <c r="D86" s="80">
        <f>IFERROR(VLOOKUP($C86,'[7]01-02.2024'!$C:$E,2,FALSE),0)</f>
        <v>-163969.25</v>
      </c>
      <c r="E86" s="80">
        <f>IFERROR(VLOOKUP($C86,'[7]01-02.2024'!$C:$E,3,FALSE),0)</f>
        <v>-164918.49</v>
      </c>
      <c r="F86" s="80">
        <f>IFERROR(VLOOKUP($C86,'[7]03-04.2024'!$C:$E,2,FALSE),0)</f>
        <v>-165873.74</v>
      </c>
      <c r="G86" s="80">
        <f>IFERROR(VLOOKUP($C86,'[7]03-04.2024'!$C:$E,3,FALSE),0)</f>
        <v>-166835.04</v>
      </c>
      <c r="H86" s="80">
        <f>IFERROR(VLOOKUP($C86,'[7]05-06.2024'!$C:$E,2,FALSE),0)</f>
        <v>-167802.35</v>
      </c>
      <c r="I86" s="80">
        <f>IFERROR(VLOOKUP($C86,'[7]05-06.2024'!$C:$E,3,FALSE),0)</f>
        <v>-168775.75</v>
      </c>
      <c r="J86" s="80">
        <f>IFERROR(VLOOKUP($C86,'[7]07-08.2024'!$C:$E,2,FALSE),0)</f>
        <v>-169755.3</v>
      </c>
      <c r="K86" s="80">
        <f>IFERROR(VLOOKUP($C86,'[7]07-08.2024'!$C:$E,3,FALSE),0)</f>
        <v>-170741.04</v>
      </c>
      <c r="L86" s="80">
        <f>IFERROR(VLOOKUP($C86,'[7]09-10.2024'!$C:$E,2,FALSE),0)</f>
        <v>-171732.97</v>
      </c>
      <c r="M86" s="80">
        <f>IFERROR(VLOOKUP($C86,'[7]09-10.2024'!$C:$E,3,FALSE),0)</f>
        <v>-172731.15</v>
      </c>
      <c r="N86" s="80">
        <f>IFERROR(VLOOKUP($C86,'[7]11-12.2024'!$C:$E,2,FALSE),0)</f>
        <v>-173735.62</v>
      </c>
      <c r="O86" s="80">
        <f>IFERROR(VLOOKUP($C86,'[7]11-12.2024'!$C:$E,3,FALSE),0)</f>
        <v>-174746.39</v>
      </c>
      <c r="P86" s="80">
        <v>-175763.53</v>
      </c>
      <c r="Q86" s="80">
        <v>-176867.20000000001</v>
      </c>
      <c r="S86" s="30">
        <f>SUM(S82:S85)</f>
        <v>-164194693.63999999</v>
      </c>
    </row>
    <row r="87" spans="1:19" x14ac:dyDescent="0.25">
      <c r="A87" s="81"/>
      <c r="B87" s="82"/>
      <c r="C87" s="78" t="s">
        <v>237</v>
      </c>
      <c r="D87" s="83">
        <f>IFERROR(VLOOKUP($C87,'[7]01-02.2024'!$C:$E,2,FALSE),0)</f>
        <v>-163969.25</v>
      </c>
      <c r="E87" s="83">
        <f>IFERROR(VLOOKUP($C87,'[7]01-02.2024'!$C:$E,3,FALSE),0)</f>
        <v>-164918.49</v>
      </c>
      <c r="F87" s="83">
        <f>IFERROR(VLOOKUP($C87,'[7]03-04.2024'!$C:$E,2,FALSE),0)</f>
        <v>-165873.74</v>
      </c>
      <c r="G87" s="83">
        <f>IFERROR(VLOOKUP($C87,'[7]03-04.2024'!$C:$E,3,FALSE),0)</f>
        <v>-166835.04</v>
      </c>
      <c r="H87" s="83">
        <f>IFERROR(VLOOKUP($C87,'[7]05-06.2024'!$C:$E,2,FALSE),0)</f>
        <v>-167802.35</v>
      </c>
      <c r="I87" s="83">
        <f>IFERROR(VLOOKUP($C87,'[7]05-06.2024'!$C:$E,3,FALSE),0)</f>
        <v>-168775.75</v>
      </c>
      <c r="J87" s="83">
        <f>IFERROR(VLOOKUP($C87,'[7]07-08.2024'!$C:$E,2,FALSE),0)</f>
        <v>-169755.3</v>
      </c>
      <c r="K87" s="83">
        <f>IFERROR(VLOOKUP($C87,'[7]07-08.2024'!$C:$E,3,FALSE),0)</f>
        <v>-170741.04</v>
      </c>
      <c r="L87" s="83">
        <f>IFERROR(VLOOKUP($C87,'[7]09-10.2024'!$C:$E,2,FALSE),0)</f>
        <v>-171732.97</v>
      </c>
      <c r="M87" s="83">
        <f>IFERROR(VLOOKUP($C87,'[7]09-10.2024'!$C:$E,3,FALSE),0)</f>
        <v>-172731.15</v>
      </c>
      <c r="N87" s="83">
        <f>IFERROR(VLOOKUP($C87,'[7]11-12.2024'!$C:$E,2,FALSE),0)</f>
        <v>-173735.62</v>
      </c>
      <c r="O87" s="83">
        <f>IFERROR(VLOOKUP($C87,'[7]11-12.2024'!$C:$E,3,FALSE),0)</f>
        <v>-174746.39</v>
      </c>
      <c r="P87" s="83">
        <v>-175763.53</v>
      </c>
      <c r="Q87" s="83">
        <v>-176867.20000000001</v>
      </c>
    </row>
    <row r="88" spans="1:19" x14ac:dyDescent="0.25">
      <c r="A88" s="81"/>
      <c r="B88" s="82"/>
      <c r="C88" s="78" t="s">
        <v>238</v>
      </c>
      <c r="D88" s="83">
        <f>IFERROR(VLOOKUP($C88,'[7]01-02.2024'!$C:$E,2,FALSE),0)</f>
        <v>-2137817.39</v>
      </c>
      <c r="E88" s="83">
        <f>IFERROR(VLOOKUP($C88,'[7]01-02.2024'!$C:$E,3,FALSE),0)</f>
        <v>-2115101.5</v>
      </c>
      <c r="F88" s="83">
        <f>IFERROR(VLOOKUP($C88,'[7]03-04.2024'!$C:$E,2,FALSE),0)</f>
        <v>-2092391.62</v>
      </c>
      <c r="G88" s="83">
        <f>IFERROR(VLOOKUP($C88,'[7]03-04.2024'!$C:$E,3,FALSE),0)</f>
        <v>-2164073.33</v>
      </c>
      <c r="H88" s="83">
        <f>IFERROR(VLOOKUP($C88,'[7]05-06.2024'!$C:$E,2,FALSE),0)</f>
        <v>-2164971.9</v>
      </c>
      <c r="I88" s="83">
        <f>IFERROR(VLOOKUP($C88,'[7]05-06.2024'!$C:$E,3,FALSE),0)</f>
        <v>-2165876.56</v>
      </c>
      <c r="J88" s="83">
        <f>IFERROR(VLOOKUP($C88,'[7]07-08.2024'!$C:$E,2,FALSE),0)</f>
        <v>-2166787.37</v>
      </c>
      <c r="K88" s="83">
        <f>IFERROR(VLOOKUP($C88,'[7]07-08.2024'!$C:$E,3,FALSE),0)</f>
        <v>-2167704.37</v>
      </c>
      <c r="L88" s="83">
        <f>IFERROR(VLOOKUP($C88,'[7]09-10.2024'!$C:$E,2,FALSE),0)</f>
        <v>-2168627.56</v>
      </c>
      <c r="M88" s="83">
        <f>IFERROR(VLOOKUP($C88,'[7]09-10.2024'!$C:$E,3,FALSE),0)</f>
        <v>-2169557</v>
      </c>
      <c r="N88" s="83">
        <f>IFERROR(VLOOKUP($C88,'[7]11-12.2024'!$C:$E,2,FALSE),0)</f>
        <v>-2170492.73</v>
      </c>
      <c r="O88" s="83">
        <f>IFERROR(VLOOKUP($C88,'[7]11-12.2024'!$C:$E,3,FALSE),0)</f>
        <v>-2171434.7599999998</v>
      </c>
      <c r="P88" s="83">
        <v>-2182999.14</v>
      </c>
      <c r="Q88" s="83">
        <v>-2194650.0499999998</v>
      </c>
      <c r="S88" s="30">
        <f>-'[8]Tab 63'!H36</f>
        <v>-164194693.69</v>
      </c>
    </row>
    <row r="89" spans="1:19" x14ac:dyDescent="0.25">
      <c r="A89" s="76"/>
      <c r="B89" s="77"/>
      <c r="C89" s="78" t="s">
        <v>239</v>
      </c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</row>
    <row r="90" spans="1:19" x14ac:dyDescent="0.25">
      <c r="A90" s="76" t="s">
        <v>130</v>
      </c>
      <c r="B90" s="77" t="s">
        <v>240</v>
      </c>
      <c r="C90" s="78" t="s">
        <v>241</v>
      </c>
      <c r="D90" s="80">
        <f>IFERROR(VLOOKUP($C90,'[7]01-02.2024'!$C:$E,2,FALSE),0)</f>
        <v>-5612962.9100000001</v>
      </c>
      <c r="E90" s="80">
        <f>IFERROR(VLOOKUP($C90,'[7]01-02.2024'!$C:$E,3,FALSE),0)</f>
        <v>-3851002.05</v>
      </c>
      <c r="F90" s="80">
        <f>IFERROR(VLOOKUP($C90,'[7]03-04.2024'!$C:$E,2,FALSE),0)</f>
        <v>-4222428.3099999996</v>
      </c>
      <c r="G90" s="80">
        <f>IFERROR(VLOOKUP($C90,'[7]03-04.2024'!$C:$E,3,FALSE),0)</f>
        <v>-3357219.75</v>
      </c>
      <c r="H90" s="80">
        <f>IFERROR(VLOOKUP($C90,'[7]05-06.2024'!$C:$E,2,FALSE),0)</f>
        <v>-4098484.67</v>
      </c>
      <c r="I90" s="80">
        <f>IFERROR(VLOOKUP($C90,'[7]05-06.2024'!$C:$E,3,FALSE),0)</f>
        <v>-5459679.54</v>
      </c>
      <c r="J90" s="80">
        <f>IFERROR(VLOOKUP($C90,'[7]07-08.2024'!$C:$E,2,FALSE),0)</f>
        <v>-5744435.96</v>
      </c>
      <c r="K90" s="80">
        <f>IFERROR(VLOOKUP($C90,'[7]07-08.2024'!$C:$E,3,FALSE),0)</f>
        <v>-4756373.83</v>
      </c>
      <c r="L90" s="80">
        <f>IFERROR(VLOOKUP($C90,'[7]09-10.2024'!$C:$E,2,FALSE),0)</f>
        <v>-6929886.6399999997</v>
      </c>
      <c r="M90" s="80">
        <f>IFERROR(VLOOKUP($C90,'[7]09-10.2024'!$C:$E,3,FALSE),0)</f>
        <v>-5731518.5099999998</v>
      </c>
      <c r="N90" s="80">
        <f>IFERROR(VLOOKUP($C90,'[7]11-12.2024'!$C:$E,2,FALSE),0)</f>
        <v>-7470005.9800000004</v>
      </c>
      <c r="O90" s="80">
        <f>IFERROR(VLOOKUP($C90,'[7]11-12.2024'!$C:$E,3,FALSE),0)</f>
        <v>-8296686.9500000002</v>
      </c>
      <c r="P90" s="80">
        <v>-8887659.6300000008</v>
      </c>
      <c r="Q90" s="80">
        <v>-7913208.96</v>
      </c>
    </row>
    <row r="91" spans="1:19" x14ac:dyDescent="0.25">
      <c r="A91" s="81"/>
      <c r="B91" s="82"/>
      <c r="C91" s="78" t="s">
        <v>242</v>
      </c>
      <c r="D91" s="83">
        <f>IFERROR(VLOOKUP($C91,'[7]01-02.2024'!$C:$E,2,FALSE),0)</f>
        <v>-5612962.9100000001</v>
      </c>
      <c r="E91" s="83">
        <f>IFERROR(VLOOKUP($C91,'[7]01-02.2024'!$C:$E,3,FALSE),0)</f>
        <v>-3851002.05</v>
      </c>
      <c r="F91" s="83">
        <f>IFERROR(VLOOKUP($C91,'[7]03-04.2024'!$C:$E,2,FALSE),0)</f>
        <v>-4222428.3099999996</v>
      </c>
      <c r="G91" s="83">
        <f>IFERROR(VLOOKUP($C91,'[7]03-04.2024'!$C:$E,3,FALSE),0)</f>
        <v>-3357219.75</v>
      </c>
      <c r="H91" s="83">
        <f>IFERROR(VLOOKUP($C91,'[7]05-06.2024'!$C:$E,2,FALSE),0)</f>
        <v>-4098484.67</v>
      </c>
      <c r="I91" s="83">
        <f>IFERROR(VLOOKUP($C91,'[7]05-06.2024'!$C:$E,3,FALSE),0)</f>
        <v>-5459679.54</v>
      </c>
      <c r="J91" s="83">
        <f>IFERROR(VLOOKUP($C91,'[7]07-08.2024'!$C:$E,2,FALSE),0)</f>
        <v>-5744435.96</v>
      </c>
      <c r="K91" s="83">
        <f>IFERROR(VLOOKUP($C91,'[7]07-08.2024'!$C:$E,3,FALSE),0)</f>
        <v>-4756373.83</v>
      </c>
      <c r="L91" s="83">
        <f>IFERROR(VLOOKUP($C91,'[7]09-10.2024'!$C:$E,2,FALSE),0)</f>
        <v>-6929886.6399999997</v>
      </c>
      <c r="M91" s="83">
        <f>IFERROR(VLOOKUP($C91,'[7]09-10.2024'!$C:$E,3,FALSE),0)</f>
        <v>-5731518.5099999998</v>
      </c>
      <c r="N91" s="83">
        <f>IFERROR(VLOOKUP($C91,'[7]11-12.2024'!$C:$E,2,FALSE),0)</f>
        <v>-7470005.9800000004</v>
      </c>
      <c r="O91" s="83">
        <f>IFERROR(VLOOKUP($C91,'[7]11-12.2024'!$C:$E,3,FALSE),0)</f>
        <v>-8296686.9500000002</v>
      </c>
      <c r="P91" s="83">
        <v>-8887659.6300000008</v>
      </c>
      <c r="Q91" s="83">
        <v>-7913208.96</v>
      </c>
    </row>
    <row r="92" spans="1:19" x14ac:dyDescent="0.25">
      <c r="A92" s="76" t="s">
        <v>130</v>
      </c>
      <c r="B92" s="77" t="s">
        <v>243</v>
      </c>
      <c r="C92" s="78" t="s">
        <v>244</v>
      </c>
      <c r="D92" s="80">
        <f>IFERROR(VLOOKUP($C92,'[7]01-02.2024'!$C:$E,2,FALSE),0)</f>
        <v>-2451561.2200000002</v>
      </c>
      <c r="E92" s="80">
        <f>IFERROR(VLOOKUP($C92,'[7]01-02.2024'!$C:$E,3,FALSE),0)</f>
        <v>2167638.42</v>
      </c>
      <c r="F92" s="80">
        <f>IFERROR(VLOOKUP($C92,'[7]03-04.2024'!$C:$E,2,FALSE),0)</f>
        <v>2809945.86</v>
      </c>
      <c r="G92" s="80">
        <f>IFERROR(VLOOKUP($C92,'[7]03-04.2024'!$C:$E,3,FALSE),0)</f>
        <v>4589187.21</v>
      </c>
      <c r="H92" s="80">
        <f>IFERROR(VLOOKUP($C92,'[7]05-06.2024'!$C:$E,2,FALSE),0)</f>
        <v>2715645.34</v>
      </c>
      <c r="I92" s="80">
        <f>IFERROR(VLOOKUP($C92,'[7]05-06.2024'!$C:$E,3,FALSE),0)</f>
        <v>-688122.09</v>
      </c>
      <c r="J92" s="80">
        <f>IFERROR(VLOOKUP($C92,'[7]07-08.2024'!$C:$E,2,FALSE),0)</f>
        <v>-1092415.02</v>
      </c>
      <c r="K92" s="80">
        <f>IFERROR(VLOOKUP($C92,'[7]07-08.2024'!$C:$E,3,FALSE),0)</f>
        <v>-3537731.82</v>
      </c>
      <c r="L92" s="80">
        <f>IFERROR(VLOOKUP($C92,'[7]09-10.2024'!$C:$E,2,FALSE),0)</f>
        <v>-7041997.54</v>
      </c>
      <c r="M92" s="80">
        <f>IFERROR(VLOOKUP($C92,'[7]09-10.2024'!$C:$E,3,FALSE),0)</f>
        <v>-8283744.5999999996</v>
      </c>
      <c r="N92" s="80">
        <f>IFERROR(VLOOKUP($C92,'[7]11-12.2024'!$C:$E,2,FALSE),0)</f>
        <v>-9343650.3000000007</v>
      </c>
      <c r="O92" s="80">
        <f>IFERROR(VLOOKUP($C92,'[7]11-12.2024'!$C:$E,3,FALSE),0)</f>
        <v>-19313993.52</v>
      </c>
      <c r="P92" s="80">
        <v>-17742450.940000001</v>
      </c>
      <c r="Q92" s="80">
        <v>-242223.51</v>
      </c>
    </row>
    <row r="93" spans="1:19" x14ac:dyDescent="0.25">
      <c r="A93" s="81"/>
      <c r="B93" s="82"/>
      <c r="C93" s="78" t="s">
        <v>245</v>
      </c>
      <c r="D93" s="83">
        <f>IFERROR(VLOOKUP($C93,'[7]01-02.2024'!$C:$E,2,FALSE),0)</f>
        <v>-2451561.2200000002</v>
      </c>
      <c r="E93" s="83">
        <f>IFERROR(VLOOKUP($C93,'[7]01-02.2024'!$C:$E,3,FALSE),0)</f>
        <v>2167638.42</v>
      </c>
      <c r="F93" s="83">
        <f>IFERROR(VLOOKUP($C93,'[7]03-04.2024'!$C:$E,2,FALSE),0)</f>
        <v>2809945.86</v>
      </c>
      <c r="G93" s="83">
        <f>IFERROR(VLOOKUP($C93,'[7]03-04.2024'!$C:$E,3,FALSE),0)</f>
        <v>4589187.21</v>
      </c>
      <c r="H93" s="83">
        <f>IFERROR(VLOOKUP($C93,'[7]05-06.2024'!$C:$E,2,FALSE),0)</f>
        <v>2715645.34</v>
      </c>
      <c r="I93" s="83">
        <f>IFERROR(VLOOKUP($C93,'[7]05-06.2024'!$C:$E,3,FALSE),0)</f>
        <v>-688122.09</v>
      </c>
      <c r="J93" s="83">
        <f>IFERROR(VLOOKUP($C93,'[7]07-08.2024'!$C:$E,2,FALSE),0)</f>
        <v>-1092415.02</v>
      </c>
      <c r="K93" s="83">
        <f>IFERROR(VLOOKUP($C93,'[7]07-08.2024'!$C:$E,3,FALSE),0)</f>
        <v>-3537731.82</v>
      </c>
      <c r="L93" s="83">
        <f>IFERROR(VLOOKUP($C93,'[7]09-10.2024'!$C:$E,2,FALSE),0)</f>
        <v>-7041997.54</v>
      </c>
      <c r="M93" s="83">
        <f>IFERROR(VLOOKUP($C93,'[7]09-10.2024'!$C:$E,3,FALSE),0)</f>
        <v>-8283744.5999999996</v>
      </c>
      <c r="N93" s="83">
        <f>IFERROR(VLOOKUP($C93,'[7]11-12.2024'!$C:$E,2,FALSE),0)</f>
        <v>-9343650.3000000007</v>
      </c>
      <c r="O93" s="83">
        <f>IFERROR(VLOOKUP($C93,'[7]11-12.2024'!$C:$E,3,FALSE),0)</f>
        <v>-19313993.52</v>
      </c>
      <c r="P93" s="83">
        <v>-17742450.940000001</v>
      </c>
      <c r="Q93" s="86">
        <v>-242223.51</v>
      </c>
    </row>
    <row r="94" spans="1:19" x14ac:dyDescent="0.25">
      <c r="A94" s="76" t="s">
        <v>130</v>
      </c>
      <c r="B94" s="77" t="s">
        <v>246</v>
      </c>
      <c r="C94" s="78" t="s">
        <v>247</v>
      </c>
      <c r="D94" s="80">
        <f>IFERROR(VLOOKUP($C94,'[7]01-02.2024'!$C:$E,2,FALSE),0)</f>
        <v>-9496531.1099999994</v>
      </c>
      <c r="E94" s="80">
        <f>IFERROR(VLOOKUP($C94,'[7]01-02.2024'!$C:$E,3,FALSE),0)</f>
        <v>-10928757.75</v>
      </c>
      <c r="F94" s="80">
        <f>IFERROR(VLOOKUP($C94,'[7]03-04.2024'!$C:$E,2,FALSE),0)</f>
        <v>-8852779.0899999999</v>
      </c>
      <c r="G94" s="80">
        <f>IFERROR(VLOOKUP($C94,'[7]03-04.2024'!$C:$E,3,FALSE),0)</f>
        <v>-7883863.2699999996</v>
      </c>
      <c r="H94" s="80">
        <f>IFERROR(VLOOKUP($C94,'[7]05-06.2024'!$C:$E,2,FALSE),0)</f>
        <v>-8243239.1500000004</v>
      </c>
      <c r="I94" s="80">
        <f>IFERROR(VLOOKUP($C94,'[7]05-06.2024'!$C:$E,3,FALSE),0)</f>
        <v>-6619876.8399999999</v>
      </c>
      <c r="J94" s="80">
        <f>IFERROR(VLOOKUP($C94,'[7]07-08.2024'!$C:$E,2,FALSE),0)</f>
        <v>-9852023.8399999999</v>
      </c>
      <c r="K94" s="80">
        <f>IFERROR(VLOOKUP($C94,'[7]07-08.2024'!$C:$E,3,FALSE),0)</f>
        <v>-8658751.5700000003</v>
      </c>
      <c r="L94" s="80">
        <f>IFERROR(VLOOKUP($C94,'[7]09-10.2024'!$C:$E,2,FALSE),0)</f>
        <v>-6853613.2999999998</v>
      </c>
      <c r="M94" s="80">
        <f>IFERROR(VLOOKUP($C94,'[7]09-10.2024'!$C:$E,3,FALSE),0)</f>
        <v>-8751335.6999999993</v>
      </c>
      <c r="N94" s="80">
        <f>IFERROR(VLOOKUP($C94,'[7]11-12.2024'!$C:$E,2,FALSE),0)</f>
        <v>-9069727.5899999999</v>
      </c>
      <c r="O94" s="80">
        <f>IFERROR(VLOOKUP($C94,'[7]11-12.2024'!$C:$E,3,FALSE),0)</f>
        <v>-1443566.17</v>
      </c>
      <c r="P94" s="80">
        <v>-1875702.04</v>
      </c>
      <c r="Q94" s="80">
        <v>-1886638.51</v>
      </c>
    </row>
    <row r="95" spans="1:19" x14ac:dyDescent="0.25">
      <c r="A95" s="81"/>
      <c r="B95" s="82"/>
      <c r="C95" s="78" t="s">
        <v>248</v>
      </c>
      <c r="D95" s="83">
        <f>IFERROR(VLOOKUP($C95,'[7]01-02.2024'!$C:$E,2,FALSE),0)</f>
        <v>-9496531.1099999994</v>
      </c>
      <c r="E95" s="83">
        <f>IFERROR(VLOOKUP($C95,'[7]01-02.2024'!$C:$E,3,FALSE),0)</f>
        <v>-10928757.75</v>
      </c>
      <c r="F95" s="83">
        <f>IFERROR(VLOOKUP($C95,'[7]03-04.2024'!$C:$E,2,FALSE),0)</f>
        <v>-8852779.0899999999</v>
      </c>
      <c r="G95" s="83">
        <f>IFERROR(VLOOKUP($C95,'[7]03-04.2024'!$C:$E,3,FALSE),0)</f>
        <v>-7883863.2699999996</v>
      </c>
      <c r="H95" s="83">
        <f>IFERROR(VLOOKUP($C95,'[7]05-06.2024'!$C:$E,2,FALSE),0)</f>
        <v>-8243239.1500000004</v>
      </c>
      <c r="I95" s="83">
        <f>IFERROR(VLOOKUP($C95,'[7]05-06.2024'!$C:$E,3,FALSE),0)</f>
        <v>-6619876.8399999999</v>
      </c>
      <c r="J95" s="83">
        <f>IFERROR(VLOOKUP($C95,'[7]07-08.2024'!$C:$E,2,FALSE),0)</f>
        <v>-9852023.8399999999</v>
      </c>
      <c r="K95" s="83">
        <f>IFERROR(VLOOKUP($C95,'[7]07-08.2024'!$C:$E,3,FALSE),0)</f>
        <v>-8658751.5700000003</v>
      </c>
      <c r="L95" s="83">
        <f>IFERROR(VLOOKUP($C95,'[7]09-10.2024'!$C:$E,2,FALSE),0)</f>
        <v>-6853613.2999999998</v>
      </c>
      <c r="M95" s="83">
        <f>IFERROR(VLOOKUP($C95,'[7]09-10.2024'!$C:$E,3,FALSE),0)</f>
        <v>-8751335.6999999993</v>
      </c>
      <c r="N95" s="83">
        <f>IFERROR(VLOOKUP($C95,'[7]11-12.2024'!$C:$E,2,FALSE),0)</f>
        <v>-9069727.5899999999</v>
      </c>
      <c r="O95" s="83">
        <f>IFERROR(VLOOKUP($C95,'[7]11-12.2024'!$C:$E,3,FALSE),0)</f>
        <v>-1443566.17</v>
      </c>
      <c r="P95" s="83">
        <v>-1875702.04</v>
      </c>
      <c r="Q95" s="83">
        <v>-1886638.51</v>
      </c>
    </row>
    <row r="96" spans="1:19" x14ac:dyDescent="0.25">
      <c r="A96" s="76" t="s">
        <v>130</v>
      </c>
      <c r="B96" s="77" t="s">
        <v>249</v>
      </c>
      <c r="C96" s="78" t="s">
        <v>250</v>
      </c>
      <c r="D96" s="80">
        <f>IFERROR(VLOOKUP($C96,'[7]01-02.2024'!$C:$E,2,FALSE),0)</f>
        <v>-965475.83999999997</v>
      </c>
      <c r="E96" s="80">
        <f>IFERROR(VLOOKUP($C96,'[7]01-02.2024'!$C:$E,3,FALSE),0)</f>
        <v>-985559.99</v>
      </c>
      <c r="F96" s="80">
        <f>IFERROR(VLOOKUP($C96,'[7]03-04.2024'!$C:$E,2,FALSE),0)</f>
        <v>-993670.75</v>
      </c>
      <c r="G96" s="80">
        <f>IFERROR(VLOOKUP($C96,'[7]03-04.2024'!$C:$E,3,FALSE),0)</f>
        <v>-989261.83</v>
      </c>
      <c r="H96" s="80">
        <f>IFERROR(VLOOKUP($C96,'[7]05-06.2024'!$C:$E,2,FALSE),0)</f>
        <v>-980068.09</v>
      </c>
      <c r="I96" s="80">
        <f>IFERROR(VLOOKUP($C96,'[7]05-06.2024'!$C:$E,3,FALSE),0)</f>
        <v>-963809.69</v>
      </c>
      <c r="J96" s="80">
        <f>IFERROR(VLOOKUP($C96,'[7]07-08.2024'!$C:$E,2,FALSE),0)</f>
        <v>-959848.64</v>
      </c>
      <c r="K96" s="80">
        <f>IFERROR(VLOOKUP($C96,'[7]07-08.2024'!$C:$E,3,FALSE),0)</f>
        <v>-963077.53</v>
      </c>
      <c r="L96" s="80">
        <f>IFERROR(VLOOKUP($C96,'[7]09-10.2024'!$C:$E,2,FALSE),0)</f>
        <v>-965059.46</v>
      </c>
      <c r="M96" s="80">
        <f>IFERROR(VLOOKUP($C96,'[7]09-10.2024'!$C:$E,3,FALSE),0)</f>
        <v>-973817.35</v>
      </c>
      <c r="N96" s="80">
        <f>IFERROR(VLOOKUP($C96,'[7]11-12.2024'!$C:$E,2,FALSE),0)</f>
        <v>-1001241.15</v>
      </c>
      <c r="O96" s="80">
        <f>IFERROR(VLOOKUP($C96,'[7]11-12.2024'!$C:$E,3,FALSE),0)</f>
        <v>-1034998.43</v>
      </c>
      <c r="P96" s="80">
        <v>-1070870.95</v>
      </c>
      <c r="Q96" s="80">
        <v>-1089816.1000000001</v>
      </c>
    </row>
    <row r="97" spans="1:17" x14ac:dyDescent="0.25">
      <c r="A97" s="81"/>
      <c r="B97" s="82"/>
      <c r="C97" s="78" t="s">
        <v>251</v>
      </c>
      <c r="D97" s="83">
        <f>IFERROR(VLOOKUP($C97,'[7]01-02.2024'!$C:$E,2,FALSE),0)</f>
        <v>-965475.83999999997</v>
      </c>
      <c r="E97" s="83">
        <f>IFERROR(VLOOKUP($C97,'[7]01-02.2024'!$C:$E,3,FALSE),0)</f>
        <v>-985559.99</v>
      </c>
      <c r="F97" s="83">
        <f>IFERROR(VLOOKUP($C97,'[7]03-04.2024'!$C:$E,2,FALSE),0)</f>
        <v>-993670.75</v>
      </c>
      <c r="G97" s="83">
        <f>IFERROR(VLOOKUP($C97,'[7]03-04.2024'!$C:$E,3,FALSE),0)</f>
        <v>-989261.83</v>
      </c>
      <c r="H97" s="83">
        <f>IFERROR(VLOOKUP($C97,'[7]05-06.2024'!$C:$E,2,FALSE),0)</f>
        <v>-980068.09</v>
      </c>
      <c r="I97" s="83">
        <f>IFERROR(VLOOKUP($C97,'[7]05-06.2024'!$C:$E,3,FALSE),0)</f>
        <v>-963809.69</v>
      </c>
      <c r="J97" s="83">
        <f>IFERROR(VLOOKUP($C97,'[7]07-08.2024'!$C:$E,2,FALSE),0)</f>
        <v>-959848.64</v>
      </c>
      <c r="K97" s="83">
        <f>IFERROR(VLOOKUP($C97,'[7]07-08.2024'!$C:$E,3,FALSE),0)</f>
        <v>-963077.53</v>
      </c>
      <c r="L97" s="83">
        <f>IFERROR(VLOOKUP($C97,'[7]09-10.2024'!$C:$E,2,FALSE),0)</f>
        <v>-965059.46</v>
      </c>
      <c r="M97" s="83">
        <f>IFERROR(VLOOKUP($C97,'[7]09-10.2024'!$C:$E,3,FALSE),0)</f>
        <v>-973817.35</v>
      </c>
      <c r="N97" s="83">
        <f>IFERROR(VLOOKUP($C97,'[7]11-12.2024'!$C:$E,2,FALSE),0)</f>
        <v>-1001241.15</v>
      </c>
      <c r="O97" s="83">
        <f>IFERROR(VLOOKUP($C97,'[7]11-12.2024'!$C:$E,3,FALSE),0)</f>
        <v>-1034998.43</v>
      </c>
      <c r="P97" s="83">
        <v>-1070870.95</v>
      </c>
      <c r="Q97" s="83">
        <v>-1089816.1000000001</v>
      </c>
    </row>
    <row r="98" spans="1:17" x14ac:dyDescent="0.25">
      <c r="A98" s="76" t="s">
        <v>130</v>
      </c>
      <c r="B98" s="77" t="s">
        <v>252</v>
      </c>
      <c r="C98" s="78" t="s">
        <v>253</v>
      </c>
      <c r="D98" s="80">
        <f>IFERROR(VLOOKUP($C98,'[7]01-02.2024'!$C:$E,2,FALSE),0)</f>
        <v>-6428557.54</v>
      </c>
      <c r="E98" s="80">
        <f>IFERROR(VLOOKUP($C98,'[7]01-02.2024'!$C:$E,3,FALSE),0)</f>
        <v>-6963791.6600000001</v>
      </c>
      <c r="F98" s="80">
        <f>IFERROR(VLOOKUP($C98,'[7]03-04.2024'!$C:$E,2,FALSE),0)</f>
        <v>-8168734.5099999998</v>
      </c>
      <c r="G98" s="80">
        <f>IFERROR(VLOOKUP($C98,'[7]03-04.2024'!$C:$E,3,FALSE),0)</f>
        <v>-8111103.2999999998</v>
      </c>
      <c r="H98" s="80">
        <f>IFERROR(VLOOKUP($C98,'[7]05-06.2024'!$C:$E,2,FALSE),0)</f>
        <v>-6575651.6900000004</v>
      </c>
      <c r="I98" s="80">
        <f>IFERROR(VLOOKUP($C98,'[7]05-06.2024'!$C:$E,3,FALSE),0)</f>
        <v>-6174340.9900000002</v>
      </c>
      <c r="J98" s="80">
        <f>IFERROR(VLOOKUP($C98,'[7]07-08.2024'!$C:$E,2,FALSE),0)</f>
        <v>-6276375.7300000004</v>
      </c>
      <c r="K98" s="80">
        <f>IFERROR(VLOOKUP($C98,'[7]07-08.2024'!$C:$E,3,FALSE),0)</f>
        <v>-6506126.1600000001</v>
      </c>
      <c r="L98" s="80">
        <f>IFERROR(VLOOKUP($C98,'[7]09-10.2024'!$C:$E,2,FALSE),0)</f>
        <v>-6134266.9199999999</v>
      </c>
      <c r="M98" s="80">
        <f>IFERROR(VLOOKUP($C98,'[7]09-10.2024'!$C:$E,3,FALSE),0)</f>
        <v>-6413077.3399999999</v>
      </c>
      <c r="N98" s="80">
        <f>IFERROR(VLOOKUP($C98,'[7]11-12.2024'!$C:$E,2,FALSE),0)</f>
        <v>-4399260.32</v>
      </c>
      <c r="O98" s="80">
        <f>IFERROR(VLOOKUP($C98,'[7]11-12.2024'!$C:$E,3,FALSE),0)</f>
        <v>-6001616.8499999996</v>
      </c>
      <c r="P98" s="80">
        <v>-6088161.5800000001</v>
      </c>
      <c r="Q98" s="80">
        <v>-6334756.3600000003</v>
      </c>
    </row>
    <row r="99" spans="1:17" x14ac:dyDescent="0.25">
      <c r="A99" s="81"/>
      <c r="B99" s="82"/>
      <c r="C99" s="78" t="s">
        <v>254</v>
      </c>
      <c r="D99" s="83">
        <f>IFERROR(VLOOKUP($C99,'[7]01-02.2024'!$C:$E,2,FALSE),0)</f>
        <v>-6428557.54</v>
      </c>
      <c r="E99" s="83">
        <f>IFERROR(VLOOKUP($C99,'[7]01-02.2024'!$C:$E,3,FALSE),0)</f>
        <v>-6963791.6600000001</v>
      </c>
      <c r="F99" s="83">
        <f>IFERROR(VLOOKUP($C99,'[7]03-04.2024'!$C:$E,2,FALSE),0)</f>
        <v>-8168734.5099999998</v>
      </c>
      <c r="G99" s="83">
        <f>IFERROR(VLOOKUP($C99,'[7]03-04.2024'!$C:$E,3,FALSE),0)</f>
        <v>-8111103.2999999998</v>
      </c>
      <c r="H99" s="83">
        <f>IFERROR(VLOOKUP($C99,'[7]05-06.2024'!$C:$E,2,FALSE),0)</f>
        <v>-6575651.6900000004</v>
      </c>
      <c r="I99" s="83">
        <f>IFERROR(VLOOKUP($C99,'[7]05-06.2024'!$C:$E,3,FALSE),0)</f>
        <v>-6174340.9900000002</v>
      </c>
      <c r="J99" s="83">
        <f>IFERROR(VLOOKUP($C99,'[7]07-08.2024'!$C:$E,2,FALSE),0)</f>
        <v>-6276375.7300000004</v>
      </c>
      <c r="K99" s="83">
        <f>IFERROR(VLOOKUP($C99,'[7]07-08.2024'!$C:$E,3,FALSE),0)</f>
        <v>-6506126.1600000001</v>
      </c>
      <c r="L99" s="83">
        <f>IFERROR(VLOOKUP($C99,'[7]09-10.2024'!$C:$E,2,FALSE),0)</f>
        <v>-6134266.9199999999</v>
      </c>
      <c r="M99" s="83">
        <f>IFERROR(VLOOKUP($C99,'[7]09-10.2024'!$C:$E,3,FALSE),0)</f>
        <v>-6413077.3399999999</v>
      </c>
      <c r="N99" s="83">
        <f>IFERROR(VLOOKUP($C99,'[7]11-12.2024'!$C:$E,2,FALSE),0)</f>
        <v>-4399260.32</v>
      </c>
      <c r="O99" s="83">
        <f>IFERROR(VLOOKUP($C99,'[7]11-12.2024'!$C:$E,3,FALSE),0)</f>
        <v>-6001616.8499999996</v>
      </c>
      <c r="P99" s="83">
        <v>-6088161.5800000001</v>
      </c>
      <c r="Q99" s="83">
        <v>-6334756.3600000003</v>
      </c>
    </row>
    <row r="100" spans="1:17" x14ac:dyDescent="0.25">
      <c r="A100" s="76" t="s">
        <v>130</v>
      </c>
      <c r="B100" s="77" t="s">
        <v>255</v>
      </c>
      <c r="C100" s="78" t="s">
        <v>256</v>
      </c>
      <c r="D100" s="80">
        <f>IFERROR(VLOOKUP($C100,'[7]01-02.2024'!$C:$E,2,FALSE),0)</f>
        <v>-4447.18</v>
      </c>
      <c r="E100" s="80">
        <f>IFERROR(VLOOKUP($C100,'[7]01-02.2024'!$C:$E,3,FALSE),0)</f>
        <v>-4333.71</v>
      </c>
      <c r="F100" s="80">
        <f>IFERROR(VLOOKUP($C100,'[7]03-04.2024'!$C:$E,2,FALSE),0)</f>
        <v>-4223.3900000000003</v>
      </c>
      <c r="G100" s="80">
        <f>IFERROR(VLOOKUP($C100,'[7]03-04.2024'!$C:$E,3,FALSE),0)</f>
        <v>-4023.51</v>
      </c>
      <c r="H100" s="80">
        <f>IFERROR(VLOOKUP($C100,'[7]05-06.2024'!$C:$E,2,FALSE),0)</f>
        <v>-3876.36</v>
      </c>
      <c r="I100" s="80">
        <f>IFERROR(VLOOKUP($C100,'[7]05-06.2024'!$C:$E,3,FALSE),0)</f>
        <v>-3706.94</v>
      </c>
      <c r="J100" s="80">
        <f>IFERROR(VLOOKUP($C100,'[7]07-08.2024'!$C:$E,2,FALSE),0)</f>
        <v>-3447.05</v>
      </c>
      <c r="K100" s="80">
        <f>IFERROR(VLOOKUP($C100,'[7]07-08.2024'!$C:$E,3,FALSE),0)</f>
        <v>-3227.58</v>
      </c>
      <c r="L100" s="80">
        <f>IFERROR(VLOOKUP($C100,'[7]09-10.2024'!$C:$E,2,FALSE),0)</f>
        <v>-3135.1</v>
      </c>
      <c r="M100" s="80">
        <f>IFERROR(VLOOKUP($C100,'[7]09-10.2024'!$C:$E,3,FALSE),0)</f>
        <v>-2882.17</v>
      </c>
      <c r="N100" s="80">
        <f>IFERROR(VLOOKUP($C100,'[7]11-12.2024'!$C:$E,2,FALSE),0)</f>
        <v>-2742.9</v>
      </c>
      <c r="O100" s="80">
        <f>IFERROR(VLOOKUP($C100,'[7]11-12.2024'!$C:$E,3,FALSE),0)</f>
        <v>-2696.74</v>
      </c>
      <c r="P100" s="80">
        <v>-2440.75</v>
      </c>
      <c r="Q100" s="80">
        <v>-2267.21</v>
      </c>
    </row>
    <row r="101" spans="1:17" x14ac:dyDescent="0.25">
      <c r="A101" s="81"/>
      <c r="B101" s="82"/>
      <c r="C101" s="78" t="s">
        <v>257</v>
      </c>
      <c r="D101" s="83">
        <f>IFERROR(VLOOKUP($C101,'[7]01-02.2024'!$C:$E,2,FALSE),0)</f>
        <v>-4447.18</v>
      </c>
      <c r="E101" s="83">
        <f>IFERROR(VLOOKUP($C101,'[7]01-02.2024'!$C:$E,3,FALSE),0)</f>
        <v>-4333.71</v>
      </c>
      <c r="F101" s="83">
        <f>IFERROR(VLOOKUP($C101,'[7]03-04.2024'!$C:$E,2,FALSE),0)</f>
        <v>-4223.3900000000003</v>
      </c>
      <c r="G101" s="83">
        <f>IFERROR(VLOOKUP($C101,'[7]03-04.2024'!$C:$E,3,FALSE),0)</f>
        <v>-4023.51</v>
      </c>
      <c r="H101" s="83">
        <f>IFERROR(VLOOKUP($C101,'[7]05-06.2024'!$C:$E,2,FALSE),0)</f>
        <v>-3876.36</v>
      </c>
      <c r="I101" s="83">
        <f>IFERROR(VLOOKUP($C101,'[7]05-06.2024'!$C:$E,3,FALSE),0)</f>
        <v>-3706.94</v>
      </c>
      <c r="J101" s="83">
        <f>IFERROR(VLOOKUP($C101,'[7]07-08.2024'!$C:$E,2,FALSE),0)</f>
        <v>-3447.05</v>
      </c>
      <c r="K101" s="83">
        <f>IFERROR(VLOOKUP($C101,'[7]07-08.2024'!$C:$E,3,FALSE),0)</f>
        <v>-3227.58</v>
      </c>
      <c r="L101" s="83">
        <f>IFERROR(VLOOKUP($C101,'[7]09-10.2024'!$C:$E,2,FALSE),0)</f>
        <v>-3135.1</v>
      </c>
      <c r="M101" s="83">
        <f>IFERROR(VLOOKUP($C101,'[7]09-10.2024'!$C:$E,3,FALSE),0)</f>
        <v>-2882.17</v>
      </c>
      <c r="N101" s="83">
        <f>IFERROR(VLOOKUP($C101,'[7]11-12.2024'!$C:$E,2,FALSE),0)</f>
        <v>-2742.9</v>
      </c>
      <c r="O101" s="83">
        <f>IFERROR(VLOOKUP($C101,'[7]11-12.2024'!$C:$E,3,FALSE),0)</f>
        <v>-2696.74</v>
      </c>
      <c r="P101" s="83">
        <v>-2440.75</v>
      </c>
      <c r="Q101" s="83">
        <v>-2267.21</v>
      </c>
    </row>
    <row r="102" spans="1:17" x14ac:dyDescent="0.25">
      <c r="A102" s="76" t="s">
        <v>130</v>
      </c>
      <c r="B102" s="77" t="s">
        <v>258</v>
      </c>
      <c r="C102" s="78" t="s">
        <v>259</v>
      </c>
      <c r="D102" s="80">
        <f>IFERROR(VLOOKUP($C102,'[7]01-02.2024'!$C:$E,2,FALSE),0)</f>
        <v>-220396.39</v>
      </c>
      <c r="E102" s="80">
        <f>IFERROR(VLOOKUP($C102,'[7]01-02.2024'!$C:$E,3,FALSE),0)</f>
        <v>-401475.23</v>
      </c>
      <c r="F102" s="80">
        <f>IFERROR(VLOOKUP($C102,'[7]03-04.2024'!$C:$E,2,FALSE),0)</f>
        <v>-504330.73</v>
      </c>
      <c r="G102" s="80">
        <f>IFERROR(VLOOKUP($C102,'[7]03-04.2024'!$C:$E,3,FALSE),0)</f>
        <v>-584045.46</v>
      </c>
      <c r="H102" s="80">
        <f>IFERROR(VLOOKUP($C102,'[7]05-06.2024'!$C:$E,2,FALSE),0)</f>
        <v>-645169.38</v>
      </c>
      <c r="I102" s="80">
        <f>IFERROR(VLOOKUP($C102,'[7]05-06.2024'!$C:$E,3,FALSE),0)</f>
        <v>-682149</v>
      </c>
      <c r="J102" s="80">
        <f>IFERROR(VLOOKUP($C102,'[7]07-08.2024'!$C:$E,2,FALSE),0)</f>
        <v>-715620.6</v>
      </c>
      <c r="K102" s="80">
        <f>IFERROR(VLOOKUP($C102,'[7]07-08.2024'!$C:$E,3,FALSE),0)</f>
        <v>-752430.36</v>
      </c>
      <c r="L102" s="80">
        <f>IFERROR(VLOOKUP($C102,'[7]09-10.2024'!$C:$E,2,FALSE),0)</f>
        <v>-786366.64</v>
      </c>
      <c r="M102" s="80">
        <f>IFERROR(VLOOKUP($C102,'[7]09-10.2024'!$C:$E,3,FALSE),0)</f>
        <v>-826902.49</v>
      </c>
      <c r="N102" s="80">
        <f>IFERROR(VLOOKUP($C102,'[7]11-12.2024'!$C:$E,2,FALSE),0)</f>
        <v>-878283.07</v>
      </c>
      <c r="O102" s="80">
        <f>IFERROR(VLOOKUP($C102,'[7]11-12.2024'!$C:$E,3,FALSE),0)</f>
        <v>-952253.3</v>
      </c>
      <c r="P102" s="80">
        <v>-1091762.28</v>
      </c>
      <c r="Q102" s="80">
        <v>-1294777.98</v>
      </c>
    </row>
    <row r="103" spans="1:17" x14ac:dyDescent="0.25">
      <c r="A103" s="81"/>
      <c r="B103" s="82"/>
      <c r="C103" s="78" t="s">
        <v>260</v>
      </c>
      <c r="D103" s="83">
        <f>IFERROR(VLOOKUP($C103,'[7]01-02.2024'!$C:$E,2,FALSE),0)</f>
        <v>-220396.39</v>
      </c>
      <c r="E103" s="83">
        <f>IFERROR(VLOOKUP($C103,'[7]01-02.2024'!$C:$E,3,FALSE),0)</f>
        <v>-401475.23</v>
      </c>
      <c r="F103" s="83">
        <f>IFERROR(VLOOKUP($C103,'[7]03-04.2024'!$C:$E,2,FALSE),0)</f>
        <v>-504330.73</v>
      </c>
      <c r="G103" s="83">
        <f>IFERROR(VLOOKUP($C103,'[7]03-04.2024'!$C:$E,3,FALSE),0)</f>
        <v>-584045.46</v>
      </c>
      <c r="H103" s="83">
        <f>IFERROR(VLOOKUP($C103,'[7]05-06.2024'!$C:$E,2,FALSE),0)</f>
        <v>-645169.38</v>
      </c>
      <c r="I103" s="83">
        <f>IFERROR(VLOOKUP($C103,'[7]05-06.2024'!$C:$E,3,FALSE),0)</f>
        <v>-682149</v>
      </c>
      <c r="J103" s="83">
        <f>IFERROR(VLOOKUP($C103,'[7]07-08.2024'!$C:$E,2,FALSE),0)</f>
        <v>-715620.6</v>
      </c>
      <c r="K103" s="83">
        <f>IFERROR(VLOOKUP($C103,'[7]07-08.2024'!$C:$E,3,FALSE),0)</f>
        <v>-752430.36</v>
      </c>
      <c r="L103" s="83">
        <f>IFERROR(VLOOKUP($C103,'[7]09-10.2024'!$C:$E,2,FALSE),0)</f>
        <v>-786366.64</v>
      </c>
      <c r="M103" s="83">
        <f>IFERROR(VLOOKUP($C103,'[7]09-10.2024'!$C:$E,3,FALSE),0)</f>
        <v>-826902.49</v>
      </c>
      <c r="N103" s="83">
        <f>IFERROR(VLOOKUP($C103,'[7]11-12.2024'!$C:$E,2,FALSE),0)</f>
        <v>-878283.07</v>
      </c>
      <c r="O103" s="83">
        <f>IFERROR(VLOOKUP($C103,'[7]11-12.2024'!$C:$E,3,FALSE),0)</f>
        <v>-952253.3</v>
      </c>
      <c r="P103" s="83">
        <v>-1091762.28</v>
      </c>
      <c r="Q103" s="83">
        <v>-1294777.98</v>
      </c>
    </row>
    <row r="104" spans="1:17" x14ac:dyDescent="0.25">
      <c r="A104" s="76" t="s">
        <v>130</v>
      </c>
      <c r="B104" s="77" t="s">
        <v>261</v>
      </c>
      <c r="C104" s="78" t="s">
        <v>262</v>
      </c>
      <c r="D104" s="80">
        <f>IFERROR(VLOOKUP($C104,'[7]01-02.2024'!$C:$E,2,FALSE),0)</f>
        <v>-2268409.37</v>
      </c>
      <c r="E104" s="80">
        <f>IFERROR(VLOOKUP($C104,'[7]01-02.2024'!$C:$E,3,FALSE),0)</f>
        <v>-2289789.9</v>
      </c>
      <c r="F104" s="80">
        <f>IFERROR(VLOOKUP($C104,'[7]03-04.2024'!$C:$E,2,FALSE),0)</f>
        <v>-2130750.7999999998</v>
      </c>
      <c r="G104" s="80">
        <f>IFERROR(VLOOKUP($C104,'[7]03-04.2024'!$C:$E,3,FALSE),0)</f>
        <v>-2046555.39</v>
      </c>
      <c r="H104" s="80">
        <f>IFERROR(VLOOKUP($C104,'[7]05-06.2024'!$C:$E,2,FALSE),0)</f>
        <v>-2213905.34</v>
      </c>
      <c r="I104" s="80">
        <f>IFERROR(VLOOKUP($C104,'[7]05-06.2024'!$C:$E,3,FALSE),0)</f>
        <v>-2226428.2599999998</v>
      </c>
      <c r="J104" s="80">
        <f>IFERROR(VLOOKUP($C104,'[7]07-08.2024'!$C:$E,2,FALSE),0)</f>
        <v>-2240806.59</v>
      </c>
      <c r="K104" s="80">
        <f>IFERROR(VLOOKUP($C104,'[7]07-08.2024'!$C:$E,3,FALSE),0)</f>
        <v>-2417107.84</v>
      </c>
      <c r="L104" s="80">
        <f>IFERROR(VLOOKUP($C104,'[7]09-10.2024'!$C:$E,2,FALSE),0)</f>
        <v>-2639247.37</v>
      </c>
      <c r="M104" s="80">
        <f>IFERROR(VLOOKUP($C104,'[7]09-10.2024'!$C:$E,3,FALSE),0)</f>
        <v>-2718075.04</v>
      </c>
      <c r="N104" s="80">
        <f>IFERROR(VLOOKUP($C104,'[7]11-12.2024'!$C:$E,2,FALSE),0)</f>
        <v>-2730082.33</v>
      </c>
      <c r="O104" s="80">
        <f>IFERROR(VLOOKUP($C104,'[7]11-12.2024'!$C:$E,3,FALSE),0)</f>
        <v>-2572634.59</v>
      </c>
      <c r="P104" s="80">
        <v>-2890373.81</v>
      </c>
      <c r="Q104" s="80">
        <v>-2879568.76</v>
      </c>
    </row>
    <row r="105" spans="1:17" x14ac:dyDescent="0.25">
      <c r="A105" s="81"/>
      <c r="B105" s="82"/>
      <c r="C105" s="78" t="s">
        <v>263</v>
      </c>
      <c r="D105" s="83">
        <f>IFERROR(VLOOKUP($C105,'[7]01-02.2024'!$C:$E,2,FALSE),0)</f>
        <v>-2268409.37</v>
      </c>
      <c r="E105" s="83">
        <f>IFERROR(VLOOKUP($C105,'[7]01-02.2024'!$C:$E,3,FALSE),0)</f>
        <v>-2289789.9</v>
      </c>
      <c r="F105" s="83">
        <f>IFERROR(VLOOKUP($C105,'[7]03-04.2024'!$C:$E,2,FALSE),0)</f>
        <v>-2130750.7999999998</v>
      </c>
      <c r="G105" s="83">
        <f>IFERROR(VLOOKUP($C105,'[7]03-04.2024'!$C:$E,3,FALSE),0)</f>
        <v>-2046555.39</v>
      </c>
      <c r="H105" s="83">
        <f>IFERROR(VLOOKUP($C105,'[7]05-06.2024'!$C:$E,2,FALSE),0)</f>
        <v>-2213905.34</v>
      </c>
      <c r="I105" s="83">
        <f>IFERROR(VLOOKUP($C105,'[7]05-06.2024'!$C:$E,3,FALSE),0)</f>
        <v>-2226428.2599999998</v>
      </c>
      <c r="J105" s="83">
        <f>IFERROR(VLOOKUP($C105,'[7]07-08.2024'!$C:$E,2,FALSE),0)</f>
        <v>-2240806.59</v>
      </c>
      <c r="K105" s="83">
        <f>IFERROR(VLOOKUP($C105,'[7]07-08.2024'!$C:$E,3,FALSE),0)</f>
        <v>-2417107.84</v>
      </c>
      <c r="L105" s="83">
        <f>IFERROR(VLOOKUP($C105,'[7]09-10.2024'!$C:$E,2,FALSE),0)</f>
        <v>-2639247.37</v>
      </c>
      <c r="M105" s="83">
        <f>IFERROR(VLOOKUP($C105,'[7]09-10.2024'!$C:$E,3,FALSE),0)</f>
        <v>-2718075.04</v>
      </c>
      <c r="N105" s="83">
        <f>IFERROR(VLOOKUP($C105,'[7]11-12.2024'!$C:$E,2,FALSE),0)</f>
        <v>-2730082.33</v>
      </c>
      <c r="O105" s="83">
        <f>IFERROR(VLOOKUP($C105,'[7]11-12.2024'!$C:$E,3,FALSE),0)</f>
        <v>-2572634.59</v>
      </c>
      <c r="P105" s="83">
        <v>-2890373.81</v>
      </c>
      <c r="Q105" s="83">
        <v>-2879568.76</v>
      </c>
    </row>
    <row r="106" spans="1:17" x14ac:dyDescent="0.25">
      <c r="A106" s="81"/>
      <c r="B106" s="82"/>
      <c r="C106" s="78" t="s">
        <v>264</v>
      </c>
      <c r="D106" s="83">
        <f>IFERROR(VLOOKUP($C106,'[7]01-02.2024'!$C:$E,2,FALSE),0)</f>
        <v>-27448341.559999999</v>
      </c>
      <c r="E106" s="83">
        <f>IFERROR(VLOOKUP($C106,'[7]01-02.2024'!$C:$E,3,FALSE),0)</f>
        <v>-23257071.870000001</v>
      </c>
      <c r="F106" s="83">
        <f>IFERROR(VLOOKUP($C106,'[7]03-04.2024'!$C:$E,2,FALSE),0)</f>
        <v>-22066971.719999999</v>
      </c>
      <c r="G106" s="83">
        <f>IFERROR(VLOOKUP($C106,'[7]03-04.2024'!$C:$E,3,FALSE),0)</f>
        <v>-18386885.300000001</v>
      </c>
      <c r="H106" s="83">
        <f>IFERROR(VLOOKUP($C106,'[7]05-06.2024'!$C:$E,2,FALSE),0)</f>
        <v>-20044749.34</v>
      </c>
      <c r="I106" s="83">
        <f>IFERROR(VLOOKUP($C106,'[7]05-06.2024'!$C:$E,3,FALSE),0)</f>
        <v>-22818113.350000001</v>
      </c>
      <c r="J106" s="83">
        <f>IFERROR(VLOOKUP($C106,'[7]07-08.2024'!$C:$E,2,FALSE),0)</f>
        <v>-26884973.43</v>
      </c>
      <c r="K106" s="83">
        <f>IFERROR(VLOOKUP($C106,'[7]07-08.2024'!$C:$E,3,FALSE),0)</f>
        <v>-27594826.690000001</v>
      </c>
      <c r="L106" s="83">
        <f>IFERROR(VLOOKUP($C106,'[7]09-10.2024'!$C:$E,2,FALSE),0)</f>
        <v>-31353572.969999999</v>
      </c>
      <c r="M106" s="83">
        <f>IFERROR(VLOOKUP($C106,'[7]09-10.2024'!$C:$E,3,FALSE),0)</f>
        <v>-33701353.200000003</v>
      </c>
      <c r="N106" s="83">
        <f>IFERROR(VLOOKUP($C106,'[7]11-12.2024'!$C:$E,2,FALSE),0)</f>
        <v>-34894993.640000001</v>
      </c>
      <c r="O106" s="83">
        <f>IFERROR(VLOOKUP($C106,'[7]11-12.2024'!$C:$E,3,FALSE),0)</f>
        <v>-39618446.549999997</v>
      </c>
      <c r="P106" s="83">
        <v>-39649421.979999997</v>
      </c>
      <c r="Q106" s="83">
        <v>-21643257.390000001</v>
      </c>
    </row>
    <row r="107" spans="1:17" x14ac:dyDescent="0.25">
      <c r="A107" s="76"/>
      <c r="B107" s="77"/>
      <c r="C107" s="78" t="s">
        <v>265</v>
      </c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</row>
    <row r="108" spans="1:17" x14ac:dyDescent="0.25">
      <c r="A108" s="76" t="s">
        <v>135</v>
      </c>
      <c r="B108" s="77" t="s">
        <v>266</v>
      </c>
      <c r="C108" s="78" t="s">
        <v>267</v>
      </c>
      <c r="D108" s="80">
        <f>IFERROR(VLOOKUP($C108,'[7]01-02.2024'!$C:$E,2,FALSE),0)</f>
        <v>-2649934.9300000002</v>
      </c>
      <c r="E108" s="80">
        <f>IFERROR(VLOOKUP($C108,'[7]01-02.2024'!$C:$E,3,FALSE),0)</f>
        <v>-2649757.4</v>
      </c>
      <c r="F108" s="80">
        <f>IFERROR(VLOOKUP($C108,'[7]03-04.2024'!$C:$E,2,FALSE),0)</f>
        <v>-2218635.83</v>
      </c>
      <c r="G108" s="80">
        <f>IFERROR(VLOOKUP($C108,'[7]03-04.2024'!$C:$E,3,FALSE),0)</f>
        <v>-2189452.2400000002</v>
      </c>
      <c r="H108" s="80">
        <f>IFERROR(VLOOKUP($C108,'[7]05-06.2024'!$C:$E,2,FALSE),0)</f>
        <v>-2035558.89</v>
      </c>
      <c r="I108" s="80">
        <f>IFERROR(VLOOKUP($C108,'[7]05-06.2024'!$C:$E,3,FALSE),0)</f>
        <v>-1804726.2</v>
      </c>
      <c r="J108" s="80">
        <f>IFERROR(VLOOKUP($C108,'[7]07-08.2024'!$C:$E,2,FALSE),0)</f>
        <v>-1444900.64</v>
      </c>
      <c r="K108" s="80">
        <f>IFERROR(VLOOKUP($C108,'[7]07-08.2024'!$C:$E,3,FALSE),0)</f>
        <v>-1152732.8500000001</v>
      </c>
      <c r="L108" s="80">
        <f>IFERROR(VLOOKUP($C108,'[7]09-10.2024'!$C:$E,2,FALSE),0)</f>
        <v>-1097531.25</v>
      </c>
      <c r="M108" s="80">
        <f>IFERROR(VLOOKUP($C108,'[7]09-10.2024'!$C:$E,3,FALSE),0)</f>
        <v>-1077934.3799999999</v>
      </c>
      <c r="N108" s="80">
        <f>IFERROR(VLOOKUP($C108,'[7]11-12.2024'!$C:$E,2,FALSE),0)</f>
        <v>-936009.66</v>
      </c>
      <c r="O108" s="80">
        <f>IFERROR(VLOOKUP($C108,'[7]11-12.2024'!$C:$E,3,FALSE),0)</f>
        <v>-938032.96</v>
      </c>
      <c r="P108" s="80">
        <v>-938032.96</v>
      </c>
      <c r="Q108" s="80">
        <v>-938032.96</v>
      </c>
    </row>
    <row r="109" spans="1:17" x14ac:dyDescent="0.25">
      <c r="A109" s="81"/>
      <c r="B109" s="82"/>
      <c r="C109" s="78" t="s">
        <v>268</v>
      </c>
      <c r="D109" s="83">
        <f>IFERROR(VLOOKUP($C109,'[7]01-02.2024'!$C:$E,2,FALSE),0)</f>
        <v>-2649934.9300000002</v>
      </c>
      <c r="E109" s="83">
        <f>IFERROR(VLOOKUP($C109,'[7]01-02.2024'!$C:$E,3,FALSE),0)</f>
        <v>-2649757.4</v>
      </c>
      <c r="F109" s="83">
        <f>IFERROR(VLOOKUP($C109,'[7]03-04.2024'!$C:$E,2,FALSE),0)</f>
        <v>-2218635.83</v>
      </c>
      <c r="G109" s="83">
        <f>IFERROR(VLOOKUP($C109,'[7]03-04.2024'!$C:$E,3,FALSE),0)</f>
        <v>-2189452.2400000002</v>
      </c>
      <c r="H109" s="83">
        <f>IFERROR(VLOOKUP($C109,'[7]05-06.2024'!$C:$E,2,FALSE),0)</f>
        <v>-2035558.89</v>
      </c>
      <c r="I109" s="83">
        <f>IFERROR(VLOOKUP($C109,'[7]05-06.2024'!$C:$E,3,FALSE),0)</f>
        <v>-1804726.2</v>
      </c>
      <c r="J109" s="83">
        <f>IFERROR(VLOOKUP($C109,'[7]07-08.2024'!$C:$E,2,FALSE),0)</f>
        <v>-1444900.64</v>
      </c>
      <c r="K109" s="83">
        <f>IFERROR(VLOOKUP($C109,'[7]07-08.2024'!$C:$E,3,FALSE),0)</f>
        <v>-1152732.8500000001</v>
      </c>
      <c r="L109" s="83">
        <f>IFERROR(VLOOKUP($C109,'[7]09-10.2024'!$C:$E,2,FALSE),0)</f>
        <v>-1097531.25</v>
      </c>
      <c r="M109" s="83">
        <f>IFERROR(VLOOKUP($C109,'[7]09-10.2024'!$C:$E,3,FALSE),0)</f>
        <v>-1077934.3799999999</v>
      </c>
      <c r="N109" s="83">
        <f>IFERROR(VLOOKUP($C109,'[7]11-12.2024'!$C:$E,2,FALSE),0)</f>
        <v>-936009.66</v>
      </c>
      <c r="O109" s="83">
        <f>IFERROR(VLOOKUP($C109,'[7]11-12.2024'!$C:$E,3,FALSE),0)</f>
        <v>-938032.96</v>
      </c>
      <c r="P109" s="83">
        <v>-938032.96</v>
      </c>
      <c r="Q109" s="83">
        <v>-938032.96</v>
      </c>
    </row>
    <row r="110" spans="1:17" x14ac:dyDescent="0.25">
      <c r="A110" s="76" t="s">
        <v>130</v>
      </c>
      <c r="B110" s="77" t="s">
        <v>269</v>
      </c>
      <c r="C110" s="78" t="s">
        <v>270</v>
      </c>
      <c r="D110" s="80">
        <f>IFERROR(VLOOKUP($C110,'[7]01-02.2024'!$C:$E,2,FALSE),0)</f>
        <v>-255796.82</v>
      </c>
      <c r="E110" s="80">
        <f>IFERROR(VLOOKUP($C110,'[7]01-02.2024'!$C:$E,3,FALSE),0)</f>
        <v>-256949.73</v>
      </c>
      <c r="F110" s="80">
        <f>IFERROR(VLOOKUP($C110,'[7]03-04.2024'!$C:$E,2,FALSE),0)</f>
        <v>-258102.64</v>
      </c>
      <c r="G110" s="80">
        <f>IFERROR(VLOOKUP($C110,'[7]03-04.2024'!$C:$E,3,FALSE),0)</f>
        <v>-272095.19</v>
      </c>
      <c r="H110" s="80">
        <f>IFERROR(VLOOKUP($C110,'[7]05-06.2024'!$C:$E,2,FALSE),0)</f>
        <v>-276439.09000000003</v>
      </c>
      <c r="I110" s="80">
        <f>IFERROR(VLOOKUP($C110,'[7]05-06.2024'!$C:$E,3,FALSE),0)</f>
        <v>-280813.27</v>
      </c>
      <c r="J110" s="80">
        <f>IFERROR(VLOOKUP($C110,'[7]07-08.2024'!$C:$E,2,FALSE),0)</f>
        <v>-285187.45</v>
      </c>
      <c r="K110" s="80">
        <f>IFERROR(VLOOKUP($C110,'[7]07-08.2024'!$C:$E,3,FALSE),0)</f>
        <v>-289561.63</v>
      </c>
      <c r="L110" s="80">
        <f>IFERROR(VLOOKUP($C110,'[7]09-10.2024'!$C:$E,2,FALSE),0)</f>
        <v>-327963.31</v>
      </c>
      <c r="M110" s="80">
        <f>IFERROR(VLOOKUP($C110,'[7]09-10.2024'!$C:$E,3,FALSE),0)</f>
        <v>-332337.49</v>
      </c>
      <c r="N110" s="80">
        <f>IFERROR(VLOOKUP($C110,'[7]11-12.2024'!$C:$E,2,FALSE),0)</f>
        <v>-337491.67</v>
      </c>
      <c r="O110" s="80">
        <f>IFERROR(VLOOKUP($C110,'[7]11-12.2024'!$C:$E,3,FALSE),0)</f>
        <v>-367730.4</v>
      </c>
      <c r="P110" s="80">
        <v>-371744.88</v>
      </c>
      <c r="Q110" s="80">
        <v>-375759.35999999999</v>
      </c>
    </row>
    <row r="111" spans="1:17" x14ac:dyDescent="0.25">
      <c r="A111" s="81"/>
      <c r="B111" s="82"/>
      <c r="C111" s="78" t="s">
        <v>271</v>
      </c>
      <c r="D111" s="83">
        <f>IFERROR(VLOOKUP($C111,'[7]01-02.2024'!$C:$E,2,FALSE),0)</f>
        <v>-255796.82</v>
      </c>
      <c r="E111" s="83">
        <f>IFERROR(VLOOKUP($C111,'[7]01-02.2024'!$C:$E,3,FALSE),0)</f>
        <v>-256949.73</v>
      </c>
      <c r="F111" s="83">
        <f>IFERROR(VLOOKUP($C111,'[7]03-04.2024'!$C:$E,2,FALSE),0)</f>
        <v>-258102.64</v>
      </c>
      <c r="G111" s="83">
        <f>IFERROR(VLOOKUP($C111,'[7]03-04.2024'!$C:$E,3,FALSE),0)</f>
        <v>-272095.19</v>
      </c>
      <c r="H111" s="83">
        <f>IFERROR(VLOOKUP($C111,'[7]05-06.2024'!$C:$E,2,FALSE),0)</f>
        <v>-276439.09000000003</v>
      </c>
      <c r="I111" s="83">
        <f>IFERROR(VLOOKUP($C111,'[7]05-06.2024'!$C:$E,3,FALSE),0)</f>
        <v>-280813.27</v>
      </c>
      <c r="J111" s="83">
        <f>IFERROR(VLOOKUP($C111,'[7]07-08.2024'!$C:$E,2,FALSE),0)</f>
        <v>-285187.45</v>
      </c>
      <c r="K111" s="83">
        <f>IFERROR(VLOOKUP($C111,'[7]07-08.2024'!$C:$E,3,FALSE),0)</f>
        <v>-289561.63</v>
      </c>
      <c r="L111" s="83">
        <f>IFERROR(VLOOKUP($C111,'[7]09-10.2024'!$C:$E,2,FALSE),0)</f>
        <v>-327963.31</v>
      </c>
      <c r="M111" s="83">
        <f>IFERROR(VLOOKUP($C111,'[7]09-10.2024'!$C:$E,3,FALSE),0)</f>
        <v>-332337.49</v>
      </c>
      <c r="N111" s="83">
        <f>IFERROR(VLOOKUP($C111,'[7]11-12.2024'!$C:$E,2,FALSE),0)</f>
        <v>-337491.67</v>
      </c>
      <c r="O111" s="83">
        <f>IFERROR(VLOOKUP($C111,'[7]11-12.2024'!$C:$E,3,FALSE),0)</f>
        <v>-367730.4</v>
      </c>
      <c r="P111" s="83">
        <v>-371744.88</v>
      </c>
      <c r="Q111" s="83">
        <v>-375759.35999999999</v>
      </c>
    </row>
    <row r="112" spans="1:17" x14ac:dyDescent="0.25">
      <c r="A112" s="76" t="s">
        <v>130</v>
      </c>
      <c r="B112" s="77" t="s">
        <v>272</v>
      </c>
      <c r="C112" s="78" t="s">
        <v>273</v>
      </c>
      <c r="D112" s="80">
        <f>IFERROR(VLOOKUP($C112,'[7]01-02.2024'!$C:$E,2,FALSE),0)</f>
        <v>-15224699.630000001</v>
      </c>
      <c r="E112" s="80">
        <f>IFERROR(VLOOKUP($C112,'[7]01-02.2024'!$C:$E,3,FALSE),0)</f>
        <v>-15221924.199999999</v>
      </c>
      <c r="F112" s="80">
        <f>IFERROR(VLOOKUP($C112,'[7]03-04.2024'!$C:$E,2,FALSE),0)</f>
        <v>-14923884.880000001</v>
      </c>
      <c r="G112" s="80">
        <f>IFERROR(VLOOKUP($C112,'[7]03-04.2024'!$C:$E,3,FALSE),0)</f>
        <v>-14934722.5</v>
      </c>
      <c r="H112" s="80">
        <f>IFERROR(VLOOKUP($C112,'[7]05-06.2024'!$C:$E,2,FALSE),0)</f>
        <v>-14943531.6</v>
      </c>
      <c r="I112" s="80">
        <f>IFERROR(VLOOKUP($C112,'[7]05-06.2024'!$C:$E,3,FALSE),0)</f>
        <v>-14696088.09</v>
      </c>
      <c r="J112" s="80">
        <f>IFERROR(VLOOKUP($C112,'[7]07-08.2024'!$C:$E,2,FALSE),0)</f>
        <v>-14706732.91</v>
      </c>
      <c r="K112" s="80">
        <f>IFERROR(VLOOKUP($C112,'[7]07-08.2024'!$C:$E,3,FALSE),0)</f>
        <v>-14717260</v>
      </c>
      <c r="L112" s="80">
        <f>IFERROR(VLOOKUP($C112,'[7]09-10.2024'!$C:$E,2,FALSE),0)</f>
        <v>-14469086.689999999</v>
      </c>
      <c r="M112" s="80">
        <f>IFERROR(VLOOKUP($C112,'[7]09-10.2024'!$C:$E,3,FALSE),0)</f>
        <v>-14478900.92</v>
      </c>
      <c r="N112" s="80">
        <f>IFERROR(VLOOKUP($C112,'[7]11-12.2024'!$C:$E,2,FALSE),0)</f>
        <v>-14555154.390000001</v>
      </c>
      <c r="O112" s="80">
        <f>IFERROR(VLOOKUP($C112,'[7]11-12.2024'!$C:$E,3,FALSE),0)</f>
        <v>-14307937.15</v>
      </c>
      <c r="P112" s="80">
        <v>-14295768.75</v>
      </c>
      <c r="Q112" s="80">
        <v>-14263812.24</v>
      </c>
    </row>
    <row r="113" spans="1:17" x14ac:dyDescent="0.25">
      <c r="A113" s="81"/>
      <c r="B113" s="82"/>
      <c r="C113" s="78" t="s">
        <v>274</v>
      </c>
      <c r="D113" s="83">
        <f>IFERROR(VLOOKUP($C113,'[7]01-02.2024'!$C:$E,2,FALSE),0)</f>
        <v>-15224699.630000001</v>
      </c>
      <c r="E113" s="83">
        <f>IFERROR(VLOOKUP($C113,'[7]01-02.2024'!$C:$E,3,FALSE),0)</f>
        <v>-15221924.199999999</v>
      </c>
      <c r="F113" s="83">
        <f>IFERROR(VLOOKUP($C113,'[7]03-04.2024'!$C:$E,2,FALSE),0)</f>
        <v>-14923884.880000001</v>
      </c>
      <c r="G113" s="83">
        <f>IFERROR(VLOOKUP($C113,'[7]03-04.2024'!$C:$E,3,FALSE),0)</f>
        <v>-14934722.5</v>
      </c>
      <c r="H113" s="83">
        <f>IFERROR(VLOOKUP($C113,'[7]05-06.2024'!$C:$E,2,FALSE),0)</f>
        <v>-14943531.6</v>
      </c>
      <c r="I113" s="83">
        <f>IFERROR(VLOOKUP($C113,'[7]05-06.2024'!$C:$E,3,FALSE),0)</f>
        <v>-14696088.09</v>
      </c>
      <c r="J113" s="83">
        <f>IFERROR(VLOOKUP($C113,'[7]07-08.2024'!$C:$E,2,FALSE),0)</f>
        <v>-14706732.91</v>
      </c>
      <c r="K113" s="83">
        <f>IFERROR(VLOOKUP($C113,'[7]07-08.2024'!$C:$E,3,FALSE),0)</f>
        <v>-14717260</v>
      </c>
      <c r="L113" s="83">
        <f>IFERROR(VLOOKUP($C113,'[7]09-10.2024'!$C:$E,2,FALSE),0)</f>
        <v>-14469086.689999999</v>
      </c>
      <c r="M113" s="83">
        <f>IFERROR(VLOOKUP($C113,'[7]09-10.2024'!$C:$E,3,FALSE),0)</f>
        <v>-14478900.92</v>
      </c>
      <c r="N113" s="83">
        <f>IFERROR(VLOOKUP($C113,'[7]11-12.2024'!$C:$E,2,FALSE),0)</f>
        <v>-14555154.390000001</v>
      </c>
      <c r="O113" s="83">
        <f>IFERROR(VLOOKUP($C113,'[7]11-12.2024'!$C:$E,3,FALSE),0)</f>
        <v>-14307937.15</v>
      </c>
      <c r="P113" s="83">
        <v>-14295768.75</v>
      </c>
      <c r="Q113" s="83">
        <v>-14263812.24</v>
      </c>
    </row>
    <row r="114" spans="1:17" x14ac:dyDescent="0.25">
      <c r="A114" s="76" t="s">
        <v>130</v>
      </c>
      <c r="B114" s="77" t="s">
        <v>275</v>
      </c>
      <c r="C114" s="78" t="s">
        <v>276</v>
      </c>
      <c r="D114" s="80">
        <f>IFERROR(VLOOKUP($C114,'[7]01-02.2024'!$C:$E,2,FALSE),0)</f>
        <v>-28640588.07</v>
      </c>
      <c r="E114" s="80">
        <f>IFERROR(VLOOKUP($C114,'[7]01-02.2024'!$C:$E,3,FALSE),0)</f>
        <v>-28640588.07</v>
      </c>
      <c r="F114" s="80">
        <f>IFERROR(VLOOKUP($C114,'[7]03-04.2024'!$C:$E,2,FALSE),0)</f>
        <v>-28683723.510000002</v>
      </c>
      <c r="G114" s="80">
        <f>IFERROR(VLOOKUP($C114,'[7]03-04.2024'!$C:$E,3,FALSE),0)</f>
        <v>-28683723.510000002</v>
      </c>
      <c r="H114" s="80">
        <f>IFERROR(VLOOKUP($C114,'[7]05-06.2024'!$C:$E,2,FALSE),0)</f>
        <v>-28683723.510000002</v>
      </c>
      <c r="I114" s="80">
        <f>IFERROR(VLOOKUP($C114,'[7]05-06.2024'!$C:$E,3,FALSE),0)</f>
        <v>-28726858.920000002</v>
      </c>
      <c r="J114" s="80">
        <f>IFERROR(VLOOKUP($C114,'[7]07-08.2024'!$C:$E,2,FALSE),0)</f>
        <v>-28726858.920000002</v>
      </c>
      <c r="K114" s="80">
        <f>IFERROR(VLOOKUP($C114,'[7]07-08.2024'!$C:$E,3,FALSE),0)</f>
        <v>-28726858.920000002</v>
      </c>
      <c r="L114" s="80">
        <f>IFERROR(VLOOKUP($C114,'[7]09-10.2024'!$C:$E,2,FALSE),0)</f>
        <v>-28858310.02</v>
      </c>
      <c r="M114" s="80">
        <f>IFERROR(VLOOKUP($C114,'[7]09-10.2024'!$C:$E,3,FALSE),0)</f>
        <v>-28858310.02</v>
      </c>
      <c r="N114" s="80">
        <f>IFERROR(VLOOKUP($C114,'[7]11-12.2024'!$C:$E,2,FALSE),0)</f>
        <v>-28801504.18</v>
      </c>
      <c r="O114" s="80">
        <f>IFERROR(VLOOKUP($C114,'[7]11-12.2024'!$C:$E,3,FALSE),0)</f>
        <v>-28044508.210000001</v>
      </c>
      <c r="P114" s="80">
        <v>-28044508.210000001</v>
      </c>
      <c r="Q114" s="80">
        <v>-28044508.210000001</v>
      </c>
    </row>
    <row r="115" spans="1:17" x14ac:dyDescent="0.25">
      <c r="A115" s="76" t="s">
        <v>130</v>
      </c>
      <c r="B115" s="77" t="s">
        <v>277</v>
      </c>
      <c r="C115" s="78" t="s">
        <v>278</v>
      </c>
      <c r="D115" s="80">
        <f>IFERROR(VLOOKUP($C115,'[7]01-02.2024'!$C:$E,2,FALSE),0)</f>
        <v>-1737151.1</v>
      </c>
      <c r="E115" s="80">
        <f>IFERROR(VLOOKUP($C115,'[7]01-02.2024'!$C:$E,3,FALSE),0)</f>
        <v>-1737151.1</v>
      </c>
      <c r="F115" s="80">
        <f>IFERROR(VLOOKUP($C115,'[7]03-04.2024'!$C:$E,2,FALSE),0)</f>
        <v>-1636244.04</v>
      </c>
      <c r="G115" s="80">
        <f>IFERROR(VLOOKUP($C115,'[7]03-04.2024'!$C:$E,3,FALSE),0)</f>
        <v>-1636244.04</v>
      </c>
      <c r="H115" s="80">
        <f>IFERROR(VLOOKUP($C115,'[7]05-06.2024'!$C:$E,2,FALSE),0)</f>
        <v>-1636244.04</v>
      </c>
      <c r="I115" s="80">
        <f>IFERROR(VLOOKUP($C115,'[7]05-06.2024'!$C:$E,3,FALSE),0)</f>
        <v>-1416560.82</v>
      </c>
      <c r="J115" s="80">
        <f>IFERROR(VLOOKUP($C115,'[7]07-08.2024'!$C:$E,2,FALSE),0)</f>
        <v>-1416560.82</v>
      </c>
      <c r="K115" s="80">
        <f>IFERROR(VLOOKUP($C115,'[7]07-08.2024'!$C:$E,3,FALSE),0)</f>
        <v>-1416560.82</v>
      </c>
      <c r="L115" s="80">
        <f>IFERROR(VLOOKUP($C115,'[7]09-10.2024'!$C:$E,2,FALSE),0)</f>
        <v>-1492326.84</v>
      </c>
      <c r="M115" s="80">
        <f>IFERROR(VLOOKUP($C115,'[7]09-10.2024'!$C:$E,3,FALSE),0)</f>
        <v>-1492326.84</v>
      </c>
      <c r="N115" s="80">
        <f>IFERROR(VLOOKUP($C115,'[7]11-12.2024'!$C:$E,2,FALSE),0)</f>
        <v>-1492327.35</v>
      </c>
      <c r="O115" s="80">
        <f>IFERROR(VLOOKUP($C115,'[7]11-12.2024'!$C:$E,3,FALSE),0)</f>
        <v>-1401792.26</v>
      </c>
      <c r="P115" s="80">
        <v>-1401792.26</v>
      </c>
      <c r="Q115" s="80">
        <v>-1401792.26</v>
      </c>
    </row>
    <row r="116" spans="1:17" x14ac:dyDescent="0.25">
      <c r="A116" s="81"/>
      <c r="B116" s="82"/>
      <c r="C116" s="78" t="s">
        <v>279</v>
      </c>
      <c r="D116" s="83">
        <f>IFERROR(VLOOKUP($C116,'[7]01-02.2024'!$C:$E,2,FALSE),0)</f>
        <v>-30377739.170000002</v>
      </c>
      <c r="E116" s="83">
        <f>IFERROR(VLOOKUP($C116,'[7]01-02.2024'!$C:$E,3,FALSE),0)</f>
        <v>-30377739.170000002</v>
      </c>
      <c r="F116" s="83">
        <f>IFERROR(VLOOKUP($C116,'[7]03-04.2024'!$C:$E,2,FALSE),0)</f>
        <v>-30319967.550000001</v>
      </c>
      <c r="G116" s="83">
        <f>IFERROR(VLOOKUP($C116,'[7]03-04.2024'!$C:$E,3,FALSE),0)</f>
        <v>-30319967.550000001</v>
      </c>
      <c r="H116" s="83">
        <f>IFERROR(VLOOKUP($C116,'[7]05-06.2024'!$C:$E,2,FALSE),0)</f>
        <v>-30319967.550000001</v>
      </c>
      <c r="I116" s="83">
        <f>IFERROR(VLOOKUP($C116,'[7]05-06.2024'!$C:$E,3,FALSE),0)</f>
        <v>-30143419.739999998</v>
      </c>
      <c r="J116" s="83">
        <f>IFERROR(VLOOKUP($C116,'[7]07-08.2024'!$C:$E,2,FALSE),0)</f>
        <v>-30143419.739999998</v>
      </c>
      <c r="K116" s="83">
        <f>IFERROR(VLOOKUP($C116,'[7]07-08.2024'!$C:$E,3,FALSE),0)</f>
        <v>-30143419.739999998</v>
      </c>
      <c r="L116" s="83">
        <f>IFERROR(VLOOKUP($C116,'[7]09-10.2024'!$C:$E,2,FALSE),0)</f>
        <v>-30350636.859999999</v>
      </c>
      <c r="M116" s="83">
        <f>IFERROR(VLOOKUP($C116,'[7]09-10.2024'!$C:$E,3,FALSE),0)</f>
        <v>-30350636.859999999</v>
      </c>
      <c r="N116" s="83">
        <f>IFERROR(VLOOKUP($C116,'[7]11-12.2024'!$C:$E,2,FALSE),0)</f>
        <v>-30293831.530000001</v>
      </c>
      <c r="O116" s="83">
        <f>IFERROR(VLOOKUP($C116,'[7]11-12.2024'!$C:$E,3,FALSE),0)</f>
        <v>-29446300.469999999</v>
      </c>
      <c r="P116" s="83">
        <v>-29446300.469999999</v>
      </c>
      <c r="Q116" s="83">
        <v>-29446300.469999999</v>
      </c>
    </row>
    <row r="117" spans="1:17" x14ac:dyDescent="0.25">
      <c r="A117" s="81"/>
      <c r="B117" s="82"/>
      <c r="C117" s="78" t="s">
        <v>280</v>
      </c>
      <c r="D117" s="83">
        <f>IFERROR(VLOOKUP($C117,'[7]01-02.2024'!$C:$E,2,FALSE),0)</f>
        <v>-48508170.549999997</v>
      </c>
      <c r="E117" s="83">
        <f>IFERROR(VLOOKUP($C117,'[7]01-02.2024'!$C:$E,3,FALSE),0)</f>
        <v>-48506370.5</v>
      </c>
      <c r="F117" s="83">
        <f>IFERROR(VLOOKUP($C117,'[7]03-04.2024'!$C:$E,2,FALSE),0)</f>
        <v>-47720590.899999999</v>
      </c>
      <c r="G117" s="83">
        <f>IFERROR(VLOOKUP($C117,'[7]03-04.2024'!$C:$E,3,FALSE),0)</f>
        <v>-47716237.479999997</v>
      </c>
      <c r="H117" s="83">
        <f>IFERROR(VLOOKUP($C117,'[7]05-06.2024'!$C:$E,2,FALSE),0)</f>
        <v>-47575497.130000003</v>
      </c>
      <c r="I117" s="83">
        <f>IFERROR(VLOOKUP($C117,'[7]05-06.2024'!$C:$E,3,FALSE),0)</f>
        <v>-46925047.299999997</v>
      </c>
      <c r="J117" s="83">
        <f>IFERROR(VLOOKUP($C117,'[7]07-08.2024'!$C:$E,2,FALSE),0)</f>
        <v>-46580240.740000002</v>
      </c>
      <c r="K117" s="83">
        <f>IFERROR(VLOOKUP($C117,'[7]07-08.2024'!$C:$E,3,FALSE),0)</f>
        <v>-46302974.219999999</v>
      </c>
      <c r="L117" s="83">
        <f>IFERROR(VLOOKUP($C117,'[7]09-10.2024'!$C:$E,2,FALSE),0)</f>
        <v>-46245218.109999999</v>
      </c>
      <c r="M117" s="83">
        <f>IFERROR(VLOOKUP($C117,'[7]09-10.2024'!$C:$E,3,FALSE),0)</f>
        <v>-46239809.649999999</v>
      </c>
      <c r="N117" s="83">
        <f>IFERROR(VLOOKUP($C117,'[7]11-12.2024'!$C:$E,2,FALSE),0)</f>
        <v>-46122487.25</v>
      </c>
      <c r="O117" s="83">
        <f>IFERROR(VLOOKUP($C117,'[7]11-12.2024'!$C:$E,3,FALSE),0)</f>
        <v>-45060000.979999997</v>
      </c>
      <c r="P117" s="83">
        <v>-45051847.060000002</v>
      </c>
      <c r="Q117" s="83">
        <v>-45023905.030000001</v>
      </c>
    </row>
    <row r="118" spans="1:17" x14ac:dyDescent="0.25">
      <c r="A118" s="81"/>
      <c r="B118" s="82"/>
      <c r="C118" s="78" t="s">
        <v>281</v>
      </c>
      <c r="D118" s="83">
        <f>IFERROR(VLOOKUP($C118,'[7]01-02.2024'!$C:$E,2,FALSE),0)</f>
        <v>-218622020.68000001</v>
      </c>
      <c r="E118" s="83">
        <f>IFERROR(VLOOKUP($C118,'[7]01-02.2024'!$C:$E,3,FALSE),0)</f>
        <v>-217231811.65000001</v>
      </c>
      <c r="F118" s="83">
        <f>IFERROR(VLOOKUP($C118,'[7]03-04.2024'!$C:$E,2,FALSE),0)</f>
        <v>-214997990.59999999</v>
      </c>
      <c r="G118" s="83">
        <f>IFERROR(VLOOKUP($C118,'[7]03-04.2024'!$C:$E,3,FALSE),0)</f>
        <v>-210478814.06999999</v>
      </c>
      <c r="H118" s="83">
        <f>IFERROR(VLOOKUP($C118,'[7]05-06.2024'!$C:$E,2,FALSE),0)</f>
        <v>-211382985.91</v>
      </c>
      <c r="I118" s="83">
        <f>IFERROR(VLOOKUP($C118,'[7]05-06.2024'!$C:$E,3,FALSE),0)</f>
        <v>-213260524.47</v>
      </c>
      <c r="J118" s="83">
        <f>IFERROR(VLOOKUP($C118,'[7]07-08.2024'!$C:$E,2,FALSE),0)</f>
        <v>-217151163.03</v>
      </c>
      <c r="K118" s="83">
        <f>IFERROR(VLOOKUP($C118,'[7]07-08.2024'!$C:$E,3,FALSE),0)</f>
        <v>-216799029.22999999</v>
      </c>
      <c r="L118" s="83">
        <f>IFERROR(VLOOKUP($C118,'[7]09-10.2024'!$C:$E,2,FALSE),0)</f>
        <v>-220246599.38999999</v>
      </c>
      <c r="M118" s="83">
        <f>IFERROR(VLOOKUP($C118,'[7]09-10.2024'!$C:$E,3,FALSE),0)</f>
        <v>-222346379.40000001</v>
      </c>
      <c r="N118" s="83">
        <f>IFERROR(VLOOKUP($C118,'[7]11-12.2024'!$C:$E,2,FALSE),0)</f>
        <v>-224850119.25999999</v>
      </c>
      <c r="O118" s="83">
        <f>IFERROR(VLOOKUP($C118,'[7]11-12.2024'!$C:$E,3,FALSE),0)</f>
        <v>-228985228.34999999</v>
      </c>
      <c r="P118" s="83">
        <v>-232577190.88999999</v>
      </c>
      <c r="Q118" s="83">
        <v>-232678156.59999999</v>
      </c>
    </row>
    <row r="119" spans="1:17" x14ac:dyDescent="0.25">
      <c r="A119" s="87"/>
      <c r="B119" s="88"/>
      <c r="C119" s="89"/>
      <c r="D119" s="90">
        <v>0</v>
      </c>
      <c r="E119" s="90">
        <v>0</v>
      </c>
      <c r="F119" s="90">
        <v>0</v>
      </c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</row>
    <row r="120" spans="1:17" x14ac:dyDescent="0.25">
      <c r="A120" s="91"/>
      <c r="B120" s="92"/>
      <c r="C120" s="92"/>
      <c r="D120" s="93">
        <v>682406582.45000005</v>
      </c>
      <c r="E120" s="93">
        <v>684196851.38999999</v>
      </c>
      <c r="F120" s="93">
        <v>683918125.78999996</v>
      </c>
      <c r="G120" s="93">
        <v>680926260.50999999</v>
      </c>
      <c r="H120" s="93">
        <v>686156598.67999995</v>
      </c>
      <c r="I120" s="93">
        <v>692183334.83000004</v>
      </c>
      <c r="J120" s="93">
        <v>704044864.09000003</v>
      </c>
      <c r="K120" s="93">
        <v>705847990.38999999</v>
      </c>
      <c r="L120" s="93">
        <v>714776590.75999999</v>
      </c>
      <c r="M120" s="93">
        <v>721539904.92999995</v>
      </c>
      <c r="N120" s="93">
        <v>726657279.5</v>
      </c>
      <c r="O120" s="93">
        <v>731629966.39999998</v>
      </c>
      <c r="P120" s="93">
        <v>728611607.62</v>
      </c>
      <c r="Q120" s="93">
        <v>732903024.04999995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2250-BD4F-48E7-9EC9-413E5B83080F}">
  <dimension ref="A1:O99"/>
  <sheetViews>
    <sheetView zoomScaleNormal="100" zoomScaleSheetLayoutView="90" workbookViewId="0">
      <pane xSplit="3" ySplit="8" topLeftCell="D65" activePane="bottomRight" state="frozen"/>
      <selection pane="topRight" activeCell="D1" sqref="D1"/>
      <selection pane="bottomLeft" activeCell="A5" sqref="A5"/>
      <selection pane="bottomRight" activeCell="C72" sqref="C72"/>
    </sheetView>
  </sheetViews>
  <sheetFormatPr defaultRowHeight="15" x14ac:dyDescent="0.25"/>
  <cols>
    <col min="1" max="1" width="8.140625" bestFit="1" customWidth="1"/>
    <col min="2" max="2" width="5.5703125" customWidth="1"/>
    <col min="3" max="3" width="47.140625" customWidth="1"/>
    <col min="4" max="4" width="13.140625" customWidth="1"/>
    <col min="5" max="5" width="11.85546875" customWidth="1"/>
    <col min="6" max="6" width="12.85546875" customWidth="1"/>
    <col min="7" max="8" width="13.140625" customWidth="1"/>
    <col min="9" max="9" width="12.140625" customWidth="1"/>
    <col min="10" max="10" width="13.5703125" customWidth="1"/>
    <col min="11" max="11" width="12.85546875" customWidth="1"/>
    <col min="12" max="12" width="12.140625" customWidth="1"/>
    <col min="13" max="14" width="13.140625" customWidth="1"/>
    <col min="17" max="17" width="28" bestFit="1" customWidth="1"/>
    <col min="18" max="21" width="14.140625" customWidth="1"/>
  </cols>
  <sheetData>
    <row r="1" spans="1:14" x14ac:dyDescent="0.25">
      <c r="C1" s="45" t="s">
        <v>0</v>
      </c>
      <c r="D1" s="45"/>
      <c r="E1" s="45"/>
      <c r="F1" s="45"/>
      <c r="G1" s="19"/>
      <c r="H1" s="8"/>
    </row>
    <row r="2" spans="1:14" x14ac:dyDescent="0.25">
      <c r="C2" s="45" t="s">
        <v>99</v>
      </c>
      <c r="D2" s="45"/>
      <c r="E2" s="45"/>
      <c r="F2" s="45"/>
      <c r="G2" s="46"/>
      <c r="H2" s="8"/>
    </row>
    <row r="3" spans="1:14" x14ac:dyDescent="0.25">
      <c r="C3" s="45" t="s">
        <v>1</v>
      </c>
      <c r="D3" s="45"/>
      <c r="E3" s="45"/>
      <c r="F3" s="45"/>
      <c r="G3" s="8"/>
      <c r="H3" s="8"/>
    </row>
    <row r="5" spans="1:14" x14ac:dyDescent="0.25">
      <c r="A5" t="s">
        <v>0</v>
      </c>
    </row>
    <row r="7" spans="1:14" x14ac:dyDescent="0.25">
      <c r="A7" t="s">
        <v>2</v>
      </c>
      <c r="B7" t="s">
        <v>3</v>
      </c>
    </row>
    <row r="8" spans="1:14" s="1" customFormat="1" x14ac:dyDescent="0.25">
      <c r="D8" s="1">
        <v>2023</v>
      </c>
      <c r="E8" s="1">
        <v>2022</v>
      </c>
      <c r="F8" s="1">
        <v>2021</v>
      </c>
      <c r="G8" s="1">
        <v>2020</v>
      </c>
      <c r="H8" s="1">
        <v>2019</v>
      </c>
      <c r="I8" s="1">
        <v>2018</v>
      </c>
      <c r="J8" s="1">
        <v>2017</v>
      </c>
      <c r="K8" s="1">
        <v>2016</v>
      </c>
      <c r="L8" s="1">
        <v>2015</v>
      </c>
      <c r="M8" s="1">
        <v>2014</v>
      </c>
      <c r="N8" s="1">
        <v>2013</v>
      </c>
    </row>
    <row r="9" spans="1:14" x14ac:dyDescent="0.25">
      <c r="A9" s="1">
        <v>1</v>
      </c>
      <c r="B9" s="27" t="s">
        <v>4</v>
      </c>
      <c r="J9" s="3"/>
    </row>
    <row r="10" spans="1:14" x14ac:dyDescent="0.25">
      <c r="A10" s="1">
        <v>2</v>
      </c>
      <c r="B10" t="s">
        <v>5</v>
      </c>
      <c r="J10" s="3"/>
    </row>
    <row r="11" spans="1:14" x14ac:dyDescent="0.25">
      <c r="A11" s="1">
        <v>3</v>
      </c>
      <c r="C11" t="s">
        <v>45</v>
      </c>
      <c r="D11" s="5">
        <v>171575</v>
      </c>
      <c r="E11" s="5">
        <v>164229</v>
      </c>
      <c r="F11" s="5">
        <v>149432</v>
      </c>
      <c r="G11" s="5">
        <f>Delta!G11+'Peoples KY'!D11</f>
        <v>146338</v>
      </c>
      <c r="H11" s="5">
        <f>Delta!H11+'Peoples KY'!E11</f>
        <v>141491</v>
      </c>
      <c r="I11" s="5">
        <f>Delta!I11+'Peoples KY'!F11</f>
        <v>132604</v>
      </c>
      <c r="J11" s="5">
        <f>Delta!J11+'Peoples KY'!G11</f>
        <v>128469</v>
      </c>
      <c r="K11" s="5">
        <f>Delta!K11+'Peoples KY'!H11</f>
        <v>125375</v>
      </c>
      <c r="L11" s="5">
        <f>Delta!L11+'Peoples KY'!I11</f>
        <v>121335</v>
      </c>
      <c r="M11" s="5">
        <f>Delta!M11+'Peoples KY'!J11</f>
        <v>118842</v>
      </c>
      <c r="N11" s="5">
        <f>Delta!N11+'Peoples KY'!K11</f>
        <v>114891</v>
      </c>
    </row>
    <row r="12" spans="1:14" x14ac:dyDescent="0.25">
      <c r="A12" s="1">
        <v>4</v>
      </c>
      <c r="C12" t="s">
        <v>46</v>
      </c>
      <c r="D12" s="7">
        <v>32553</v>
      </c>
      <c r="E12" s="7">
        <v>24563</v>
      </c>
      <c r="F12" s="7">
        <v>23489</v>
      </c>
      <c r="G12" s="7">
        <v>19759</v>
      </c>
      <c r="H12" s="8">
        <v>19996</v>
      </c>
      <c r="I12" s="8">
        <v>23181</v>
      </c>
      <c r="J12" s="8">
        <v>24267</v>
      </c>
      <c r="K12" s="8">
        <v>23888</v>
      </c>
      <c r="L12" s="8">
        <v>23644</v>
      </c>
      <c r="M12" s="8">
        <v>23033</v>
      </c>
      <c r="N12" s="8">
        <v>22782</v>
      </c>
    </row>
    <row r="13" spans="1:14" x14ac:dyDescent="0.25">
      <c r="A13" s="1">
        <v>5</v>
      </c>
      <c r="C13" t="s">
        <v>47</v>
      </c>
      <c r="D13" s="7">
        <v>7119</v>
      </c>
      <c r="E13" s="7">
        <v>5029</v>
      </c>
      <c r="F13" s="7">
        <v>5823</v>
      </c>
      <c r="G13" s="7">
        <v>4999</v>
      </c>
      <c r="H13" s="8">
        <v>4578</v>
      </c>
      <c r="I13" s="8">
        <v>53</v>
      </c>
      <c r="J13" s="8">
        <v>53</v>
      </c>
      <c r="K13" s="8">
        <v>53</v>
      </c>
      <c r="L13" s="8">
        <v>53</v>
      </c>
      <c r="M13" s="8">
        <v>53</v>
      </c>
      <c r="N13" s="8">
        <v>53</v>
      </c>
    </row>
    <row r="14" spans="1:14" x14ac:dyDescent="0.25">
      <c r="A14" s="1">
        <v>6</v>
      </c>
      <c r="C14" t="s">
        <v>48</v>
      </c>
      <c r="D14" s="7">
        <v>4031</v>
      </c>
      <c r="E14" s="7">
        <v>3736</v>
      </c>
      <c r="F14" s="7">
        <v>3667</v>
      </c>
      <c r="G14" s="7">
        <v>3664</v>
      </c>
      <c r="H14" s="8">
        <v>3562</v>
      </c>
      <c r="I14" s="8">
        <v>3130</v>
      </c>
      <c r="J14" s="8">
        <v>3347</v>
      </c>
      <c r="K14" s="8">
        <v>3212</v>
      </c>
      <c r="L14" s="8">
        <v>3104</v>
      </c>
      <c r="M14" s="8">
        <v>3051</v>
      </c>
      <c r="N14" s="8">
        <v>3051</v>
      </c>
    </row>
    <row r="15" spans="1:14" x14ac:dyDescent="0.25">
      <c r="A15" s="1">
        <v>7</v>
      </c>
      <c r="C15" t="s">
        <v>49</v>
      </c>
      <c r="D15" s="7">
        <v>31396</v>
      </c>
      <c r="E15" s="7">
        <v>31215</v>
      </c>
      <c r="F15" s="7">
        <v>30492</v>
      </c>
      <c r="G15" s="7">
        <v>30477</v>
      </c>
      <c r="H15" s="8">
        <v>30476</v>
      </c>
      <c r="I15" s="8">
        <v>30405</v>
      </c>
      <c r="J15" s="8">
        <v>30273</v>
      </c>
      <c r="K15" s="8">
        <v>25960</v>
      </c>
      <c r="L15" s="8">
        <v>25857</v>
      </c>
      <c r="M15" s="8">
        <v>25633</v>
      </c>
      <c r="N15" s="8">
        <v>22478</v>
      </c>
    </row>
    <row r="16" spans="1:14" x14ac:dyDescent="0.25">
      <c r="A16" s="1">
        <v>8</v>
      </c>
      <c r="C16" t="s">
        <v>50</v>
      </c>
      <c r="D16" s="7">
        <v>67776</v>
      </c>
      <c r="E16" s="7">
        <v>65463</v>
      </c>
      <c r="F16" s="7">
        <v>63013</v>
      </c>
      <c r="G16" s="7">
        <v>62658</v>
      </c>
      <c r="H16" s="8">
        <v>61594</v>
      </c>
      <c r="I16" s="8">
        <v>60800</v>
      </c>
      <c r="J16" s="8">
        <v>60481</v>
      </c>
      <c r="K16" s="8">
        <v>60585</v>
      </c>
      <c r="L16" s="8">
        <v>60176</v>
      </c>
      <c r="M16" s="8">
        <v>58627</v>
      </c>
      <c r="N16" s="8">
        <v>57528</v>
      </c>
    </row>
    <row r="17" spans="1:15" x14ac:dyDescent="0.25">
      <c r="A17" s="1">
        <v>9</v>
      </c>
      <c r="C17" t="s">
        <v>51</v>
      </c>
      <c r="D17" s="7">
        <v>314450</v>
      </c>
      <c r="E17" s="7">
        <v>294239</v>
      </c>
      <c r="F17" s="7">
        <v>275915</v>
      </c>
      <c r="G17" s="7">
        <v>265024</v>
      </c>
      <c r="H17" s="7">
        <v>259190</v>
      </c>
      <c r="I17" s="7">
        <v>247752</v>
      </c>
      <c r="J17" s="7">
        <v>244639</v>
      </c>
      <c r="K17" s="7">
        <v>237047</v>
      </c>
      <c r="L17" s="7">
        <v>232371</v>
      </c>
      <c r="M17" s="7">
        <v>227623</v>
      </c>
      <c r="N17" s="7">
        <v>219428</v>
      </c>
    </row>
    <row r="18" spans="1:15" x14ac:dyDescent="0.25">
      <c r="A18" s="1">
        <v>10</v>
      </c>
      <c r="C18" t="s">
        <v>6</v>
      </c>
      <c r="D18" s="38">
        <v>140422</v>
      </c>
      <c r="E18" s="38">
        <v>131390</v>
      </c>
      <c r="F18" s="38">
        <v>123652</v>
      </c>
      <c r="G18" s="7">
        <f>Delta!G18+'Peoples KY'!D13</f>
        <v>117578</v>
      </c>
      <c r="H18" s="7">
        <f>Delta!H18+'Peoples KY'!E13</f>
        <v>114963</v>
      </c>
      <c r="I18" s="7">
        <f>Delta!I18+'Peoples KY'!F13</f>
        <v>111914</v>
      </c>
      <c r="J18" s="7">
        <f>Delta!J18+'Peoples KY'!G13</f>
        <v>108051</v>
      </c>
      <c r="K18" s="7">
        <f>Delta!K18+'Peoples KY'!H13</f>
        <v>103567</v>
      </c>
      <c r="L18" s="7">
        <f>Delta!L18+'Peoples KY'!I13</f>
        <v>98495</v>
      </c>
      <c r="M18" s="7">
        <f>Delta!M18+'Peoples KY'!J13</f>
        <v>92864</v>
      </c>
      <c r="N18" s="7">
        <f>Delta!N18+'Peoples KY'!K13</f>
        <v>88100</v>
      </c>
    </row>
    <row r="19" spans="1:15" x14ac:dyDescent="0.25">
      <c r="A19" s="1">
        <v>11</v>
      </c>
      <c r="C19" t="s">
        <v>7</v>
      </c>
      <c r="D19" s="43">
        <v>183319</v>
      </c>
      <c r="E19" s="5">
        <v>178609</v>
      </c>
      <c r="F19" s="43">
        <v>168871</v>
      </c>
      <c r="G19" s="22">
        <f>Delta!G19+'Peoples KY'!D14</f>
        <v>150318</v>
      </c>
      <c r="H19" s="22">
        <f>Delta!H19+'Peoples KY'!E14</f>
        <v>146735</v>
      </c>
      <c r="I19" s="22">
        <f>Delta!I19+'Peoples KY'!F14</f>
        <v>138259</v>
      </c>
      <c r="J19" s="22">
        <f>Delta!J19+'Peoples KY'!G14</f>
        <v>138839</v>
      </c>
      <c r="K19" s="22">
        <f>Delta!K19+'Peoples KY'!H14</f>
        <v>135506</v>
      </c>
      <c r="L19" s="22">
        <f>Delta!L19+'Peoples KY'!I14</f>
        <v>135674</v>
      </c>
      <c r="M19" s="22">
        <f>Delta!M19+'Peoples KY'!J14</f>
        <v>136376</v>
      </c>
      <c r="N19" s="22">
        <f>Delta!N19+'Peoples KY'!K14</f>
        <v>132683</v>
      </c>
      <c r="O19" s="24"/>
    </row>
    <row r="20" spans="1:15" x14ac:dyDescent="0.25">
      <c r="A20" s="1"/>
      <c r="G20" s="9"/>
      <c r="H20" s="10"/>
      <c r="I20" s="10"/>
      <c r="J20" s="10"/>
      <c r="K20" s="10"/>
      <c r="L20" s="10"/>
      <c r="M20" s="10"/>
      <c r="N20" s="10"/>
    </row>
    <row r="21" spans="1:15" x14ac:dyDescent="0.25">
      <c r="A21" s="1">
        <v>11</v>
      </c>
      <c r="B21" s="25" t="s">
        <v>52</v>
      </c>
      <c r="C21" s="25"/>
      <c r="D21" s="43">
        <v>9872</v>
      </c>
      <c r="E21" s="43">
        <v>16340</v>
      </c>
      <c r="F21" s="43">
        <v>17189</v>
      </c>
      <c r="G21" s="9">
        <f>Delta!G21+'Peoples KY'!D16</f>
        <v>4586</v>
      </c>
      <c r="H21" s="9">
        <f>Delta!H21+'Peoples KY'!E16</f>
        <v>2669</v>
      </c>
      <c r="I21" s="9">
        <f>Delta!I21+'Peoples KY'!F16</f>
        <v>1364</v>
      </c>
      <c r="J21" s="9">
        <f>Delta!J21+'Peoples KY'!G16</f>
        <v>583</v>
      </c>
      <c r="K21" s="9">
        <f>Delta!K21+'Peoples KY'!H16</f>
        <v>1952</v>
      </c>
      <c r="L21" s="9">
        <f>Delta!L21+'Peoples KY'!I16</f>
        <v>1103</v>
      </c>
      <c r="M21" s="9">
        <f>Delta!M21+'Peoples KY'!J16</f>
        <v>-349</v>
      </c>
      <c r="N21" s="9">
        <f>Delta!N21+'Peoples KY'!K16</f>
        <v>1297</v>
      </c>
    </row>
    <row r="22" spans="1:15" x14ac:dyDescent="0.25">
      <c r="A22" s="1"/>
      <c r="B22" s="25"/>
      <c r="C22" s="25"/>
      <c r="D22" s="41"/>
      <c r="E22" s="41"/>
      <c r="F22" s="41"/>
      <c r="H22" s="3"/>
      <c r="J22" s="3"/>
    </row>
    <row r="23" spans="1:15" ht="15.75" thickBot="1" x14ac:dyDescent="0.3">
      <c r="A23" s="1">
        <v>12</v>
      </c>
      <c r="B23" s="25" t="s">
        <v>53</v>
      </c>
      <c r="C23" s="25"/>
      <c r="D23" s="11">
        <v>183319</v>
      </c>
      <c r="E23" s="11">
        <v>178609</v>
      </c>
      <c r="F23" s="11">
        <v>168871</v>
      </c>
      <c r="G23" s="11">
        <f>Delta!G23+'Peoples KY'!D18</f>
        <v>154904</v>
      </c>
      <c r="H23" s="11">
        <f>Delta!H23+'Peoples KY'!E18</f>
        <v>149404</v>
      </c>
      <c r="I23" s="11">
        <f>Delta!I23+'Peoples KY'!F18</f>
        <v>139623</v>
      </c>
      <c r="J23" s="11">
        <f>Delta!J23+'Peoples KY'!G18</f>
        <v>139422</v>
      </c>
      <c r="K23" s="11">
        <f>Delta!K23+'Peoples KY'!H18</f>
        <v>137458</v>
      </c>
      <c r="L23" s="11">
        <f>Delta!L23+'Peoples KY'!I18</f>
        <v>136777</v>
      </c>
      <c r="M23" s="11">
        <f>Delta!M23+'Peoples KY'!J18</f>
        <v>136026</v>
      </c>
      <c r="N23" s="11">
        <f>Delta!N23+'Peoples KY'!K18</f>
        <v>133980</v>
      </c>
    </row>
    <row r="24" spans="1:15" ht="15.75" thickTop="1" x14ac:dyDescent="0.25">
      <c r="A24" s="1"/>
      <c r="G24" s="4"/>
      <c r="H24" s="3"/>
      <c r="I24" s="3"/>
      <c r="J24" s="3"/>
      <c r="K24" s="3"/>
      <c r="L24" s="3"/>
      <c r="M24" s="3"/>
      <c r="N24" s="3"/>
    </row>
    <row r="25" spans="1:15" x14ac:dyDescent="0.25">
      <c r="A25" s="1">
        <v>13</v>
      </c>
      <c r="B25" s="27" t="s">
        <v>8</v>
      </c>
      <c r="G25" s="1"/>
      <c r="H25" s="1"/>
      <c r="I25" s="1"/>
      <c r="J25" s="1"/>
      <c r="K25" s="1"/>
    </row>
    <row r="26" spans="1:15" x14ac:dyDescent="0.25">
      <c r="A26" s="1">
        <v>14</v>
      </c>
      <c r="B26" t="s">
        <v>5</v>
      </c>
      <c r="J26" s="3"/>
    </row>
    <row r="27" spans="1:15" x14ac:dyDescent="0.25">
      <c r="A27" s="1">
        <v>15</v>
      </c>
      <c r="B27" t="s">
        <v>9</v>
      </c>
      <c r="D27" s="6">
        <v>7263</v>
      </c>
      <c r="E27" s="6">
        <v>15357</v>
      </c>
      <c r="F27" s="6">
        <v>12051</v>
      </c>
      <c r="G27" s="6">
        <f>Delta!G27+'Peoples KY'!D22</f>
        <v>16541</v>
      </c>
      <c r="H27" s="6">
        <f>Delta!H27+'Peoples KY'!E22</f>
        <v>9523</v>
      </c>
      <c r="I27" s="6">
        <f>Delta!I27+'Peoples KY'!F22</f>
        <v>7728</v>
      </c>
      <c r="J27" s="6">
        <f>Delta!J27+'Peoples KY'!G22</f>
        <v>3185</v>
      </c>
      <c r="K27" s="6">
        <f>Delta!K27+'Peoples KY'!H22</f>
        <v>2046</v>
      </c>
      <c r="L27" s="6">
        <f>Delta!L27+'Peoples KY'!I22</f>
        <v>1173</v>
      </c>
      <c r="M27" s="6">
        <f>Delta!M27+'Peoples KY'!J22</f>
        <v>542</v>
      </c>
      <c r="N27" s="6">
        <f>Delta!N27+'Peoples KY'!K22</f>
        <v>0</v>
      </c>
    </row>
    <row r="28" spans="1:15" x14ac:dyDescent="0.25">
      <c r="A28" s="1">
        <v>16</v>
      </c>
      <c r="B28" t="s">
        <v>10</v>
      </c>
      <c r="D28" s="8">
        <v>53638</v>
      </c>
      <c r="E28" s="8">
        <v>55138</v>
      </c>
      <c r="F28" s="8">
        <v>56819</v>
      </c>
      <c r="G28" s="8">
        <f>Delta!G28+'Peoples KY'!D23</f>
        <v>43319</v>
      </c>
      <c r="H28" s="8">
        <f>Delta!H28+'Peoples KY'!E23</f>
        <v>44819</v>
      </c>
      <c r="I28" s="8">
        <f>Delta!I28+'Peoples KY'!F23</f>
        <v>47819</v>
      </c>
      <c r="J28" s="8">
        <f>Delta!J28+'Peoples KY'!G23</f>
        <v>49319</v>
      </c>
      <c r="K28" s="8">
        <f>Delta!K28+'Peoples KY'!H23</f>
        <v>50819</v>
      </c>
      <c r="L28" s="8">
        <f>Delta!L28+'Peoples KY'!I23</f>
        <v>52500</v>
      </c>
      <c r="M28" s="8">
        <f>Delta!M28+'Peoples KY'!J23</f>
        <v>54000</v>
      </c>
      <c r="N28" s="8">
        <f>Delta!N28+'Peoples KY'!K23</f>
        <v>54000</v>
      </c>
    </row>
    <row r="29" spans="1:15" x14ac:dyDescent="0.25">
      <c r="A29" s="1">
        <v>17</v>
      </c>
      <c r="B29" t="s">
        <v>11</v>
      </c>
      <c r="D29" s="38">
        <f>84217932/1000</f>
        <v>84217.932000000001</v>
      </c>
      <c r="E29" s="38">
        <f>77766124/1000</f>
        <v>77766.123999999996</v>
      </c>
      <c r="F29" s="38">
        <f>68017545/1000</f>
        <v>68017.544999999998</v>
      </c>
      <c r="G29" s="8">
        <f>Delta!G29+'Peoples KY'!D24</f>
        <v>57987</v>
      </c>
      <c r="H29" s="8">
        <f>Delta!H29+'Peoples KY'!E24</f>
        <v>63466</v>
      </c>
      <c r="I29" s="8">
        <f>Delta!I29+'Peoples KY'!F24</f>
        <v>62126</v>
      </c>
      <c r="J29" s="8">
        <f>Delta!J29+'Peoples KY'!G24</f>
        <v>67661</v>
      </c>
      <c r="K29" s="8">
        <f>Delta!K29+'Peoples KY'!H24</f>
        <v>75750</v>
      </c>
      <c r="L29" s="8">
        <f>Delta!L29+'Peoples KY'!I24</f>
        <v>75304</v>
      </c>
      <c r="M29" s="8">
        <f>Delta!M29+'Peoples KY'!J24</f>
        <v>75012</v>
      </c>
      <c r="N29" s="8">
        <f>Delta!N29+'Peoples KY'!K24</f>
        <v>71663</v>
      </c>
    </row>
    <row r="30" spans="1:15" ht="15.75" thickBot="1" x14ac:dyDescent="0.3">
      <c r="A30" s="1">
        <v>18</v>
      </c>
      <c r="B30" t="s">
        <v>12</v>
      </c>
      <c r="D30" s="53">
        <f>SUM(D27:D29)</f>
        <v>145118.932</v>
      </c>
      <c r="E30" s="53">
        <f>SUM(E27:E29)</f>
        <v>148261.12400000001</v>
      </c>
      <c r="F30" s="53">
        <f>SUM(F27:F29)</f>
        <v>136887.54499999998</v>
      </c>
      <c r="G30" s="11">
        <f>SUM(G27:G29)</f>
        <v>117847</v>
      </c>
      <c r="H30" s="11">
        <f t="shared" ref="H30:N30" si="0">SUM(H27:H29)</f>
        <v>117808</v>
      </c>
      <c r="I30" s="11">
        <f t="shared" si="0"/>
        <v>117673</v>
      </c>
      <c r="J30" s="11">
        <f t="shared" si="0"/>
        <v>120165</v>
      </c>
      <c r="K30" s="11">
        <f t="shared" si="0"/>
        <v>128615</v>
      </c>
      <c r="L30" s="11">
        <f t="shared" si="0"/>
        <v>128977</v>
      </c>
      <c r="M30" s="11">
        <f t="shared" si="0"/>
        <v>129554</v>
      </c>
      <c r="N30" s="11">
        <f t="shared" si="0"/>
        <v>125663</v>
      </c>
    </row>
    <row r="31" spans="1:15" ht="15.75" thickTop="1" x14ac:dyDescent="0.25">
      <c r="A31" s="1"/>
      <c r="J31" s="3"/>
    </row>
    <row r="32" spans="1:15" x14ac:dyDescent="0.25">
      <c r="A32" s="1">
        <v>19</v>
      </c>
      <c r="B32" s="27" t="s">
        <v>13</v>
      </c>
      <c r="J32" s="3"/>
    </row>
    <row r="33" spans="1:14" x14ac:dyDescent="0.25">
      <c r="A33" s="1">
        <v>20</v>
      </c>
      <c r="B33" t="s">
        <v>14</v>
      </c>
      <c r="D33" s="6">
        <v>59670</v>
      </c>
      <c r="E33" s="6">
        <v>65184</v>
      </c>
      <c r="F33" s="6">
        <v>50027</v>
      </c>
      <c r="G33" s="6">
        <f>Delta!G33+'Peoples KY'!D28</f>
        <v>45193</v>
      </c>
      <c r="H33" s="6">
        <f>Delta!H33+'Peoples KY'!E28</f>
        <v>49415</v>
      </c>
      <c r="I33" s="6">
        <f>Delta!I33+'Peoples KY'!F28</f>
        <v>51301</v>
      </c>
      <c r="J33" s="6">
        <f>Delta!J33+'Peoples KY'!G28</f>
        <v>50003</v>
      </c>
      <c r="K33" s="6">
        <f>Delta!K33+'Peoples KY'!H28</f>
        <v>47893</v>
      </c>
      <c r="L33" s="6">
        <f>Delta!L33+'Peoples KY'!I28</f>
        <v>52975</v>
      </c>
      <c r="M33" s="6">
        <f>Delta!M33+'Peoples KY'!J28</f>
        <v>63591</v>
      </c>
      <c r="N33" s="6">
        <f>Delta!N33+'Peoples KY'!K28</f>
        <v>54569</v>
      </c>
    </row>
    <row r="34" spans="1:14" x14ac:dyDescent="0.25">
      <c r="A34" s="1">
        <v>21</v>
      </c>
      <c r="B34" t="s">
        <v>15</v>
      </c>
      <c r="D34" s="8">
        <v>51064</v>
      </c>
      <c r="E34" s="8">
        <v>52744</v>
      </c>
      <c r="F34" s="8">
        <v>42490</v>
      </c>
      <c r="G34" s="8">
        <f>Delta!G34+'Peoples KY'!D29</f>
        <v>34677</v>
      </c>
      <c r="H34" s="8">
        <f>Delta!H34+'Peoples KY'!E29</f>
        <v>36752</v>
      </c>
      <c r="I34" s="8">
        <f>Delta!I34+'Peoples KY'!F29</f>
        <v>39388</v>
      </c>
      <c r="J34" s="8">
        <f>Delta!J34+'Peoples KY'!G29</f>
        <v>36510</v>
      </c>
      <c r="K34" s="8">
        <f>Delta!K34+'Peoples KY'!H29</f>
        <v>34676</v>
      </c>
      <c r="L34" s="8">
        <f>Delta!L34+'Peoples KY'!I29</f>
        <v>40062</v>
      </c>
      <c r="M34" s="8">
        <f>Delta!M34+'Peoples KY'!J29</f>
        <v>48524</v>
      </c>
      <c r="N34" s="8">
        <f>Delta!N34+'Peoples KY'!K29</f>
        <v>39818</v>
      </c>
    </row>
    <row r="35" spans="1:14" x14ac:dyDescent="0.25">
      <c r="A35" s="1">
        <v>22</v>
      </c>
      <c r="B35" t="s">
        <v>16</v>
      </c>
      <c r="C35" s="3"/>
      <c r="D35" s="8">
        <f>(1921957+409923)/1000</f>
        <v>2331.88</v>
      </c>
      <c r="E35" s="8">
        <f>1520194/1000</f>
        <v>1520.194</v>
      </c>
      <c r="F35" s="8">
        <f>(343844+246410)/1000</f>
        <v>590.25400000000002</v>
      </c>
      <c r="G35" s="8">
        <f>Delta!G35+'Peoples KY'!D30</f>
        <v>640</v>
      </c>
      <c r="H35" s="8">
        <f>Delta!H35+'Peoples KY'!E30</f>
        <v>1034</v>
      </c>
      <c r="I35" s="8">
        <f>Delta!I35+'Peoples KY'!F30</f>
        <v>1891</v>
      </c>
      <c r="J35" s="8">
        <f>Delta!J35+'Peoples KY'!G30</f>
        <v>3259</v>
      </c>
      <c r="K35" s="8">
        <f>Delta!K35+'Peoples KY'!H30</f>
        <v>1518</v>
      </c>
      <c r="L35" s="8">
        <f>Delta!L35+'Peoples KY'!I30</f>
        <v>2443</v>
      </c>
      <c r="M35" s="8">
        <f>Delta!M35+'Peoples KY'!J30</f>
        <v>3454</v>
      </c>
      <c r="N35" s="8">
        <f>Delta!N35+'Peoples KY'!K30</f>
        <v>2430</v>
      </c>
    </row>
    <row r="36" spans="1:14" x14ac:dyDescent="0.25">
      <c r="A36" s="1">
        <v>23</v>
      </c>
      <c r="B36" t="s">
        <v>54</v>
      </c>
      <c r="D36" s="8">
        <v>-1145</v>
      </c>
      <c r="E36" s="8">
        <v>730</v>
      </c>
      <c r="F36" s="8">
        <v>118</v>
      </c>
      <c r="G36" s="8">
        <f>Delta!G36+'Peoples KY'!D31</f>
        <v>-412</v>
      </c>
      <c r="H36" s="8">
        <f>Delta!H36+'Peoples KY'!E31</f>
        <v>-414</v>
      </c>
      <c r="I36" s="8">
        <f>Delta!I36+'Peoples KY'!F31</f>
        <v>1217</v>
      </c>
      <c r="J36" s="8">
        <f>Delta!J36+'Peoples KY'!G31</f>
        <v>-19</v>
      </c>
      <c r="K36" s="8">
        <f>Delta!K36+'Peoples KY'!H31</f>
        <v>1298</v>
      </c>
      <c r="L36" s="8">
        <f>Delta!L36+'Peoples KY'!I31</f>
        <v>199</v>
      </c>
      <c r="M36" s="8">
        <f>Delta!M36+'Peoples KY'!J31</f>
        <v>-13</v>
      </c>
      <c r="N36" s="8">
        <f>Delta!N36+'Peoples KY'!K31</f>
        <v>1059</v>
      </c>
    </row>
    <row r="37" spans="1:14" x14ac:dyDescent="0.25">
      <c r="A37" s="1">
        <v>24</v>
      </c>
      <c r="B37" t="s">
        <v>17</v>
      </c>
      <c r="D37" s="8">
        <v>3313</v>
      </c>
      <c r="E37" s="8">
        <v>3572</v>
      </c>
      <c r="F37" s="8">
        <v>3434</v>
      </c>
      <c r="G37" s="8">
        <f>Delta!G37+'Peoples KY'!D32</f>
        <v>3674</v>
      </c>
      <c r="H37" s="8">
        <f>Delta!H37+'Peoples KY'!E32</f>
        <v>3399</v>
      </c>
      <c r="I37" s="8">
        <f>Delta!I37+'Peoples KY'!F32</f>
        <v>3310</v>
      </c>
      <c r="J37" s="8">
        <f>Delta!J37+'Peoples KY'!G32</f>
        <v>3249</v>
      </c>
      <c r="K37" s="8">
        <f>Delta!K37+'Peoples KY'!H32</f>
        <v>2824</v>
      </c>
      <c r="L37" s="8">
        <f>Delta!L37+'Peoples KY'!I32</f>
        <v>2928</v>
      </c>
      <c r="M37" s="8">
        <f>Delta!M37+'Peoples KY'!J32</f>
        <v>2614</v>
      </c>
      <c r="N37" s="8">
        <f>Delta!N37+'Peoples KY'!K32</f>
        <v>2263</v>
      </c>
    </row>
    <row r="38" spans="1:14" x14ac:dyDescent="0.25">
      <c r="A38" s="1">
        <v>25</v>
      </c>
      <c r="B38" t="s">
        <v>55</v>
      </c>
      <c r="D38" s="8">
        <f>Delta!D38</f>
        <v>0</v>
      </c>
      <c r="E38" s="8">
        <f>Delta!E38</f>
        <v>0</v>
      </c>
      <c r="F38" s="8">
        <f>Delta!F38</f>
        <v>0</v>
      </c>
      <c r="G38" s="8">
        <f>Delta!G38</f>
        <v>0</v>
      </c>
      <c r="H38" s="8">
        <f>Delta!H38</f>
        <v>0</v>
      </c>
      <c r="I38" s="8">
        <f>Delta!I38</f>
        <v>0</v>
      </c>
      <c r="J38" s="8">
        <f>Delta!J38</f>
        <v>0</v>
      </c>
      <c r="K38" s="8">
        <f>Delta!K38</f>
        <v>-5</v>
      </c>
      <c r="L38" s="8">
        <f>Delta!L38</f>
        <v>-12</v>
      </c>
      <c r="M38" s="8">
        <f>Delta!M38</f>
        <v>-15</v>
      </c>
      <c r="N38" s="8">
        <f>Delta!N38</f>
        <v>-19</v>
      </c>
    </row>
    <row r="39" spans="1:14" x14ac:dyDescent="0.25">
      <c r="A39" s="1">
        <v>26</v>
      </c>
      <c r="B39" t="s">
        <v>18</v>
      </c>
      <c r="D39" s="14">
        <v>8606</v>
      </c>
      <c r="E39" s="14">
        <v>12440</v>
      </c>
      <c r="F39" s="14">
        <v>7537</v>
      </c>
      <c r="G39" s="14">
        <f>Delta!G39+'Peoples KY'!D33</f>
        <v>6614</v>
      </c>
      <c r="H39" s="14">
        <f>Delta!H39+'Peoples KY'!E33</f>
        <v>8644</v>
      </c>
      <c r="I39" s="14">
        <f>Delta!I39+'Peoples KY'!F33</f>
        <v>5495</v>
      </c>
      <c r="J39" s="14">
        <f>Delta!J39+'Peoples KY'!G33</f>
        <v>7004</v>
      </c>
      <c r="K39" s="14">
        <f>Delta!K39+'Peoples KY'!H33</f>
        <v>7582</v>
      </c>
      <c r="L39" s="14">
        <f>Delta!L39+'Peoples KY'!I33</f>
        <v>7355</v>
      </c>
      <c r="M39" s="14">
        <f>Delta!M39+'Peoples KY'!J33</f>
        <v>9027</v>
      </c>
      <c r="N39" s="14">
        <f>Delta!N39+'Peoples KY'!K33</f>
        <v>9018</v>
      </c>
    </row>
    <row r="40" spans="1:14" x14ac:dyDescent="0.25">
      <c r="A40" s="1"/>
      <c r="G40" s="8"/>
      <c r="H40" s="8"/>
      <c r="I40" s="8"/>
      <c r="J40" s="8"/>
      <c r="K40" s="8"/>
      <c r="L40" s="8"/>
      <c r="M40" s="8"/>
      <c r="N40" s="8"/>
    </row>
    <row r="41" spans="1:14" x14ac:dyDescent="0.25">
      <c r="A41" s="1">
        <v>27</v>
      </c>
      <c r="B41" t="s">
        <v>19</v>
      </c>
      <c r="D41" s="43">
        <v>64</v>
      </c>
      <c r="E41" s="43">
        <v>160</v>
      </c>
      <c r="F41" s="50">
        <f>3554/1000</f>
        <v>3.5539999999999998</v>
      </c>
      <c r="G41" s="8">
        <f>Delta!G41+'Peoples KY'!D35</f>
        <v>83</v>
      </c>
      <c r="H41" s="8">
        <f>Delta!H41+'Peoples KY'!E35</f>
        <v>49</v>
      </c>
      <c r="I41" s="8">
        <f>Delta!I41+'Peoples KY'!F35</f>
        <v>-1628</v>
      </c>
      <c r="J41" s="8">
        <f>Delta!J41+'Peoples KY'!G35</f>
        <v>-2257</v>
      </c>
      <c r="K41" s="8">
        <f>Delta!K41+'Peoples KY'!H35</f>
        <v>538</v>
      </c>
      <c r="L41" s="8">
        <f>Delta!L41+'Peoples KY'!I35</f>
        <v>155</v>
      </c>
      <c r="M41" s="8">
        <f>Delta!M41+'Peoples KY'!J35</f>
        <v>713</v>
      </c>
      <c r="N41" s="8">
        <f>Delta!N41+'Peoples KY'!K35</f>
        <v>916</v>
      </c>
    </row>
    <row r="42" spans="1:14" x14ac:dyDescent="0.25">
      <c r="A42" s="1">
        <v>29</v>
      </c>
      <c r="B42" t="s">
        <v>20</v>
      </c>
      <c r="D42" s="8">
        <v>2117</v>
      </c>
      <c r="E42" s="8">
        <v>2553</v>
      </c>
      <c r="F42" s="8">
        <v>2289</v>
      </c>
      <c r="G42" s="8">
        <f>Delta!G42+'Peoples KY'!D36</f>
        <v>2258</v>
      </c>
      <c r="H42" s="8">
        <f>Delta!H42+'Peoples KY'!E36</f>
        <v>2357</v>
      </c>
      <c r="I42" s="8">
        <f>Delta!I42+'Peoples KY'!F36</f>
        <v>2382</v>
      </c>
      <c r="J42" s="8">
        <f>Delta!J42+'Peoples KY'!G36</f>
        <v>2451</v>
      </c>
      <c r="K42" s="8">
        <f>Delta!K42+'Peoples KY'!H36</f>
        <v>2499</v>
      </c>
      <c r="L42" s="8">
        <f>Delta!L42+'Peoples KY'!I36</f>
        <v>2549</v>
      </c>
      <c r="M42" s="8">
        <f>Delta!M42+'Peoples KY'!J36</f>
        <v>2630</v>
      </c>
      <c r="N42" s="8">
        <f>Delta!N42+'Peoples KY'!K36</f>
        <v>2643</v>
      </c>
    </row>
    <row r="43" spans="1:14" x14ac:dyDescent="0.25">
      <c r="A43" s="1"/>
      <c r="D43" s="41"/>
      <c r="E43" s="41"/>
      <c r="F43" s="41"/>
      <c r="G43" s="3"/>
      <c r="H43" s="3"/>
      <c r="J43" s="3"/>
    </row>
    <row r="44" spans="1:14" ht="15.75" thickBot="1" x14ac:dyDescent="0.3">
      <c r="A44" s="1">
        <v>30</v>
      </c>
      <c r="B44" t="s">
        <v>21</v>
      </c>
      <c r="D44" s="11">
        <v>6452</v>
      </c>
      <c r="E44" s="11">
        <v>9749</v>
      </c>
      <c r="F44" s="11">
        <v>5320</v>
      </c>
      <c r="G44" s="11">
        <f>Delta!G44+'Peoples KY'!D38</f>
        <v>4423</v>
      </c>
      <c r="H44" s="11">
        <f>Delta!H44+'Peoples KY'!E38</f>
        <v>6332</v>
      </c>
      <c r="I44" s="11">
        <f>Delta!I44+'Peoples KY'!F38</f>
        <v>1479</v>
      </c>
      <c r="J44" s="11">
        <f>Delta!J44+'Peoples KY'!G38</f>
        <v>2292</v>
      </c>
      <c r="K44" s="11">
        <f>Delta!K44+'Peoples KY'!H38</f>
        <v>5621</v>
      </c>
      <c r="L44" s="11">
        <f>Delta!L44+'Peoples KY'!I38</f>
        <v>4961</v>
      </c>
      <c r="M44" s="11">
        <f>Delta!M44+'Peoples KY'!J38</f>
        <v>7110</v>
      </c>
      <c r="N44" s="11">
        <f>Delta!N44+'Peoples KY'!K38</f>
        <v>7291</v>
      </c>
    </row>
    <row r="45" spans="1:14" ht="15.75" thickTop="1" x14ac:dyDescent="0.25">
      <c r="A45" s="1"/>
      <c r="G45" s="3"/>
      <c r="H45" s="3"/>
      <c r="J45" s="3"/>
    </row>
    <row r="46" spans="1:14" x14ac:dyDescent="0.25">
      <c r="A46" s="1"/>
      <c r="B46" s="25"/>
      <c r="J46" s="3"/>
    </row>
    <row r="47" spans="1:14" x14ac:dyDescent="0.25">
      <c r="A47" s="40">
        <v>31</v>
      </c>
      <c r="B47" s="26" t="s">
        <v>22</v>
      </c>
      <c r="J47" s="3"/>
    </row>
    <row r="48" spans="1:14" x14ac:dyDescent="0.25">
      <c r="A48" s="40">
        <v>32</v>
      </c>
      <c r="B48" s="25" t="s">
        <v>23</v>
      </c>
      <c r="D48" s="35">
        <f t="shared" ref="D48:F48" si="1">D42/(D27+D28)</f>
        <v>3.4761333968243546E-2</v>
      </c>
      <c r="E48" s="35">
        <f t="shared" si="1"/>
        <v>3.6215334420880915E-2</v>
      </c>
      <c r="F48" s="35">
        <f t="shared" si="1"/>
        <v>3.3236532597647743E-2</v>
      </c>
      <c r="G48" s="35">
        <f t="shared" ref="G48:N48" si="2">G42/(G27+G28)</f>
        <v>3.7721349816237891E-2</v>
      </c>
      <c r="H48" s="35">
        <f t="shared" si="2"/>
        <v>4.3373449633800742E-2</v>
      </c>
      <c r="I48" s="35">
        <f t="shared" si="2"/>
        <v>4.2882603921003834E-2</v>
      </c>
      <c r="J48" s="35">
        <f t="shared" si="2"/>
        <v>4.668215754990096E-2</v>
      </c>
      <c r="K48" s="35">
        <f t="shared" si="2"/>
        <v>4.7271351555849807E-2</v>
      </c>
      <c r="L48" s="35">
        <f t="shared" si="2"/>
        <v>4.7491289847781941E-2</v>
      </c>
      <c r="M48" s="35">
        <f t="shared" si="2"/>
        <v>4.8219720582303546E-2</v>
      </c>
      <c r="N48" s="35">
        <f t="shared" si="2"/>
        <v>4.8944444444444443E-2</v>
      </c>
    </row>
    <row r="49" spans="1:14" x14ac:dyDescent="0.25">
      <c r="A49" s="40"/>
      <c r="G49" s="1"/>
      <c r="H49" s="1"/>
      <c r="I49" s="1"/>
      <c r="J49" s="34"/>
      <c r="K49" s="1"/>
      <c r="L49" s="1"/>
      <c r="M49" s="1"/>
      <c r="N49" s="1"/>
    </row>
    <row r="50" spans="1:14" x14ac:dyDescent="0.25">
      <c r="A50" s="40">
        <v>33</v>
      </c>
      <c r="B50" s="27" t="s">
        <v>24</v>
      </c>
      <c r="G50" s="1"/>
      <c r="H50" s="1"/>
      <c r="I50" s="1"/>
      <c r="J50" s="34"/>
      <c r="K50" s="1"/>
      <c r="L50" s="1"/>
      <c r="M50" s="1"/>
      <c r="N50" s="1"/>
    </row>
    <row r="51" spans="1:14" x14ac:dyDescent="0.25">
      <c r="A51" s="40">
        <v>34</v>
      </c>
      <c r="B51" t="s">
        <v>25</v>
      </c>
      <c r="D51" s="66">
        <f>D39/D42</f>
        <v>4.0651865847897968</v>
      </c>
      <c r="E51" s="66">
        <f t="shared" ref="E51:N51" si="3">E39/E42</f>
        <v>4.8726987857422639</v>
      </c>
      <c r="F51" s="66">
        <f t="shared" si="3"/>
        <v>3.292704237658366</v>
      </c>
      <c r="G51" s="66">
        <f t="shared" si="3"/>
        <v>2.9291408325952171</v>
      </c>
      <c r="H51" s="66">
        <f t="shared" si="3"/>
        <v>3.6673737802291049</v>
      </c>
      <c r="I51" s="66">
        <f t="shared" si="3"/>
        <v>2.3068849706129302</v>
      </c>
      <c r="J51" s="66">
        <f t="shared" si="3"/>
        <v>2.857609139126887</v>
      </c>
      <c r="K51" s="66">
        <f t="shared" si="3"/>
        <v>3.0340136054421767</v>
      </c>
      <c r="L51" s="66">
        <f t="shared" si="3"/>
        <v>2.8854452726559434</v>
      </c>
      <c r="M51" s="66">
        <f t="shared" si="3"/>
        <v>3.432319391634981</v>
      </c>
      <c r="N51" s="66">
        <f t="shared" si="3"/>
        <v>3.4120317820658341</v>
      </c>
    </row>
    <row r="52" spans="1:14" x14ac:dyDescent="0.25">
      <c r="A52" s="40"/>
      <c r="G52" s="1"/>
      <c r="H52" s="1"/>
      <c r="I52" s="1"/>
      <c r="J52" s="34"/>
      <c r="K52" s="1"/>
      <c r="L52" s="1"/>
      <c r="M52" s="1"/>
      <c r="N52" s="1"/>
    </row>
    <row r="53" spans="1:14" x14ac:dyDescent="0.25">
      <c r="A53" s="40">
        <v>35</v>
      </c>
      <c r="B53" s="27" t="s">
        <v>26</v>
      </c>
      <c r="J53" s="3"/>
    </row>
    <row r="54" spans="1:14" x14ac:dyDescent="0.25">
      <c r="A54" s="40"/>
      <c r="B54" s="27"/>
      <c r="D54" s="1" t="s">
        <v>27</v>
      </c>
      <c r="E54" s="1" t="s">
        <v>27</v>
      </c>
      <c r="F54" s="1" t="s">
        <v>27</v>
      </c>
      <c r="G54" s="1" t="s">
        <v>27</v>
      </c>
      <c r="H54" s="1" t="s">
        <v>27</v>
      </c>
      <c r="I54" s="1" t="s">
        <v>27</v>
      </c>
      <c r="J54" s="28" t="s">
        <v>56</v>
      </c>
    </row>
    <row r="55" spans="1:14" x14ac:dyDescent="0.25">
      <c r="A55" s="40">
        <v>36</v>
      </c>
      <c r="B55" s="27" t="s">
        <v>28</v>
      </c>
      <c r="J55" s="3"/>
    </row>
    <row r="56" spans="1:14" x14ac:dyDescent="0.25">
      <c r="A56" s="40">
        <v>37</v>
      </c>
      <c r="B56" t="s">
        <v>29</v>
      </c>
      <c r="D56" s="1" t="s">
        <v>27</v>
      </c>
      <c r="E56" s="1" t="s">
        <v>27</v>
      </c>
      <c r="F56" s="1" t="s">
        <v>27</v>
      </c>
      <c r="G56" s="1" t="s">
        <v>27</v>
      </c>
      <c r="H56" s="1" t="s">
        <v>27</v>
      </c>
      <c r="I56" s="1" t="s">
        <v>27</v>
      </c>
      <c r="J56" s="8">
        <v>7118170</v>
      </c>
      <c r="K56" s="8">
        <v>7066925</v>
      </c>
      <c r="L56" s="8">
        <v>7002694</v>
      </c>
      <c r="M56" s="8">
        <v>6918725</v>
      </c>
      <c r="N56" s="8">
        <v>6843455</v>
      </c>
    </row>
    <row r="57" spans="1:14" x14ac:dyDescent="0.25">
      <c r="A57" s="40">
        <v>38</v>
      </c>
      <c r="B57" t="s">
        <v>30</v>
      </c>
      <c r="D57" s="1" t="s">
        <v>27</v>
      </c>
      <c r="E57" s="1" t="s">
        <v>27</v>
      </c>
      <c r="F57" s="1" t="s">
        <v>27</v>
      </c>
      <c r="G57" s="1" t="s">
        <v>27</v>
      </c>
      <c r="H57" s="1" t="s">
        <v>27</v>
      </c>
      <c r="I57" s="1" t="s">
        <v>27</v>
      </c>
      <c r="J57" s="32">
        <v>0.77</v>
      </c>
      <c r="K57" s="32">
        <v>0.78</v>
      </c>
      <c r="L57" s="32">
        <v>0.92</v>
      </c>
      <c r="M57" s="32">
        <v>1.19</v>
      </c>
      <c r="N57" s="32">
        <v>1.05</v>
      </c>
    </row>
    <row r="58" spans="1:14" x14ac:dyDescent="0.25">
      <c r="A58" s="40">
        <v>39</v>
      </c>
      <c r="B58" t="s">
        <v>31</v>
      </c>
      <c r="D58" s="1" t="s">
        <v>27</v>
      </c>
      <c r="E58" s="1" t="s">
        <v>27</v>
      </c>
      <c r="F58" s="1" t="s">
        <v>27</v>
      </c>
      <c r="G58" s="1" t="s">
        <v>27</v>
      </c>
      <c r="H58" s="1" t="s">
        <v>27</v>
      </c>
      <c r="I58" s="1" t="s">
        <v>27</v>
      </c>
      <c r="J58" s="33">
        <v>1.0375000000000001</v>
      </c>
      <c r="K58" s="32">
        <v>0.82</v>
      </c>
      <c r="L58" s="32">
        <v>0.8</v>
      </c>
      <c r="M58" s="32">
        <v>0.76</v>
      </c>
      <c r="N58" s="32">
        <v>0.72</v>
      </c>
    </row>
    <row r="59" spans="1:14" x14ac:dyDescent="0.25">
      <c r="A59" s="40">
        <v>40</v>
      </c>
      <c r="B59" t="s">
        <v>32</v>
      </c>
      <c r="D59" s="1" t="s">
        <v>27</v>
      </c>
      <c r="E59" s="1" t="s">
        <v>27</v>
      </c>
      <c r="F59" s="1" t="s">
        <v>27</v>
      </c>
      <c r="G59" s="1" t="s">
        <v>27</v>
      </c>
      <c r="H59" s="1" t="s">
        <v>27</v>
      </c>
      <c r="I59" s="1" t="s">
        <v>27</v>
      </c>
      <c r="J59" s="29">
        <f>+J58/J57</f>
        <v>1.3474025974025974</v>
      </c>
      <c r="K59" s="29">
        <f t="shared" ref="K59:N59" si="4">+K58/K57</f>
        <v>1.0512820512820511</v>
      </c>
      <c r="L59" s="29">
        <f t="shared" si="4"/>
        <v>0.86956521739130432</v>
      </c>
      <c r="M59" s="29">
        <f t="shared" si="4"/>
        <v>0.63865546218487401</v>
      </c>
      <c r="N59" s="29">
        <f t="shared" si="4"/>
        <v>0.68571428571428561</v>
      </c>
    </row>
    <row r="60" spans="1:14" x14ac:dyDescent="0.25">
      <c r="A60" s="40"/>
      <c r="J60" s="3"/>
    </row>
    <row r="61" spans="1:14" x14ac:dyDescent="0.25">
      <c r="A61" s="40">
        <v>41</v>
      </c>
      <c r="B61" t="s">
        <v>33</v>
      </c>
      <c r="J61" s="3"/>
    </row>
    <row r="62" spans="1:14" x14ac:dyDescent="0.25">
      <c r="A62" s="40">
        <v>42</v>
      </c>
      <c r="B62" t="s">
        <v>34</v>
      </c>
      <c r="D62" s="1" t="s">
        <v>27</v>
      </c>
      <c r="E62" s="1" t="s">
        <v>27</v>
      </c>
      <c r="F62" s="1" t="s">
        <v>27</v>
      </c>
      <c r="G62" s="1" t="s">
        <v>27</v>
      </c>
      <c r="H62" s="1" t="s">
        <v>27</v>
      </c>
      <c r="I62" s="1" t="s">
        <v>27</v>
      </c>
      <c r="J62" s="1" t="s">
        <v>57</v>
      </c>
      <c r="K62" s="1" t="s">
        <v>58</v>
      </c>
      <c r="L62" s="1" t="s">
        <v>59</v>
      </c>
      <c r="M62" s="1" t="s">
        <v>60</v>
      </c>
      <c r="N62" s="1" t="s">
        <v>61</v>
      </c>
    </row>
    <row r="63" spans="1:14" x14ac:dyDescent="0.25">
      <c r="A63" s="40">
        <v>43</v>
      </c>
      <c r="B63" t="s">
        <v>35</v>
      </c>
      <c r="D63" s="1" t="s">
        <v>27</v>
      </c>
      <c r="E63" s="1" t="s">
        <v>27</v>
      </c>
      <c r="F63" s="1" t="s">
        <v>27</v>
      </c>
      <c r="G63" s="1" t="s">
        <v>27</v>
      </c>
      <c r="H63" s="1" t="s">
        <v>27</v>
      </c>
      <c r="I63" s="1" t="s">
        <v>27</v>
      </c>
      <c r="J63" s="1" t="s">
        <v>64</v>
      </c>
      <c r="K63" s="1" t="s">
        <v>65</v>
      </c>
      <c r="L63" s="1" t="s">
        <v>66</v>
      </c>
      <c r="M63" s="1" t="s">
        <v>67</v>
      </c>
      <c r="N63" s="1" t="s">
        <v>68</v>
      </c>
    </row>
    <row r="64" spans="1:14" x14ac:dyDescent="0.25">
      <c r="A64" s="40">
        <v>44</v>
      </c>
      <c r="B64" t="s">
        <v>36</v>
      </c>
      <c r="D64" s="1" t="s">
        <v>27</v>
      </c>
      <c r="E64" s="1" t="s">
        <v>27</v>
      </c>
      <c r="F64" s="1" t="s">
        <v>27</v>
      </c>
      <c r="G64" s="1" t="s">
        <v>27</v>
      </c>
      <c r="H64" s="1" t="s">
        <v>27</v>
      </c>
      <c r="I64" s="1" t="s">
        <v>27</v>
      </c>
      <c r="J64" s="1" t="s">
        <v>71</v>
      </c>
      <c r="K64" s="1" t="s">
        <v>72</v>
      </c>
      <c r="L64" s="1" t="s">
        <v>73</v>
      </c>
      <c r="M64" s="1" t="s">
        <v>74</v>
      </c>
      <c r="N64" s="1" t="s">
        <v>75</v>
      </c>
    </row>
    <row r="65" spans="1:14" x14ac:dyDescent="0.25">
      <c r="A65" s="40">
        <v>45</v>
      </c>
      <c r="B65" t="s">
        <v>37</v>
      </c>
      <c r="D65" s="1" t="s">
        <v>27</v>
      </c>
      <c r="E65" s="1" t="s">
        <v>27</v>
      </c>
      <c r="F65" s="1" t="s">
        <v>27</v>
      </c>
      <c r="G65" s="1" t="s">
        <v>27</v>
      </c>
      <c r="H65" s="1" t="s">
        <v>27</v>
      </c>
      <c r="I65" s="1" t="s">
        <v>27</v>
      </c>
      <c r="J65" s="1" t="s">
        <v>78</v>
      </c>
      <c r="K65" s="1" t="s">
        <v>79</v>
      </c>
      <c r="L65" s="1" t="s">
        <v>80</v>
      </c>
      <c r="M65" s="1" t="s">
        <v>81</v>
      </c>
      <c r="N65" s="1" t="s">
        <v>82</v>
      </c>
    </row>
    <row r="66" spans="1:14" x14ac:dyDescent="0.25">
      <c r="A66" s="40"/>
      <c r="J66" s="3"/>
    </row>
    <row r="67" spans="1:14" x14ac:dyDescent="0.25">
      <c r="A67" s="40">
        <v>46</v>
      </c>
      <c r="B67" s="25" t="s">
        <v>38</v>
      </c>
      <c r="D67" s="1" t="s">
        <v>27</v>
      </c>
      <c r="E67" s="1" t="s">
        <v>27</v>
      </c>
      <c r="F67" s="1" t="s">
        <v>27</v>
      </c>
      <c r="G67" s="1" t="s">
        <v>27</v>
      </c>
      <c r="H67" s="1" t="s">
        <v>27</v>
      </c>
      <c r="I67" s="1" t="s">
        <v>27</v>
      </c>
      <c r="J67" s="51">
        <f t="shared" ref="J67:M67" si="5">J29/J56</f>
        <v>9.5053925376887595E-3</v>
      </c>
      <c r="K67" s="51">
        <f t="shared" si="5"/>
        <v>1.0718947774314855E-2</v>
      </c>
      <c r="L67" s="51">
        <f t="shared" si="5"/>
        <v>1.0753575695296697E-2</v>
      </c>
      <c r="M67" s="51">
        <f t="shared" si="5"/>
        <v>1.0841881994153547E-2</v>
      </c>
      <c r="N67" s="51">
        <f>N29/N56</f>
        <v>1.0471757321411481E-2</v>
      </c>
    </row>
    <row r="68" spans="1:14" x14ac:dyDescent="0.25">
      <c r="A68" s="40"/>
      <c r="J68" s="3"/>
    </row>
    <row r="69" spans="1:14" x14ac:dyDescent="0.25">
      <c r="A69" s="40">
        <v>47</v>
      </c>
      <c r="B69" s="26" t="s">
        <v>39</v>
      </c>
      <c r="J69" s="3"/>
    </row>
    <row r="70" spans="1:14" x14ac:dyDescent="0.25">
      <c r="A70" s="40">
        <v>48</v>
      </c>
      <c r="B70" s="25" t="s">
        <v>40</v>
      </c>
      <c r="D70" s="52">
        <f>D39/D29</f>
        <v>0.10218726339658875</v>
      </c>
      <c r="E70" s="52">
        <f t="shared" ref="E70:N70" si="6">E39/E29</f>
        <v>0.15996682565791759</v>
      </c>
      <c r="F70" s="52">
        <f t="shared" si="6"/>
        <v>0.11080964477621179</v>
      </c>
      <c r="G70" s="52">
        <f t="shared" si="6"/>
        <v>0.11406004794178005</v>
      </c>
      <c r="H70" s="52">
        <f t="shared" si="6"/>
        <v>0.13619890965241233</v>
      </c>
      <c r="I70" s="52">
        <f t="shared" si="6"/>
        <v>8.8449280494478963E-2</v>
      </c>
      <c r="J70" s="52">
        <f t="shared" si="6"/>
        <v>0.1035160579950045</v>
      </c>
      <c r="K70" s="52">
        <f t="shared" si="6"/>
        <v>0.10009240924092409</v>
      </c>
      <c r="L70" s="52">
        <f t="shared" si="6"/>
        <v>9.7670774460852011E-2</v>
      </c>
      <c r="M70" s="52">
        <f t="shared" si="6"/>
        <v>0.12034074548072309</v>
      </c>
      <c r="N70" s="52">
        <f t="shared" si="6"/>
        <v>0.12583899641377</v>
      </c>
    </row>
    <row r="71" spans="1:14" x14ac:dyDescent="0.25">
      <c r="A71" s="40">
        <v>49</v>
      </c>
      <c r="B71" s="25" t="s">
        <v>41</v>
      </c>
      <c r="D71" s="52">
        <f>D39/D30</f>
        <v>5.9303082522685596E-2</v>
      </c>
      <c r="E71" s="52">
        <f t="shared" ref="E71:N71" si="7">E39/E30</f>
        <v>8.3906014364224027E-2</v>
      </c>
      <c r="F71" s="52">
        <f t="shared" si="7"/>
        <v>5.5059793789128154E-2</v>
      </c>
      <c r="G71" s="52">
        <f t="shared" si="7"/>
        <v>5.6123617911359641E-2</v>
      </c>
      <c r="H71" s="52">
        <f t="shared" si="7"/>
        <v>7.3373624881162572E-2</v>
      </c>
      <c r="I71" s="52">
        <f t="shared" si="7"/>
        <v>4.6697203266679699E-2</v>
      </c>
      <c r="J71" s="52">
        <f t="shared" si="7"/>
        <v>5.8286522697956977E-2</v>
      </c>
      <c r="K71" s="52">
        <f t="shared" si="7"/>
        <v>5.8951133227073051E-2</v>
      </c>
      <c r="L71" s="52">
        <f t="shared" si="7"/>
        <v>5.7025671243710122E-2</v>
      </c>
      <c r="M71" s="52">
        <f t="shared" si="7"/>
        <v>6.9677508992389267E-2</v>
      </c>
      <c r="N71" s="52">
        <f t="shared" si="7"/>
        <v>7.1763367100896841E-2</v>
      </c>
    </row>
    <row r="72" spans="1:14" x14ac:dyDescent="0.25">
      <c r="A72" s="40">
        <v>50</v>
      </c>
      <c r="B72" s="25" t="s">
        <v>42</v>
      </c>
      <c r="D72" s="52">
        <f>D39/D23</f>
        <v>4.6945488465461843E-2</v>
      </c>
      <c r="E72" s="52">
        <f t="shared" ref="E72:N72" si="8">E39/E23</f>
        <v>6.9649345777648378E-2</v>
      </c>
      <c r="F72" s="52">
        <f t="shared" si="8"/>
        <v>4.4631701120973997E-2</v>
      </c>
      <c r="G72" s="52">
        <f t="shared" si="8"/>
        <v>4.2697412591024116E-2</v>
      </c>
      <c r="H72" s="52">
        <f t="shared" si="8"/>
        <v>5.785655002543439E-2</v>
      </c>
      <c r="I72" s="52">
        <f t="shared" si="8"/>
        <v>3.9355980031943162E-2</v>
      </c>
      <c r="J72" s="52">
        <f t="shared" si="8"/>
        <v>5.0235974236490656E-2</v>
      </c>
      <c r="K72" s="52">
        <f t="shared" si="8"/>
        <v>5.5158666647266805E-2</v>
      </c>
      <c r="L72" s="52">
        <f t="shared" si="8"/>
        <v>5.3773660776300108E-2</v>
      </c>
      <c r="M72" s="52">
        <f t="shared" si="8"/>
        <v>6.6362313087203917E-2</v>
      </c>
      <c r="N72" s="52">
        <f t="shared" si="8"/>
        <v>6.7308553515450065E-2</v>
      </c>
    </row>
    <row r="73" spans="1:14" x14ac:dyDescent="0.25">
      <c r="A73" s="25"/>
      <c r="J73" s="34"/>
      <c r="K73" s="1"/>
      <c r="L73" s="1"/>
      <c r="M73" s="1"/>
      <c r="N73" s="1"/>
    </row>
    <row r="74" spans="1:14" x14ac:dyDescent="0.25">
      <c r="A74" s="40">
        <v>51</v>
      </c>
      <c r="B74" s="26" t="s">
        <v>43</v>
      </c>
      <c r="D74" s="35">
        <f>10214/D17</f>
        <v>3.2482111623469548E-2</v>
      </c>
      <c r="E74" s="35">
        <f>8751/E17</f>
        <v>2.9741128810252891E-2</v>
      </c>
      <c r="F74" s="35">
        <f>7911/F17</f>
        <v>2.8671873584256023E-2</v>
      </c>
      <c r="G74" s="35">
        <f>7518/G17</f>
        <v>2.8367242212026082E-2</v>
      </c>
      <c r="H74" s="35">
        <f>7423/H17</f>
        <v>2.8639222192214205E-2</v>
      </c>
      <c r="I74" s="35">
        <f>6658/I17</f>
        <v>2.6873647841389778E-2</v>
      </c>
      <c r="J74" s="31">
        <v>2.7E-2</v>
      </c>
      <c r="K74" s="31">
        <v>2.8000000000000001E-2</v>
      </c>
      <c r="L74" s="31">
        <v>2.8000000000000001E-2</v>
      </c>
      <c r="M74" s="31">
        <v>2.8000000000000001E-2</v>
      </c>
      <c r="N74" s="31">
        <v>2.9000000000000001E-2</v>
      </c>
    </row>
    <row r="75" spans="1:14" x14ac:dyDescent="0.25">
      <c r="A75" s="25"/>
      <c r="J75" s="3"/>
    </row>
    <row r="76" spans="1:14" x14ac:dyDescent="0.25">
      <c r="A76" s="25"/>
      <c r="J76" s="3"/>
    </row>
    <row r="77" spans="1:14" x14ac:dyDescent="0.25">
      <c r="B77" t="s">
        <v>44</v>
      </c>
      <c r="J77" s="3"/>
    </row>
    <row r="78" spans="1:14" x14ac:dyDescent="0.25">
      <c r="J78" s="3"/>
    </row>
    <row r="79" spans="1:14" x14ac:dyDescent="0.25">
      <c r="J79" s="3"/>
    </row>
    <row r="80" spans="1:14" x14ac:dyDescent="0.25">
      <c r="J80" s="3"/>
    </row>
    <row r="81" spans="10:10" x14ac:dyDescent="0.25">
      <c r="J81" s="3"/>
    </row>
    <row r="82" spans="10:10" x14ac:dyDescent="0.25">
      <c r="J82" s="3"/>
    </row>
    <row r="83" spans="10:10" x14ac:dyDescent="0.25">
      <c r="J83" s="3"/>
    </row>
    <row r="84" spans="10:10" x14ac:dyDescent="0.25">
      <c r="J84" s="3"/>
    </row>
    <row r="85" spans="10:10" x14ac:dyDescent="0.25">
      <c r="J85" s="3"/>
    </row>
    <row r="86" spans="10:10" x14ac:dyDescent="0.25">
      <c r="J86" s="3"/>
    </row>
    <row r="87" spans="10:10" x14ac:dyDescent="0.25">
      <c r="J87" s="3"/>
    </row>
    <row r="88" spans="10:10" x14ac:dyDescent="0.25">
      <c r="J88" s="3"/>
    </row>
    <row r="89" spans="10:10" x14ac:dyDescent="0.25">
      <c r="J89" s="3"/>
    </row>
    <row r="90" spans="10:10" x14ac:dyDescent="0.25">
      <c r="J90" s="3"/>
    </row>
    <row r="91" spans="10:10" x14ac:dyDescent="0.25">
      <c r="J91" s="3"/>
    </row>
    <row r="92" spans="10:10" x14ac:dyDescent="0.25">
      <c r="J92" s="3"/>
    </row>
    <row r="93" spans="10:10" x14ac:dyDescent="0.25">
      <c r="J93" s="3"/>
    </row>
    <row r="94" spans="10:10" x14ac:dyDescent="0.25">
      <c r="J94" s="3"/>
    </row>
    <row r="95" spans="10:10" x14ac:dyDescent="0.25">
      <c r="J95" s="3"/>
    </row>
    <row r="96" spans="10:10" x14ac:dyDescent="0.25">
      <c r="J96" s="3"/>
    </row>
    <row r="97" spans="10:10" x14ac:dyDescent="0.25">
      <c r="J97" s="3"/>
    </row>
    <row r="98" spans="10:10" x14ac:dyDescent="0.25">
      <c r="J98" s="3"/>
    </row>
    <row r="99" spans="10:10" x14ac:dyDescent="0.25">
      <c r="J99" s="3"/>
    </row>
  </sheetData>
  <pageMargins left="0.7" right="0.7" top="0.75" bottom="0.75" header="0.3" footer="0.3"/>
  <pageSetup scale="60" fitToHeight="0" orientation="landscape" r:id="rId1"/>
  <rowBreaks count="1" manualBreakCount="1">
    <brk id="45" max="12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9"/>
  <sheetViews>
    <sheetView zoomScaleNormal="100" zoomScaleSheetLayoutView="90" workbookViewId="0">
      <pane xSplit="3" ySplit="8" topLeftCell="G47" activePane="bottomRight" state="frozen"/>
      <selection activeCell="A39" sqref="A39:XFD39"/>
      <selection pane="topRight" activeCell="A39" sqref="A39:XFD39"/>
      <selection pane="bottomLeft" activeCell="A39" sqref="A39:XFD39"/>
      <selection pane="bottomRight" activeCell="A39" sqref="A39:XFD39"/>
    </sheetView>
  </sheetViews>
  <sheetFormatPr defaultRowHeight="15" x14ac:dyDescent="0.25"/>
  <cols>
    <col min="1" max="1" width="8.140625" bestFit="1" customWidth="1"/>
    <col min="2" max="2" width="5.5703125" customWidth="1"/>
    <col min="3" max="3" width="87.140625" customWidth="1"/>
    <col min="4" max="6" width="15" hidden="1" customWidth="1"/>
    <col min="7" max="10" width="15" bestFit="1" customWidth="1"/>
    <col min="11" max="16" width="13.140625" customWidth="1"/>
    <col min="19" max="19" width="28" bestFit="1" customWidth="1"/>
    <col min="20" max="23" width="14.140625" customWidth="1"/>
  </cols>
  <sheetData>
    <row r="1" spans="1:16" x14ac:dyDescent="0.25">
      <c r="C1" s="45" t="s">
        <v>0</v>
      </c>
      <c r="D1" s="45"/>
      <c r="E1" s="45"/>
      <c r="F1" s="45"/>
      <c r="G1" s="19"/>
      <c r="H1" s="8"/>
    </row>
    <row r="2" spans="1:16" x14ac:dyDescent="0.25">
      <c r="C2" s="45" t="s">
        <v>95</v>
      </c>
      <c r="D2" s="45"/>
      <c r="E2" s="45"/>
      <c r="F2" s="45"/>
      <c r="G2" s="46"/>
      <c r="H2" s="8"/>
    </row>
    <row r="3" spans="1:16" x14ac:dyDescent="0.25">
      <c r="C3" s="45" t="s">
        <v>1</v>
      </c>
      <c r="D3" s="45"/>
      <c r="E3" s="45"/>
      <c r="F3" s="45"/>
      <c r="G3" s="8"/>
      <c r="H3" s="8"/>
    </row>
    <row r="5" spans="1:16" x14ac:dyDescent="0.25">
      <c r="A5" t="s">
        <v>0</v>
      </c>
    </row>
    <row r="7" spans="1:16" x14ac:dyDescent="0.25">
      <c r="A7" t="s">
        <v>2</v>
      </c>
      <c r="B7" t="s">
        <v>3</v>
      </c>
    </row>
    <row r="8" spans="1:16" x14ac:dyDescent="0.25">
      <c r="D8">
        <v>2023</v>
      </c>
      <c r="E8">
        <v>2022</v>
      </c>
      <c r="F8">
        <v>2021</v>
      </c>
      <c r="G8" s="1">
        <v>2020</v>
      </c>
      <c r="H8" s="1">
        <v>2019</v>
      </c>
      <c r="I8" s="1">
        <v>2018</v>
      </c>
      <c r="J8" s="1">
        <v>2017</v>
      </c>
      <c r="K8" s="1">
        <v>2016</v>
      </c>
      <c r="L8" s="1">
        <v>2015</v>
      </c>
      <c r="M8" s="1">
        <v>2014</v>
      </c>
      <c r="N8" s="1">
        <v>2013</v>
      </c>
      <c r="O8" s="1">
        <v>2012</v>
      </c>
      <c r="P8" s="1">
        <v>2011</v>
      </c>
    </row>
    <row r="9" spans="1:16" x14ac:dyDescent="0.25">
      <c r="A9" s="1">
        <v>1</v>
      </c>
      <c r="B9" s="27" t="s">
        <v>4</v>
      </c>
      <c r="J9" s="3"/>
    </row>
    <row r="10" spans="1:16" x14ac:dyDescent="0.25">
      <c r="A10" s="1">
        <v>2</v>
      </c>
      <c r="B10" t="s">
        <v>5</v>
      </c>
      <c r="J10" s="3"/>
    </row>
    <row r="11" spans="1:16" x14ac:dyDescent="0.25">
      <c r="A11" s="1">
        <v>3</v>
      </c>
      <c r="C11" t="s">
        <v>45</v>
      </c>
      <c r="G11" s="5">
        <v>143466</v>
      </c>
      <c r="H11" s="6">
        <v>138983</v>
      </c>
      <c r="I11" s="6">
        <v>130183</v>
      </c>
      <c r="J11" s="6">
        <v>126218</v>
      </c>
      <c r="K11" s="6">
        <v>123349</v>
      </c>
      <c r="L11" s="6">
        <v>119537</v>
      </c>
      <c r="M11" s="6">
        <v>117226</v>
      </c>
      <c r="N11" s="6">
        <v>113536</v>
      </c>
      <c r="O11" s="6">
        <v>110523</v>
      </c>
      <c r="P11" s="6">
        <v>105608</v>
      </c>
    </row>
    <row r="12" spans="1:16" x14ac:dyDescent="0.25">
      <c r="A12" s="1">
        <v>4</v>
      </c>
      <c r="C12" t="s">
        <v>46</v>
      </c>
      <c r="G12" s="7">
        <v>19759</v>
      </c>
      <c r="H12" s="8">
        <v>19996</v>
      </c>
      <c r="I12" s="8">
        <v>23181</v>
      </c>
      <c r="J12" s="8">
        <v>24267</v>
      </c>
      <c r="K12" s="8">
        <v>23888</v>
      </c>
      <c r="L12" s="8">
        <v>23644</v>
      </c>
      <c r="M12" s="8">
        <v>23033</v>
      </c>
      <c r="N12" s="8">
        <v>22782</v>
      </c>
      <c r="O12" s="8">
        <v>22596</v>
      </c>
      <c r="P12" s="8">
        <v>22579</v>
      </c>
    </row>
    <row r="13" spans="1:16" x14ac:dyDescent="0.25">
      <c r="A13" s="1">
        <v>5</v>
      </c>
      <c r="C13" t="s">
        <v>47</v>
      </c>
      <c r="G13" s="7">
        <v>4999</v>
      </c>
      <c r="H13" s="8">
        <v>4578</v>
      </c>
      <c r="I13" s="8">
        <v>53</v>
      </c>
      <c r="J13" s="8">
        <v>53</v>
      </c>
      <c r="K13" s="8">
        <v>53</v>
      </c>
      <c r="L13" s="8">
        <v>53</v>
      </c>
      <c r="M13" s="8">
        <v>53</v>
      </c>
      <c r="N13" s="8">
        <v>53</v>
      </c>
      <c r="O13" s="8">
        <v>53</v>
      </c>
      <c r="P13" s="8">
        <v>53</v>
      </c>
    </row>
    <row r="14" spans="1:16" x14ac:dyDescent="0.25">
      <c r="A14" s="1">
        <v>6</v>
      </c>
      <c r="C14" t="s">
        <v>48</v>
      </c>
      <c r="G14" s="7">
        <v>3664</v>
      </c>
      <c r="H14" s="8">
        <v>3562</v>
      </c>
      <c r="I14" s="8">
        <v>3130</v>
      </c>
      <c r="J14" s="8">
        <v>3347</v>
      </c>
      <c r="K14" s="8">
        <v>3212</v>
      </c>
      <c r="L14" s="8">
        <v>3104</v>
      </c>
      <c r="M14" s="8">
        <v>3051</v>
      </c>
      <c r="N14" s="8">
        <v>3051</v>
      </c>
      <c r="O14" s="8">
        <v>3050</v>
      </c>
      <c r="P14" s="8">
        <v>3036</v>
      </c>
    </row>
    <row r="15" spans="1:16" x14ac:dyDescent="0.25">
      <c r="A15" s="1">
        <v>7</v>
      </c>
      <c r="C15" t="s">
        <v>49</v>
      </c>
      <c r="G15" s="7">
        <v>30477</v>
      </c>
      <c r="H15" s="8">
        <v>30476</v>
      </c>
      <c r="I15" s="8">
        <v>30405</v>
      </c>
      <c r="J15" s="8">
        <v>30273</v>
      </c>
      <c r="K15" s="8">
        <v>25960</v>
      </c>
      <c r="L15" s="8">
        <v>25857</v>
      </c>
      <c r="M15" s="8">
        <v>25633</v>
      </c>
      <c r="N15" s="8">
        <v>22478</v>
      </c>
      <c r="O15" s="8">
        <v>20945</v>
      </c>
      <c r="P15" s="8">
        <v>20192</v>
      </c>
    </row>
    <row r="16" spans="1:16" x14ac:dyDescent="0.25">
      <c r="A16" s="1">
        <v>8</v>
      </c>
      <c r="C16" t="s">
        <v>50</v>
      </c>
      <c r="G16" s="7">
        <v>62658</v>
      </c>
      <c r="H16" s="8">
        <v>61594</v>
      </c>
      <c r="I16" s="8">
        <v>60800</v>
      </c>
      <c r="J16" s="8">
        <v>60481</v>
      </c>
      <c r="K16" s="8">
        <v>60585</v>
      </c>
      <c r="L16" s="8">
        <v>60176</v>
      </c>
      <c r="M16" s="8">
        <v>58627</v>
      </c>
      <c r="N16" s="8">
        <v>57528</v>
      </c>
      <c r="O16" s="8">
        <v>55777</v>
      </c>
      <c r="P16" s="8">
        <v>55546</v>
      </c>
    </row>
    <row r="17" spans="1:17" x14ac:dyDescent="0.25">
      <c r="A17" s="1">
        <v>9</v>
      </c>
      <c r="C17" t="s">
        <v>51</v>
      </c>
      <c r="G17" s="7">
        <v>265024</v>
      </c>
      <c r="H17" s="7">
        <v>259190</v>
      </c>
      <c r="I17" s="7">
        <v>247752</v>
      </c>
      <c r="J17" s="7">
        <v>244639</v>
      </c>
      <c r="K17" s="7">
        <v>237047</v>
      </c>
      <c r="L17" s="7">
        <v>232371</v>
      </c>
      <c r="M17" s="7">
        <v>227623</v>
      </c>
      <c r="N17" s="7">
        <v>219428</v>
      </c>
      <c r="O17" s="7">
        <v>212944</v>
      </c>
      <c r="P17" s="7">
        <v>207015</v>
      </c>
    </row>
    <row r="18" spans="1:17" ht="17.25" x14ac:dyDescent="0.4">
      <c r="A18" s="1">
        <v>10</v>
      </c>
      <c r="C18" t="s">
        <v>6</v>
      </c>
      <c r="D18" s="47"/>
      <c r="E18" s="47"/>
      <c r="F18" s="47"/>
      <c r="G18" s="7">
        <v>116730</v>
      </c>
      <c r="H18" s="8">
        <v>114231</v>
      </c>
      <c r="I18" s="8">
        <v>111218</v>
      </c>
      <c r="J18" s="8">
        <v>107443</v>
      </c>
      <c r="K18" s="8">
        <v>102904</v>
      </c>
      <c r="L18" s="8">
        <v>97770</v>
      </c>
      <c r="M18" s="8">
        <v>92196</v>
      </c>
      <c r="N18" s="8">
        <v>87512</v>
      </c>
      <c r="O18" s="8">
        <v>82791</v>
      </c>
      <c r="P18" s="8">
        <v>78118</v>
      </c>
    </row>
    <row r="19" spans="1:17" x14ac:dyDescent="0.25">
      <c r="A19" s="1">
        <v>11</v>
      </c>
      <c r="C19" t="s">
        <v>7</v>
      </c>
      <c r="G19" s="22">
        <v>148294</v>
      </c>
      <c r="H19" s="23">
        <v>144959</v>
      </c>
      <c r="I19" s="23">
        <v>136534</v>
      </c>
      <c r="J19" s="23">
        <v>137196</v>
      </c>
      <c r="K19" s="23">
        <v>134143</v>
      </c>
      <c r="L19" s="23">
        <v>134601</v>
      </c>
      <c r="M19" s="23">
        <v>135428</v>
      </c>
      <c r="N19" s="23">
        <v>131916</v>
      </c>
      <c r="O19" s="23">
        <v>130153</v>
      </c>
      <c r="P19" s="23">
        <v>128896</v>
      </c>
      <c r="Q19" s="24"/>
    </row>
    <row r="20" spans="1:17" x14ac:dyDescent="0.25">
      <c r="A20" s="1"/>
      <c r="G20" s="9"/>
      <c r="H20" s="10"/>
      <c r="I20" s="10"/>
      <c r="J20" s="10"/>
      <c r="K20" s="10"/>
      <c r="L20" s="10"/>
      <c r="M20" s="10"/>
      <c r="N20" s="10"/>
      <c r="O20" s="10"/>
      <c r="P20" s="10"/>
    </row>
    <row r="21" spans="1:17" x14ac:dyDescent="0.25">
      <c r="A21" s="1">
        <v>11</v>
      </c>
      <c r="B21" t="s">
        <v>52</v>
      </c>
      <c r="G21" s="9">
        <v>4576</v>
      </c>
      <c r="H21" s="10">
        <v>2600</v>
      </c>
      <c r="I21" s="10">
        <v>1326</v>
      </c>
      <c r="J21" s="10">
        <v>565</v>
      </c>
      <c r="K21" s="10">
        <v>1901</v>
      </c>
      <c r="L21" s="10">
        <v>996</v>
      </c>
      <c r="M21" s="10">
        <v>-374</v>
      </c>
      <c r="N21" s="10">
        <v>1223</v>
      </c>
      <c r="O21" s="10">
        <v>1245</v>
      </c>
      <c r="P21" s="10">
        <v>885</v>
      </c>
    </row>
    <row r="22" spans="1:17" x14ac:dyDescent="0.25">
      <c r="A22" s="1"/>
      <c r="D22" s="41"/>
      <c r="E22" s="41"/>
      <c r="F22" s="41"/>
      <c r="H22" s="3"/>
      <c r="J22" s="3"/>
    </row>
    <row r="23" spans="1:17" ht="15.75" thickBot="1" x14ac:dyDescent="0.3">
      <c r="A23" s="1">
        <v>12</v>
      </c>
      <c r="B23" t="s">
        <v>53</v>
      </c>
      <c r="D23" s="48"/>
      <c r="E23" s="48"/>
      <c r="F23" s="48"/>
      <c r="G23" s="11">
        <v>152870</v>
      </c>
      <c r="H23" s="11">
        <v>147559</v>
      </c>
      <c r="I23" s="11">
        <v>137860</v>
      </c>
      <c r="J23" s="11">
        <v>137761</v>
      </c>
      <c r="K23" s="11">
        <v>136044</v>
      </c>
      <c r="L23" s="11">
        <v>135597</v>
      </c>
      <c r="M23" s="11">
        <v>135053</v>
      </c>
      <c r="N23" s="11">
        <v>133139</v>
      </c>
      <c r="O23" s="11">
        <v>131397</v>
      </c>
      <c r="P23" s="11">
        <v>129781</v>
      </c>
    </row>
    <row r="24" spans="1:17" ht="15.75" thickTop="1" x14ac:dyDescent="0.25">
      <c r="A24" s="1"/>
      <c r="G24" s="4"/>
      <c r="H24" s="3"/>
      <c r="I24" s="3"/>
      <c r="J24" s="3"/>
      <c r="K24" s="3"/>
      <c r="L24" s="3"/>
      <c r="M24" s="3"/>
      <c r="N24" s="3"/>
      <c r="O24" s="3"/>
      <c r="P24" s="3"/>
    </row>
    <row r="25" spans="1:17" x14ac:dyDescent="0.25">
      <c r="A25" s="1">
        <v>13</v>
      </c>
      <c r="B25" s="27" t="s">
        <v>8</v>
      </c>
      <c r="G25" s="1"/>
      <c r="H25" s="1"/>
      <c r="I25" s="1"/>
      <c r="J25" s="1"/>
      <c r="K25" s="1"/>
    </row>
    <row r="26" spans="1:17" x14ac:dyDescent="0.25">
      <c r="A26" s="1">
        <v>14</v>
      </c>
      <c r="B26" t="s">
        <v>5</v>
      </c>
      <c r="J26" s="3"/>
    </row>
    <row r="27" spans="1:17" x14ac:dyDescent="0.25">
      <c r="A27" s="1">
        <v>15</v>
      </c>
      <c r="B27" t="s">
        <v>9</v>
      </c>
      <c r="G27" s="6">
        <v>15783</v>
      </c>
      <c r="H27" s="6">
        <v>4337</v>
      </c>
      <c r="I27" s="6">
        <v>3348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7" x14ac:dyDescent="0.25">
      <c r="A28" s="1">
        <v>16</v>
      </c>
      <c r="B28" t="s">
        <v>10</v>
      </c>
      <c r="G28" s="8">
        <v>43000</v>
      </c>
      <c r="H28" s="8">
        <v>44500</v>
      </c>
      <c r="I28" s="8">
        <v>47500</v>
      </c>
      <c r="J28" s="8">
        <v>49000</v>
      </c>
      <c r="K28" s="8">
        <v>50500</v>
      </c>
      <c r="L28" s="8">
        <v>52000</v>
      </c>
      <c r="M28" s="8">
        <v>53500</v>
      </c>
      <c r="N28" s="8">
        <v>53500</v>
      </c>
      <c r="O28" s="8">
        <v>55000</v>
      </c>
      <c r="P28" s="8">
        <v>56500</v>
      </c>
    </row>
    <row r="29" spans="1:17" x14ac:dyDescent="0.25">
      <c r="A29" s="1">
        <v>17</v>
      </c>
      <c r="B29" t="s">
        <v>11</v>
      </c>
      <c r="D29" s="41"/>
      <c r="E29" s="41"/>
      <c r="F29" s="41"/>
      <c r="G29" s="8">
        <v>56847</v>
      </c>
      <c r="H29" s="8">
        <v>67300</v>
      </c>
      <c r="I29" s="8">
        <v>65166</v>
      </c>
      <c r="J29" s="8">
        <v>69750</v>
      </c>
      <c r="K29" s="8">
        <v>77100</v>
      </c>
      <c r="L29" s="8">
        <v>76006</v>
      </c>
      <c r="M29" s="8">
        <v>75350</v>
      </c>
      <c r="N29" s="8">
        <v>71597</v>
      </c>
      <c r="O29" s="8">
        <v>67712</v>
      </c>
      <c r="P29" s="8">
        <v>63963</v>
      </c>
    </row>
    <row r="30" spans="1:17" ht="15.75" thickBot="1" x14ac:dyDescent="0.3">
      <c r="A30" s="1">
        <v>18</v>
      </c>
      <c r="B30" t="s">
        <v>12</v>
      </c>
      <c r="D30" s="49"/>
      <c r="E30" s="49"/>
      <c r="F30" s="49"/>
      <c r="G30" s="11">
        <v>115630</v>
      </c>
      <c r="H30" s="11">
        <v>116137</v>
      </c>
      <c r="I30" s="11">
        <v>116014</v>
      </c>
      <c r="J30" s="11">
        <v>118750</v>
      </c>
      <c r="K30" s="11">
        <v>127600</v>
      </c>
      <c r="L30" s="11">
        <v>128006</v>
      </c>
      <c r="M30" s="11">
        <v>128850</v>
      </c>
      <c r="N30" s="11">
        <v>125097</v>
      </c>
      <c r="O30" s="11">
        <v>122712</v>
      </c>
      <c r="P30" s="11">
        <v>120463</v>
      </c>
    </row>
    <row r="31" spans="1:17" ht="15.75" thickTop="1" x14ac:dyDescent="0.25">
      <c r="A31" s="1"/>
      <c r="J31" s="3"/>
    </row>
    <row r="32" spans="1:17" x14ac:dyDescent="0.25">
      <c r="A32" s="1">
        <v>19</v>
      </c>
      <c r="B32" s="27" t="s">
        <v>13</v>
      </c>
      <c r="J32" s="3"/>
    </row>
    <row r="33" spans="1:16" x14ac:dyDescent="0.25">
      <c r="A33" s="1">
        <v>20</v>
      </c>
      <c r="B33" t="s">
        <v>14</v>
      </c>
      <c r="G33" s="6">
        <v>43855</v>
      </c>
      <c r="H33" s="6">
        <v>47621</v>
      </c>
      <c r="I33" s="6">
        <v>49586</v>
      </c>
      <c r="J33" s="6">
        <v>48563</v>
      </c>
      <c r="K33" s="6">
        <v>46352</v>
      </c>
      <c r="L33" s="6">
        <v>51178</v>
      </c>
      <c r="M33" s="6">
        <v>61314</v>
      </c>
      <c r="N33" s="6">
        <v>54437</v>
      </c>
      <c r="O33" s="6">
        <v>47008</v>
      </c>
      <c r="P33" s="6">
        <v>51184</v>
      </c>
    </row>
    <row r="34" spans="1:16" x14ac:dyDescent="0.25">
      <c r="A34" s="1">
        <v>21</v>
      </c>
      <c r="B34" t="s">
        <v>15</v>
      </c>
      <c r="G34" s="8">
        <v>32478</v>
      </c>
      <c r="H34" s="8">
        <v>34073</v>
      </c>
      <c r="I34" s="8">
        <v>36670</v>
      </c>
      <c r="J34" s="8">
        <v>34012</v>
      </c>
      <c r="K34" s="8">
        <v>32230</v>
      </c>
      <c r="L34" s="8">
        <v>37603</v>
      </c>
      <c r="M34" s="8">
        <v>45828</v>
      </c>
      <c r="N34" s="8">
        <v>39636</v>
      </c>
      <c r="O34" s="8">
        <v>33858</v>
      </c>
      <c r="P34" s="8">
        <v>36785</v>
      </c>
    </row>
    <row r="35" spans="1:16" x14ac:dyDescent="0.25">
      <c r="A35" s="1">
        <v>22</v>
      </c>
      <c r="B35" t="s">
        <v>16</v>
      </c>
      <c r="C35" s="3"/>
      <c r="D35" s="3"/>
      <c r="E35" s="3"/>
      <c r="F35" s="3"/>
      <c r="G35" s="8">
        <v>891</v>
      </c>
      <c r="H35" s="8">
        <v>1387</v>
      </c>
      <c r="I35" s="8">
        <v>1891</v>
      </c>
      <c r="J35" s="8">
        <v>3259</v>
      </c>
      <c r="K35" s="8">
        <v>1518</v>
      </c>
      <c r="L35" s="8">
        <v>2443</v>
      </c>
      <c r="M35" s="8">
        <v>3454</v>
      </c>
      <c r="N35" s="8">
        <v>2430</v>
      </c>
      <c r="O35" s="8">
        <v>-368</v>
      </c>
      <c r="P35" s="8">
        <v>802</v>
      </c>
    </row>
    <row r="36" spans="1:16" x14ac:dyDescent="0.25">
      <c r="A36" s="1">
        <v>23</v>
      </c>
      <c r="B36" t="s">
        <v>54</v>
      </c>
      <c r="G36" s="8">
        <v>-412</v>
      </c>
      <c r="H36" s="8">
        <v>-377</v>
      </c>
      <c r="I36" s="12">
        <v>1528</v>
      </c>
      <c r="J36" s="8">
        <v>455</v>
      </c>
      <c r="K36" s="13">
        <v>1688</v>
      </c>
      <c r="L36" s="8">
        <v>496</v>
      </c>
      <c r="M36" s="8">
        <v>176</v>
      </c>
      <c r="N36" s="8">
        <v>1079</v>
      </c>
      <c r="O36" s="8">
        <v>3224</v>
      </c>
      <c r="P36" s="8">
        <v>2387</v>
      </c>
    </row>
    <row r="37" spans="1:16" x14ac:dyDescent="0.25">
      <c r="A37" s="1">
        <v>24</v>
      </c>
      <c r="B37" t="s">
        <v>17</v>
      </c>
      <c r="G37" s="8">
        <v>3575</v>
      </c>
      <c r="H37" s="8">
        <v>3285</v>
      </c>
      <c r="I37" s="8">
        <v>3217</v>
      </c>
      <c r="J37" s="8">
        <v>3175</v>
      </c>
      <c r="K37" s="8">
        <v>2761</v>
      </c>
      <c r="L37" s="8">
        <v>2856</v>
      </c>
      <c r="M37" s="8">
        <v>2570</v>
      </c>
      <c r="N37" s="8">
        <v>2261</v>
      </c>
      <c r="O37" s="8">
        <v>2143</v>
      </c>
      <c r="P37" s="8">
        <v>2005</v>
      </c>
    </row>
    <row r="38" spans="1:16" x14ac:dyDescent="0.25">
      <c r="A38" s="1">
        <v>25</v>
      </c>
      <c r="B38" t="s">
        <v>55</v>
      </c>
      <c r="D38" s="41"/>
      <c r="E38" s="41"/>
      <c r="F38" s="41"/>
      <c r="G38" s="8">
        <v>0</v>
      </c>
      <c r="H38" s="8">
        <v>0</v>
      </c>
      <c r="I38" s="8">
        <v>0</v>
      </c>
      <c r="J38" s="8">
        <v>0</v>
      </c>
      <c r="K38" s="13">
        <v>-5</v>
      </c>
      <c r="L38" s="8">
        <v>-12</v>
      </c>
      <c r="M38" s="8">
        <v>-15</v>
      </c>
      <c r="N38" s="8">
        <v>-19</v>
      </c>
      <c r="O38" s="8">
        <v>-23</v>
      </c>
      <c r="P38" s="8">
        <v>-26</v>
      </c>
    </row>
    <row r="39" spans="1:16" x14ac:dyDescent="0.25">
      <c r="A39" s="1">
        <v>26</v>
      </c>
      <c r="B39" t="s">
        <v>18</v>
      </c>
      <c r="G39" s="14">
        <v>7323</v>
      </c>
      <c r="H39" s="14">
        <v>9253</v>
      </c>
      <c r="I39" s="14">
        <v>6280</v>
      </c>
      <c r="J39" s="14">
        <v>7662</v>
      </c>
      <c r="K39" s="14">
        <v>8160</v>
      </c>
      <c r="L39" s="14">
        <v>7792</v>
      </c>
      <c r="M39" s="14">
        <v>9301</v>
      </c>
      <c r="N39" s="14">
        <v>9050</v>
      </c>
      <c r="O39" s="14">
        <v>8174</v>
      </c>
      <c r="P39" s="14">
        <v>9231</v>
      </c>
    </row>
    <row r="40" spans="1:16" x14ac:dyDescent="0.25">
      <c r="A40" s="1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x14ac:dyDescent="0.25">
      <c r="A41" s="1">
        <v>27</v>
      </c>
      <c r="B41" t="s">
        <v>19</v>
      </c>
      <c r="G41" s="8">
        <v>67</v>
      </c>
      <c r="H41" s="8">
        <v>37</v>
      </c>
      <c r="I41" s="8">
        <v>-1646</v>
      </c>
      <c r="J41" s="8">
        <v>-2277</v>
      </c>
      <c r="K41" s="8">
        <v>523</v>
      </c>
      <c r="L41" s="8">
        <v>155</v>
      </c>
      <c r="M41" s="8">
        <v>713</v>
      </c>
      <c r="N41" s="8">
        <v>916</v>
      </c>
      <c r="O41" s="8">
        <v>1756</v>
      </c>
      <c r="P41" s="8">
        <v>539</v>
      </c>
    </row>
    <row r="42" spans="1:16" x14ac:dyDescent="0.25">
      <c r="A42" s="1">
        <v>29</v>
      </c>
      <c r="B42" t="s">
        <v>20</v>
      </c>
      <c r="G42" s="8">
        <v>2144</v>
      </c>
      <c r="H42" s="8">
        <v>2157</v>
      </c>
      <c r="I42" s="8">
        <v>2218</v>
      </c>
      <c r="J42" s="8">
        <v>2352</v>
      </c>
      <c r="K42" s="8">
        <v>2447</v>
      </c>
      <c r="L42" s="8">
        <v>2517</v>
      </c>
      <c r="M42" s="8">
        <v>2606</v>
      </c>
      <c r="N42" s="8">
        <v>2643</v>
      </c>
      <c r="O42" s="8">
        <v>2770</v>
      </c>
      <c r="P42" s="8">
        <v>3968</v>
      </c>
    </row>
    <row r="43" spans="1:16" x14ac:dyDescent="0.25">
      <c r="A43" s="1"/>
      <c r="D43" s="41"/>
      <c r="E43" s="41"/>
      <c r="F43" s="41"/>
      <c r="G43" s="3"/>
      <c r="H43" s="3"/>
      <c r="J43" s="3"/>
    </row>
    <row r="44" spans="1:16" ht="15.75" thickBot="1" x14ac:dyDescent="0.3">
      <c r="A44" s="1">
        <v>30</v>
      </c>
      <c r="B44" t="s">
        <v>21</v>
      </c>
      <c r="D44" s="48"/>
      <c r="E44" s="48"/>
      <c r="F44" s="48"/>
      <c r="G44" s="11">
        <v>5246</v>
      </c>
      <c r="H44" s="11">
        <v>7133</v>
      </c>
      <c r="I44" s="11">
        <v>2416</v>
      </c>
      <c r="J44" s="11">
        <v>3033</v>
      </c>
      <c r="K44" s="11">
        <v>6236</v>
      </c>
      <c r="L44" s="11">
        <v>5430</v>
      </c>
      <c r="M44" s="11">
        <v>7408</v>
      </c>
      <c r="N44" s="11">
        <v>7323</v>
      </c>
      <c r="O44" s="11">
        <v>7160</v>
      </c>
      <c r="P44" s="11">
        <v>5802</v>
      </c>
    </row>
    <row r="45" spans="1:16" ht="15.75" thickTop="1" x14ac:dyDescent="0.25">
      <c r="A45" s="1"/>
      <c r="G45" s="3"/>
      <c r="H45" s="3"/>
      <c r="J45" s="3"/>
    </row>
    <row r="46" spans="1:16" x14ac:dyDescent="0.25">
      <c r="A46" s="1"/>
      <c r="B46" s="25"/>
      <c r="J46" s="3"/>
    </row>
    <row r="47" spans="1:16" x14ac:dyDescent="0.25">
      <c r="A47" s="40">
        <v>31</v>
      </c>
      <c r="B47" s="26" t="s">
        <v>22</v>
      </c>
      <c r="J47" s="3"/>
    </row>
    <row r="48" spans="1:16" x14ac:dyDescent="0.25">
      <c r="A48" s="40">
        <v>32</v>
      </c>
      <c r="B48" s="25" t="s">
        <v>23</v>
      </c>
      <c r="G48" s="35">
        <f t="shared" ref="G48:P48" si="0">G42/(G27+G28)</f>
        <v>3.6473129986560743E-2</v>
      </c>
      <c r="H48" s="35">
        <f t="shared" si="0"/>
        <v>4.4167332145709198E-2</v>
      </c>
      <c r="I48" s="35">
        <f t="shared" si="0"/>
        <v>4.3620201384518567E-2</v>
      </c>
      <c r="J48" s="35">
        <f t="shared" si="0"/>
        <v>4.8000000000000001E-2</v>
      </c>
      <c r="K48" s="35">
        <f t="shared" si="0"/>
        <v>4.8455445544554457E-2</v>
      </c>
      <c r="L48" s="35">
        <f t="shared" si="0"/>
        <v>4.8403846153846151E-2</v>
      </c>
      <c r="M48" s="35">
        <f t="shared" si="0"/>
        <v>4.8710280373831773E-2</v>
      </c>
      <c r="N48" s="35">
        <f t="shared" si="0"/>
        <v>4.9401869158878502E-2</v>
      </c>
      <c r="O48" s="35">
        <f t="shared" si="0"/>
        <v>5.036363636363636E-2</v>
      </c>
      <c r="P48" s="35">
        <f t="shared" si="0"/>
        <v>7.0230088495575216E-2</v>
      </c>
    </row>
    <row r="49" spans="1:16" x14ac:dyDescent="0.25">
      <c r="A49" s="40"/>
      <c r="G49" s="1"/>
      <c r="H49" s="1"/>
      <c r="I49" s="1"/>
      <c r="J49" s="34"/>
      <c r="K49" s="1"/>
      <c r="L49" s="1"/>
      <c r="M49" s="1"/>
      <c r="N49" s="1"/>
      <c r="O49" s="1"/>
      <c r="P49" s="1"/>
    </row>
    <row r="50" spans="1:16" x14ac:dyDescent="0.25">
      <c r="A50" s="40">
        <v>33</v>
      </c>
      <c r="B50" s="27" t="s">
        <v>24</v>
      </c>
      <c r="G50" s="1"/>
      <c r="H50" s="1"/>
      <c r="I50" s="1"/>
      <c r="J50" s="34"/>
      <c r="K50" s="1"/>
      <c r="L50" s="1"/>
      <c r="M50" s="1"/>
      <c r="N50" s="1"/>
      <c r="O50" s="1"/>
      <c r="P50" s="1"/>
    </row>
    <row r="51" spans="1:16" x14ac:dyDescent="0.25">
      <c r="A51" s="40">
        <v>34</v>
      </c>
      <c r="B51" t="s">
        <v>25</v>
      </c>
      <c r="G51" s="39" t="e">
        <f>+#REF!</f>
        <v>#REF!</v>
      </c>
      <c r="H51" s="39" t="e">
        <f>+#REF!</f>
        <v>#REF!</v>
      </c>
      <c r="I51" s="39" t="e">
        <f>+#REF!</f>
        <v>#REF!</v>
      </c>
      <c r="J51" s="1">
        <v>4.5199999999999996</v>
      </c>
      <c r="K51" s="1">
        <v>4.4800000000000004</v>
      </c>
      <c r="L51" s="1">
        <v>4.96</v>
      </c>
      <c r="M51" s="1">
        <v>5.87</v>
      </c>
      <c r="N51" s="1">
        <v>5.14</v>
      </c>
      <c r="O51" s="1">
        <v>3.09</v>
      </c>
      <c r="P51" s="1">
        <v>3.46</v>
      </c>
    </row>
    <row r="52" spans="1:16" x14ac:dyDescent="0.25">
      <c r="A52" s="40"/>
      <c r="G52" s="1"/>
      <c r="H52" s="1"/>
      <c r="I52" s="1"/>
      <c r="J52" s="34"/>
      <c r="K52" s="1"/>
      <c r="L52" s="1"/>
      <c r="M52" s="1"/>
      <c r="N52" s="1"/>
      <c r="O52" s="1"/>
      <c r="P52" s="1"/>
    </row>
    <row r="53" spans="1:16" x14ac:dyDescent="0.25">
      <c r="A53" s="40">
        <v>35</v>
      </c>
      <c r="B53" s="27" t="s">
        <v>26</v>
      </c>
      <c r="J53" s="3"/>
    </row>
    <row r="54" spans="1:16" x14ac:dyDescent="0.25">
      <c r="A54" s="40"/>
      <c r="B54" s="27"/>
      <c r="G54" s="1" t="s">
        <v>27</v>
      </c>
      <c r="H54" s="1" t="s">
        <v>27</v>
      </c>
      <c r="I54" s="1" t="s">
        <v>27</v>
      </c>
      <c r="J54" s="28" t="s">
        <v>56</v>
      </c>
    </row>
    <row r="55" spans="1:16" x14ac:dyDescent="0.25">
      <c r="A55" s="40">
        <v>36</v>
      </c>
      <c r="B55" s="27" t="s">
        <v>28</v>
      </c>
      <c r="J55" s="3"/>
    </row>
    <row r="56" spans="1:16" x14ac:dyDescent="0.25">
      <c r="A56" s="40">
        <v>37</v>
      </c>
      <c r="B56" t="s">
        <v>29</v>
      </c>
      <c r="G56" s="1" t="s">
        <v>27</v>
      </c>
      <c r="H56" s="1" t="s">
        <v>27</v>
      </c>
      <c r="I56" s="1" t="s">
        <v>27</v>
      </c>
      <c r="J56" s="8">
        <v>7118170</v>
      </c>
      <c r="K56" s="8">
        <v>7066925</v>
      </c>
      <c r="L56" s="8">
        <v>7002694</v>
      </c>
      <c r="M56" s="8">
        <v>6918725</v>
      </c>
      <c r="N56" s="8">
        <v>6843455</v>
      </c>
      <c r="O56" s="8">
        <v>6777186</v>
      </c>
      <c r="P56" s="8">
        <v>6712804</v>
      </c>
    </row>
    <row r="57" spans="1:16" x14ac:dyDescent="0.25">
      <c r="A57" s="40">
        <v>38</v>
      </c>
      <c r="B57" t="s">
        <v>30</v>
      </c>
      <c r="G57" s="1" t="s">
        <v>27</v>
      </c>
      <c r="H57" s="1" t="s">
        <v>27</v>
      </c>
      <c r="I57" s="1" t="s">
        <v>27</v>
      </c>
      <c r="J57" s="32">
        <v>0.77</v>
      </c>
      <c r="K57" s="32">
        <v>0.78</v>
      </c>
      <c r="L57" s="32">
        <v>0.92</v>
      </c>
      <c r="M57" s="32">
        <v>1.19</v>
      </c>
      <c r="N57" s="32">
        <v>1.05</v>
      </c>
      <c r="O57" s="32">
        <v>0.85</v>
      </c>
      <c r="P57" s="32">
        <v>0.95</v>
      </c>
    </row>
    <row r="58" spans="1:16" x14ac:dyDescent="0.25">
      <c r="A58" s="40">
        <v>39</v>
      </c>
      <c r="B58" t="s">
        <v>31</v>
      </c>
      <c r="G58" s="1" t="s">
        <v>27</v>
      </c>
      <c r="H58" s="1" t="s">
        <v>27</v>
      </c>
      <c r="I58" s="1" t="s">
        <v>27</v>
      </c>
      <c r="J58" s="33">
        <v>1.0375000000000001</v>
      </c>
      <c r="K58" s="32">
        <v>0.82</v>
      </c>
      <c r="L58" s="32">
        <v>0.8</v>
      </c>
      <c r="M58" s="32">
        <v>0.76</v>
      </c>
      <c r="N58" s="32">
        <v>0.72</v>
      </c>
      <c r="O58" s="32">
        <v>0.7</v>
      </c>
      <c r="P58" s="32">
        <v>0.68</v>
      </c>
    </row>
    <row r="59" spans="1:16" x14ac:dyDescent="0.25">
      <c r="A59" s="40">
        <v>40</v>
      </c>
      <c r="B59" t="s">
        <v>32</v>
      </c>
      <c r="G59" s="1" t="s">
        <v>27</v>
      </c>
      <c r="H59" s="1" t="s">
        <v>27</v>
      </c>
      <c r="I59" s="1" t="s">
        <v>27</v>
      </c>
      <c r="J59" s="29">
        <f>+J58/J57</f>
        <v>1.3474025974025974</v>
      </c>
      <c r="K59" s="29">
        <f t="shared" ref="K59:P59" si="1">+K58/K57</f>
        <v>1.0512820512820511</v>
      </c>
      <c r="L59" s="29">
        <f t="shared" si="1"/>
        <v>0.86956521739130432</v>
      </c>
      <c r="M59" s="29">
        <f t="shared" si="1"/>
        <v>0.63865546218487401</v>
      </c>
      <c r="N59" s="29">
        <f t="shared" si="1"/>
        <v>0.68571428571428561</v>
      </c>
      <c r="O59" s="29">
        <f t="shared" si="1"/>
        <v>0.82352941176470584</v>
      </c>
      <c r="P59" s="29">
        <f t="shared" si="1"/>
        <v>0.71578947368421064</v>
      </c>
    </row>
    <row r="60" spans="1:16" x14ac:dyDescent="0.25">
      <c r="A60" s="40"/>
      <c r="J60" s="3"/>
    </row>
    <row r="61" spans="1:16" x14ac:dyDescent="0.25">
      <c r="A61" s="40">
        <v>41</v>
      </c>
      <c r="B61" t="s">
        <v>33</v>
      </c>
      <c r="J61" s="3"/>
    </row>
    <row r="62" spans="1:16" x14ac:dyDescent="0.25">
      <c r="A62" s="40">
        <v>42</v>
      </c>
      <c r="B62" t="s">
        <v>34</v>
      </c>
      <c r="G62" s="1" t="s">
        <v>27</v>
      </c>
      <c r="H62" s="1" t="s">
        <v>27</v>
      </c>
      <c r="I62" s="1" t="s">
        <v>27</v>
      </c>
      <c r="J62" s="1" t="s">
        <v>57</v>
      </c>
      <c r="K62" s="1" t="s">
        <v>58</v>
      </c>
      <c r="L62" s="1" t="s">
        <v>59</v>
      </c>
      <c r="M62" s="1" t="s">
        <v>60</v>
      </c>
      <c r="N62" s="1" t="s">
        <v>61</v>
      </c>
      <c r="O62" s="1" t="s">
        <v>62</v>
      </c>
      <c r="P62" s="1" t="s">
        <v>63</v>
      </c>
    </row>
    <row r="63" spans="1:16" x14ac:dyDescent="0.25">
      <c r="A63" s="40">
        <v>43</v>
      </c>
      <c r="B63" t="s">
        <v>35</v>
      </c>
      <c r="G63" s="1" t="s">
        <v>27</v>
      </c>
      <c r="H63" s="1" t="s">
        <v>27</v>
      </c>
      <c r="I63" s="1" t="s">
        <v>27</v>
      </c>
      <c r="J63" s="1" t="s">
        <v>64</v>
      </c>
      <c r="K63" s="1" t="s">
        <v>65</v>
      </c>
      <c r="L63" s="1" t="s">
        <v>66</v>
      </c>
      <c r="M63" s="1" t="s">
        <v>67</v>
      </c>
      <c r="N63" s="1" t="s">
        <v>68</v>
      </c>
      <c r="O63" s="1" t="s">
        <v>69</v>
      </c>
      <c r="P63" s="1" t="s">
        <v>70</v>
      </c>
    </row>
    <row r="64" spans="1:16" x14ac:dyDescent="0.25">
      <c r="A64" s="40">
        <v>44</v>
      </c>
      <c r="B64" t="s">
        <v>36</v>
      </c>
      <c r="G64" s="1" t="s">
        <v>27</v>
      </c>
      <c r="H64" s="1" t="s">
        <v>27</v>
      </c>
      <c r="I64" s="1" t="s">
        <v>27</v>
      </c>
      <c r="J64" s="1" t="s">
        <v>71</v>
      </c>
      <c r="K64" s="1" t="s">
        <v>72</v>
      </c>
      <c r="L64" s="1" t="s">
        <v>73</v>
      </c>
      <c r="M64" s="1" t="s">
        <v>74</v>
      </c>
      <c r="N64" s="1" t="s">
        <v>75</v>
      </c>
      <c r="O64" s="1" t="s">
        <v>76</v>
      </c>
      <c r="P64" s="1" t="s">
        <v>77</v>
      </c>
    </row>
    <row r="65" spans="1:16" x14ac:dyDescent="0.25">
      <c r="A65" s="40">
        <v>45</v>
      </c>
      <c r="B65" t="s">
        <v>37</v>
      </c>
      <c r="G65" s="1" t="s">
        <v>27</v>
      </c>
      <c r="H65" s="1" t="s">
        <v>27</v>
      </c>
      <c r="I65" s="1" t="s">
        <v>27</v>
      </c>
      <c r="J65" s="1" t="s">
        <v>78</v>
      </c>
      <c r="K65" s="1" t="s">
        <v>79</v>
      </c>
      <c r="L65" s="1" t="s">
        <v>80</v>
      </c>
      <c r="M65" s="1" t="s">
        <v>81</v>
      </c>
      <c r="N65" s="1" t="s">
        <v>82</v>
      </c>
      <c r="O65" s="1" t="s">
        <v>83</v>
      </c>
      <c r="P65" s="1" t="s">
        <v>84</v>
      </c>
    </row>
    <row r="66" spans="1:16" x14ac:dyDescent="0.25">
      <c r="A66" s="40"/>
      <c r="J66" s="3"/>
    </row>
    <row r="67" spans="1:16" x14ac:dyDescent="0.25">
      <c r="A67" s="40">
        <v>46</v>
      </c>
      <c r="B67" s="25" t="s">
        <v>38</v>
      </c>
      <c r="G67" s="1" t="s">
        <v>27</v>
      </c>
      <c r="H67" s="1" t="s">
        <v>27</v>
      </c>
      <c r="I67" s="1" t="s">
        <v>27</v>
      </c>
      <c r="J67" s="30" t="e">
        <f>+#REF!</f>
        <v>#REF!</v>
      </c>
      <c r="K67" s="30" t="e">
        <f>+#REF!</f>
        <v>#REF!</v>
      </c>
      <c r="L67" s="30" t="e">
        <f>+#REF!</f>
        <v>#REF!</v>
      </c>
      <c r="M67" s="30" t="e">
        <f>+#REF!</f>
        <v>#REF!</v>
      </c>
      <c r="N67" s="30" t="e">
        <f>+#REF!</f>
        <v>#REF!</v>
      </c>
      <c r="O67" s="30" t="e">
        <f>+#REF!</f>
        <v>#REF!</v>
      </c>
      <c r="P67" s="30" t="e">
        <f>+#REF!</f>
        <v>#REF!</v>
      </c>
    </row>
    <row r="68" spans="1:16" x14ac:dyDescent="0.25">
      <c r="A68" s="40"/>
      <c r="J68" s="3"/>
    </row>
    <row r="69" spans="1:16" x14ac:dyDescent="0.25">
      <c r="A69" s="40">
        <v>47</v>
      </c>
      <c r="B69" s="26" t="s">
        <v>39</v>
      </c>
      <c r="J69" s="3"/>
    </row>
    <row r="70" spans="1:16" x14ac:dyDescent="0.25">
      <c r="A70" s="40">
        <v>48</v>
      </c>
      <c r="B70" s="25" t="s">
        <v>40</v>
      </c>
      <c r="G70" s="31" t="e">
        <f>+#REF!</f>
        <v>#REF!</v>
      </c>
      <c r="H70" s="31" t="e">
        <f>+#REF!</f>
        <v>#REF!</v>
      </c>
      <c r="I70" s="31" t="e">
        <f>+#REF!</f>
        <v>#REF!</v>
      </c>
      <c r="J70" s="31" t="e">
        <f>+#REF!</f>
        <v>#REF!</v>
      </c>
      <c r="K70" s="31" t="e">
        <f>+#REF!</f>
        <v>#REF!</v>
      </c>
      <c r="L70" s="31" t="e">
        <f>+#REF!</f>
        <v>#REF!</v>
      </c>
      <c r="M70" s="31" t="e">
        <f>+#REF!</f>
        <v>#REF!</v>
      </c>
      <c r="N70" s="31" t="e">
        <f>+#REF!</f>
        <v>#REF!</v>
      </c>
      <c r="O70" s="31" t="e">
        <f>+#REF!</f>
        <v>#REF!</v>
      </c>
      <c r="P70" s="31" t="e">
        <f>+#REF!</f>
        <v>#REF!</v>
      </c>
    </row>
    <row r="71" spans="1:16" x14ac:dyDescent="0.25">
      <c r="A71" s="40">
        <v>49</v>
      </c>
      <c r="B71" s="25" t="s">
        <v>41</v>
      </c>
      <c r="G71" s="31" t="e">
        <f>+#REF!</f>
        <v>#REF!</v>
      </c>
      <c r="H71" s="31" t="e">
        <f>+#REF!</f>
        <v>#REF!</v>
      </c>
      <c r="I71" s="31" t="e">
        <f>+#REF!</f>
        <v>#REF!</v>
      </c>
      <c r="J71" s="31" t="e">
        <f>+#REF!</f>
        <v>#REF!</v>
      </c>
      <c r="K71" s="31" t="e">
        <f>+#REF!</f>
        <v>#REF!</v>
      </c>
      <c r="L71" s="31" t="e">
        <f>+#REF!</f>
        <v>#REF!</v>
      </c>
      <c r="M71" s="31" t="e">
        <f>+#REF!</f>
        <v>#REF!</v>
      </c>
      <c r="N71" s="31" t="e">
        <f>+#REF!</f>
        <v>#REF!</v>
      </c>
      <c r="O71" s="31" t="e">
        <f>+#REF!</f>
        <v>#REF!</v>
      </c>
      <c r="P71" s="31" t="e">
        <f>+#REF!</f>
        <v>#REF!</v>
      </c>
    </row>
    <row r="72" spans="1:16" x14ac:dyDescent="0.25">
      <c r="A72" s="40">
        <v>50</v>
      </c>
      <c r="B72" s="25" t="s">
        <v>42</v>
      </c>
      <c r="G72" s="31" t="e">
        <f>+#REF!</f>
        <v>#REF!</v>
      </c>
      <c r="H72" s="31" t="e">
        <f>+#REF!</f>
        <v>#REF!</v>
      </c>
      <c r="I72" s="31" t="e">
        <f>+#REF!</f>
        <v>#REF!</v>
      </c>
      <c r="J72" s="31" t="e">
        <f>+#REF!</f>
        <v>#REF!</v>
      </c>
      <c r="K72" s="31" t="e">
        <f>+#REF!</f>
        <v>#REF!</v>
      </c>
      <c r="L72" s="31" t="e">
        <f>+#REF!</f>
        <v>#REF!</v>
      </c>
      <c r="M72" s="31" t="e">
        <f>+#REF!</f>
        <v>#REF!</v>
      </c>
      <c r="N72" s="31" t="e">
        <f>+#REF!</f>
        <v>#REF!</v>
      </c>
      <c r="O72" s="31" t="e">
        <f>+#REF!</f>
        <v>#REF!</v>
      </c>
      <c r="P72" s="31" t="e">
        <f>+#REF!</f>
        <v>#REF!</v>
      </c>
    </row>
    <row r="73" spans="1:16" x14ac:dyDescent="0.25">
      <c r="A73" s="25"/>
      <c r="J73" s="34"/>
      <c r="K73" s="1"/>
      <c r="L73" s="1"/>
      <c r="M73" s="1"/>
      <c r="N73" s="1"/>
      <c r="O73" s="1"/>
      <c r="P73" s="1"/>
    </row>
    <row r="74" spans="1:16" x14ac:dyDescent="0.25">
      <c r="A74" s="40">
        <v>51</v>
      </c>
      <c r="B74" s="26" t="s">
        <v>43</v>
      </c>
      <c r="G74" s="31" t="e">
        <f>+#REF!</f>
        <v>#REF!</v>
      </c>
      <c r="H74" s="31" t="e">
        <f>+#REF!</f>
        <v>#REF!</v>
      </c>
      <c r="I74" s="31" t="e">
        <f>+#REF!</f>
        <v>#REF!</v>
      </c>
      <c r="J74" s="31">
        <v>2.7E-2</v>
      </c>
      <c r="K74" s="31">
        <v>2.8000000000000001E-2</v>
      </c>
      <c r="L74" s="31">
        <v>2.8000000000000001E-2</v>
      </c>
      <c r="M74" s="31">
        <v>2.8000000000000001E-2</v>
      </c>
      <c r="N74" s="31">
        <v>2.9000000000000001E-2</v>
      </c>
      <c r="O74" s="31">
        <v>2.9000000000000001E-2</v>
      </c>
      <c r="P74" s="31">
        <v>2.5999999999999999E-2</v>
      </c>
    </row>
    <row r="75" spans="1:16" x14ac:dyDescent="0.25">
      <c r="A75" s="25"/>
      <c r="J75" s="3"/>
    </row>
    <row r="76" spans="1:16" x14ac:dyDescent="0.25">
      <c r="A76" s="25"/>
      <c r="J76" s="3"/>
    </row>
    <row r="77" spans="1:16" x14ac:dyDescent="0.25">
      <c r="B77" t="s">
        <v>44</v>
      </c>
      <c r="J77" s="3"/>
    </row>
    <row r="78" spans="1:16" x14ac:dyDescent="0.25">
      <c r="J78" s="3"/>
    </row>
    <row r="79" spans="1:16" x14ac:dyDescent="0.25">
      <c r="J79" s="3"/>
    </row>
    <row r="80" spans="1:16" x14ac:dyDescent="0.25">
      <c r="J80" s="3"/>
    </row>
    <row r="81" spans="10:10" x14ac:dyDescent="0.25">
      <c r="J81" s="3"/>
    </row>
    <row r="82" spans="10:10" x14ac:dyDescent="0.25">
      <c r="J82" s="3"/>
    </row>
    <row r="83" spans="10:10" x14ac:dyDescent="0.25">
      <c r="J83" s="3"/>
    </row>
    <row r="84" spans="10:10" x14ac:dyDescent="0.25">
      <c r="J84" s="3"/>
    </row>
    <row r="85" spans="10:10" x14ac:dyDescent="0.25">
      <c r="J85" s="3"/>
    </row>
    <row r="86" spans="10:10" x14ac:dyDescent="0.25">
      <c r="J86" s="3"/>
    </row>
    <row r="87" spans="10:10" x14ac:dyDescent="0.25">
      <c r="J87" s="3"/>
    </row>
    <row r="88" spans="10:10" x14ac:dyDescent="0.25">
      <c r="J88" s="3"/>
    </row>
    <row r="89" spans="10:10" x14ac:dyDescent="0.25">
      <c r="J89" s="3"/>
    </row>
    <row r="90" spans="10:10" x14ac:dyDescent="0.25">
      <c r="J90" s="3"/>
    </row>
    <row r="91" spans="10:10" x14ac:dyDescent="0.25">
      <c r="J91" s="3"/>
    </row>
    <row r="92" spans="10:10" x14ac:dyDescent="0.25">
      <c r="J92" s="3"/>
    </row>
    <row r="93" spans="10:10" x14ac:dyDescent="0.25">
      <c r="J93" s="3"/>
    </row>
    <row r="94" spans="10:10" x14ac:dyDescent="0.25">
      <c r="J94" s="3"/>
    </row>
    <row r="95" spans="10:10" x14ac:dyDescent="0.25">
      <c r="J95" s="3"/>
    </row>
    <row r="96" spans="10:10" x14ac:dyDescent="0.25">
      <c r="J96" s="3"/>
    </row>
    <row r="97" spans="10:10" x14ac:dyDescent="0.25">
      <c r="J97" s="3"/>
    </row>
    <row r="98" spans="10:10" x14ac:dyDescent="0.25">
      <c r="J98" s="3"/>
    </row>
    <row r="99" spans="10:10" x14ac:dyDescent="0.25">
      <c r="J99" s="3"/>
    </row>
  </sheetData>
  <pageMargins left="0.7" right="0.7" top="0.75" bottom="0.75" header="0.3" footer="0.3"/>
  <pageSetup scale="60" fitToHeight="0" orientation="landscape" r:id="rId1"/>
  <rowBreaks count="1" manualBreakCount="1">
    <brk id="45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8"/>
  <sheetViews>
    <sheetView zoomScaleNormal="100" workbookViewId="0">
      <pane xSplit="3" ySplit="8" topLeftCell="D37" activePane="bottomRight" state="frozen"/>
      <selection activeCell="A39" sqref="A39:XFD39"/>
      <selection pane="topRight" activeCell="A39" sqref="A39:XFD39"/>
      <selection pane="bottomLeft" activeCell="A39" sqref="A39:XFD39"/>
      <selection pane="bottomRight" activeCell="A39" sqref="A39:XFD39"/>
    </sheetView>
  </sheetViews>
  <sheetFormatPr defaultRowHeight="15" x14ac:dyDescent="0.25"/>
  <cols>
    <col min="1" max="1" width="8" bestFit="1" customWidth="1"/>
    <col min="2" max="2" width="5.5703125" customWidth="1"/>
    <col min="3" max="3" width="50.5703125" customWidth="1"/>
    <col min="4" max="9" width="11.85546875" bestFit="1" customWidth="1"/>
    <col min="10" max="11" width="11.140625" bestFit="1" customWidth="1"/>
    <col min="12" max="12" width="11.5703125" customWidth="1"/>
    <col min="14" max="14" width="11.140625" style="36" bestFit="1" customWidth="1"/>
    <col min="16" max="16" width="12.85546875" bestFit="1" customWidth="1"/>
  </cols>
  <sheetData>
    <row r="1" spans="1:20" x14ac:dyDescent="0.25">
      <c r="C1" s="45" t="s">
        <v>0</v>
      </c>
      <c r="D1" s="19"/>
      <c r="E1" s="8"/>
      <c r="F1" s="16"/>
    </row>
    <row r="2" spans="1:20" x14ac:dyDescent="0.25">
      <c r="C2" s="45" t="s">
        <v>95</v>
      </c>
      <c r="D2" s="46"/>
      <c r="E2" s="8"/>
      <c r="F2" s="16"/>
    </row>
    <row r="3" spans="1:20" x14ac:dyDescent="0.25">
      <c r="C3" s="45" t="s">
        <v>1</v>
      </c>
      <c r="D3" s="8"/>
      <c r="E3" s="8"/>
      <c r="F3" s="16"/>
    </row>
    <row r="4" spans="1:20" x14ac:dyDescent="0.25">
      <c r="E4" s="17"/>
      <c r="F4" s="16"/>
    </row>
    <row r="5" spans="1:20" x14ac:dyDescent="0.25">
      <c r="A5" t="s">
        <v>85</v>
      </c>
      <c r="E5" s="17"/>
      <c r="F5" s="16"/>
    </row>
    <row r="7" spans="1:20" x14ac:dyDescent="0.25">
      <c r="A7" t="s">
        <v>2</v>
      </c>
      <c r="B7" t="s">
        <v>3</v>
      </c>
    </row>
    <row r="8" spans="1:20" x14ac:dyDescent="0.25">
      <c r="D8" s="1">
        <v>2020</v>
      </c>
      <c r="E8" s="1">
        <v>2019</v>
      </c>
      <c r="F8" s="1">
        <v>2018</v>
      </c>
      <c r="G8" s="1">
        <v>2017</v>
      </c>
      <c r="H8" s="1">
        <v>2016</v>
      </c>
      <c r="I8" s="1">
        <v>2015</v>
      </c>
      <c r="J8" s="1">
        <v>2014</v>
      </c>
      <c r="K8" s="1" t="s">
        <v>86</v>
      </c>
      <c r="L8" s="1" t="s">
        <v>87</v>
      </c>
      <c r="M8" s="1" t="s">
        <v>88</v>
      </c>
    </row>
    <row r="9" spans="1:20" x14ac:dyDescent="0.25">
      <c r="A9" s="1">
        <v>1</v>
      </c>
      <c r="B9" t="s">
        <v>4</v>
      </c>
    </row>
    <row r="10" spans="1:20" x14ac:dyDescent="0.25">
      <c r="A10" s="1">
        <v>2</v>
      </c>
      <c r="B10" t="s">
        <v>5</v>
      </c>
    </row>
    <row r="11" spans="1:20" x14ac:dyDescent="0.25">
      <c r="A11" s="1">
        <v>3</v>
      </c>
      <c r="C11" t="s">
        <v>45</v>
      </c>
      <c r="D11" s="6">
        <v>2872</v>
      </c>
      <c r="E11" s="6">
        <v>2508</v>
      </c>
      <c r="F11" s="6">
        <v>2421</v>
      </c>
      <c r="G11" s="6">
        <v>2251</v>
      </c>
      <c r="H11" s="6">
        <v>2026</v>
      </c>
      <c r="I11" s="6">
        <v>1798</v>
      </c>
      <c r="J11" s="6">
        <v>1616</v>
      </c>
      <c r="K11" s="6">
        <v>1355</v>
      </c>
      <c r="L11" s="15"/>
      <c r="M11" s="15"/>
    </row>
    <row r="12" spans="1:20" x14ac:dyDescent="0.25">
      <c r="A12" s="1">
        <v>4</v>
      </c>
      <c r="C12" t="s">
        <v>51</v>
      </c>
      <c r="D12" s="18">
        <v>2872</v>
      </c>
      <c r="E12" s="18">
        <v>2508</v>
      </c>
      <c r="F12" s="18">
        <v>2421</v>
      </c>
      <c r="G12" s="18">
        <v>2251</v>
      </c>
      <c r="H12" s="18">
        <v>2026</v>
      </c>
      <c r="I12" s="18">
        <v>1798</v>
      </c>
      <c r="J12" s="18">
        <v>1616</v>
      </c>
      <c r="K12" s="18">
        <v>1355</v>
      </c>
      <c r="L12" s="15"/>
      <c r="M12" s="15"/>
      <c r="O12" s="2"/>
      <c r="P12" s="2"/>
    </row>
    <row r="13" spans="1:20" x14ac:dyDescent="0.25">
      <c r="A13" s="1">
        <v>5</v>
      </c>
      <c r="C13" t="s">
        <v>6</v>
      </c>
      <c r="D13" s="19">
        <v>848</v>
      </c>
      <c r="E13" s="19">
        <v>732</v>
      </c>
      <c r="F13" s="19">
        <v>696</v>
      </c>
      <c r="G13" s="19">
        <v>608</v>
      </c>
      <c r="H13" s="19">
        <v>663</v>
      </c>
      <c r="I13" s="19">
        <v>725</v>
      </c>
      <c r="J13" s="19">
        <v>668</v>
      </c>
      <c r="K13" s="19">
        <v>588</v>
      </c>
      <c r="L13" s="15"/>
      <c r="M13" s="15"/>
      <c r="O13" s="2"/>
      <c r="P13" s="2"/>
      <c r="Q13" s="2"/>
      <c r="R13" s="2"/>
      <c r="S13" s="2"/>
      <c r="T13" s="2"/>
    </row>
    <row r="14" spans="1:20" x14ac:dyDescent="0.25">
      <c r="A14" s="1">
        <v>6</v>
      </c>
      <c r="C14" t="s">
        <v>7</v>
      </c>
      <c r="D14" s="14">
        <v>2024</v>
      </c>
      <c r="E14" s="14">
        <v>1776</v>
      </c>
      <c r="F14" s="14">
        <v>1725</v>
      </c>
      <c r="G14" s="14">
        <v>1643</v>
      </c>
      <c r="H14" s="14">
        <v>1363</v>
      </c>
      <c r="I14" s="14">
        <v>1073</v>
      </c>
      <c r="J14" s="14">
        <v>948</v>
      </c>
      <c r="K14" s="14">
        <v>767</v>
      </c>
      <c r="L14" s="15"/>
      <c r="M14" s="15"/>
      <c r="O14" s="2"/>
      <c r="P14" s="2"/>
      <c r="Q14" s="2"/>
      <c r="R14" s="2"/>
      <c r="S14" s="2"/>
      <c r="T14" s="2"/>
    </row>
    <row r="15" spans="1:20" x14ac:dyDescent="0.25">
      <c r="A15" s="1">
        <v>7</v>
      </c>
      <c r="D15" s="8"/>
      <c r="E15" s="8"/>
      <c r="F15" s="8"/>
      <c r="G15" s="8"/>
      <c r="H15" s="8"/>
      <c r="I15" s="8"/>
      <c r="J15" s="8"/>
      <c r="K15" s="8"/>
      <c r="L15" s="15"/>
      <c r="M15" s="15"/>
    </row>
    <row r="16" spans="1:20" x14ac:dyDescent="0.25">
      <c r="A16" s="1">
        <v>8</v>
      </c>
      <c r="B16" t="s">
        <v>52</v>
      </c>
      <c r="D16" s="19">
        <v>10</v>
      </c>
      <c r="E16" s="19">
        <v>69</v>
      </c>
      <c r="F16" s="19">
        <v>38</v>
      </c>
      <c r="G16" s="19">
        <v>18</v>
      </c>
      <c r="H16" s="19">
        <v>51</v>
      </c>
      <c r="I16" s="19">
        <v>107</v>
      </c>
      <c r="J16" s="19">
        <v>25</v>
      </c>
      <c r="K16" s="19">
        <v>74</v>
      </c>
      <c r="L16" s="15"/>
      <c r="M16" s="15"/>
      <c r="O16" s="2"/>
      <c r="P16" s="2"/>
    </row>
    <row r="17" spans="1:16" x14ac:dyDescent="0.25">
      <c r="A17" s="1"/>
      <c r="D17" s="8"/>
      <c r="E17" s="8"/>
      <c r="F17" s="8"/>
      <c r="G17" s="8"/>
      <c r="H17" s="8"/>
      <c r="I17" s="8"/>
      <c r="J17" s="8"/>
      <c r="K17" s="8"/>
      <c r="L17" s="15"/>
      <c r="M17" s="15"/>
    </row>
    <row r="18" spans="1:16" ht="15.75" thickBot="1" x14ac:dyDescent="0.3">
      <c r="A18" s="1">
        <v>9</v>
      </c>
      <c r="B18" t="s">
        <v>53</v>
      </c>
      <c r="D18" s="11">
        <v>2034</v>
      </c>
      <c r="E18" s="11">
        <v>1845</v>
      </c>
      <c r="F18" s="20">
        <v>1763</v>
      </c>
      <c r="G18" s="20">
        <v>1661</v>
      </c>
      <c r="H18" s="20">
        <v>1414</v>
      </c>
      <c r="I18" s="20">
        <v>1180</v>
      </c>
      <c r="J18" s="20">
        <v>973</v>
      </c>
      <c r="K18" s="20">
        <v>841</v>
      </c>
      <c r="L18" s="15"/>
      <c r="M18" s="15"/>
      <c r="O18" s="2"/>
      <c r="P18" s="2"/>
    </row>
    <row r="19" spans="1:16" ht="15.75" thickTop="1" x14ac:dyDescent="0.25">
      <c r="A19" s="1"/>
      <c r="D19" s="8"/>
      <c r="E19" s="8"/>
      <c r="F19" s="8"/>
      <c r="G19" s="8"/>
      <c r="H19" s="8"/>
      <c r="I19" s="8"/>
      <c r="J19" s="8"/>
      <c r="K19" s="8"/>
      <c r="L19" s="15"/>
      <c r="M19" s="15"/>
    </row>
    <row r="20" spans="1:16" x14ac:dyDescent="0.25">
      <c r="A20" s="1">
        <v>10</v>
      </c>
      <c r="B20" t="s">
        <v>8</v>
      </c>
      <c r="D20" s="8"/>
      <c r="E20" s="8"/>
      <c r="F20" s="8"/>
      <c r="G20" s="8"/>
      <c r="H20" s="8"/>
      <c r="I20" s="8"/>
      <c r="J20" s="8"/>
      <c r="K20" s="8"/>
      <c r="L20" s="15"/>
      <c r="M20" s="15"/>
    </row>
    <row r="21" spans="1:16" x14ac:dyDescent="0.25">
      <c r="A21" s="1">
        <v>11</v>
      </c>
      <c r="B21" t="s">
        <v>5</v>
      </c>
      <c r="D21" s="8"/>
      <c r="E21" s="8"/>
      <c r="F21" s="8"/>
      <c r="G21" s="8"/>
      <c r="H21" s="8"/>
      <c r="I21" s="8"/>
      <c r="J21" s="8"/>
      <c r="K21" s="8"/>
      <c r="L21" s="15"/>
      <c r="M21" s="15"/>
    </row>
    <row r="22" spans="1:16" x14ac:dyDescent="0.25">
      <c r="A22" s="1">
        <v>12</v>
      </c>
      <c r="B22" t="s">
        <v>9</v>
      </c>
      <c r="D22" s="21">
        <v>758</v>
      </c>
      <c r="E22" s="21">
        <v>5186</v>
      </c>
      <c r="F22" s="21">
        <v>4380</v>
      </c>
      <c r="G22" s="21">
        <v>3185</v>
      </c>
      <c r="H22" s="21">
        <v>2046</v>
      </c>
      <c r="I22" s="21">
        <v>1173</v>
      </c>
      <c r="J22" s="21">
        <v>542</v>
      </c>
      <c r="K22" s="21">
        <v>0</v>
      </c>
      <c r="L22" s="15"/>
      <c r="M22" s="15"/>
      <c r="O22" s="2"/>
      <c r="P22" s="2"/>
    </row>
    <row r="23" spans="1:16" x14ac:dyDescent="0.25">
      <c r="A23" s="1">
        <v>13</v>
      </c>
      <c r="B23" t="s">
        <v>10</v>
      </c>
      <c r="D23" s="19">
        <v>319</v>
      </c>
      <c r="E23" s="19">
        <v>319</v>
      </c>
      <c r="F23" s="19">
        <v>319</v>
      </c>
      <c r="G23" s="19">
        <v>319</v>
      </c>
      <c r="H23" s="19">
        <v>319</v>
      </c>
      <c r="I23" s="19">
        <v>500</v>
      </c>
      <c r="J23" s="19">
        <v>500</v>
      </c>
      <c r="K23" s="19">
        <v>500</v>
      </c>
      <c r="L23" s="15"/>
      <c r="M23" s="15"/>
      <c r="O23" s="2"/>
      <c r="P23" s="2"/>
    </row>
    <row r="24" spans="1:16" x14ac:dyDescent="0.25">
      <c r="A24" s="1">
        <v>14</v>
      </c>
      <c r="B24" t="s">
        <v>11</v>
      </c>
      <c r="D24" s="19">
        <v>1140</v>
      </c>
      <c r="E24" s="19">
        <v>-3834</v>
      </c>
      <c r="F24" s="19">
        <v>-3040</v>
      </c>
      <c r="G24" s="19">
        <v>-2089</v>
      </c>
      <c r="H24" s="19">
        <v>-1350</v>
      </c>
      <c r="I24" s="19">
        <v>-702</v>
      </c>
      <c r="J24" s="19">
        <v>-338</v>
      </c>
      <c r="K24" s="19">
        <v>66</v>
      </c>
      <c r="L24" s="15"/>
      <c r="M24" s="15"/>
      <c r="O24" s="2"/>
      <c r="P24" s="2"/>
    </row>
    <row r="25" spans="1:16" ht="15.75" thickBot="1" x14ac:dyDescent="0.3">
      <c r="A25" s="1">
        <v>15</v>
      </c>
      <c r="B25" t="s">
        <v>12</v>
      </c>
      <c r="D25" s="11">
        <v>2217</v>
      </c>
      <c r="E25" s="11">
        <v>1671</v>
      </c>
      <c r="F25" s="11">
        <v>1659</v>
      </c>
      <c r="G25" s="11">
        <v>1415</v>
      </c>
      <c r="H25" s="11">
        <v>1015</v>
      </c>
      <c r="I25" s="11">
        <v>971</v>
      </c>
      <c r="J25" s="11">
        <v>704</v>
      </c>
      <c r="K25" s="11">
        <v>566</v>
      </c>
      <c r="L25" s="15"/>
      <c r="M25" s="15"/>
    </row>
    <row r="26" spans="1:16" ht="15.75" thickTop="1" x14ac:dyDescent="0.25">
      <c r="A26" s="1"/>
      <c r="D26" s="7"/>
      <c r="E26" s="7"/>
      <c r="F26" s="7"/>
      <c r="G26" s="7"/>
      <c r="H26" s="7"/>
      <c r="I26" s="7"/>
      <c r="J26" s="7"/>
      <c r="K26" s="7"/>
      <c r="L26" s="15"/>
      <c r="M26" s="15"/>
    </row>
    <row r="27" spans="1:16" x14ac:dyDescent="0.25">
      <c r="A27" s="1">
        <v>16</v>
      </c>
      <c r="B27" t="s">
        <v>13</v>
      </c>
      <c r="D27" s="8"/>
      <c r="E27" s="8"/>
      <c r="F27" s="8"/>
      <c r="G27" s="8"/>
      <c r="H27" s="8"/>
      <c r="I27" s="8"/>
      <c r="J27" s="8"/>
      <c r="K27" s="8"/>
      <c r="L27" s="15"/>
      <c r="M27" s="15"/>
    </row>
    <row r="28" spans="1:16" x14ac:dyDescent="0.25">
      <c r="A28" s="1">
        <v>17</v>
      </c>
      <c r="B28" t="s">
        <v>14</v>
      </c>
      <c r="D28" s="6">
        <v>1338</v>
      </c>
      <c r="E28" s="6">
        <v>1794</v>
      </c>
      <c r="F28" s="6">
        <v>1715</v>
      </c>
      <c r="G28" s="6">
        <v>1440</v>
      </c>
      <c r="H28" s="6">
        <v>1541</v>
      </c>
      <c r="I28" s="6">
        <v>1797</v>
      </c>
      <c r="J28" s="6">
        <v>2277</v>
      </c>
      <c r="K28" s="6">
        <v>132</v>
      </c>
      <c r="L28" s="15"/>
      <c r="M28" s="15"/>
    </row>
    <row r="29" spans="1:16" x14ac:dyDescent="0.25">
      <c r="A29" s="1">
        <v>18</v>
      </c>
      <c r="B29" t="s">
        <v>15</v>
      </c>
      <c r="D29" s="8">
        <v>2199</v>
      </c>
      <c r="E29" s="8">
        <v>2679</v>
      </c>
      <c r="F29" s="8">
        <v>2718</v>
      </c>
      <c r="G29" s="8">
        <v>2498</v>
      </c>
      <c r="H29" s="8">
        <v>2446</v>
      </c>
      <c r="I29" s="8">
        <v>2459</v>
      </c>
      <c r="J29" s="8">
        <v>2696</v>
      </c>
      <c r="K29" s="8">
        <v>182</v>
      </c>
      <c r="L29" s="15"/>
      <c r="M29" s="15"/>
      <c r="P29" s="37"/>
    </row>
    <row r="30" spans="1:16" x14ac:dyDescent="0.25">
      <c r="A30" s="1">
        <v>19</v>
      </c>
      <c r="B30" t="s">
        <v>16</v>
      </c>
      <c r="D30" s="8">
        <v>-251</v>
      </c>
      <c r="E30" s="8">
        <v>-353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5"/>
      <c r="M30" s="15"/>
    </row>
    <row r="31" spans="1:16" x14ac:dyDescent="0.25">
      <c r="A31" s="1">
        <v>20</v>
      </c>
      <c r="B31" t="s">
        <v>54</v>
      </c>
      <c r="D31" s="8">
        <v>0</v>
      </c>
      <c r="E31" s="8">
        <v>-37</v>
      </c>
      <c r="F31" s="8">
        <v>-311</v>
      </c>
      <c r="G31" s="8">
        <v>-474</v>
      </c>
      <c r="H31" s="8">
        <v>-390</v>
      </c>
      <c r="I31" s="8">
        <v>-297</v>
      </c>
      <c r="J31" s="8">
        <v>-189</v>
      </c>
      <c r="K31" s="8">
        <v>-20</v>
      </c>
      <c r="L31" s="15"/>
      <c r="M31" s="15"/>
    </row>
    <row r="32" spans="1:16" x14ac:dyDescent="0.25">
      <c r="A32" s="1">
        <v>21</v>
      </c>
      <c r="B32" t="s">
        <v>17</v>
      </c>
      <c r="D32" s="8">
        <v>99</v>
      </c>
      <c r="E32" s="8">
        <v>114</v>
      </c>
      <c r="F32" s="8">
        <v>93</v>
      </c>
      <c r="G32" s="8">
        <v>74</v>
      </c>
      <c r="H32" s="8">
        <v>63</v>
      </c>
      <c r="I32" s="8">
        <v>72</v>
      </c>
      <c r="J32" s="8">
        <v>44</v>
      </c>
      <c r="K32" s="8">
        <v>2</v>
      </c>
      <c r="L32" s="15"/>
      <c r="M32" s="15"/>
    </row>
    <row r="33" spans="1:16" x14ac:dyDescent="0.25">
      <c r="A33" s="1">
        <v>22</v>
      </c>
      <c r="B33" t="s">
        <v>89</v>
      </c>
      <c r="D33" s="14">
        <v>-709</v>
      </c>
      <c r="E33" s="14">
        <v>-609</v>
      </c>
      <c r="F33" s="14">
        <v>-785</v>
      </c>
      <c r="G33" s="14">
        <v>-658</v>
      </c>
      <c r="H33" s="14">
        <v>-578</v>
      </c>
      <c r="I33" s="14">
        <v>-437</v>
      </c>
      <c r="J33" s="14">
        <v>-274</v>
      </c>
      <c r="K33" s="14">
        <v>-32</v>
      </c>
      <c r="L33" s="15"/>
      <c r="M33" s="15"/>
      <c r="P33" s="32"/>
    </row>
    <row r="34" spans="1:16" x14ac:dyDescent="0.25">
      <c r="A34" s="1"/>
      <c r="D34" s="14"/>
      <c r="E34" s="14"/>
      <c r="F34" s="14"/>
      <c r="G34" s="14"/>
      <c r="H34" s="14"/>
      <c r="I34" s="14"/>
      <c r="J34" s="14"/>
      <c r="K34" s="14"/>
      <c r="L34" s="15"/>
      <c r="M34" s="15"/>
    </row>
    <row r="35" spans="1:16" x14ac:dyDescent="0.25">
      <c r="A35" s="1">
        <v>23</v>
      </c>
      <c r="B35" t="s">
        <v>19</v>
      </c>
      <c r="D35" s="8">
        <v>16</v>
      </c>
      <c r="E35" s="8">
        <v>12</v>
      </c>
      <c r="F35" s="8">
        <v>18</v>
      </c>
      <c r="G35" s="8">
        <v>20</v>
      </c>
      <c r="H35" s="8">
        <v>15</v>
      </c>
      <c r="I35" s="8">
        <v>0</v>
      </c>
      <c r="J35" s="8">
        <v>0</v>
      </c>
      <c r="K35" s="8">
        <v>0</v>
      </c>
      <c r="L35" s="15"/>
      <c r="M35" s="15"/>
    </row>
    <row r="36" spans="1:16" x14ac:dyDescent="0.25">
      <c r="A36" s="1">
        <v>24</v>
      </c>
      <c r="B36" t="s">
        <v>20</v>
      </c>
      <c r="D36" s="8">
        <v>114</v>
      </c>
      <c r="E36" s="8">
        <v>200</v>
      </c>
      <c r="F36" s="8">
        <v>164</v>
      </c>
      <c r="G36" s="8">
        <v>99</v>
      </c>
      <c r="H36" s="8">
        <v>52</v>
      </c>
      <c r="I36" s="8">
        <v>32</v>
      </c>
      <c r="J36" s="8">
        <v>24</v>
      </c>
      <c r="K36" s="8">
        <v>0</v>
      </c>
      <c r="L36" s="15"/>
      <c r="M36" s="15"/>
    </row>
    <row r="37" spans="1:16" x14ac:dyDescent="0.25">
      <c r="A37" s="1"/>
      <c r="D37" s="8"/>
      <c r="E37" s="8"/>
      <c r="F37" s="8"/>
      <c r="G37" s="8"/>
      <c r="H37" s="8"/>
      <c r="I37" s="8"/>
      <c r="J37" s="8"/>
      <c r="K37" s="8"/>
      <c r="L37" s="15"/>
      <c r="M37" s="15"/>
    </row>
    <row r="38" spans="1:16" ht="15.75" thickBot="1" x14ac:dyDescent="0.3">
      <c r="A38" s="1">
        <v>25</v>
      </c>
      <c r="B38" t="s">
        <v>21</v>
      </c>
      <c r="D38" s="11">
        <v>-823</v>
      </c>
      <c r="E38" s="11">
        <v>-801</v>
      </c>
      <c r="F38" s="11">
        <v>-937</v>
      </c>
      <c r="G38" s="11">
        <v>-741</v>
      </c>
      <c r="H38" s="11">
        <v>-615</v>
      </c>
      <c r="I38" s="11">
        <v>-469</v>
      </c>
      <c r="J38" s="11">
        <v>-298</v>
      </c>
      <c r="K38" s="11">
        <v>-32</v>
      </c>
      <c r="L38" s="15"/>
      <c r="M38" s="15"/>
    </row>
    <row r="39" spans="1:16" ht="15.75" thickTop="1" x14ac:dyDescent="0.25">
      <c r="A39" s="1"/>
      <c r="D39" s="3"/>
      <c r="E39" s="3"/>
      <c r="F39" s="3"/>
      <c r="G39" s="3"/>
      <c r="H39" s="3"/>
      <c r="I39" s="3"/>
      <c r="J39" s="3"/>
      <c r="K39" s="3"/>
    </row>
    <row r="40" spans="1:16" x14ac:dyDescent="0.25">
      <c r="B40" s="25"/>
    </row>
    <row r="41" spans="1:16" x14ac:dyDescent="0.25">
      <c r="A41" s="1">
        <v>26</v>
      </c>
      <c r="B41" s="26" t="s">
        <v>22</v>
      </c>
    </row>
    <row r="42" spans="1:16" x14ac:dyDescent="0.25">
      <c r="A42" s="1">
        <v>27</v>
      </c>
      <c r="B42" s="25" t="s">
        <v>23</v>
      </c>
      <c r="D42" s="29">
        <f>+D36/(D22+D23)</f>
        <v>0.10584958217270195</v>
      </c>
      <c r="E42" s="29">
        <f t="shared" ref="E42:K42" si="0">+E36/(E22+E23)</f>
        <v>3.6330608537693009E-2</v>
      </c>
      <c r="F42" s="29">
        <f t="shared" si="0"/>
        <v>3.4901042775058524E-2</v>
      </c>
      <c r="G42" s="29">
        <f t="shared" si="0"/>
        <v>2.8253424657534245E-2</v>
      </c>
      <c r="H42" s="29">
        <f t="shared" si="0"/>
        <v>2.1987315010570826E-2</v>
      </c>
      <c r="I42" s="29">
        <f t="shared" si="0"/>
        <v>1.9127316198445904E-2</v>
      </c>
      <c r="J42" s="29">
        <f t="shared" si="0"/>
        <v>2.3032629558541268E-2</v>
      </c>
      <c r="K42" s="29">
        <f t="shared" si="0"/>
        <v>0</v>
      </c>
    </row>
    <row r="43" spans="1:16" x14ac:dyDescent="0.25">
      <c r="A43" s="1">
        <v>28</v>
      </c>
    </row>
    <row r="44" spans="1:16" x14ac:dyDescent="0.25">
      <c r="A44" s="1">
        <v>29</v>
      </c>
      <c r="B44" s="27" t="s">
        <v>24</v>
      </c>
    </row>
    <row r="45" spans="1:16" x14ac:dyDescent="0.25">
      <c r="A45" s="1">
        <v>30</v>
      </c>
      <c r="B45" t="s">
        <v>25</v>
      </c>
      <c r="D45" s="44" t="e">
        <f>+#REF!</f>
        <v>#REF!</v>
      </c>
      <c r="E45" s="44" t="e">
        <f>+#REF!</f>
        <v>#REF!</v>
      </c>
      <c r="F45" s="44" t="e">
        <f>+#REF!</f>
        <v>#REF!</v>
      </c>
      <c r="G45" s="44" t="e">
        <f>+#REF!</f>
        <v>#REF!</v>
      </c>
      <c r="H45" s="44" t="e">
        <f>+#REF!</f>
        <v>#REF!</v>
      </c>
      <c r="I45" s="44" t="e">
        <f>+#REF!</f>
        <v>#REF!</v>
      </c>
      <c r="J45" s="44" t="e">
        <f>+#REF!</f>
        <v>#REF!</v>
      </c>
      <c r="K45" s="44">
        <v>0</v>
      </c>
    </row>
    <row r="46" spans="1:16" x14ac:dyDescent="0.25">
      <c r="A46" s="1"/>
    </row>
    <row r="47" spans="1:16" x14ac:dyDescent="0.25">
      <c r="A47" s="1">
        <v>31</v>
      </c>
      <c r="B47" s="27" t="s">
        <v>90</v>
      </c>
      <c r="D47" s="27" t="s">
        <v>91</v>
      </c>
    </row>
    <row r="48" spans="1:16" x14ac:dyDescent="0.25">
      <c r="A48" s="1"/>
      <c r="B48" s="27"/>
    </row>
    <row r="49" spans="1:11" x14ac:dyDescent="0.25">
      <c r="A49" s="1">
        <v>32</v>
      </c>
      <c r="B49" s="27" t="s">
        <v>92</v>
      </c>
      <c r="D49" s="27" t="s">
        <v>91</v>
      </c>
    </row>
    <row r="50" spans="1:11" x14ac:dyDescent="0.25">
      <c r="A50" s="1"/>
    </row>
    <row r="51" spans="1:11" x14ac:dyDescent="0.25">
      <c r="A51" s="1">
        <v>33</v>
      </c>
      <c r="B51" s="26" t="s">
        <v>39</v>
      </c>
    </row>
    <row r="52" spans="1:11" x14ac:dyDescent="0.25">
      <c r="A52" s="1">
        <v>34</v>
      </c>
      <c r="B52" s="25" t="s">
        <v>40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</row>
    <row r="53" spans="1:11" x14ac:dyDescent="0.25">
      <c r="A53" s="1">
        <v>35</v>
      </c>
      <c r="B53" s="25" t="s">
        <v>41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</row>
    <row r="54" spans="1:11" x14ac:dyDescent="0.25">
      <c r="A54" s="1">
        <v>36</v>
      </c>
      <c r="B54" s="25" t="s">
        <v>42</v>
      </c>
      <c r="D54" s="42" t="e">
        <f>+#REF!</f>
        <v>#REF!</v>
      </c>
      <c r="E54" s="42" t="e">
        <f>+#REF!</f>
        <v>#REF!</v>
      </c>
      <c r="F54" s="42" t="e">
        <f>+#REF!</f>
        <v>#REF!</v>
      </c>
      <c r="G54" s="42" t="e">
        <f>+#REF!</f>
        <v>#REF!</v>
      </c>
      <c r="H54" s="42" t="e">
        <f>+#REF!</f>
        <v>#REF!</v>
      </c>
      <c r="I54" s="42" t="e">
        <f>+#REF!</f>
        <v>#REF!</v>
      </c>
      <c r="J54" s="42" t="e">
        <f>+#REF!</f>
        <v>#REF!</v>
      </c>
      <c r="K54" s="42" t="e">
        <f>+#REF!</f>
        <v>#REF!</v>
      </c>
    </row>
    <row r="55" spans="1:11" x14ac:dyDescent="0.25">
      <c r="A55" s="1"/>
    </row>
    <row r="56" spans="1:11" x14ac:dyDescent="0.25">
      <c r="A56" s="1">
        <v>37</v>
      </c>
      <c r="B56" s="26" t="s">
        <v>43</v>
      </c>
      <c r="D56" s="31" t="e">
        <f>+#REF!</f>
        <v>#REF!</v>
      </c>
      <c r="E56" s="31" t="e">
        <f>+#REF!</f>
        <v>#REF!</v>
      </c>
      <c r="F56" s="31" t="e">
        <f>+#REF!</f>
        <v>#REF!</v>
      </c>
      <c r="G56" s="31" t="e">
        <f>+#REF!</f>
        <v>#REF!</v>
      </c>
      <c r="H56" s="31" t="e">
        <f>+#REF!</f>
        <v>#REF!</v>
      </c>
      <c r="I56" s="31" t="e">
        <f>+#REF!</f>
        <v>#REF!</v>
      </c>
      <c r="J56" s="31" t="e">
        <f>+#REF!</f>
        <v>#REF!</v>
      </c>
      <c r="K56" s="31" t="e">
        <f>+#REF!</f>
        <v>#REF!</v>
      </c>
    </row>
    <row r="58" spans="1:11" x14ac:dyDescent="0.25">
      <c r="B58" s="17" t="s">
        <v>93</v>
      </c>
      <c r="C58" s="16" t="s">
        <v>94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Tab 64</vt:lpstr>
      <vt:lpstr>Bal Sheet</vt:lpstr>
      <vt:lpstr>2013-2023</vt:lpstr>
      <vt:lpstr>Delta</vt:lpstr>
      <vt:lpstr>Peoples KY</vt:lpstr>
      <vt:lpstr>'2013-2023'!Print_Area</vt:lpstr>
      <vt:lpstr>Delta!Print_Area</vt:lpstr>
      <vt:lpstr>'Peoples KY'!Print_Area</vt:lpstr>
      <vt:lpstr>'Tab 64'!Print_Area</vt:lpstr>
      <vt:lpstr>'2013-2023'!Print_Titles</vt:lpstr>
      <vt:lpstr>Delta!Print_Titles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2021-06-11T16:49:39Z</dcterms:created>
  <dcterms:modified xsi:type="dcterms:W3CDTF">2025-04-10T20:35:06Z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 PSC-FR-TAB64 tabs hidden-UPDATED.xlsx</vt:lpwstr>
  </property>
</Properties>
</file>