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BC6579AA-A1E6-4682-B881-CBD0901948B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TY, Base, and Combined" sheetId="1" r:id="rId1"/>
    <sheet name="Forecasted Years" sheetId="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Area" localSheetId="1">'Forecasted Years'!$B$1:$F$55</definedName>
    <definedName name="_xlnm.Print_Area" localSheetId="0">'FTY, Base, and Combined'!$B$1:$J$63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E41" i="1"/>
  <c r="E40" i="1"/>
  <c r="E36" i="1"/>
  <c r="E35" i="1"/>
  <c r="E34" i="1"/>
  <c r="E55" i="1" l="1"/>
  <c r="E54" i="1"/>
  <c r="E53" i="1"/>
  <c r="E27" i="1"/>
  <c r="E29" i="1"/>
  <c r="E24" i="1"/>
  <c r="E23" i="1"/>
  <c r="E22" i="1"/>
  <c r="E20" i="1"/>
  <c r="E19" i="1"/>
  <c r="E18" i="1"/>
  <c r="E17" i="1"/>
  <c r="E16" i="1"/>
  <c r="E15" i="1"/>
  <c r="E14" i="1"/>
  <c r="E13" i="1"/>
  <c r="E12" i="1"/>
  <c r="E11" i="1"/>
  <c r="E7" i="1"/>
  <c r="E6" i="1"/>
  <c r="D33" i="5"/>
  <c r="E33" i="5"/>
  <c r="E36" i="5" s="1"/>
  <c r="F33" i="5"/>
  <c r="F36" i="5"/>
  <c r="D36" i="5"/>
  <c r="D27" i="5"/>
  <c r="E27" i="5"/>
  <c r="F27" i="5"/>
  <c r="D27" i="1"/>
  <c r="J36" i="1"/>
  <c r="J35" i="1"/>
  <c r="D21" i="5"/>
  <c r="E21" i="5"/>
  <c r="D18" i="5"/>
  <c r="D19" i="5"/>
  <c r="E19" i="5"/>
  <c r="E18" i="5"/>
  <c r="F17" i="5"/>
  <c r="D5" i="5"/>
  <c r="D4" i="5"/>
  <c r="E5" i="5"/>
  <c r="E4" i="5"/>
  <c r="F21" i="5"/>
  <c r="F13" i="5"/>
  <c r="F12" i="5"/>
  <c r="F11" i="5"/>
  <c r="F10" i="5"/>
  <c r="F5" i="5"/>
  <c r="F4" i="5"/>
  <c r="F19" i="5"/>
  <c r="F18" i="5"/>
  <c r="J25" i="1"/>
  <c r="I25" i="1"/>
  <c r="I8" i="1"/>
  <c r="I31" i="1" s="1"/>
  <c r="H8" i="1"/>
  <c r="G8" i="1"/>
  <c r="F8" i="1"/>
  <c r="J8" i="1"/>
  <c r="J31" i="1" s="1"/>
  <c r="G42" i="1"/>
  <c r="G41" i="1"/>
  <c r="G40" i="1"/>
  <c r="G43" i="1" s="1"/>
  <c r="F23" i="5" l="1"/>
  <c r="H42" i="1"/>
  <c r="H41" i="1"/>
  <c r="H40" i="1"/>
  <c r="F46" i="5"/>
  <c r="F45" i="5"/>
  <c r="F44" i="5"/>
  <c r="E46" i="5"/>
  <c r="E45" i="5"/>
  <c r="E44" i="5"/>
  <c r="D46" i="5"/>
  <c r="D45" i="5"/>
  <c r="D44" i="5"/>
  <c r="F56" i="1"/>
  <c r="G56" i="1"/>
  <c r="H56" i="1"/>
  <c r="I56" i="1"/>
  <c r="J56" i="1"/>
  <c r="I36" i="1"/>
  <c r="I35" i="1"/>
  <c r="J34" i="1"/>
  <c r="I34" i="1"/>
  <c r="H43" i="1" l="1"/>
  <c r="H36" i="1"/>
  <c r="H35" i="1"/>
  <c r="H34" i="1"/>
  <c r="D36" i="1" l="1"/>
  <c r="D35" i="1"/>
  <c r="F35" i="1" s="1"/>
  <c r="D34" i="1"/>
  <c r="F34" i="1" s="1"/>
  <c r="F36" i="1" l="1"/>
  <c r="F6" i="5" l="1"/>
  <c r="E6" i="5" l="1"/>
  <c r="D6" i="5" l="1"/>
  <c r="D55" i="1" l="1"/>
  <c r="D54" i="1"/>
  <c r="D53" i="1"/>
  <c r="D56" i="1" l="1"/>
  <c r="D42" i="1"/>
  <c r="D41" i="1"/>
  <c r="D40" i="1"/>
  <c r="F42" i="1"/>
  <c r="F41" i="1"/>
  <c r="D43" i="1"/>
  <c r="F40" i="1"/>
  <c r="F43" i="1" l="1"/>
  <c r="F37" i="1"/>
  <c r="E37" i="1"/>
  <c r="D37" i="1"/>
  <c r="G36" i="1" l="1"/>
  <c r="G61" i="1" s="1"/>
  <c r="G35" i="1"/>
  <c r="G60" i="1" s="1"/>
  <c r="H61" i="1"/>
  <c r="F61" i="1"/>
  <c r="I60" i="1"/>
  <c r="H60" i="1"/>
  <c r="F60" i="1"/>
  <c r="F59" i="1"/>
  <c r="D61" i="1"/>
  <c r="D60" i="1"/>
  <c r="D59" i="1"/>
  <c r="D48" i="1"/>
  <c r="D47" i="1"/>
  <c r="D46" i="1"/>
  <c r="H48" i="1"/>
  <c r="G48" i="1"/>
  <c r="F48" i="1"/>
  <c r="H47" i="1"/>
  <c r="F47" i="1"/>
  <c r="J46" i="1"/>
  <c r="I46" i="1"/>
  <c r="F46" i="1"/>
  <c r="J42" i="1"/>
  <c r="J48" i="1" s="1"/>
  <c r="J41" i="1"/>
  <c r="J40" i="1"/>
  <c r="I42" i="1"/>
  <c r="I48" i="1" s="1"/>
  <c r="I41" i="1"/>
  <c r="I47" i="1" s="1"/>
  <c r="I40" i="1"/>
  <c r="J61" i="1"/>
  <c r="J37" i="1"/>
  <c r="J59" i="1"/>
  <c r="I61" i="1"/>
  <c r="I37" i="1"/>
  <c r="I43" i="1" l="1"/>
  <c r="J43" i="1"/>
  <c r="H46" i="1"/>
  <c r="H37" i="1"/>
  <c r="G47" i="1"/>
  <c r="H59" i="1"/>
  <c r="J60" i="1"/>
  <c r="J47" i="1"/>
  <c r="I59" i="1"/>
  <c r="G34" i="1"/>
  <c r="G37" i="1" l="1"/>
  <c r="G46" i="1"/>
  <c r="G59" i="1"/>
  <c r="F41" i="5" l="1"/>
  <c r="E41" i="5"/>
  <c r="D41" i="5"/>
  <c r="F40" i="5"/>
  <c r="E40" i="5"/>
  <c r="D40" i="5"/>
  <c r="D39" i="5"/>
  <c r="E39" i="5"/>
  <c r="F39" i="5"/>
  <c r="F30" i="5" l="1"/>
  <c r="D30" i="5"/>
  <c r="E30" i="5"/>
  <c r="E59" i="1" l="1"/>
  <c r="E46" i="1"/>
  <c r="D29" i="1"/>
  <c r="D24" i="1"/>
  <c r="D23" i="1"/>
  <c r="D22" i="1"/>
  <c r="D20" i="1"/>
  <c r="D17" i="1"/>
  <c r="D7" i="1"/>
  <c r="D6" i="1"/>
  <c r="D8" i="1" s="1"/>
  <c r="E11" i="5"/>
  <c r="E12" i="5"/>
  <c r="E13" i="5"/>
  <c r="E10" i="5"/>
  <c r="D11" i="5"/>
  <c r="D12" i="5"/>
  <c r="D13" i="5"/>
  <c r="D10" i="5"/>
  <c r="E8" i="1" l="1"/>
  <c r="E47" i="1"/>
  <c r="E60" i="1"/>
  <c r="E48" i="1"/>
  <c r="E61" i="1"/>
  <c r="D25" i="1"/>
  <c r="D31" i="1" s="1"/>
  <c r="E43" i="1"/>
  <c r="F52" i="5"/>
  <c r="E52" i="5"/>
  <c r="D52" i="5"/>
  <c r="F51" i="5"/>
  <c r="E51" i="5"/>
  <c r="D51" i="5"/>
  <c r="F50" i="5"/>
  <c r="E50" i="5"/>
  <c r="D50" i="5"/>
  <c r="F47" i="5"/>
  <c r="E47" i="5"/>
  <c r="D47" i="5"/>
  <c r="F15" i="5"/>
  <c r="H25" i="1"/>
  <c r="H31" i="1" s="1"/>
  <c r="G11" i="1"/>
  <c r="G25" i="1" s="1"/>
  <c r="G31" i="1" s="1"/>
  <c r="F11" i="1"/>
  <c r="F25" i="1"/>
  <c r="F31" i="1" s="1"/>
  <c r="D15" i="5" l="1"/>
  <c r="E15" i="5"/>
  <c r="E17" i="5" l="1"/>
  <c r="E23" i="5" s="1"/>
  <c r="D17" i="5"/>
  <c r="D23" i="5" s="1"/>
  <c r="E25" i="1"/>
  <c r="E31" i="1" s="1"/>
  <c r="E56" i="1" l="1"/>
</calcChain>
</file>

<file path=xl/sharedStrings.xml><?xml version="1.0" encoding="utf-8"?>
<sst xmlns="http://schemas.openxmlformats.org/spreadsheetml/2006/main" count="93" uniqueCount="51">
  <si>
    <t>Sales of Gas</t>
  </si>
  <si>
    <t>Other Operating Revenues</t>
  </si>
  <si>
    <t>Total Operating Revenues</t>
  </si>
  <si>
    <t>Operating Expenses</t>
  </si>
  <si>
    <t xml:space="preserve">     Total Operating Expenses</t>
  </si>
  <si>
    <t>Net Operating Income</t>
  </si>
  <si>
    <t>Other Income and Deductions</t>
  </si>
  <si>
    <t>Net Income</t>
  </si>
  <si>
    <t>Number of Customers by class:</t>
  </si>
  <si>
    <t>Commercial</t>
  </si>
  <si>
    <t>Industrial</t>
  </si>
  <si>
    <t xml:space="preserve">     Total</t>
  </si>
  <si>
    <t>Sales (Mcf) by Customer class:</t>
  </si>
  <si>
    <t>Average Volume (Mcf) by class:</t>
  </si>
  <si>
    <t>Revenues by Customer Class</t>
  </si>
  <si>
    <t xml:space="preserve">    Total</t>
  </si>
  <si>
    <t>Average Revenue by Customer Classs</t>
  </si>
  <si>
    <t xml:space="preserve">Operating Revenues </t>
  </si>
  <si>
    <t/>
  </si>
  <si>
    <t>Gas Production Operating Expense</t>
  </si>
  <si>
    <t>Gas Strg, Term &amp; Proc Oper Exp</t>
  </si>
  <si>
    <t>Gas Transmission Operations Expense</t>
  </si>
  <si>
    <t>Gas Distribution Operations Expense</t>
  </si>
  <si>
    <t>Customer Accounts Expense</t>
  </si>
  <si>
    <t>Customer Service and Informational Expense</t>
  </si>
  <si>
    <t>Sales Expense</t>
  </si>
  <si>
    <t>Administrative &amp; General Operations Expense</t>
  </si>
  <si>
    <t>Maintenance Expense</t>
  </si>
  <si>
    <t>Depreciation Expense</t>
  </si>
  <si>
    <t>Amortization &amp; Depletion of Utility Plant</t>
  </si>
  <si>
    <t>Taxes Other than Income Taxes</t>
  </si>
  <si>
    <t xml:space="preserve">Income Taxes </t>
  </si>
  <si>
    <t xml:space="preserve">Provision for Deferred Income Taxes </t>
  </si>
  <si>
    <t xml:space="preserve">  Total Operating Expenses</t>
  </si>
  <si>
    <t>Net Other Income and Deductions</t>
  </si>
  <si>
    <t>Net Interest Charges</t>
  </si>
  <si>
    <t xml:space="preserve">     Total </t>
  </si>
  <si>
    <t>O&amp;M</t>
  </si>
  <si>
    <t>Depreciation</t>
  </si>
  <si>
    <t>Amortization</t>
  </si>
  <si>
    <t>Other Taxes</t>
  </si>
  <si>
    <t>Total Income Tax Deductions</t>
  </si>
  <si>
    <t>Average Revenue by Customer Class</t>
  </si>
  <si>
    <t>Other Operating Revenue</t>
  </si>
  <si>
    <t>Interest Expense</t>
  </si>
  <si>
    <t>Operating Revenues (1)</t>
  </si>
  <si>
    <t>(1)  Revenue Projections do not reflect the impact from Rate Case activity beyond 2024.</t>
  </si>
  <si>
    <t>Base Period</t>
  </si>
  <si>
    <t>Fully Projected Test Year</t>
  </si>
  <si>
    <t>Residential*</t>
  </si>
  <si>
    <t>* Residential information includes Farm Tap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</si>
</sst>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horizontal="center"/>
    </xf>
    <xf numFmtId="41" fontId="0" fillId="0" borderId="0" xfId="0" applyNumberFormat="1"/>
    <xf numFmtId="41" fontId="0" fillId="0" borderId="3" xfId="0" applyNumberFormat="1" applyBorder="1"/>
    <xf numFmtId="164" fontId="0" fillId="0" borderId="2" xfId="0" applyNumberFormat="1" applyBorder="1" applyAlignment="1">
      <alignment horizontal="center"/>
    </xf>
    <xf numFmtId="41" fontId="0" fillId="0" borderId="1" xfId="0" applyNumberFormat="1" applyBorder="1"/>
    <xf numFmtId="41" fontId="0" fillId="0" borderId="0" xfId="0" applyNumberFormat="1" applyFont="1"/>
    <xf numFmtId="42" fontId="0" fillId="0" borderId="0" xfId="0" applyNumberFormat="1"/>
    <xf numFmtId="41" fontId="0" fillId="0" borderId="4" xfId="0" applyNumberFormat="1" applyBorder="1" applyProtection="1">
      <protection locked="0"/>
    </xf>
    <xf numFmtId="165" fontId="0" fillId="0" borderId="0" xfId="0" applyNumberFormat="1"/>
    <xf numFmtId="0" fontId="0" fillId="0" borderId="2" xfId="0" applyBorder="1" applyAlignment="1">
      <alignment horizontal="center"/>
    </xf>
    <xf numFmtId="3" fontId="0" fillId="0" borderId="0" xfId="0" applyNumberFormat="1" applyFont="1" applyAlignment="1">
      <alignment horizontal="right"/>
    </xf>
    <xf numFmtId="43" fontId="0" fillId="0" borderId="0" xfId="0" applyNumberFormat="1" applyFont="1"/>
    <xf numFmtId="41" fontId="0" fillId="0" borderId="0" xfId="0" applyNumberFormat="1" applyFill="1"/>
    <xf numFmtId="165" fontId="0" fillId="0" borderId="0" xfId="0" applyNumberFormat="1" applyFill="1"/>
    <xf numFmtId="0" fontId="0" fillId="0" borderId="0" xfId="0" applyFill="1"/>
    <xf numFmtId="41" fontId="0" fillId="0" borderId="0" xfId="0" applyNumberFormat="1" applyFont="1" applyFill="1"/>
    <xf numFmtId="165" fontId="0" fillId="0" borderId="0" xfId="1" applyNumberFormat="1" applyFont="1" applyFill="1"/>
    <xf numFmtId="165" fontId="0" fillId="0" borderId="5" xfId="0" applyNumberFormat="1" applyFill="1" applyBorder="1"/>
    <xf numFmtId="165" fontId="0" fillId="0" borderId="5" xfId="1" applyNumberFormat="1" applyFont="1" applyFill="1" applyBorder="1"/>
    <xf numFmtId="41" fontId="0" fillId="0" borderId="5" xfId="0" applyNumberFormat="1" applyFont="1" applyFill="1" applyBorder="1"/>
    <xf numFmtId="41" fontId="0" fillId="0" borderId="5" xfId="0" applyNumberFormat="1" applyFill="1" applyBorder="1"/>
    <xf numFmtId="164" fontId="0" fillId="0" borderId="2" xfId="0" applyNumberFormat="1" applyFill="1" applyBorder="1" applyAlignment="1">
      <alignment horizontal="center"/>
    </xf>
    <xf numFmtId="41" fontId="0" fillId="0" borderId="1" xfId="0" applyNumberFormat="1" applyFill="1" applyBorder="1"/>
    <xf numFmtId="41" fontId="0" fillId="0" borderId="2" xfId="0" applyNumberFormat="1" applyFill="1" applyBorder="1"/>
    <xf numFmtId="41" fontId="0" fillId="0" borderId="3" xfId="0" applyNumberFormat="1" applyFill="1" applyBorder="1"/>
    <xf numFmtId="0" fontId="1" fillId="0" borderId="0" xfId="0" applyFont="1" applyFill="1"/>
    <xf numFmtId="43" fontId="0" fillId="0" borderId="0" xfId="1" applyFont="1"/>
    <xf numFmtId="165" fontId="0" fillId="0" borderId="0" xfId="0" applyNumberFormat="1" applyFont="1" applyFill="1"/>
    <xf numFmtId="3" fontId="0" fillId="0" borderId="0" xfId="0" applyNumberFormat="1"/>
    <xf numFmtId="41" fontId="0" fillId="0" borderId="0" xfId="0" applyNumberFormat="1" applyFill="1" applyBorder="1"/>
    <xf numFmtId="0" fontId="0" fillId="0" borderId="2" xfId="0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e4964\Downloads\Base%20and%20FPFTP%20Income%20Statement%20Detail%20v0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e4964\Downloads\2024%20PSC-FR-TAB62%20JB%20Comment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e4964\Downloads\5%20Year%20Plan%20Master%20File-2025-2029%2011-7-2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e4964\Downloads\5YP%20Delta%20Revenue%20Summary%20(11.6.24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202502%20Base%20Period%20Billing%20Determinan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ERC%20BS%20for%20Base%20Period%20Actual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ERC%20IS%20for%20Base%20Period%20Actual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e4964\Downloads\Delta%20Gas%20Consumption%20Analysis%202024%20case%20-%20Foreca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e4964\Downloads\2022%20Billing%20Determinants%20v3%20w%20JB%20Total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e4964\Downloads\2021%20Billing%20Determinants%20v2%20w%20Transp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e4964\Downloads\2021%20DELTA_BPU_TAB62_ATT_10142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e4964\Downloads\Fully%20Projected%20Test%20Period%2012ME%202025-06%20Billed%20Basis%20v0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Period%20Comm-Industrial%20Breakdow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C "/>
      <sheetName val="Natural"/>
    </sheetNames>
    <sheetDataSet>
      <sheetData sheetId="0">
        <row r="6">
          <cell r="D6">
            <v>-25242051.77</v>
          </cell>
          <cell r="E6">
            <v>-29296537.77</v>
          </cell>
        </row>
        <row r="7">
          <cell r="E7">
            <v>-0.45999999949708581</v>
          </cell>
        </row>
        <row r="8">
          <cell r="E8">
            <v>-18906006.210000001</v>
          </cell>
        </row>
        <row r="9">
          <cell r="E9">
            <v>-0.45000000018626451</v>
          </cell>
        </row>
        <row r="11">
          <cell r="E11">
            <v>-19773.650000000001</v>
          </cell>
        </row>
        <row r="12">
          <cell r="E12">
            <v>-35148.71</v>
          </cell>
        </row>
        <row r="13">
          <cell r="E13">
            <v>-9102912.0800000001</v>
          </cell>
        </row>
        <row r="54">
          <cell r="E54">
            <v>4729.9781424681878</v>
          </cell>
        </row>
        <row r="98">
          <cell r="E98">
            <v>13171784.59</v>
          </cell>
        </row>
        <row r="100">
          <cell r="E100">
            <v>3344779.9139999999</v>
          </cell>
        </row>
        <row r="102">
          <cell r="E102">
            <v>2693040.19</v>
          </cell>
        </row>
        <row r="104">
          <cell r="E104">
            <v>-211980.84000000003</v>
          </cell>
        </row>
        <row r="129">
          <cell r="E129">
            <v>99761.98</v>
          </cell>
        </row>
        <row r="131">
          <cell r="E131">
            <v>3745441.65</v>
          </cell>
        </row>
        <row r="133">
          <cell r="E133">
            <v>-116.16</v>
          </cell>
        </row>
        <row r="149">
          <cell r="E149">
            <v>0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Y, Base, and Combined"/>
      <sheetName val="Forecasted Years"/>
      <sheetName val="Sheet1"/>
    </sheetNames>
    <sheetDataSet>
      <sheetData sheetId="0"/>
      <sheetData sheetId="1">
        <row r="4">
          <cell r="H4">
            <v>51986648</v>
          </cell>
        </row>
        <row r="5">
          <cell r="H5">
            <v>8969365.4949999992</v>
          </cell>
        </row>
        <row r="10">
          <cell r="H10">
            <v>42694561.765312329</v>
          </cell>
        </row>
        <row r="11">
          <cell r="H11">
            <v>12380888.530000001</v>
          </cell>
        </row>
        <row r="12">
          <cell r="H12">
            <v>315780</v>
          </cell>
        </row>
        <row r="13">
          <cell r="H13">
            <v>3632800.8393999999</v>
          </cell>
        </row>
        <row r="17">
          <cell r="H17">
            <v>1931982.3602876663</v>
          </cell>
        </row>
        <row r="18">
          <cell r="H18">
            <v>4990677.16</v>
          </cell>
        </row>
        <row r="19">
          <cell r="H19">
            <v>600121.04</v>
          </cell>
        </row>
        <row r="20">
          <cell r="N20">
            <v>31211.907719999999</v>
          </cell>
          <cell r="O20">
            <v>31680.086335799995</v>
          </cell>
        </row>
        <row r="21">
          <cell r="H21">
            <v>2040777.8950896298</v>
          </cell>
          <cell r="N21">
            <v>20362.929999999997</v>
          </cell>
          <cell r="O21">
            <v>20668.373949999994</v>
          </cell>
        </row>
        <row r="22">
          <cell r="N22">
            <v>1191.6099999999999</v>
          </cell>
          <cell r="O22">
            <v>1209.4841499999998</v>
          </cell>
        </row>
        <row r="24">
          <cell r="N24">
            <v>6219</v>
          </cell>
          <cell r="O24">
            <v>6219</v>
          </cell>
        </row>
        <row r="25">
          <cell r="N25">
            <v>2718</v>
          </cell>
          <cell r="O25">
            <v>2718</v>
          </cell>
        </row>
        <row r="26">
          <cell r="N26">
            <v>32.936977424999988</v>
          </cell>
          <cell r="O26">
            <v>33.517032086374982</v>
          </cell>
        </row>
        <row r="118">
          <cell r="N118">
            <v>600613.35560000001</v>
          </cell>
          <cell r="O118">
            <v>601113.05593399995</v>
          </cell>
        </row>
        <row r="154">
          <cell r="N154">
            <v>4525991.12</v>
          </cell>
          <cell r="O154">
            <v>4621441.12</v>
          </cell>
        </row>
        <row r="161">
          <cell r="N161">
            <v>1703027.9460081253</v>
          </cell>
          <cell r="O161">
            <v>1547690.621848735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Compare"/>
      <sheetName val="Main slides"/>
      <sheetName val="ROE SLIDE"/>
      <sheetName val="ROE by Bus Unit"/>
      <sheetName val="INPUTS"/>
      <sheetName val="CONSOL VAR"/>
      <sheetName val="REG &amp; NON-REG IS"/>
      <sheetName val="2024 6+6 IS by Company"/>
      <sheetName val="Gas Statistics"/>
      <sheetName val="Alt Model Recon"/>
      <sheetName val="Allocation of Rev Adj by Co"/>
      <sheetName val="Allocation of Exp Adj by Co"/>
      <sheetName val="Expense RFWD"/>
      <sheetName val="CONSOL - BPC, BY MONTH"/>
      <sheetName val="RC Schedule-apw"/>
      <sheetName val="CONSOL"/>
      <sheetName val="1000"/>
      <sheetName val="1600"/>
      <sheetName val="2200_9922"/>
      <sheetName val="1400"/>
      <sheetName val="1500"/>
      <sheetName val="1700"/>
      <sheetName val="1800"/>
      <sheetName val="1900"/>
      <sheetName val="ALL DELTA"/>
      <sheetName val="P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9">
          <cell r="K9">
            <v>44148862.710730806</v>
          </cell>
          <cell r="L9">
            <v>45501647.126610816</v>
          </cell>
        </row>
        <row r="10">
          <cell r="K10">
            <v>13175306.970000003</v>
          </cell>
          <cell r="L10">
            <v>13237735.090000002</v>
          </cell>
        </row>
        <row r="11">
          <cell r="K11">
            <v>315780</v>
          </cell>
          <cell r="L11">
            <v>315780</v>
          </cell>
        </row>
        <row r="12">
          <cell r="K12">
            <v>3735784.8645819998</v>
          </cell>
          <cell r="L12">
            <v>3841858.4105194598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Y-All Cos"/>
      <sheetName val="KY-All Cos-"/>
    </sheetNames>
    <sheetDataSet>
      <sheetData sheetId="0">
        <row r="80">
          <cell r="C80">
            <v>1953.8749999999998</v>
          </cell>
        </row>
      </sheetData>
      <sheetData sheetId="1">
        <row r="20">
          <cell r="C20">
            <v>30750.648000000001</v>
          </cell>
          <cell r="D20">
            <v>31211.907719999999</v>
          </cell>
          <cell r="E20">
            <v>31680.086335799995</v>
          </cell>
        </row>
        <row r="21">
          <cell r="C21">
            <v>20062</v>
          </cell>
          <cell r="D21">
            <v>20362.929999999997</v>
          </cell>
          <cell r="E21">
            <v>20668.373949999994</v>
          </cell>
        </row>
        <row r="22">
          <cell r="C22">
            <v>1174</v>
          </cell>
          <cell r="D22">
            <v>1191.6099999999999</v>
          </cell>
          <cell r="E22">
            <v>1209.4841499999998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3 Block Est"/>
      <sheetName val="Summary by Service"/>
      <sheetName val="Summary by Rate"/>
      <sheetName val="Base Period Summary Data"/>
      <sheetName val="12 ME 2025-02 Retail"/>
      <sheetName val="12 ME 2025-02 Transportation"/>
      <sheetName val="12 ME 2025-02 GL"/>
      <sheetName val="Special Factors Pivot Summary"/>
      <sheetName val="Special Factors Pivot"/>
      <sheetName val="Special Factors Data"/>
    </sheetNames>
    <sheetDataSet>
      <sheetData sheetId="0"/>
      <sheetData sheetId="1">
        <row r="3">
          <cell r="A3" t="str">
            <v>Row Labels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6">
          <cell r="D16">
            <v>-49282536.18</v>
          </cell>
        </row>
        <row r="22">
          <cell r="D22">
            <v>-9785550.5999999996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4">
          <cell r="D14">
            <v>-29215395.84</v>
          </cell>
        </row>
        <row r="36">
          <cell r="D36">
            <v>17070489.75</v>
          </cell>
        </row>
        <row r="44">
          <cell r="D44">
            <v>596144.14</v>
          </cell>
        </row>
        <row r="48">
          <cell r="D48">
            <v>1575415.77</v>
          </cell>
        </row>
        <row r="56">
          <cell r="D56">
            <v>6286043.2800000003</v>
          </cell>
        </row>
        <row r="60">
          <cell r="D60">
            <v>1026197.23</v>
          </cell>
        </row>
        <row r="62">
          <cell r="D62">
            <v>216.19</v>
          </cell>
        </row>
        <row r="64">
          <cell r="D64">
            <v>467.53</v>
          </cell>
        </row>
        <row r="75">
          <cell r="D75">
            <v>7577448.3899999997</v>
          </cell>
        </row>
        <row r="104">
          <cell r="D104">
            <v>807215.91</v>
          </cell>
        </row>
        <row r="106">
          <cell r="D106">
            <v>10919835.23</v>
          </cell>
        </row>
        <row r="108">
          <cell r="D108">
            <v>2693620.28</v>
          </cell>
        </row>
        <row r="110">
          <cell r="D110">
            <v>2942650.53</v>
          </cell>
        </row>
        <row r="112">
          <cell r="D112">
            <v>-1643388.73</v>
          </cell>
        </row>
        <row r="136">
          <cell r="D136">
            <v>-82472.34</v>
          </cell>
        </row>
        <row r="144">
          <cell r="D144">
            <v>2308638.27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Residential"/>
      <sheetName val="Sm Non Res"/>
      <sheetName val="Large Non Res"/>
      <sheetName val="Interruptible"/>
      <sheetName val="Special Contract"/>
      <sheetName val="Farm Tap"/>
      <sheetName val="Off-System"/>
      <sheetName val="Demand Allocator"/>
    </sheetNames>
    <sheetDataSet>
      <sheetData sheetId="0">
        <row r="69">
          <cell r="B69">
            <v>1416349.7</v>
          </cell>
          <cell r="E69">
            <v>1730530.4765764321</v>
          </cell>
        </row>
        <row r="70">
          <cell r="B70">
            <v>551369.5</v>
          </cell>
          <cell r="E70">
            <v>662857.14025296632</v>
          </cell>
        </row>
        <row r="71">
          <cell r="B71">
            <v>826801</v>
          </cell>
          <cell r="E71">
            <v>826801</v>
          </cell>
        </row>
        <row r="72">
          <cell r="B72">
            <v>31958</v>
          </cell>
          <cell r="E72">
            <v>31958</v>
          </cell>
        </row>
        <row r="73">
          <cell r="B73">
            <v>208492.1</v>
          </cell>
          <cell r="E73">
            <v>239076.50436988642</v>
          </cell>
        </row>
        <row r="97">
          <cell r="C97">
            <v>31651.666666666668</v>
          </cell>
        </row>
        <row r="98">
          <cell r="C98">
            <v>4249.3218820511411</v>
          </cell>
        </row>
        <row r="99">
          <cell r="C99">
            <v>910.60174938092189</v>
          </cell>
        </row>
        <row r="100">
          <cell r="C100">
            <v>3.6665888868147594</v>
          </cell>
        </row>
        <row r="101">
          <cell r="C101">
            <v>2873.8671913897906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Jan 23 Block Est"/>
      <sheetName val="Block Actual"/>
      <sheetName val="Special Factors RES"/>
      <sheetName val="Special Factors SNR"/>
      <sheetName val="Special Factors LNR"/>
      <sheetName val="Special Factors INT"/>
      <sheetName val="Special Factors FARMTAP"/>
      <sheetName val="Special Factors TOTAL"/>
      <sheetName val="Transportation"/>
      <sheetName val="12 Mo GL"/>
    </sheetNames>
    <sheetDataSet>
      <sheetData sheetId="0"/>
      <sheetData sheetId="1"/>
      <sheetData sheetId="2">
        <row r="3">
          <cell r="F3">
            <v>379580</v>
          </cell>
          <cell r="J3">
            <v>52095</v>
          </cell>
          <cell r="N3">
            <v>10877</v>
          </cell>
          <cell r="R3">
            <v>45.92</v>
          </cell>
          <cell r="V3">
            <v>38142</v>
          </cell>
        </row>
        <row r="5">
          <cell r="F5">
            <v>1592614</v>
          </cell>
          <cell r="J5">
            <v>603851</v>
          </cell>
          <cell r="N5">
            <v>617108</v>
          </cell>
          <cell r="R5">
            <v>24752</v>
          </cell>
          <cell r="V5">
            <v>227739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Jan 23 Block Est"/>
      <sheetName val="Block Actual CIS AS400"/>
      <sheetName val="Block Actual SAP"/>
      <sheetName val="Special Factors RES"/>
      <sheetName val="Special Factors SNR"/>
      <sheetName val="Special Factors LNR"/>
      <sheetName val="Special Factors INT"/>
      <sheetName val="Special Factors FARMTAP"/>
      <sheetName val="Special Factors TOTAL"/>
      <sheetName val="Transportation"/>
      <sheetName val="12 Mo GL"/>
      <sheetName val="JE Jan 21 CIS"/>
      <sheetName val="Transp Post in Retail"/>
      <sheetName val="Transp TCJA Refunds"/>
      <sheetName val="Jan 2021 Tariff"/>
    </sheetNames>
    <sheetDataSet>
      <sheetData sheetId="0"/>
      <sheetData sheetId="1"/>
      <sheetData sheetId="2">
        <row r="3">
          <cell r="F3">
            <v>31415</v>
          </cell>
          <cell r="J3">
            <v>4337</v>
          </cell>
          <cell r="N3">
            <v>910</v>
          </cell>
          <cell r="R3">
            <v>4</v>
          </cell>
          <cell r="V3">
            <v>0</v>
          </cell>
        </row>
        <row r="5">
          <cell r="F5">
            <v>326495</v>
          </cell>
          <cell r="J5">
            <v>117380</v>
          </cell>
          <cell r="N5">
            <v>146958</v>
          </cell>
          <cell r="R5">
            <v>7171</v>
          </cell>
        </row>
      </sheetData>
      <sheetData sheetId="3">
        <row r="3">
          <cell r="F3">
            <v>342986</v>
          </cell>
          <cell r="J3">
            <v>46606</v>
          </cell>
          <cell r="N3">
            <v>9945</v>
          </cell>
          <cell r="R3">
            <v>40</v>
          </cell>
          <cell r="V3">
            <v>35433</v>
          </cell>
        </row>
        <row r="5">
          <cell r="F5">
            <v>1406321</v>
          </cell>
          <cell r="J5">
            <v>514759</v>
          </cell>
          <cell r="N5">
            <v>526127</v>
          </cell>
          <cell r="R5">
            <v>21500</v>
          </cell>
          <cell r="V5">
            <v>221101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ta Historic"/>
      <sheetName val="Peoples KY Historic"/>
      <sheetName val="FTY, Base, and Combined"/>
      <sheetName val="Forecasted Years"/>
    </sheetNames>
    <sheetDataSet>
      <sheetData sheetId="0">
        <row r="40">
          <cell r="D40">
            <v>30545</v>
          </cell>
          <cell r="E40">
            <v>29911</v>
          </cell>
        </row>
        <row r="41">
          <cell r="D41">
            <v>4184</v>
          </cell>
        </row>
        <row r="42">
          <cell r="D42">
            <v>889</v>
          </cell>
          <cell r="E42">
            <v>39</v>
          </cell>
        </row>
      </sheetData>
      <sheetData sheetId="1">
        <row r="34">
          <cell r="D34">
            <v>2929</v>
          </cell>
          <cell r="E34">
            <v>2920</v>
          </cell>
        </row>
      </sheetData>
      <sheetData sheetId="2">
        <row r="42">
          <cell r="D42">
            <v>1385177.3</v>
          </cell>
        </row>
        <row r="43">
          <cell r="D43">
            <v>489342.38844015694</v>
          </cell>
        </row>
        <row r="44">
          <cell r="D44">
            <v>736644.99999999988</v>
          </cell>
        </row>
        <row r="45">
          <cell r="D45">
            <v>212047.39999999985</v>
          </cell>
        </row>
      </sheetData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56 C-1"/>
      <sheetName val="Tab 56 C-2"/>
      <sheetName val="Tab 57 D-1"/>
      <sheetName val="Tab 57 D-2.1"/>
      <sheetName val="Tab 57 D D-2.2"/>
      <sheetName val="Projected Period FERC"/>
      <sheetName val="Projected FERC O&amp;M TOIT Adj "/>
      <sheetName val="Projected Period Natural"/>
      <sheetName val="2025 Natural Budget"/>
      <sheetName val="FERC Bud Raw Data"/>
      <sheetName val="Natural Actual Raw Data"/>
      <sheetName val="Natural Budget Raw Data"/>
      <sheetName val="Future Test Year O&amp;M"/>
      <sheetName val="Property Tax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W13">
            <v>-27516366.229999997</v>
          </cell>
          <cell r="AP13">
            <v>-29296538.229999997</v>
          </cell>
        </row>
        <row r="15">
          <cell r="AP15">
            <v>-17895174</v>
          </cell>
        </row>
        <row r="17">
          <cell r="AP17">
            <v>-1010832.66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3">
          <cell r="B13">
            <v>-19086552.130000003</v>
          </cell>
        </row>
        <row r="15">
          <cell r="B15">
            <v>-980588.21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63"/>
  <sheetViews>
    <sheetView showGridLines="0" tabSelected="1" topLeftCell="B1" zoomScaleNormal="100" zoomScaleSheetLayoutView="80" workbookViewId="0">
      <pane xSplit="1" ySplit="3" topLeftCell="C4" activePane="bottomRight" state="frozen"/>
      <selection activeCell="B1" sqref="B1"/>
      <selection pane="topRight" activeCell="C1" sqref="C1"/>
      <selection pane="bottomLeft" activeCell="B4" sqref="B4"/>
      <selection pane="bottomRight" activeCell="E47" sqref="E47"/>
    </sheetView>
  </sheetViews>
  <sheetFormatPr defaultRowHeight="14.5" x14ac:dyDescent="0.35"/>
  <cols>
    <col min="1" max="1" width="0" hidden="1" customWidth="1"/>
    <col min="2" max="2" width="2.1796875" customWidth="1"/>
    <col min="3" max="3" width="39.7265625" customWidth="1"/>
    <col min="4" max="4" width="14.81640625" customWidth="1"/>
    <col min="5" max="5" width="13.26953125" customWidth="1"/>
    <col min="6" max="6" width="13.1796875" customWidth="1"/>
    <col min="7" max="7" width="12.81640625" customWidth="1"/>
    <col min="8" max="8" width="13.7265625" style="9" customWidth="1"/>
    <col min="9" max="9" width="12.7265625" customWidth="1"/>
    <col min="10" max="10" width="13.54296875" customWidth="1"/>
    <col min="11" max="11" width="11.54296875" style="9" bestFit="1" customWidth="1"/>
    <col min="12" max="12" width="10.54296875" bestFit="1" customWidth="1"/>
    <col min="14" max="14" width="11.54296875" bestFit="1" customWidth="1"/>
  </cols>
  <sheetData>
    <row r="1" spans="2:10" ht="10.9" customHeight="1" x14ac:dyDescent="0.35"/>
    <row r="2" spans="2:10" ht="10.9" customHeight="1" x14ac:dyDescent="0.35">
      <c r="D2" s="4"/>
    </row>
    <row r="3" spans="2:10" ht="29" x14ac:dyDescent="0.35">
      <c r="D3" s="34" t="s">
        <v>48</v>
      </c>
      <c r="E3" s="13" t="s">
        <v>47</v>
      </c>
      <c r="F3" s="7">
        <v>2023</v>
      </c>
      <c r="G3" s="7">
        <v>2022</v>
      </c>
      <c r="H3" s="7">
        <v>2021</v>
      </c>
      <c r="I3" s="25">
        <v>2020</v>
      </c>
      <c r="J3" s="25">
        <v>2019</v>
      </c>
    </row>
    <row r="4" spans="2:10" x14ac:dyDescent="0.35">
      <c r="I4" s="18"/>
      <c r="J4" s="18"/>
    </row>
    <row r="5" spans="2:10" x14ac:dyDescent="0.35">
      <c r="B5" s="1" t="s">
        <v>17</v>
      </c>
      <c r="I5" s="18"/>
      <c r="J5" s="18"/>
    </row>
    <row r="6" spans="2:10" x14ac:dyDescent="0.35">
      <c r="B6" s="2" t="s">
        <v>18</v>
      </c>
      <c r="C6" s="2" t="s">
        <v>0</v>
      </c>
      <c r="D6" s="16">
        <f>('[1]FERC '!$E$6+'[1]FERC '!$E$7+'[1]FERC '!$E$8+'[1]FERC '!$E$9)*-1</f>
        <v>48202544.890000001</v>
      </c>
      <c r="E6" s="16">
        <f>-[2]Sheet1!$D$16</f>
        <v>49282536.18</v>
      </c>
      <c r="F6" s="16">
        <v>50175530.520000003</v>
      </c>
      <c r="G6" s="16">
        <v>54754677.369999997</v>
      </c>
      <c r="H6" s="16">
        <v>43281399.729999997</v>
      </c>
      <c r="I6" s="16">
        <v>39763805</v>
      </c>
      <c r="J6" s="16">
        <v>42243211.420000002</v>
      </c>
    </row>
    <row r="7" spans="2:10" x14ac:dyDescent="0.35">
      <c r="B7" s="2" t="s">
        <v>18</v>
      </c>
      <c r="C7" s="2" t="s">
        <v>1</v>
      </c>
      <c r="D7" s="16">
        <f>('[1]FERC '!$E$11+'[1]FERC '!$E$12+'[1]FERC '!$E$13)*-1</f>
        <v>9157834.4399999995</v>
      </c>
      <c r="E7" s="16">
        <f>-[2]Sheet1!$D$22</f>
        <v>9785550.5999999996</v>
      </c>
      <c r="F7" s="16">
        <v>9494958.9499999993</v>
      </c>
      <c r="G7" s="16">
        <v>10429027.18</v>
      </c>
      <c r="H7" s="16">
        <v>6745725.2800000003</v>
      </c>
      <c r="I7" s="16">
        <v>5428814</v>
      </c>
      <c r="J7" s="16">
        <v>7172406.6200000001</v>
      </c>
    </row>
    <row r="8" spans="2:10" x14ac:dyDescent="0.35">
      <c r="B8" s="2" t="s">
        <v>18</v>
      </c>
      <c r="C8" s="2" t="s">
        <v>2</v>
      </c>
      <c r="D8" s="26">
        <f t="shared" ref="D8:I8" si="0">SUM(D6:D7)</f>
        <v>57360379.329999998</v>
      </c>
      <c r="E8" s="26">
        <f t="shared" si="0"/>
        <v>59068086.780000001</v>
      </c>
      <c r="F8" s="26">
        <f t="shared" si="0"/>
        <v>59670489.469999999</v>
      </c>
      <c r="G8" s="26">
        <f t="shared" si="0"/>
        <v>65183704.549999997</v>
      </c>
      <c r="H8" s="26">
        <f t="shared" si="0"/>
        <v>50027125.009999998</v>
      </c>
      <c r="I8" s="26">
        <f t="shared" si="0"/>
        <v>45192619</v>
      </c>
      <c r="J8" s="26">
        <f>SUM(J6:J7)</f>
        <v>49415618.039999999</v>
      </c>
    </row>
    <row r="9" spans="2:10" x14ac:dyDescent="0.35">
      <c r="D9" s="18"/>
      <c r="E9" s="18"/>
      <c r="F9" s="16"/>
      <c r="G9" s="16"/>
      <c r="H9" s="16"/>
      <c r="I9" s="16"/>
      <c r="J9" s="16"/>
    </row>
    <row r="10" spans="2:10" x14ac:dyDescent="0.35">
      <c r="B10" s="3" t="s">
        <v>3</v>
      </c>
      <c r="D10" s="18"/>
      <c r="E10" s="18"/>
      <c r="F10" s="16"/>
      <c r="G10" s="16"/>
      <c r="H10" s="16"/>
      <c r="I10" s="16"/>
      <c r="J10" s="16"/>
    </row>
    <row r="11" spans="2:10" x14ac:dyDescent="0.35">
      <c r="B11" s="2" t="s">
        <v>18</v>
      </c>
      <c r="C11" s="2" t="s">
        <v>19</v>
      </c>
      <c r="D11" s="16">
        <v>16227683</v>
      </c>
      <c r="E11" s="16">
        <f>[3]Sheet1!$D$36</f>
        <v>17070489.75</v>
      </c>
      <c r="F11" s="16">
        <f>197644.84+17688771.79</f>
        <v>17886416.629999999</v>
      </c>
      <c r="G11" s="16">
        <f>193673.37+22850367.72</f>
        <v>23044041.09</v>
      </c>
      <c r="H11" s="16">
        <v>15013232.060000001</v>
      </c>
      <c r="I11" s="16">
        <v>12622894.65</v>
      </c>
      <c r="J11" s="16">
        <v>15398525.940000001</v>
      </c>
    </row>
    <row r="12" spans="2:10" x14ac:dyDescent="0.35">
      <c r="B12" s="2"/>
      <c r="C12" s="2" t="s">
        <v>20</v>
      </c>
      <c r="D12" s="16">
        <v>583373</v>
      </c>
      <c r="E12" s="16">
        <f>[3]Sheet1!$D$44</f>
        <v>596144.14</v>
      </c>
      <c r="F12" s="16">
        <v>479956.13</v>
      </c>
      <c r="G12" s="16">
        <v>490710.39</v>
      </c>
      <c r="H12" s="16">
        <v>286461.95</v>
      </c>
      <c r="I12" s="16">
        <v>307270.14999999997</v>
      </c>
      <c r="J12" s="16">
        <v>305498.59999999998</v>
      </c>
    </row>
    <row r="13" spans="2:10" x14ac:dyDescent="0.35">
      <c r="C13" s="2" t="s">
        <v>21</v>
      </c>
      <c r="D13" s="16">
        <v>1263351</v>
      </c>
      <c r="E13" s="16">
        <f>[3]Sheet1!$D$48</f>
        <v>1575415.77</v>
      </c>
      <c r="F13" s="16">
        <v>831179.4</v>
      </c>
      <c r="G13" s="16">
        <v>3744848.92</v>
      </c>
      <c r="H13" s="16">
        <v>3551508.19</v>
      </c>
      <c r="I13" s="16">
        <v>3740837.64</v>
      </c>
      <c r="J13" s="16">
        <v>3286284.41</v>
      </c>
    </row>
    <row r="14" spans="2:10" x14ac:dyDescent="0.35">
      <c r="C14" t="s">
        <v>22</v>
      </c>
      <c r="D14" s="16">
        <v>5556291</v>
      </c>
      <c r="E14" s="16">
        <f>[3]Sheet1!$D$56</f>
        <v>6286043.2800000003</v>
      </c>
      <c r="F14" s="16">
        <v>6181713.4400000004</v>
      </c>
      <c r="G14" s="16">
        <v>2549415.2200000002</v>
      </c>
      <c r="H14" s="16">
        <v>2297371.4500000002</v>
      </c>
      <c r="I14" s="16">
        <v>2010962.88</v>
      </c>
      <c r="J14" s="16">
        <v>2037217.3</v>
      </c>
    </row>
    <row r="15" spans="2:10" x14ac:dyDescent="0.35">
      <c r="C15" t="s">
        <v>23</v>
      </c>
      <c r="D15" s="16">
        <v>1327404</v>
      </c>
      <c r="E15" s="16">
        <f>[3]Sheet1!$D$60</f>
        <v>1026197.23</v>
      </c>
      <c r="F15" s="16">
        <v>1419021.03</v>
      </c>
      <c r="G15" s="16">
        <v>1247486.29</v>
      </c>
      <c r="H15" s="16">
        <v>1298501.31</v>
      </c>
      <c r="I15" s="16">
        <v>1538103.15</v>
      </c>
      <c r="J15" s="16">
        <v>1321923</v>
      </c>
    </row>
    <row r="16" spans="2:10" x14ac:dyDescent="0.35">
      <c r="C16" t="s">
        <v>24</v>
      </c>
      <c r="D16" s="16">
        <v>0</v>
      </c>
      <c r="E16" s="16">
        <f>[3]Sheet1!$D$62</f>
        <v>216.19</v>
      </c>
      <c r="F16" s="16">
        <v>0</v>
      </c>
      <c r="G16" s="16">
        <v>24.88</v>
      </c>
      <c r="H16" s="16">
        <v>739.48</v>
      </c>
      <c r="I16" s="16">
        <v>394</v>
      </c>
      <c r="J16" s="16">
        <v>684</v>
      </c>
    </row>
    <row r="17" spans="2:14" x14ac:dyDescent="0.35">
      <c r="C17" s="2" t="s">
        <v>25</v>
      </c>
      <c r="D17" s="16">
        <f>'[1]FERC '!$E$54</f>
        <v>4729.9781424681878</v>
      </c>
      <c r="E17" s="16">
        <f>[3]Sheet1!$D$64</f>
        <v>467.53</v>
      </c>
      <c r="F17" s="16">
        <v>576.34</v>
      </c>
      <c r="G17" s="16">
        <v>533.24</v>
      </c>
      <c r="H17" s="16">
        <v>501.84</v>
      </c>
      <c r="I17" s="16">
        <v>652</v>
      </c>
      <c r="J17" s="16">
        <v>568</v>
      </c>
    </row>
    <row r="18" spans="2:14" x14ac:dyDescent="0.35">
      <c r="C18" t="s">
        <v>26</v>
      </c>
      <c r="D18" s="16">
        <v>10102901</v>
      </c>
      <c r="E18" s="16">
        <f>[3]Sheet1!$D$75</f>
        <v>7577448.3899999997</v>
      </c>
      <c r="F18" s="16">
        <v>8171897.3600000003</v>
      </c>
      <c r="G18" s="16">
        <v>5672648.5</v>
      </c>
      <c r="H18" s="16">
        <v>7132319.0800000001</v>
      </c>
      <c r="I18" s="16">
        <v>6074766.9299999997</v>
      </c>
      <c r="J18" s="16">
        <v>6256666.96</v>
      </c>
    </row>
    <row r="19" spans="2:14" x14ac:dyDescent="0.35">
      <c r="C19" s="2" t="s">
        <v>27</v>
      </c>
      <c r="D19" s="16">
        <v>1297920</v>
      </c>
      <c r="E19" s="16">
        <f>[3]Sheet1!$D$104</f>
        <v>807215.91</v>
      </c>
      <c r="F19" s="16">
        <v>1064702.1000000001</v>
      </c>
      <c r="G19" s="16">
        <v>1105311.46</v>
      </c>
      <c r="H19" s="16">
        <v>759055.18</v>
      </c>
      <c r="I19" s="16">
        <v>384571.05000000005</v>
      </c>
      <c r="J19" s="16">
        <v>581151.43999999994</v>
      </c>
    </row>
    <row r="20" spans="2:14" x14ac:dyDescent="0.35">
      <c r="C20" t="s">
        <v>28</v>
      </c>
      <c r="D20" s="16">
        <f>'[1]FERC '!$E$98</f>
        <v>13171784.59</v>
      </c>
      <c r="E20" s="16">
        <f>[3]Sheet1!$D$106</f>
        <v>10919835.23</v>
      </c>
      <c r="F20" s="16">
        <v>10213920.119999999</v>
      </c>
      <c r="G20" s="16">
        <v>8751475.2899999991</v>
      </c>
      <c r="H20" s="16">
        <v>7910790.6200000001</v>
      </c>
      <c r="I20" s="16">
        <v>7612157.0300000003</v>
      </c>
      <c r="J20" s="16">
        <v>7223738.5999999996</v>
      </c>
    </row>
    <row r="21" spans="2:14" x14ac:dyDescent="0.35">
      <c r="C21" t="s">
        <v>29</v>
      </c>
      <c r="D21" s="16">
        <v>0</v>
      </c>
      <c r="E21" s="16">
        <v>0</v>
      </c>
      <c r="F21" s="16">
        <v>315779.64</v>
      </c>
      <c r="G21" s="16">
        <v>315779.64</v>
      </c>
      <c r="H21" s="16">
        <v>440419.82</v>
      </c>
      <c r="I21" s="16">
        <v>384524.66000000003</v>
      </c>
      <c r="J21" s="16">
        <v>309697.7</v>
      </c>
    </row>
    <row r="22" spans="2:14" x14ac:dyDescent="0.35">
      <c r="C22" t="s">
        <v>30</v>
      </c>
      <c r="D22" s="16">
        <f>'[1]FERC '!$E$100</f>
        <v>3344779.9139999999</v>
      </c>
      <c r="E22" s="16">
        <f>[3]Sheet1!$D$108</f>
        <v>2693620.28</v>
      </c>
      <c r="F22" s="16">
        <v>3312509.87</v>
      </c>
      <c r="G22" s="16">
        <v>3571872.86</v>
      </c>
      <c r="H22" s="16">
        <v>3434844.47</v>
      </c>
      <c r="I22" s="16">
        <v>3673976.44</v>
      </c>
      <c r="J22" s="16">
        <v>3398804.41</v>
      </c>
    </row>
    <row r="23" spans="2:14" x14ac:dyDescent="0.35">
      <c r="C23" t="s">
        <v>31</v>
      </c>
      <c r="D23" s="16">
        <f>'[1]FERC '!$E$102</f>
        <v>2693040.19</v>
      </c>
      <c r="E23" s="16">
        <f>[3]Sheet1!$D$110</f>
        <v>2942650.53</v>
      </c>
      <c r="F23" s="16">
        <v>2331879.54</v>
      </c>
      <c r="G23" s="16">
        <v>1520193.97</v>
      </c>
      <c r="H23" s="16">
        <v>246409.79</v>
      </c>
      <c r="I23" s="16">
        <v>639251</v>
      </c>
      <c r="J23" s="16">
        <v>1214398</v>
      </c>
    </row>
    <row r="24" spans="2:14" x14ac:dyDescent="0.35">
      <c r="C24" s="2" t="s">
        <v>32</v>
      </c>
      <c r="D24" s="16">
        <f>'[1]FERC '!$E$104</f>
        <v>-211980.84000000003</v>
      </c>
      <c r="E24" s="16">
        <f>[3]Sheet1!$D$112</f>
        <v>-1643388.73</v>
      </c>
      <c r="F24" s="16">
        <v>-1145485.0900000001</v>
      </c>
      <c r="G24" s="16">
        <v>729540.87</v>
      </c>
      <c r="H24" s="16">
        <v>117598.03</v>
      </c>
      <c r="I24" s="16">
        <v>-411089</v>
      </c>
      <c r="J24" s="16">
        <v>-413942</v>
      </c>
    </row>
    <row r="25" spans="2:14" x14ac:dyDescent="0.35">
      <c r="C25" t="s">
        <v>33</v>
      </c>
      <c r="D25" s="26">
        <f t="shared" ref="D25:J25" si="1">SUM(D11:D24)</f>
        <v>55361276.832142465</v>
      </c>
      <c r="E25" s="26">
        <f t="shared" si="1"/>
        <v>49852355.500000007</v>
      </c>
      <c r="F25" s="26">
        <f t="shared" si="1"/>
        <v>51064066.50999999</v>
      </c>
      <c r="G25" s="26">
        <f t="shared" si="1"/>
        <v>52743882.61999999</v>
      </c>
      <c r="H25" s="26">
        <f t="shared" si="1"/>
        <v>42489753.269999996</v>
      </c>
      <c r="I25" s="26">
        <f t="shared" si="1"/>
        <v>38579272.579999991</v>
      </c>
      <c r="J25" s="26">
        <f t="shared" si="1"/>
        <v>40921216.360000014</v>
      </c>
      <c r="N25" s="5"/>
    </row>
    <row r="26" spans="2:14" x14ac:dyDescent="0.35">
      <c r="D26" s="18"/>
      <c r="E26" s="16"/>
      <c r="F26" s="16"/>
      <c r="G26" s="16"/>
      <c r="H26" s="16"/>
      <c r="I26" s="16"/>
      <c r="J26" s="16"/>
    </row>
    <row r="27" spans="2:14" x14ac:dyDescent="0.35">
      <c r="B27" s="1" t="s">
        <v>34</v>
      </c>
      <c r="D27" s="16">
        <f>'[1]FERC '!$E$149</f>
        <v>0</v>
      </c>
      <c r="E27" s="16">
        <f>[3]Sheet1!$D$136</f>
        <v>-82472.34</v>
      </c>
      <c r="F27" s="16">
        <v>37749.56</v>
      </c>
      <c r="G27" s="16">
        <v>137797.9</v>
      </c>
      <c r="H27" s="16">
        <v>-71846.92</v>
      </c>
      <c r="I27" s="16">
        <v>82403.649999999994</v>
      </c>
      <c r="J27" s="16">
        <v>196181.1</v>
      </c>
    </row>
    <row r="28" spans="2:14" x14ac:dyDescent="0.35">
      <c r="B28" s="1"/>
      <c r="D28" s="16"/>
      <c r="E28" s="16"/>
      <c r="F28" s="16"/>
      <c r="G28" s="16"/>
      <c r="H28" s="16"/>
      <c r="I28" s="16"/>
      <c r="J28" s="16"/>
    </row>
    <row r="29" spans="2:14" x14ac:dyDescent="0.35">
      <c r="B29" s="1" t="s">
        <v>35</v>
      </c>
      <c r="D29" s="27">
        <f>'[1]FERC '!$E$129+'[1]FERC '!$E$131+'[1]FERC '!$E$133</f>
        <v>3845087.4699999997</v>
      </c>
      <c r="E29" s="27">
        <f>[3]Sheet1!$D$144</f>
        <v>2308638.27</v>
      </c>
      <c r="F29" s="27">
        <v>2116865.36</v>
      </c>
      <c r="G29" s="27">
        <v>2553445.39</v>
      </c>
      <c r="H29" s="27">
        <v>2289094.4900000002</v>
      </c>
      <c r="I29" s="27">
        <v>2273998.6399999997</v>
      </c>
      <c r="J29" s="27">
        <v>2360739.69</v>
      </c>
    </row>
    <row r="30" spans="2:14" x14ac:dyDescent="0.35">
      <c r="D30" s="16"/>
      <c r="E30" s="16"/>
      <c r="F30" s="16"/>
      <c r="G30" s="16"/>
      <c r="H30" s="16"/>
      <c r="I30" s="16"/>
      <c r="J30" s="16"/>
    </row>
    <row r="31" spans="2:14" ht="15" thickBot="1" x14ac:dyDescent="0.4">
      <c r="B31" s="1" t="s">
        <v>7</v>
      </c>
      <c r="D31" s="28">
        <f>(D8-D25-D29)</f>
        <v>-1845984.9721424663</v>
      </c>
      <c r="E31" s="28">
        <f>(E8-E25-E29-E27)</f>
        <v>6989565.349999994</v>
      </c>
      <c r="F31" s="28">
        <f>(F8-F25-F29)</f>
        <v>6489557.6000000089</v>
      </c>
      <c r="G31" s="28">
        <f t="shared" ref="G31:J31" si="2">(G8-G25-G29)</f>
        <v>9886376.5400000066</v>
      </c>
      <c r="H31" s="28">
        <f t="shared" si="2"/>
        <v>5248277.2500000019</v>
      </c>
      <c r="I31" s="28">
        <f t="shared" si="2"/>
        <v>4339347.7800000096</v>
      </c>
      <c r="J31" s="28">
        <f t="shared" si="2"/>
        <v>6133661.9899999853</v>
      </c>
      <c r="L31" s="9"/>
    </row>
    <row r="32" spans="2:14" ht="15" thickTop="1" x14ac:dyDescent="0.35">
      <c r="D32" s="18"/>
      <c r="E32" s="16"/>
      <c r="F32" s="18"/>
      <c r="G32" s="18"/>
      <c r="H32" s="19"/>
      <c r="I32" s="18"/>
      <c r="J32" s="18"/>
    </row>
    <row r="33" spans="2:10" x14ac:dyDescent="0.35">
      <c r="B33" s="1" t="s">
        <v>8</v>
      </c>
      <c r="C33" s="1"/>
      <c r="D33" s="29"/>
      <c r="E33" s="16"/>
      <c r="F33" s="18"/>
      <c r="G33" s="18"/>
      <c r="H33" s="19"/>
      <c r="I33" s="18"/>
      <c r="J33" s="18"/>
    </row>
    <row r="34" spans="2:10" x14ac:dyDescent="0.35">
      <c r="C34" t="s">
        <v>49</v>
      </c>
      <c r="D34" s="17">
        <f>([4]Summary!$C$97+[4]Summary!$C$101)</f>
        <v>34525.533858056457</v>
      </c>
      <c r="E34" s="17">
        <f>GETPIVOTDATA("Sum of Average Customers",'[13]Summary by Service'!$A$3,"Retail or Transportation","Retail","Rate","Farm Tap")+GETPIVOTDATA("Sum of Average Customers",'[13]Summary by Service'!$A$3,"Retail or Transportation","Retail","Rate","Residential")</f>
        <v>34714.319444444445</v>
      </c>
      <c r="F34" s="17">
        <f>D34</f>
        <v>34525.533858056457</v>
      </c>
      <c r="G34" s="17">
        <f>('[5]Block Actual'!$F$3/12)+('[5]Block Actual'!$V$3/12)</f>
        <v>34810.166666666672</v>
      </c>
      <c r="H34" s="19">
        <f>('[6]Block Actual CIS AS400'!$F$3+'[6]Block Actual CIS AS400'!$V$3+'[6]Block Actual SAP'!$F$3+'[6]Block Actual SAP'!$V$3)/12</f>
        <v>34152.833333333336</v>
      </c>
      <c r="I34" s="20">
        <f>'[7]Delta Historic'!$D$40+'[7]Peoples KY Historic'!$D$34</f>
        <v>33474</v>
      </c>
      <c r="J34" s="20">
        <f>'[7]Delta Historic'!$E$40+'[7]Peoples KY Historic'!$E$34</f>
        <v>32831</v>
      </c>
    </row>
    <row r="35" spans="2:10" x14ac:dyDescent="0.35">
      <c r="C35" t="s">
        <v>9</v>
      </c>
      <c r="D35" s="17">
        <f>[4]Summary!$C$98</f>
        <v>4249.3218820511411</v>
      </c>
      <c r="E35" s="17">
        <f>GETPIVOTDATA("Sum of Average Customers",'[13]Summary by Service'!$A$3,"Retail or Transportation","Retail","Rate","Small Non-Residential")</f>
        <v>4235.1051051051054</v>
      </c>
      <c r="F35" s="17">
        <f t="shared" ref="F35:F36" si="3">D35</f>
        <v>4249.3218820511411</v>
      </c>
      <c r="G35" s="20">
        <f>'[5]Block Actual'!$J$3/12</f>
        <v>4341.25</v>
      </c>
      <c r="H35" s="19">
        <f>('[6]Block Actual CIS AS400'!$J$3+'[6]Block Actual SAP'!$J$3)/12</f>
        <v>4245.25</v>
      </c>
      <c r="I35" s="16">
        <f>'[7]Delta Historic'!$D$41</f>
        <v>4184</v>
      </c>
      <c r="J35" s="5">
        <f>49265/12</f>
        <v>4105.416666666667</v>
      </c>
    </row>
    <row r="36" spans="2:10" ht="15" thickBot="1" x14ac:dyDescent="0.4">
      <c r="C36" t="s">
        <v>10</v>
      </c>
      <c r="D36" s="21">
        <f>([4]Summary!$C$99+[4]Summary!$C$100)</f>
        <v>914.26833826773668</v>
      </c>
      <c r="E36" s="21">
        <f>GETPIVOTDATA("Sum of Average Customers",'[13]Summary by Service'!$A$3,"Retail or Transportation","Retail","Rate","Interruptible")+GETPIVOTDATA("Sum of Average Customers",'[13]Summary by Service'!$A$3,"Retail or Transportation","Retail","Rate","Large Non-Residential")</f>
        <v>932.16693397668439</v>
      </c>
      <c r="F36" s="21">
        <f t="shared" si="3"/>
        <v>914.26833826773668</v>
      </c>
      <c r="G36" s="22">
        <f>('[5]Block Actual'!$N$3/12)+('[5]Block Actual'!$R$3/12)</f>
        <v>910.24333333333334</v>
      </c>
      <c r="H36" s="23">
        <f>('[6]Block Actual CIS AS400'!$N$3+'[6]Block Actual CIS AS400'!$R$3+'[6]Block Actual SAP'!$N$3+'[6]Block Actual SAP'!$R$3)/12</f>
        <v>908.25</v>
      </c>
      <c r="I36" s="24">
        <f>'[7]Delta Historic'!$D$42</f>
        <v>889</v>
      </c>
      <c r="J36" s="24">
        <f>'[7]Delta Historic'!$E$42+850</f>
        <v>889</v>
      </c>
    </row>
    <row r="37" spans="2:10" x14ac:dyDescent="0.35">
      <c r="C37" t="s">
        <v>11</v>
      </c>
      <c r="D37" s="17">
        <f>SUM(D34:D36)</f>
        <v>39689.124078375331</v>
      </c>
      <c r="E37" s="17">
        <f t="shared" ref="E37:F37" si="4">SUM(E34:E36)</f>
        <v>39881.59148352623</v>
      </c>
      <c r="F37" s="17">
        <f t="shared" si="4"/>
        <v>39689.124078375331</v>
      </c>
      <c r="G37" s="20">
        <f>SUM(G34:G36)</f>
        <v>40061.660000000003</v>
      </c>
      <c r="H37" s="19">
        <f>SUM(H34:H36)</f>
        <v>39306.333333333336</v>
      </c>
      <c r="I37" s="17">
        <f>SUM(I34:I36)</f>
        <v>38547</v>
      </c>
      <c r="J37" s="17">
        <f>SUM(J34:J36)</f>
        <v>37825.416666666664</v>
      </c>
    </row>
    <row r="38" spans="2:10" x14ac:dyDescent="0.35">
      <c r="D38" s="18"/>
      <c r="E38" s="16"/>
      <c r="F38" s="18"/>
      <c r="G38" s="18"/>
      <c r="H38" s="19"/>
      <c r="I38" s="18"/>
      <c r="J38" s="18"/>
    </row>
    <row r="39" spans="2:10" x14ac:dyDescent="0.35">
      <c r="B39" s="1" t="s">
        <v>12</v>
      </c>
      <c r="D39" s="18"/>
      <c r="E39" s="16"/>
      <c r="F39" s="18"/>
      <c r="G39" s="18"/>
      <c r="H39" s="19"/>
      <c r="I39" s="18"/>
      <c r="J39" s="18"/>
    </row>
    <row r="40" spans="2:10" x14ac:dyDescent="0.35">
      <c r="C40" t="s">
        <v>49</v>
      </c>
      <c r="D40" s="16">
        <f>[4]Summary!$E$69+[4]Summary!$E$73</f>
        <v>1969606.9809463185</v>
      </c>
      <c r="E40" s="16">
        <f>GETPIVOTDATA("Sum of Mcf",'[13]Summary by Service'!$A$3,"Retail or Transportation","Retail","Rate","Farm Tap")+GETPIVOTDATA("Sum of Mcf",'[13]Summary by Service'!$A$3,"Retail or Transportation","Retail","Rate","Residential")</f>
        <v>1708781</v>
      </c>
      <c r="F40" s="16">
        <f>[4]Summary!$B$69+[4]Summary!$B$73</f>
        <v>1624841.8</v>
      </c>
      <c r="G40" s="16">
        <f>'[5]Block Actual'!$F$5+'[5]Block Actual'!$V$5</f>
        <v>1820353</v>
      </c>
      <c r="H40" s="16">
        <f>'[6]Block Actual CIS AS400'!$F$5+'[6]Block Actual SAP'!$F$5+'[6]Block Actual SAP'!$V$5</f>
        <v>1953917</v>
      </c>
      <c r="I40" s="16">
        <f>'[7]FTY, Base, and Combined'!$D$42+'[7]FTY, Base, and Combined'!$D$45</f>
        <v>1597224.7</v>
      </c>
      <c r="J40" s="16">
        <f>'[7]FTY, Base, and Combined'!$D$42+'[7]FTY, Base, and Combined'!$D$45</f>
        <v>1597224.7</v>
      </c>
    </row>
    <row r="41" spans="2:10" x14ac:dyDescent="0.35">
      <c r="C41" t="s">
        <v>9</v>
      </c>
      <c r="D41" s="16">
        <f>[4]Summary!$E$70</f>
        <v>662857.14025296632</v>
      </c>
      <c r="E41" s="16">
        <f>GETPIVOTDATA("Sum of Mcf",'[13]Summary by Service'!$A$3,"Retail or Transportation","Retail","Rate","Small Non-Residential")</f>
        <v>597482</v>
      </c>
      <c r="F41" s="16">
        <f>[4]Summary!$B$70</f>
        <v>551369.5</v>
      </c>
      <c r="G41" s="16">
        <f>'[5]Block Actual'!$J$5</f>
        <v>603851</v>
      </c>
      <c r="H41" s="16">
        <f>'[6]Block Actual CIS AS400'!$J$5+'[6]Block Actual SAP'!$J$5</f>
        <v>632139</v>
      </c>
      <c r="I41" s="16">
        <f>'[7]FTY, Base, and Combined'!$D$43</f>
        <v>489342.38844015694</v>
      </c>
      <c r="J41" s="16">
        <f>'[7]FTY, Base, and Combined'!$D$43</f>
        <v>489342.38844015694</v>
      </c>
    </row>
    <row r="42" spans="2:10" ht="15" thickBot="1" x14ac:dyDescent="0.4">
      <c r="C42" t="s">
        <v>10</v>
      </c>
      <c r="D42" s="24">
        <f>[4]Summary!$E$71+[4]Summary!$E$72</f>
        <v>858759</v>
      </c>
      <c r="E42" s="24">
        <f>GETPIVOTDATA("Sum of Mcf",'[13]Summary by Service'!$A$3,"Retail or Transportation","Retail","Rate","Large Non-Residential")+GETPIVOTDATA("Sum of Mcf",'[13]Summary by Service'!$A$3,"Retail or Transportation","Retail","Rate","Interruptible")</f>
        <v>909817</v>
      </c>
      <c r="F42" s="24">
        <f>[4]Summary!$B$71+[4]Summary!$B$72</f>
        <v>858759</v>
      </c>
      <c r="G42" s="24">
        <f>'[5]Block Actual'!$N$5+'[5]Block Actual'!$R$5</f>
        <v>641860</v>
      </c>
      <c r="H42" s="24">
        <f>'[6]Block Actual CIS AS400'!$N$5+'[6]Block Actual CIS AS400'!$R$5+'[6]Block Actual SAP'!$N$5+'[6]Block Actual SAP'!$R$5</f>
        <v>701756</v>
      </c>
      <c r="I42" s="24">
        <f>'[7]FTY, Base, and Combined'!$D$44</f>
        <v>736644.99999999988</v>
      </c>
      <c r="J42" s="24">
        <f>'[7]FTY, Base, and Combined'!$D$44</f>
        <v>736644.99999999988</v>
      </c>
    </row>
    <row r="43" spans="2:10" x14ac:dyDescent="0.35">
      <c r="C43" t="s">
        <v>36</v>
      </c>
      <c r="D43" s="16">
        <f t="shared" ref="D43:J43" si="5">SUM(D40:D42)</f>
        <v>3491223.1211992847</v>
      </c>
      <c r="E43" s="16">
        <f t="shared" si="5"/>
        <v>3216080</v>
      </c>
      <c r="F43" s="16">
        <f t="shared" si="5"/>
        <v>3034970.3</v>
      </c>
      <c r="G43" s="16">
        <f t="shared" si="5"/>
        <v>3066064</v>
      </c>
      <c r="H43" s="16">
        <f t="shared" si="5"/>
        <v>3287812</v>
      </c>
      <c r="I43" s="16">
        <f t="shared" si="5"/>
        <v>2823212.088440157</v>
      </c>
      <c r="J43" s="16">
        <f t="shared" si="5"/>
        <v>2823212.088440157</v>
      </c>
    </row>
    <row r="44" spans="2:10" x14ac:dyDescent="0.35">
      <c r="D44" s="18"/>
      <c r="E44" s="16"/>
      <c r="F44" s="18"/>
      <c r="G44" s="16"/>
      <c r="H44" s="16"/>
      <c r="I44" s="18"/>
      <c r="J44" s="18"/>
    </row>
    <row r="45" spans="2:10" x14ac:dyDescent="0.35">
      <c r="B45" s="1" t="s">
        <v>13</v>
      </c>
      <c r="D45" s="18"/>
      <c r="E45" s="16"/>
      <c r="F45" s="18"/>
      <c r="G45" s="18"/>
      <c r="H45" s="19"/>
      <c r="I45" s="18"/>
      <c r="J45" s="18"/>
    </row>
    <row r="46" spans="2:10" x14ac:dyDescent="0.35">
      <c r="C46" t="s">
        <v>49</v>
      </c>
      <c r="D46" s="16">
        <f t="shared" ref="D46:E48" si="6">D40/D34</f>
        <v>57.047835640830073</v>
      </c>
      <c r="E46" s="16">
        <f t="shared" si="6"/>
        <v>49.224096204296096</v>
      </c>
      <c r="F46" s="16">
        <f t="shared" ref="F46:J46" si="7">F40/F34</f>
        <v>47.062032601151131</v>
      </c>
      <c r="G46" s="16">
        <f t="shared" si="7"/>
        <v>52.293716873901772</v>
      </c>
      <c r="H46" s="16">
        <f t="shared" si="7"/>
        <v>57.210978103329637</v>
      </c>
      <c r="I46" s="16">
        <f t="shared" si="7"/>
        <v>47.71538208759037</v>
      </c>
      <c r="J46" s="16">
        <f t="shared" si="7"/>
        <v>48.649894916389997</v>
      </c>
    </row>
    <row r="47" spans="2:10" x14ac:dyDescent="0.35">
      <c r="C47" t="s">
        <v>9</v>
      </c>
      <c r="D47" s="16">
        <f t="shared" si="6"/>
        <v>155.99127546746499</v>
      </c>
      <c r="E47" s="16">
        <f t="shared" si="6"/>
        <v>141.07843493182253</v>
      </c>
      <c r="F47" s="16">
        <f t="shared" ref="F47:J47" si="8">F41/F35</f>
        <v>129.75470329252977</v>
      </c>
      <c r="G47" s="16">
        <f t="shared" si="8"/>
        <v>139.09611287071695</v>
      </c>
      <c r="H47" s="16">
        <f t="shared" si="8"/>
        <v>148.90501148342264</v>
      </c>
      <c r="I47" s="16">
        <f t="shared" si="8"/>
        <v>116.95563777250405</v>
      </c>
      <c r="J47" s="16">
        <f t="shared" si="8"/>
        <v>119.19432987479718</v>
      </c>
    </row>
    <row r="48" spans="2:10" x14ac:dyDescent="0.35">
      <c r="C48" t="s">
        <v>10</v>
      </c>
      <c r="D48" s="16">
        <f t="shared" si="6"/>
        <v>939.28550738953709</v>
      </c>
      <c r="E48" s="16">
        <f t="shared" si="6"/>
        <v>976.02367863303402</v>
      </c>
      <c r="F48" s="16">
        <f t="shared" ref="F48:J48" si="9">F42/F36</f>
        <v>939.28550738953709</v>
      </c>
      <c r="G48" s="16">
        <f t="shared" si="9"/>
        <v>705.15210218512993</v>
      </c>
      <c r="H48" s="16">
        <f t="shared" si="9"/>
        <v>772.64629782548855</v>
      </c>
      <c r="I48" s="16">
        <f t="shared" si="9"/>
        <v>828.62204724409435</v>
      </c>
      <c r="J48" s="16">
        <f t="shared" si="9"/>
        <v>828.62204724409435</v>
      </c>
    </row>
    <row r="49" spans="2:10" x14ac:dyDescent="0.35">
      <c r="E49" s="16"/>
    </row>
    <row r="50" spans="2:10" x14ac:dyDescent="0.35">
      <c r="E50" s="18"/>
    </row>
    <row r="51" spans="2:10" x14ac:dyDescent="0.35">
      <c r="B51" s="1"/>
      <c r="E51" s="29"/>
    </row>
    <row r="52" spans="2:10" x14ac:dyDescent="0.35">
      <c r="B52" s="1" t="s">
        <v>14</v>
      </c>
      <c r="E52" s="29"/>
    </row>
    <row r="53" spans="2:10" x14ac:dyDescent="0.35">
      <c r="B53" s="1"/>
      <c r="C53" t="s">
        <v>49</v>
      </c>
      <c r="D53" s="19">
        <f>-'[8]Projected Period Natural'!$AP$13</f>
        <v>29296538.229999997</v>
      </c>
      <c r="E53" s="19">
        <f>-[3]Sheet1!$D$14</f>
        <v>29215395.84</v>
      </c>
      <c r="F53" s="19">
        <v>30961042.23</v>
      </c>
      <c r="G53" s="19">
        <v>30837566.609999999</v>
      </c>
      <c r="H53" s="19">
        <v>26670982.239999998</v>
      </c>
      <c r="I53" s="19">
        <v>23948307.91</v>
      </c>
      <c r="J53" s="19">
        <v>25589171.52</v>
      </c>
    </row>
    <row r="54" spans="2:10" x14ac:dyDescent="0.35">
      <c r="B54" s="1"/>
      <c r="C54" t="s">
        <v>9</v>
      </c>
      <c r="D54" s="19">
        <f>-'[8]Projected Period Natural'!$AP$15</f>
        <v>17895174</v>
      </c>
      <c r="E54" s="19">
        <f>-[9]Sheet1!$B$13</f>
        <v>19086552.130000003</v>
      </c>
      <c r="F54" s="19">
        <v>20045803.079999998</v>
      </c>
      <c r="G54" s="19">
        <v>19990031.050000001</v>
      </c>
      <c r="H54" s="19">
        <v>15285985.109999999</v>
      </c>
      <c r="I54" s="19">
        <v>6587910.1600000001</v>
      </c>
      <c r="J54" s="19">
        <v>11774212.83</v>
      </c>
    </row>
    <row r="55" spans="2:10" ht="15" thickBot="1" x14ac:dyDescent="0.4">
      <c r="B55" s="1"/>
      <c r="C55" t="s">
        <v>10</v>
      </c>
      <c r="D55" s="23">
        <f>-'[8]Projected Period Natural'!$AP$17</f>
        <v>1010832.66</v>
      </c>
      <c r="E55" s="23">
        <f>-[9]Sheet1!$B$15</f>
        <v>980588.21</v>
      </c>
      <c r="F55" s="23">
        <v>1188406.82</v>
      </c>
      <c r="G55" s="23">
        <v>912879.98</v>
      </c>
      <c r="H55" s="23">
        <v>2018854.93</v>
      </c>
      <c r="I55" s="23">
        <v>8280960.0700000003</v>
      </c>
      <c r="J55" s="23">
        <v>5014738.4800000004</v>
      </c>
    </row>
    <row r="56" spans="2:10" x14ac:dyDescent="0.35">
      <c r="B56" s="1"/>
      <c r="C56" t="s">
        <v>11</v>
      </c>
      <c r="D56" s="5">
        <f>SUM(D53:D55)</f>
        <v>48202544.889999993</v>
      </c>
      <c r="E56" s="19">
        <f>SUM(E53:E55)</f>
        <v>49282536.18</v>
      </c>
      <c r="F56" s="19">
        <f t="shared" ref="F56:J56" si="10">SUM(F53:F55)</f>
        <v>52195252.130000003</v>
      </c>
      <c r="G56" s="19">
        <f t="shared" si="10"/>
        <v>51740477.639999993</v>
      </c>
      <c r="H56" s="19">
        <f t="shared" si="10"/>
        <v>43975822.279999994</v>
      </c>
      <c r="I56" s="19">
        <f t="shared" si="10"/>
        <v>38817178.140000001</v>
      </c>
      <c r="J56" s="19">
        <f t="shared" si="10"/>
        <v>42378122.829999998</v>
      </c>
    </row>
    <row r="57" spans="2:10" x14ac:dyDescent="0.35">
      <c r="B57" s="1"/>
      <c r="E57" s="14"/>
    </row>
    <row r="58" spans="2:10" x14ac:dyDescent="0.35">
      <c r="B58" s="1" t="s">
        <v>42</v>
      </c>
      <c r="E58" s="1"/>
    </row>
    <row r="59" spans="2:10" x14ac:dyDescent="0.35">
      <c r="B59" s="1"/>
      <c r="C59" t="s">
        <v>49</v>
      </c>
      <c r="D59" s="31">
        <f t="shared" ref="D59:E61" si="11">D53/D34</f>
        <v>848.54700148724032</v>
      </c>
      <c r="E59" s="31">
        <f t="shared" si="11"/>
        <v>841.59494720198313</v>
      </c>
      <c r="F59" s="31">
        <f t="shared" ref="F59:J59" si="12">F53/F34</f>
        <v>896.75781284915047</v>
      </c>
      <c r="G59" s="31">
        <f t="shared" si="12"/>
        <v>885.87816614877818</v>
      </c>
      <c r="H59" s="31">
        <f t="shared" si="12"/>
        <v>780.93029587589115</v>
      </c>
      <c r="I59" s="31">
        <f t="shared" si="12"/>
        <v>715.43012218438196</v>
      </c>
      <c r="J59" s="31">
        <f t="shared" si="12"/>
        <v>779.42102037708264</v>
      </c>
    </row>
    <row r="60" spans="2:10" x14ac:dyDescent="0.35">
      <c r="B60" s="1"/>
      <c r="C60" t="s">
        <v>9</v>
      </c>
      <c r="D60" s="31">
        <f t="shared" si="11"/>
        <v>4211.3011197358455</v>
      </c>
      <c r="E60" s="31">
        <f t="shared" si="11"/>
        <v>4506.7481576767905</v>
      </c>
      <c r="F60" s="31">
        <f t="shared" ref="F60:J60" si="13">F54/F35</f>
        <v>4717.4122451566127</v>
      </c>
      <c r="G60" s="31">
        <f t="shared" si="13"/>
        <v>4604.6717074575299</v>
      </c>
      <c r="H60" s="31">
        <f t="shared" si="13"/>
        <v>3600.72672045227</v>
      </c>
      <c r="I60" s="31">
        <f t="shared" si="13"/>
        <v>1574.5483173996176</v>
      </c>
      <c r="J60" s="31">
        <f t="shared" si="13"/>
        <v>2867.9702417537806</v>
      </c>
    </row>
    <row r="61" spans="2:10" x14ac:dyDescent="0.35">
      <c r="B61" s="1"/>
      <c r="C61" t="s">
        <v>10</v>
      </c>
      <c r="D61" s="31">
        <f t="shared" si="11"/>
        <v>1105.6192341902856</v>
      </c>
      <c r="E61" s="31">
        <f t="shared" si="11"/>
        <v>1051.9448547877012</v>
      </c>
      <c r="F61" s="31">
        <f t="shared" ref="F61:J61" si="14">F55/F36</f>
        <v>1299.8446629483783</v>
      </c>
      <c r="G61" s="31">
        <f t="shared" si="14"/>
        <v>1002.8966393601711</v>
      </c>
      <c r="H61" s="31">
        <f t="shared" si="14"/>
        <v>2222.7965097715387</v>
      </c>
      <c r="I61" s="31">
        <f t="shared" si="14"/>
        <v>9314.9157142857148</v>
      </c>
      <c r="J61" s="31">
        <f t="shared" si="14"/>
        <v>5640.8756805399335</v>
      </c>
    </row>
    <row r="62" spans="2:10" x14ac:dyDescent="0.35">
      <c r="B62" s="1"/>
      <c r="E62" s="15"/>
    </row>
    <row r="63" spans="2:10" x14ac:dyDescent="0.35">
      <c r="B63" s="1" t="s">
        <v>50</v>
      </c>
      <c r="E63" s="1"/>
    </row>
  </sheetData>
  <pageMargins left="0.53" right="0.25" top="0.75" bottom="0.75" header="0.4" footer="0.3"/>
  <pageSetup scale="72" orientation="portrait" r:id="rId1"/>
  <headerFooter>
    <oddHeader>&amp;CComparative Income Statements, Revenue 
Statistics and Sales Statistics
Combined Preceding Five Years and Base Period&amp;RTab 62
Sheet 1 of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6B942-D80E-4721-9005-7E08FD94AB82}">
  <sheetPr>
    <pageSetUpPr fitToPage="1"/>
  </sheetPr>
  <dimension ref="B3:H55"/>
  <sheetViews>
    <sheetView showGridLines="0" zoomScale="80" zoomScaleNormal="80" zoomScaleSheetLayoutView="100" workbookViewId="0">
      <pane xSplit="6" ySplit="3" topLeftCell="G22" activePane="bottomRight" state="frozen"/>
      <selection pane="topRight" activeCell="G1" sqref="G1"/>
      <selection pane="bottomLeft" activeCell="A4" sqref="A4"/>
      <selection pane="bottomRight" activeCell="F27" sqref="F27"/>
    </sheetView>
  </sheetViews>
  <sheetFormatPr defaultRowHeight="14.5" x14ac:dyDescent="0.35"/>
  <cols>
    <col min="2" max="2" width="2.54296875" style="1" customWidth="1"/>
    <col min="3" max="3" width="27.7265625" bestFit="1" customWidth="1"/>
    <col min="4" max="4" width="13.453125" bestFit="1" customWidth="1"/>
    <col min="5" max="5" width="17.26953125" customWidth="1"/>
    <col min="6" max="6" width="17.1796875" customWidth="1"/>
    <col min="8" max="8" width="15.26953125" bestFit="1" customWidth="1"/>
  </cols>
  <sheetData>
    <row r="3" spans="2:6" x14ac:dyDescent="0.35">
      <c r="B3" s="1" t="s">
        <v>45</v>
      </c>
      <c r="D3" s="35">
        <v>2028</v>
      </c>
      <c r="E3" s="35">
        <v>2027</v>
      </c>
      <c r="F3" s="35">
        <v>2026</v>
      </c>
    </row>
    <row r="4" spans="2:6" x14ac:dyDescent="0.35">
      <c r="C4" t="s">
        <v>0</v>
      </c>
      <c r="D4" s="5">
        <f>('[10]Forecasted Years'!$O$20+'[10]Forecasted Years'!$O$21+'[10]Forecasted Years'!$O$22)*1000</f>
        <v>53557944.435799979</v>
      </c>
      <c r="E4" s="5">
        <f>('[10]Forecasted Years'!$N$20+'[10]Forecasted Years'!$N$21+'[10]Forecasted Years'!$N$22)*1000</f>
        <v>52766447.719999999</v>
      </c>
      <c r="F4" s="5">
        <f>'[10]Forecasted Years'!$H$4</f>
        <v>51986648</v>
      </c>
    </row>
    <row r="5" spans="2:6" x14ac:dyDescent="0.35">
      <c r="C5" t="s">
        <v>43</v>
      </c>
      <c r="D5" s="5">
        <f>('[10]Forecasted Years'!$O$24+'[10]Forecasted Years'!$O$25+'[10]Forecasted Years'!$O$26)*1000</f>
        <v>8970517.0320863742</v>
      </c>
      <c r="E5" s="5">
        <f>('[10]Forecasted Years'!$N$24+'[10]Forecasted Years'!$N$25+'[10]Forecasted Years'!$N$26)*1000</f>
        <v>8969936.9774250016</v>
      </c>
      <c r="F5" s="5">
        <f>'[10]Forecasted Years'!$H$5</f>
        <v>8969365.4949999992</v>
      </c>
    </row>
    <row r="6" spans="2:6" x14ac:dyDescent="0.35">
      <c r="C6" t="s">
        <v>2</v>
      </c>
      <c r="D6" s="11">
        <f>SUM(D4:D5)</f>
        <v>62528461.467886351</v>
      </c>
      <c r="E6" s="11">
        <f t="shared" ref="E6:F6" si="0">SUM(E4:E5)</f>
        <v>61736384.697425</v>
      </c>
      <c r="F6" s="11">
        <f t="shared" si="0"/>
        <v>60956013.494999997</v>
      </c>
    </row>
    <row r="7" spans="2:6" x14ac:dyDescent="0.35">
      <c r="D7" s="5"/>
      <c r="E7" s="5"/>
      <c r="F7" s="5"/>
    </row>
    <row r="8" spans="2:6" x14ac:dyDescent="0.35">
      <c r="B8" s="1" t="s">
        <v>3</v>
      </c>
      <c r="D8" s="5"/>
      <c r="E8" s="5"/>
      <c r="F8" s="5"/>
    </row>
    <row r="9" spans="2:6" x14ac:dyDescent="0.35">
      <c r="D9" s="5"/>
      <c r="E9" s="5"/>
      <c r="F9" s="5"/>
    </row>
    <row r="10" spans="2:6" x14ac:dyDescent="0.35">
      <c r="C10" t="s">
        <v>37</v>
      </c>
      <c r="D10" s="5">
        <f>'[11]1600'!L9</f>
        <v>45501647.126610816</v>
      </c>
      <c r="E10" s="5">
        <f>'[11]1600'!K9</f>
        <v>44148862.710730806</v>
      </c>
      <c r="F10" s="5">
        <f>'[10]Forecasted Years'!$H$10</f>
        <v>42694561.765312329</v>
      </c>
    </row>
    <row r="11" spans="2:6" x14ac:dyDescent="0.35">
      <c r="C11" t="s">
        <v>38</v>
      </c>
      <c r="D11" s="5">
        <f>'[11]1600'!L10</f>
        <v>13237735.090000002</v>
      </c>
      <c r="E11" s="5">
        <f>'[11]1600'!K10</f>
        <v>13175306.970000003</v>
      </c>
      <c r="F11" s="5">
        <f>'[10]Forecasted Years'!$H$11</f>
        <v>12380888.530000001</v>
      </c>
    </row>
    <row r="12" spans="2:6" x14ac:dyDescent="0.35">
      <c r="C12" t="s">
        <v>39</v>
      </c>
      <c r="D12" s="5">
        <f>'[11]1600'!L11</f>
        <v>315780</v>
      </c>
      <c r="E12" s="5">
        <f>'[11]1600'!K11</f>
        <v>315780</v>
      </c>
      <c r="F12" s="5">
        <f>'[10]Forecasted Years'!$H$12</f>
        <v>315780</v>
      </c>
    </row>
    <row r="13" spans="2:6" x14ac:dyDescent="0.35">
      <c r="C13" t="s">
        <v>40</v>
      </c>
      <c r="D13" s="5">
        <f>'[11]1600'!L12</f>
        <v>3841858.4105194598</v>
      </c>
      <c r="E13" s="5">
        <f>'[11]1600'!K12</f>
        <v>3735784.8645819998</v>
      </c>
      <c r="F13" s="5">
        <f>'[10]Forecasted Years'!$H$13</f>
        <v>3632800.8393999999</v>
      </c>
    </row>
    <row r="14" spans="2:6" x14ac:dyDescent="0.35">
      <c r="D14" s="5"/>
      <c r="E14" s="5"/>
      <c r="F14" s="5"/>
    </row>
    <row r="15" spans="2:6" x14ac:dyDescent="0.35">
      <c r="C15" t="s">
        <v>4</v>
      </c>
      <c r="D15" s="8">
        <f>SUM(D9:D14)</f>
        <v>62897020.627130277</v>
      </c>
      <c r="E15" s="8">
        <f>SUM(E9:E14)</f>
        <v>61375734.545312807</v>
      </c>
      <c r="F15" s="8">
        <f>SUM(F9:F14)</f>
        <v>59024031.134712331</v>
      </c>
    </row>
    <row r="16" spans="2:6" x14ac:dyDescent="0.35">
      <c r="D16" s="5"/>
      <c r="E16" s="5"/>
      <c r="F16" s="5"/>
    </row>
    <row r="17" spans="2:8" x14ac:dyDescent="0.35">
      <c r="B17" s="1" t="s">
        <v>5</v>
      </c>
      <c r="D17" s="33">
        <f>+D6-D15</f>
        <v>-368559.15924392641</v>
      </c>
      <c r="E17" s="33">
        <f>+E6-E15</f>
        <v>360650.15211219341</v>
      </c>
      <c r="F17" s="33">
        <f>'[10]Forecasted Years'!$H$17</f>
        <v>1931982.3602876663</v>
      </c>
      <c r="H17" s="30"/>
    </row>
    <row r="18" spans="2:8" x14ac:dyDescent="0.35">
      <c r="B18" s="1" t="s">
        <v>44</v>
      </c>
      <c r="D18" s="5">
        <f>'[10]Forecasted Years'!$O$154+'[10]Forecasted Years'!$O$118</f>
        <v>5222554.1759339999</v>
      </c>
      <c r="E18" s="5">
        <f>'[10]Forecasted Years'!$N$154+'[10]Forecasted Years'!$N$118</f>
        <v>5126604.4756000005</v>
      </c>
      <c r="F18" s="5">
        <f>'[10]Forecasted Years'!$H$18</f>
        <v>4990677.16</v>
      </c>
    </row>
    <row r="19" spans="2:8" x14ac:dyDescent="0.35">
      <c r="B19" s="1" t="s">
        <v>6</v>
      </c>
      <c r="D19" s="5">
        <f>'[10]Forecasted Years'!$O$118</f>
        <v>601113.05593399995</v>
      </c>
      <c r="E19" s="5">
        <f>'[10]Forecasted Years'!$N$118</f>
        <v>600613.35560000001</v>
      </c>
      <c r="F19" s="5">
        <f>'[10]Forecasted Years'!$H$19</f>
        <v>600121.04</v>
      </c>
    </row>
    <row r="20" spans="2:8" x14ac:dyDescent="0.35">
      <c r="D20" s="5"/>
      <c r="E20" s="5"/>
      <c r="F20" s="5"/>
    </row>
    <row r="21" spans="2:8" x14ac:dyDescent="0.35">
      <c r="B21" s="1" t="s">
        <v>41</v>
      </c>
      <c r="D21" s="5">
        <f>'[10]Forecasted Years'!$O$161</f>
        <v>1547690.621848735</v>
      </c>
      <c r="E21" s="5">
        <f>'[10]Forecasted Years'!$N$161</f>
        <v>1703027.9460081253</v>
      </c>
      <c r="F21" s="5">
        <f>'[10]Forecasted Years'!$H$21</f>
        <v>2040777.8950896298</v>
      </c>
    </row>
    <row r="22" spans="2:8" x14ac:dyDescent="0.35">
      <c r="D22" s="5"/>
      <c r="E22" s="5"/>
      <c r="F22" s="5"/>
    </row>
    <row r="23" spans="2:8" ht="15" thickBot="1" x14ac:dyDescent="0.4">
      <c r="B23" s="1" t="s">
        <v>7</v>
      </c>
      <c r="D23" s="6">
        <f>+D17-D19-D21</f>
        <v>-2517362.8370266613</v>
      </c>
      <c r="E23" s="6">
        <f>+E17-E19-E21</f>
        <v>-1942991.1494959318</v>
      </c>
      <c r="F23" s="6">
        <f>F17+F19-F21-F18</f>
        <v>-4499351.6548019638</v>
      </c>
    </row>
    <row r="24" spans="2:8" ht="15" thickTop="1" x14ac:dyDescent="0.35">
      <c r="D24" s="5"/>
      <c r="E24" s="5"/>
      <c r="F24" s="5"/>
    </row>
    <row r="25" spans="2:8" x14ac:dyDescent="0.35">
      <c r="D25" s="5"/>
      <c r="E25" s="5"/>
      <c r="F25" s="5"/>
    </row>
    <row r="26" spans="2:8" x14ac:dyDescent="0.35">
      <c r="B26" s="1" t="s">
        <v>8</v>
      </c>
      <c r="C26" s="1"/>
      <c r="D26" s="5"/>
      <c r="E26" s="5"/>
      <c r="F26" s="5"/>
    </row>
    <row r="27" spans="2:8" x14ac:dyDescent="0.35">
      <c r="B27"/>
      <c r="C27" t="s">
        <v>49</v>
      </c>
      <c r="D27" s="12">
        <f>33096+3005</f>
        <v>36101</v>
      </c>
      <c r="E27" s="12">
        <f>32607+2961-1</f>
        <v>35567</v>
      </c>
      <c r="F27" s="12">
        <f>32124+2917</f>
        <v>35041</v>
      </c>
    </row>
    <row r="28" spans="2:8" x14ac:dyDescent="0.35">
      <c r="B28"/>
      <c r="C28" t="s">
        <v>9</v>
      </c>
      <c r="D28" s="12">
        <v>4443</v>
      </c>
      <c r="E28" s="5">
        <v>4378</v>
      </c>
      <c r="F28" s="5">
        <v>4313</v>
      </c>
    </row>
    <row r="29" spans="2:8" x14ac:dyDescent="0.35">
      <c r="B29"/>
      <c r="C29" t="s">
        <v>10</v>
      </c>
      <c r="D29" s="12">
        <v>956</v>
      </c>
      <c r="E29" s="12">
        <v>942</v>
      </c>
      <c r="F29" s="12">
        <v>928</v>
      </c>
    </row>
    <row r="30" spans="2:8" x14ac:dyDescent="0.35">
      <c r="B30"/>
      <c r="C30" t="s">
        <v>11</v>
      </c>
      <c r="D30" s="5">
        <f>SUM(D27:D29)</f>
        <v>41500</v>
      </c>
      <c r="E30" s="5">
        <f>SUM(E27:E29)</f>
        <v>40887</v>
      </c>
      <c r="F30" s="5">
        <f>SUM(F27:F29)</f>
        <v>40282</v>
      </c>
      <c r="G30" s="5"/>
    </row>
    <row r="31" spans="2:8" x14ac:dyDescent="0.35">
      <c r="B31"/>
      <c r="D31" s="5"/>
      <c r="E31" s="5"/>
      <c r="F31" s="5"/>
    </row>
    <row r="32" spans="2:8" x14ac:dyDescent="0.35">
      <c r="B32" s="1" t="s">
        <v>12</v>
      </c>
      <c r="D32" s="5"/>
      <c r="E32" s="5"/>
      <c r="F32" s="5"/>
    </row>
    <row r="33" spans="2:6" x14ac:dyDescent="0.35">
      <c r="B33"/>
      <c r="C33" t="s">
        <v>49</v>
      </c>
      <c r="D33" s="5">
        <f>1776108+242885</f>
        <v>2018993</v>
      </c>
      <c r="E33" s="5">
        <f>1749860+239296</f>
        <v>1989156</v>
      </c>
      <c r="F33" s="5">
        <f>1724000+235759</f>
        <v>1959759</v>
      </c>
    </row>
    <row r="34" spans="2:6" x14ac:dyDescent="0.35">
      <c r="B34"/>
      <c r="C34" t="s">
        <v>9</v>
      </c>
      <c r="D34" s="5">
        <v>689556</v>
      </c>
      <c r="E34" s="5">
        <v>679365</v>
      </c>
      <c r="F34" s="5">
        <v>669325</v>
      </c>
    </row>
    <row r="35" spans="2:6" x14ac:dyDescent="0.35">
      <c r="B35"/>
      <c r="C35" t="s">
        <v>10</v>
      </c>
      <c r="D35" s="5">
        <v>893348</v>
      </c>
      <c r="E35" s="5">
        <v>880146</v>
      </c>
      <c r="F35" s="5">
        <v>867139</v>
      </c>
    </row>
    <row r="36" spans="2:6" x14ac:dyDescent="0.35">
      <c r="B36"/>
      <c r="C36" t="s">
        <v>11</v>
      </c>
      <c r="D36" s="5">
        <f>SUM(D33:D35)</f>
        <v>3601897</v>
      </c>
      <c r="E36" s="5">
        <f>SUM(E33:E35)</f>
        <v>3548667</v>
      </c>
      <c r="F36" s="5">
        <f>SUM(F33:F35)</f>
        <v>3496223</v>
      </c>
    </row>
    <row r="37" spans="2:6" x14ac:dyDescent="0.35">
      <c r="B37"/>
      <c r="D37" s="5"/>
      <c r="E37" s="5"/>
      <c r="F37" s="5"/>
    </row>
    <row r="38" spans="2:6" x14ac:dyDescent="0.35">
      <c r="B38" s="1" t="s">
        <v>13</v>
      </c>
      <c r="D38" s="5"/>
      <c r="E38" s="5"/>
      <c r="F38" s="5"/>
    </row>
    <row r="39" spans="2:6" x14ac:dyDescent="0.35">
      <c r="B39"/>
      <c r="C39" t="s">
        <v>49</v>
      </c>
      <c r="D39" s="5">
        <f t="shared" ref="D39:F41" si="1">D33/D27</f>
        <v>55.926234730339878</v>
      </c>
      <c r="E39" s="5">
        <f t="shared" si="1"/>
        <v>55.927010993336516</v>
      </c>
      <c r="F39" s="5">
        <f t="shared" si="1"/>
        <v>55.927599098199252</v>
      </c>
    </row>
    <row r="40" spans="2:6" x14ac:dyDescent="0.35">
      <c r="B40"/>
      <c r="C40" t="s">
        <v>9</v>
      </c>
      <c r="D40" s="5">
        <f t="shared" si="1"/>
        <v>155.20054017555705</v>
      </c>
      <c r="E40" s="5">
        <f t="shared" si="1"/>
        <v>155.17702147099132</v>
      </c>
      <c r="F40" s="5">
        <f t="shared" si="1"/>
        <v>155.18780431254348</v>
      </c>
    </row>
    <row r="41" spans="2:6" x14ac:dyDescent="0.35">
      <c r="B41"/>
      <c r="C41" t="s">
        <v>10</v>
      </c>
      <c r="D41" s="5">
        <f t="shared" si="1"/>
        <v>934.46443514644352</v>
      </c>
      <c r="E41" s="5">
        <f t="shared" si="1"/>
        <v>934.33757961783442</v>
      </c>
      <c r="F41" s="5">
        <f t="shared" si="1"/>
        <v>934.41702586206895</v>
      </c>
    </row>
    <row r="43" spans="2:6" x14ac:dyDescent="0.35">
      <c r="B43" s="1" t="s">
        <v>14</v>
      </c>
    </row>
    <row r="44" spans="2:6" x14ac:dyDescent="0.35">
      <c r="C44" t="s">
        <v>49</v>
      </c>
      <c r="D44" s="5">
        <f>'[12]KY-All Cos-'!$E$20*1000</f>
        <v>31680086.335799996</v>
      </c>
      <c r="E44" s="5">
        <f>'[12]KY-All Cos-'!$D$20*1000</f>
        <v>31211907.719999999</v>
      </c>
      <c r="F44" s="5">
        <f>'[12]KY-All Cos-'!$C$20*1000</f>
        <v>30750648</v>
      </c>
    </row>
    <row r="45" spans="2:6" x14ac:dyDescent="0.35">
      <c r="C45" t="s">
        <v>9</v>
      </c>
      <c r="D45" s="5">
        <f>'[12]KY-All Cos-'!$E$21*1000</f>
        <v>20668373.949999996</v>
      </c>
      <c r="E45" s="5">
        <f>'[12]KY-All Cos-'!$D$21*1000</f>
        <v>20362929.999999996</v>
      </c>
      <c r="F45" s="5">
        <f>'[12]KY-All Cos-'!$C$21*1000</f>
        <v>20062000</v>
      </c>
    </row>
    <row r="46" spans="2:6" x14ac:dyDescent="0.35">
      <c r="C46" t="s">
        <v>10</v>
      </c>
      <c r="D46" s="5">
        <f>'[12]KY-All Cos-'!$E$22*1000</f>
        <v>1209484.1499999997</v>
      </c>
      <c r="E46" s="5">
        <f>'[12]KY-All Cos-'!$D$22*1000</f>
        <v>1191610</v>
      </c>
      <c r="F46" s="5">
        <f>'[12]KY-All Cos-'!$C$22*1000</f>
        <v>1174000</v>
      </c>
    </row>
    <row r="47" spans="2:6" x14ac:dyDescent="0.35">
      <c r="C47" t="s">
        <v>15</v>
      </c>
      <c r="D47" s="5">
        <f>SUM(D44:D46)</f>
        <v>53557944.435799994</v>
      </c>
      <c r="E47" s="5">
        <f>SUM(E44:E46)</f>
        <v>52766447.719999999</v>
      </c>
      <c r="F47" s="5">
        <f>SUM(F44:F46)</f>
        <v>51986648</v>
      </c>
    </row>
    <row r="49" spans="2:8" x14ac:dyDescent="0.35">
      <c r="B49" s="1" t="s">
        <v>16</v>
      </c>
    </row>
    <row r="50" spans="2:8" x14ac:dyDescent="0.35">
      <c r="C50" t="s">
        <v>49</v>
      </c>
      <c r="D50" s="32">
        <f t="shared" ref="D50:F52" si="2">D44/D27</f>
        <v>877.54040984460255</v>
      </c>
      <c r="E50" s="32">
        <f t="shared" si="2"/>
        <v>877.55244243259199</v>
      </c>
      <c r="F50" s="32">
        <f t="shared" si="2"/>
        <v>877.56194172540734</v>
      </c>
      <c r="H50" s="10"/>
    </row>
    <row r="51" spans="2:8" x14ac:dyDescent="0.35">
      <c r="C51" t="s">
        <v>9</v>
      </c>
      <c r="D51" s="32">
        <f t="shared" si="2"/>
        <v>4651.8960049516081</v>
      </c>
      <c r="E51" s="32">
        <f t="shared" si="2"/>
        <v>4651.1946094106888</v>
      </c>
      <c r="F51" s="32">
        <f t="shared" si="2"/>
        <v>4651.5186645026661</v>
      </c>
      <c r="H51" s="10"/>
    </row>
    <row r="52" spans="2:8" x14ac:dyDescent="0.35">
      <c r="C52" t="s">
        <v>10</v>
      </c>
      <c r="D52" s="32">
        <f t="shared" si="2"/>
        <v>1265.150784518828</v>
      </c>
      <c r="E52" s="32">
        <f t="shared" si="2"/>
        <v>1264.9787685774947</v>
      </c>
      <c r="F52" s="32">
        <f t="shared" si="2"/>
        <v>1265.0862068965516</v>
      </c>
      <c r="H52" s="10"/>
    </row>
    <row r="53" spans="2:8" x14ac:dyDescent="0.35">
      <c r="D53" s="32"/>
      <c r="E53" s="32"/>
      <c r="F53" s="32"/>
      <c r="H53" s="10"/>
    </row>
    <row r="54" spans="2:8" x14ac:dyDescent="0.35">
      <c r="B54" s="1" t="s">
        <v>46</v>
      </c>
    </row>
    <row r="55" spans="2:8" x14ac:dyDescent="0.35">
      <c r="B55" s="1" t="s">
        <v>50</v>
      </c>
    </row>
  </sheetData>
  <pageMargins left="0.95" right="0.7" top="0.75" bottom="0.75" header="0.3" footer="0.3"/>
  <pageSetup scale="85" orientation="portrait" r:id="rId1"/>
  <headerFooter>
    <oddHeader>&amp;CComparative Income Statements, Revenue 
Statistics and Sales Statistics
Forecast Period + Two Calendar Years&amp;RTab 62 
Sheet 2 of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FTY, Base, and Combined</vt:lpstr>
      <vt:lpstr>Forecasted Years</vt:lpstr>
      <vt:lpstr>'Forecasted Years'!Print_Area</vt:lpstr>
      <vt:lpstr>'FTY, Base, and Combined'!Print_Area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2021-06-11T16:49:04Z</dcterms:created>
  <dcterms:modified xsi:type="dcterms:W3CDTF">2025-04-04T12:44:10Z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2024 PSC-FR-TAB62-UPDATED.xlsx</vt:lpwstr>
  </property>
</Properties>
</file>