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brynmawrfile\Shared\Alluser\Kentucky\Delta Rate Case\2024\Rate Models\"/>
    </mc:Choice>
  </mc:AlternateContent>
  <xr:revisionPtr revIDLastSave="0" documentId="13_ncr:1_{3E134702-4274-4880-A6F5-785F15A14A43}" xr6:coauthVersionLast="47" xr6:coauthVersionMax="47" xr10:uidLastSave="{00000000-0000-0000-0000-000000000000}"/>
  <bookViews>
    <workbookView xWindow="-120" yWindow="-120" windowWidth="29040" windowHeight="15840" xr2:uid="{B885751E-A021-4B00-B72A-557D828A89DC}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  <c r="W21" i="2" l="1"/>
  <c r="V21" i="2"/>
  <c r="U21" i="2"/>
  <c r="T21" i="2"/>
  <c r="S21" i="2"/>
  <c r="R21" i="2"/>
  <c r="Q21" i="2"/>
  <c r="P21" i="2"/>
  <c r="O21" i="2"/>
  <c r="N21" i="2"/>
  <c r="M21" i="2"/>
  <c r="L21" i="2"/>
  <c r="W18" i="2"/>
  <c r="V18" i="2"/>
  <c r="U18" i="2"/>
  <c r="T18" i="2"/>
  <c r="S18" i="2"/>
  <c r="R18" i="2"/>
  <c r="Q18" i="2"/>
  <c r="P18" i="2"/>
  <c r="O18" i="2"/>
  <c r="N18" i="2"/>
  <c r="M18" i="2"/>
  <c r="L18" i="2"/>
  <c r="W15" i="2"/>
  <c r="V15" i="2"/>
  <c r="U15" i="2"/>
  <c r="T15" i="2"/>
  <c r="S15" i="2"/>
  <c r="R15" i="2"/>
  <c r="Q15" i="2"/>
  <c r="P15" i="2"/>
  <c r="O15" i="2"/>
  <c r="N15" i="2"/>
  <c r="M15" i="2"/>
  <c r="L15" i="2"/>
  <c r="Q12" i="2"/>
  <c r="P12" i="2"/>
  <c r="O12" i="2"/>
  <c r="N12" i="2"/>
  <c r="M12" i="2"/>
  <c r="L12" i="2"/>
  <c r="K12" i="2"/>
  <c r="H11" i="2"/>
  <c r="G11" i="2"/>
  <c r="F11" i="2"/>
  <c r="E11" i="2"/>
  <c r="I11" i="2" s="1"/>
  <c r="I10" i="2"/>
  <c r="H10" i="2"/>
  <c r="G10" i="2"/>
  <c r="F10" i="2"/>
  <c r="E10" i="2"/>
  <c r="H8" i="2"/>
  <c r="G8" i="2"/>
  <c r="F8" i="2"/>
  <c r="E8" i="2"/>
  <c r="I8" i="2" s="1"/>
  <c r="N39" i="1"/>
  <c r="P39" i="1" s="1"/>
  <c r="R39" i="1" s="1"/>
  <c r="N37" i="1"/>
  <c r="P37" i="1" s="1"/>
  <c r="R37" i="1" s="1"/>
  <c r="P24" i="1"/>
  <c r="R24" i="1" s="1"/>
  <c r="T24" i="1" s="1"/>
  <c r="N20" i="1"/>
  <c r="P20" i="1" s="1"/>
  <c r="R20" i="1" s="1"/>
  <c r="T20" i="1" s="1"/>
  <c r="N16" i="1"/>
  <c r="P16" i="1" s="1"/>
  <c r="R16" i="1" s="1"/>
  <c r="T16" i="1" s="1"/>
  <c r="F15" i="1"/>
  <c r="P11" i="1" s="1"/>
  <c r="F12" i="1"/>
  <c r="N11" i="1"/>
  <c r="T17" i="1" l="1"/>
  <c r="F12" i="2"/>
  <c r="X15" i="2"/>
  <c r="G12" i="2"/>
  <c r="X18" i="2"/>
  <c r="X21" i="2"/>
  <c r="H12" i="2"/>
  <c r="E12" i="2"/>
  <c r="P35" i="1"/>
  <c r="R35" i="1" s="1"/>
  <c r="R11" i="1"/>
  <c r="G12" i="1"/>
  <c r="T19" i="1" l="1"/>
  <c r="T21" i="1" s="1"/>
  <c r="T23" i="1" s="1"/>
  <c r="X31" i="2"/>
  <c r="G18" i="1"/>
  <c r="X30" i="2"/>
  <c r="G17" i="1"/>
  <c r="X29" i="2"/>
  <c r="G16" i="1"/>
  <c r="I12" i="2"/>
  <c r="T26" i="1" l="1"/>
  <c r="F16" i="1"/>
  <c r="P12" i="1" s="1"/>
  <c r="N12" i="1"/>
  <c r="N13" i="1"/>
  <c r="F17" i="1"/>
  <c r="P13" i="1" s="1"/>
  <c r="N14" i="1"/>
  <c r="F18" i="1"/>
  <c r="P14" i="1" s="1"/>
  <c r="W12" i="2"/>
  <c r="T12" i="2"/>
  <c r="R12" i="2"/>
  <c r="V12" i="2"/>
  <c r="U12" i="2"/>
  <c r="S12" i="2"/>
  <c r="R14" i="1" l="1"/>
  <c r="R13" i="1"/>
  <c r="R12" i="1"/>
  <c r="X12" i="2"/>
  <c r="X26" i="2" l="1"/>
  <c r="X28" i="2" s="1"/>
  <c r="X32" i="2" s="1"/>
  <c r="G10" i="1"/>
  <c r="G14" i="1" s="1"/>
  <c r="N31" i="1" s="1"/>
  <c r="N10" i="1" l="1"/>
  <c r="F10" i="1"/>
  <c r="D20" i="1"/>
  <c r="D26" i="1" s="1"/>
  <c r="P10" i="1" l="1"/>
  <c r="P32" i="1" s="1"/>
  <c r="F14" i="1"/>
  <c r="N32" i="1"/>
  <c r="R10" i="1"/>
  <c r="R32" i="1" l="1"/>
  <c r="N33" i="1"/>
  <c r="N34" i="1" s="1"/>
  <c r="N36" i="1" s="1"/>
  <c r="P31" i="1"/>
  <c r="P33" i="1" l="1"/>
  <c r="P34" i="1" s="1"/>
  <c r="P36" i="1" s="1"/>
  <c r="R31" i="1"/>
  <c r="R33" i="1" s="1"/>
  <c r="R34" i="1" s="1"/>
  <c r="R36" i="1" s="1"/>
  <c r="N40" i="1"/>
  <c r="N38" i="1"/>
  <c r="R38" i="1" l="1"/>
  <c r="R40" i="1"/>
  <c r="P38" i="1"/>
  <c r="P40" i="1"/>
  <c r="F19" i="1" s="1"/>
  <c r="F20" i="1"/>
  <c r="P9" i="1" s="1"/>
  <c r="P15" i="1" s="1"/>
  <c r="G19" i="1" l="1"/>
  <c r="T38" i="1"/>
  <c r="P17" i="1"/>
  <c r="P19" i="1" s="1"/>
  <c r="P21" i="1" s="1"/>
  <c r="F26" i="1"/>
  <c r="P42" i="1"/>
  <c r="X33" i="2" l="1"/>
  <c r="X34" i="2" s="1"/>
  <c r="G20" i="1"/>
  <c r="N42" i="1"/>
  <c r="P23" i="1"/>
  <c r="P26" i="1" s="1"/>
  <c r="N9" i="1" l="1"/>
  <c r="G26" i="1"/>
  <c r="R9" i="1" l="1"/>
  <c r="N15" i="1"/>
  <c r="N17" i="1" l="1"/>
  <c r="R15" i="1"/>
  <c r="R17" i="1" l="1"/>
  <c r="R19" i="1"/>
  <c r="R21" i="1" s="1"/>
  <c r="N19" i="1"/>
  <c r="N21" i="1" s="1"/>
  <c r="N23" i="1" s="1"/>
  <c r="N26" i="1" s="1"/>
  <c r="R23" i="1" l="1"/>
  <c r="R26" i="1" l="1"/>
  <c r="R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Allen, Danny E</author>
  </authors>
  <commentList>
    <comment ref="T10" authorId="0" shapeId="0" xr:uid="{87263867-3E63-4E41-BE56-BACC61658523}">
      <text>
        <r>
          <rPr>
            <b/>
            <sz val="9"/>
            <color indexed="81"/>
            <rFont val="Tahoma"/>
            <family val="2"/>
          </rPr>
          <t>Allen, Danny E:</t>
        </r>
        <r>
          <rPr>
            <sz val="9"/>
            <color indexed="81"/>
            <rFont val="Tahoma"/>
            <family val="2"/>
          </rPr>
          <t xml:space="preserve">
Based on cap structure debt</t>
        </r>
      </text>
    </comment>
  </commentList>
</comments>
</file>

<file path=xl/sharedStrings.xml><?xml version="1.0" encoding="utf-8"?>
<sst xmlns="http://schemas.openxmlformats.org/spreadsheetml/2006/main" count="88" uniqueCount="71">
  <si>
    <t>Base</t>
  </si>
  <si>
    <t>PRP</t>
  </si>
  <si>
    <t>PRP Tax Calc.</t>
  </si>
  <si>
    <t>Base Tax Calc.</t>
  </si>
  <si>
    <t>Total</t>
  </si>
  <si>
    <t>Sch A</t>
  </si>
  <si>
    <t>Rate Base</t>
  </si>
  <si>
    <t>Revenue Requirement</t>
  </si>
  <si>
    <t>Rate Base-ave 7/25-6/26</t>
  </si>
  <si>
    <t>Interest</t>
  </si>
  <si>
    <t>Purchased Gas</t>
  </si>
  <si>
    <t>Rate of Return</t>
  </si>
  <si>
    <t>O&amp;M</t>
  </si>
  <si>
    <t>Depreciation &amp; Amort.</t>
  </si>
  <si>
    <t>Operating Income</t>
  </si>
  <si>
    <t>Taxes Other</t>
  </si>
  <si>
    <t>Taxable for State</t>
  </si>
  <si>
    <t>SIT Rate</t>
  </si>
  <si>
    <t xml:space="preserve">SIT </t>
  </si>
  <si>
    <t>Income Taxes</t>
  </si>
  <si>
    <t>Taxable for Fed</t>
  </si>
  <si>
    <t>FIT Rate</t>
  </si>
  <si>
    <t xml:space="preserve">FIT </t>
  </si>
  <si>
    <t>$ Increase</t>
  </si>
  <si>
    <t>Revenues at present rates</t>
  </si>
  <si>
    <t>EDIT Amort.</t>
  </si>
  <si>
    <t>Sch 7 Break out</t>
  </si>
  <si>
    <t>Return, net of tax</t>
  </si>
  <si>
    <t>Equity portion of return</t>
  </si>
  <si>
    <t>tax rate 24.95%</t>
  </si>
  <si>
    <t>Tax Expansion Factor</t>
  </si>
  <si>
    <t>Total inc tax liab</t>
  </si>
  <si>
    <t>All-in Tax exp factor</t>
  </si>
  <si>
    <t>All-in Total inc tax liab</t>
  </si>
  <si>
    <t xml:space="preserve">Week of September 16 - </t>
  </si>
  <si>
    <t>Balance Sheet - 8/31/24 &amp; 12/31/23;  Natural P&amp;L - 3/31/24 - 8/31/24 by month</t>
  </si>
  <si>
    <t>John</t>
  </si>
  <si>
    <t>rec. 9/18</t>
  </si>
  <si>
    <t xml:space="preserve">Week of September 23 - </t>
  </si>
  <si>
    <t>Natural Detailed Actuals - Mar-Aug 2024, Sep-Feb 2025 Proj.  by month - see Base Year Natural Tab.</t>
  </si>
  <si>
    <t>Projected Capex and Depreciation - Sept 2024 - June 2026 - see two related tabs</t>
  </si>
  <si>
    <t>Labor, Benefits, PR Taxes, Tab 55p4</t>
  </si>
  <si>
    <t>Proposed:</t>
  </si>
  <si>
    <t>Delta Natural Gas Company, Inc.</t>
  </si>
  <si>
    <t>11/4/24 - JB</t>
  </si>
  <si>
    <t>Pipe Replacement Program Filing</t>
  </si>
  <si>
    <t>Forecasted Period Ending December 31, 2026</t>
  </si>
  <si>
    <r>
      <t xml:space="preserve">Rates Effective: </t>
    </r>
    <r>
      <rPr>
        <b/>
        <u/>
        <sz val="11"/>
        <color theme="1"/>
        <rFont val="Calibri"/>
        <family val="2"/>
        <scheme val="minor"/>
      </rPr>
      <t>January 1, 2026</t>
    </r>
  </si>
  <si>
    <t>Eligible expenditures under the PRP (Schedule II)</t>
  </si>
  <si>
    <t>Less:</t>
  </si>
  <si>
    <t>Accumulated depreciation</t>
  </si>
  <si>
    <t>6/30/25</t>
  </si>
  <si>
    <t>7/31/25</t>
  </si>
  <si>
    <t>8/31/25</t>
  </si>
  <si>
    <t>9/30/25</t>
  </si>
  <si>
    <t>10/31/25</t>
  </si>
  <si>
    <t>11/30/25</t>
  </si>
  <si>
    <t>12/31/25</t>
  </si>
  <si>
    <t>1/31/26</t>
  </si>
  <si>
    <t>2/28/26</t>
  </si>
  <si>
    <t>3/31/26</t>
  </si>
  <si>
    <t>4/30/26</t>
  </si>
  <si>
    <t>5/31/26</t>
  </si>
  <si>
    <t>6/30/26</t>
  </si>
  <si>
    <t>Accumulated deferred income taxes</t>
  </si>
  <si>
    <t>Net PRP Rate Base</t>
  </si>
  <si>
    <t>Average</t>
  </si>
  <si>
    <t>Net PRP Rate Base, as of December 31, 2026</t>
  </si>
  <si>
    <t>Depreciation &amp; Amortization</t>
  </si>
  <si>
    <t>Depr</t>
  </si>
  <si>
    <t>Pre-tax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</si>
</sst>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%"/>
    <numFmt numFmtId="167" formatCode="_(* #,##0.00000_);_(* \(#,##0.00000\);_(* &quot;-&quot;??_);_(@_)"/>
    <numFmt numFmtId="168" formatCode="0.0%"/>
    <numFmt numFmtId="169" formatCode="_(&quot;$&quot;* #,##0.00000_);_(&quot;$&quot;* \(#,##0.0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1"/>
      <name val="Times New Roman"/>
      <family val="1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6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/>
    <xf numFmtId="164" fontId="3" fillId="0" borderId="0" xfId="4" applyNumberFormat="1" applyFont="1"/>
    <xf numFmtId="164" fontId="3" fillId="0" borderId="0" xfId="0" applyNumberFormat="1" applyFont="1"/>
    <xf numFmtId="164" fontId="3" fillId="0" borderId="0" xfId="2" applyNumberFormat="1" applyFont="1"/>
    <xf numFmtId="10" fontId="7" fillId="0" borderId="0" xfId="0" applyNumberFormat="1" applyFont="1"/>
    <xf numFmtId="164" fontId="8" fillId="0" borderId="0" xfId="2" applyNumberFormat="1" applyFont="1"/>
    <xf numFmtId="164" fontId="8" fillId="0" borderId="0" xfId="0" applyNumberFormat="1" applyFont="1"/>
    <xf numFmtId="164" fontId="6" fillId="0" borderId="0" xfId="4" applyNumberFormat="1" applyFont="1"/>
    <xf numFmtId="164" fontId="6" fillId="0" borderId="0" xfId="2" applyNumberFormat="1" applyFont="1"/>
    <xf numFmtId="10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10" fontId="3" fillId="0" borderId="7" xfId="0" applyNumberFormat="1" applyFont="1" applyBorder="1"/>
    <xf numFmtId="0" fontId="3" fillId="0" borderId="8" xfId="0" applyFont="1" applyBorder="1"/>
    <xf numFmtId="0" fontId="10" fillId="0" borderId="0" xfId="0" applyFont="1"/>
    <xf numFmtId="0" fontId="6" fillId="0" borderId="0" xfId="0" applyFont="1"/>
    <xf numFmtId="0" fontId="9" fillId="0" borderId="4" xfId="0" applyFont="1" applyBorder="1"/>
    <xf numFmtId="0" fontId="5" fillId="0" borderId="0" xfId="0" applyFont="1" applyBorder="1" applyAlignment="1">
      <alignment horizontal="center"/>
    </xf>
    <xf numFmtId="0" fontId="3" fillId="0" borderId="4" xfId="0" applyFont="1" applyFill="1" applyBorder="1"/>
    <xf numFmtId="0" fontId="3" fillId="0" borderId="0" xfId="0" applyFont="1" applyFill="1"/>
    <xf numFmtId="10" fontId="3" fillId="0" borderId="0" xfId="0" applyNumberFormat="1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" fontId="2" fillId="0" borderId="9" xfId="1" quotePrefix="1" applyNumberFormat="1" applyFont="1" applyFill="1" applyBorder="1" applyAlignment="1">
      <alignment horizontal="center" vertical="center"/>
    </xf>
    <xf numFmtId="165" fontId="2" fillId="0" borderId="9" xfId="1" quotePrefix="1" applyNumberFormat="1" applyFont="1" applyFill="1" applyBorder="1" applyAlignment="1">
      <alignment horizontal="center" vertical="center"/>
    </xf>
    <xf numFmtId="164" fontId="0" fillId="0" borderId="0" xfId="4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1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1" quotePrefix="1" applyNumberFormat="1" applyFont="1" applyAlignment="1">
      <alignment vertical="center"/>
    </xf>
    <xf numFmtId="165" fontId="0" fillId="0" borderId="9" xfId="1" applyNumberFormat="1" applyFont="1" applyFill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0" fillId="0" borderId="0" xfId="0" applyNumberFormat="1" applyAlignment="1">
      <alignment vertical="center"/>
    </xf>
    <xf numFmtId="164" fontId="1" fillId="0" borderId="0" xfId="4" applyNumberFormat="1" applyFont="1" applyFill="1" applyAlignment="1">
      <alignment vertical="center"/>
    </xf>
    <xf numFmtId="164" fontId="2" fillId="0" borderId="0" xfId="4" applyNumberFormat="1" applyFont="1" applyFill="1" applyAlignment="1">
      <alignment vertical="center"/>
    </xf>
    <xf numFmtId="165" fontId="2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16" fillId="0" borderId="0" xfId="1" applyNumberFormat="1" applyFont="1" applyFill="1" applyBorder="1" applyAlignment="1">
      <alignment vertical="center"/>
    </xf>
    <xf numFmtId="168" fontId="0" fillId="0" borderId="0" xfId="3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166" fontId="19" fillId="0" borderId="0" xfId="3" applyNumberFormat="1" applyFont="1" applyFill="1" applyAlignment="1">
      <alignment vertical="center"/>
    </xf>
    <xf numFmtId="166" fontId="19" fillId="0" borderId="0" xfId="0" applyNumberFormat="1" applyFont="1" applyAlignment="1">
      <alignment vertical="center"/>
    </xf>
    <xf numFmtId="164" fontId="8" fillId="0" borderId="0" xfId="2" applyNumberFormat="1" applyFont="1" applyFill="1"/>
    <xf numFmtId="164" fontId="16" fillId="0" borderId="0" xfId="4" applyNumberFormat="1" applyFont="1" applyFill="1" applyBorder="1" applyAlignment="1">
      <alignment vertical="center"/>
    </xf>
    <xf numFmtId="164" fontId="0" fillId="0" borderId="0" xfId="4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6" fontId="19" fillId="0" borderId="0" xfId="3" applyNumberFormat="1" applyFont="1" applyFill="1" applyBorder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166" fontId="21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5" fontId="2" fillId="0" borderId="0" xfId="0" quotePrefix="1" applyNumberFormat="1" applyFont="1" applyFill="1" applyBorder="1" applyAlignment="1">
      <alignment horizontal="center" vertical="center"/>
    </xf>
    <xf numFmtId="15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9" fontId="0" fillId="0" borderId="0" xfId="0" applyNumberFormat="1" applyFill="1" applyBorder="1" applyAlignment="1">
      <alignment vertical="center"/>
    </xf>
    <xf numFmtId="44" fontId="0" fillId="0" borderId="0" xfId="0" applyNumberFormat="1" applyFill="1" applyBorder="1" applyAlignment="1">
      <alignment vertical="center"/>
    </xf>
    <xf numFmtId="165" fontId="17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165" fontId="18" fillId="0" borderId="0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wrapText="1"/>
    </xf>
    <xf numFmtId="166" fontId="0" fillId="0" borderId="0" xfId="3" applyNumberFormat="1" applyFont="1" applyFill="1" applyAlignment="1">
      <alignment vertical="center"/>
    </xf>
    <xf numFmtId="164" fontId="3" fillId="0" borderId="0" xfId="2" applyNumberFormat="1" applyFont="1" applyFill="1"/>
    <xf numFmtId="0" fontId="6" fillId="0" borderId="0" xfId="0" applyFont="1" applyFill="1" applyAlignment="1">
      <alignment horizontal="center"/>
    </xf>
    <xf numFmtId="164" fontId="3" fillId="0" borderId="0" xfId="0" applyNumberFormat="1" applyFont="1" applyFill="1"/>
    <xf numFmtId="164" fontId="8" fillId="0" borderId="0" xfId="0" applyNumberFormat="1" applyFont="1" applyFill="1"/>
    <xf numFmtId="10" fontId="7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64" fontId="0" fillId="0" borderId="0" xfId="1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center"/>
    </xf>
  </cellXfs>
  <cellStyles count="5">
    <cellStyle name="Comma" xfId="1" builtinId="3"/>
    <cellStyle name="Currency" xfId="2" builtinId="4"/>
    <cellStyle name="Currency 2" xfId="4" xr:uid="{50CCE817-D937-4AE6-A30C-2FC9DADD6157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ntucky\2024\KY%20Model%2011%2020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ntucky\2024\PRP\202606%20PRP%20Estimate%20for%20Rate%20Case%20new%20WACC%20-%20JB%2011%204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hway to Filing"/>
      <sheetName val="PRP Impact"/>
      <sheetName val="Tab 54 - Sched A Overall "/>
      <sheetName val="Sch 2 - Op Revenue &amp; Gas Cost"/>
      <sheetName val="Sch 2 back up"/>
      <sheetName val="Sch 3 O&amp;M Adj."/>
      <sheetName val="Sch 3.1 - Rate Case Exp"/>
      <sheetName val="Sch 3.1 back up"/>
      <sheetName val="Sch 4 - Dep Exp"/>
      <sheetName val="Sch 5 - Taxes Other"/>
      <sheetName val="Sch 5.1 - Property Taxes"/>
      <sheetName val="Sch 6 Op Inc Adj"/>
      <sheetName val="Sch 7 - Inc Tax Adj"/>
      <sheetName val="Sch 7.1 - Fed &amp; St tax rate"/>
      <sheetName val="Sch 7.2 - Fed &amp; St Income Tax"/>
      <sheetName val="Sch 8 - Interest"/>
      <sheetName val="Sch 9 - Int. Cov"/>
      <sheetName val="Base Year FERC 3 24 - 2 25"/>
      <sheetName val="JB Base Year Nat 3 24 - 2 25"/>
      <sheetName val="Base Year Nat 3 24 - 2 25"/>
      <sheetName val="Return"/>
      <sheetName val="Capital Structure"/>
      <sheetName val="Cap Structure Proj"/>
      <sheetName val="Tab 13"/>
      <sheetName val="Tab 22"/>
      <sheetName val="Tab 23"/>
      <sheetName val="Tab 24"/>
      <sheetName val="Tab 32"/>
      <sheetName val="Tab 33"/>
      <sheetName val="Tab 55 p1"/>
      <sheetName val="Tab 55 p2"/>
      <sheetName val="Tab 55 p3"/>
      <sheetName val="Tab 55 p4"/>
      <sheetName val="Tab 55 p5"/>
      <sheetName val="Tab 55 p6"/>
      <sheetName val="Tab 55 p7"/>
      <sheetName val="Tab 55 p8"/>
      <sheetName val="Tab 55 p9"/>
      <sheetName val="Tab 55 p10"/>
      <sheetName val="Tab 55 p11"/>
      <sheetName val="Tab 55 p12"/>
      <sheetName val="Tab 55 p13"/>
      <sheetName val="Tab 55 p14"/>
      <sheetName val="Tab 58 p1"/>
      <sheetName val="Tab 58 p2"/>
      <sheetName val="Tab 63"/>
      <sheetName val="Rate Base"/>
      <sheetName val="7 24 - 6 25 capex &amp; dep"/>
      <sheetName val="7 25 - 6 26 capex &amp; dep"/>
      <sheetName val="Depreciation"/>
      <sheetName val="2024 capex by month"/>
      <sheetName val="2025 capex by month"/>
      <sheetName val="2026 capex by month"/>
      <sheetName val="Aug - Aug Bal Sheet"/>
      <sheetName val="8 31 24 Bal Sheet"/>
      <sheetName val="ADIT 8 31 24"/>
      <sheetName val="ADIT 2 28 25"/>
      <sheetName val="6 30 26 ADIT"/>
      <sheetName val="13 mo Avg A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H3">
            <v>3845087.2939617056</v>
          </cell>
        </row>
        <row r="7">
          <cell r="H7">
            <v>-752651.505</v>
          </cell>
        </row>
        <row r="9">
          <cell r="H9">
            <v>1.3324450366422387</v>
          </cell>
        </row>
        <row r="11">
          <cell r="H11">
            <v>1.3406153177983893</v>
          </cell>
        </row>
      </sheetData>
      <sheetData sheetId="13" refreshError="1">
        <row r="4">
          <cell r="H4">
            <v>0.05</v>
          </cell>
        </row>
        <row r="7">
          <cell r="H7">
            <v>0.21</v>
          </cell>
        </row>
        <row r="10">
          <cell r="H10">
            <v>0.2495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I Summary"/>
      <sheetName val="Sch I Sum and Sch III O&amp;M 2025"/>
      <sheetName val="Sch II 2023 Yr 1"/>
      <sheetName val="Sch II 2023 Yr 2"/>
      <sheetName val="Sch II 2023 Yr 3"/>
      <sheetName val="Sch II 2023 Yr 4"/>
      <sheetName val="Sch II 2024 Yr 1"/>
      <sheetName val="Sch II 2024 Yr 2"/>
      <sheetName val="Sch II 2024 Yr 3"/>
      <sheetName val="Sch II 2025 Yr 1"/>
      <sheetName val="Sch II 2025 Yr 2"/>
      <sheetName val="Sch II 2026 Yr 1"/>
      <sheetName val="Schedule III"/>
      <sheetName val="Schedule IV 2023 Monthly"/>
      <sheetName val="Schedule IV 2024"/>
      <sheetName val="Schedule IV 2025"/>
      <sheetName val="Schedule VI"/>
      <sheetName val="Schedule VII"/>
      <sheetName val="Schedule VIII"/>
      <sheetName val="Schedule IX"/>
      <sheetName val="Tax Rates"/>
    </sheetNames>
    <sheetDataSet>
      <sheetData sheetId="0"/>
      <sheetData sheetId="1">
        <row r="12">
          <cell r="R12">
            <v>11981587.282990001</v>
          </cell>
        </row>
        <row r="15">
          <cell r="Y15">
            <v>510644</v>
          </cell>
        </row>
        <row r="38">
          <cell r="Y38">
            <v>128645.45023984346</v>
          </cell>
        </row>
      </sheetData>
      <sheetData sheetId="2"/>
      <sheetData sheetId="3"/>
      <sheetData sheetId="4"/>
      <sheetData sheetId="5">
        <row r="12">
          <cell r="C12">
            <v>6691501.563000001</v>
          </cell>
          <cell r="H12">
            <v>-702023</v>
          </cell>
        </row>
        <row r="37">
          <cell r="H37">
            <v>-1494376</v>
          </cell>
        </row>
      </sheetData>
      <sheetData sheetId="6"/>
      <sheetData sheetId="7"/>
      <sheetData sheetId="8">
        <row r="12">
          <cell r="C12">
            <v>7733404.3999899998</v>
          </cell>
          <cell r="H12">
            <v>-586923</v>
          </cell>
        </row>
        <row r="37">
          <cell r="H37">
            <v>-1783048</v>
          </cell>
        </row>
      </sheetData>
      <sheetData sheetId="9"/>
      <sheetData sheetId="10">
        <row r="12">
          <cell r="C12">
            <v>4932322.6400000015</v>
          </cell>
          <cell r="H12">
            <v>-216034</v>
          </cell>
        </row>
        <row r="37">
          <cell r="H37">
            <v>-1176714</v>
          </cell>
        </row>
      </sheetData>
      <sheetData sheetId="11">
        <row r="12">
          <cell r="C12">
            <v>2783862.05</v>
          </cell>
          <cell r="H12">
            <v>-82876</v>
          </cell>
        </row>
        <row r="37">
          <cell r="H37">
            <v>-673896</v>
          </cell>
        </row>
      </sheetData>
      <sheetData sheetId="12">
        <row r="12">
          <cell r="C12">
            <v>661595</v>
          </cell>
        </row>
        <row r="22">
          <cell r="C22">
            <v>-48992</v>
          </cell>
        </row>
        <row r="35">
          <cell r="C35">
            <v>161214.67252188909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0902-FBF9-4835-BFE0-BD8212ACA933}">
  <dimension ref="B3:T45"/>
  <sheetViews>
    <sheetView tabSelected="1" topLeftCell="C1" workbookViewId="0">
      <selection activeCell="D32" sqref="D32"/>
    </sheetView>
  </sheetViews>
  <sheetFormatPr defaultColWidth="9.140625" defaultRowHeight="12.75" x14ac:dyDescent="0.2"/>
  <cols>
    <col min="1" max="2" width="9.140625" style="1"/>
    <col min="3" max="3" width="21.5703125" style="1" customWidth="1"/>
    <col min="4" max="4" width="16" style="1" bestFit="1" customWidth="1"/>
    <col min="5" max="5" width="9.140625" style="1"/>
    <col min="6" max="6" width="16.85546875" style="1" bestFit="1" customWidth="1"/>
    <col min="7" max="7" width="15" style="1" bestFit="1" customWidth="1"/>
    <col min="8" max="8" width="16" style="1" bestFit="1" customWidth="1"/>
    <col min="9" max="11" width="9.140625" style="1"/>
    <col min="12" max="12" width="10.7109375" style="1" customWidth="1"/>
    <col min="13" max="13" width="9.140625" style="1"/>
    <col min="14" max="14" width="13.42578125" style="1" bestFit="1" customWidth="1"/>
    <col min="15" max="15" width="9.140625" style="1"/>
    <col min="16" max="16" width="13.5703125" style="1" bestFit="1" customWidth="1"/>
    <col min="17" max="17" width="9.140625" style="1"/>
    <col min="18" max="18" width="15" style="1" bestFit="1" customWidth="1"/>
    <col min="19" max="19" width="9.140625" style="1"/>
    <col min="20" max="20" width="15" style="1" bestFit="1" customWidth="1"/>
    <col min="21" max="16384" width="9.140625" style="1"/>
  </cols>
  <sheetData>
    <row r="3" spans="2:20" ht="13.5" thickBot="1" x14ac:dyDescent="0.25"/>
    <row r="4" spans="2:20" ht="23.25" x14ac:dyDescent="0.35">
      <c r="B4" s="2"/>
      <c r="C4" s="3"/>
      <c r="D4" s="3"/>
      <c r="E4" s="3"/>
      <c r="F4" s="3"/>
      <c r="G4" s="3"/>
      <c r="H4" s="3"/>
      <c r="I4" s="3"/>
      <c r="J4" s="4"/>
      <c r="T4"/>
    </row>
    <row r="5" spans="2:20" ht="15" x14ac:dyDescent="0.25">
      <c r="B5" s="5"/>
      <c r="J5" s="6"/>
      <c r="Q5"/>
      <c r="R5"/>
      <c r="S5"/>
      <c r="T5"/>
    </row>
    <row r="6" spans="2:20" x14ac:dyDescent="0.2">
      <c r="B6" s="5"/>
      <c r="J6" s="6"/>
      <c r="L6" s="29"/>
      <c r="M6" s="29"/>
      <c r="N6" s="29"/>
      <c r="O6" s="29"/>
      <c r="P6" s="29"/>
      <c r="Q6" s="29"/>
      <c r="R6" s="29"/>
      <c r="S6" s="29"/>
      <c r="T6" s="29"/>
    </row>
    <row r="7" spans="2:20" ht="15.75" x14ac:dyDescent="0.25">
      <c r="B7" s="5"/>
      <c r="D7" s="27" t="s">
        <v>42</v>
      </c>
      <c r="F7" s="7" t="s">
        <v>0</v>
      </c>
      <c r="G7" s="7" t="s">
        <v>1</v>
      </c>
      <c r="J7" s="6"/>
      <c r="L7" s="29"/>
      <c r="M7" s="29"/>
      <c r="N7" s="86" t="s">
        <v>2</v>
      </c>
      <c r="O7" s="29"/>
      <c r="P7" s="86" t="s">
        <v>3</v>
      </c>
      <c r="Q7" s="29"/>
      <c r="R7" s="86" t="s">
        <v>4</v>
      </c>
      <c r="S7" s="29"/>
      <c r="T7" s="86" t="s">
        <v>5</v>
      </c>
    </row>
    <row r="8" spans="2:20" ht="15.75" x14ac:dyDescent="0.25">
      <c r="B8" s="8"/>
      <c r="F8" s="9"/>
      <c r="J8" s="6"/>
      <c r="L8" s="29"/>
      <c r="M8" s="29"/>
      <c r="N8" s="29"/>
      <c r="O8" s="29"/>
      <c r="P8" s="29"/>
      <c r="Q8" s="29"/>
      <c r="R8" s="29"/>
      <c r="S8" s="29"/>
      <c r="T8" s="29"/>
    </row>
    <row r="9" spans="2:20" ht="15.75" x14ac:dyDescent="0.25">
      <c r="B9" s="8"/>
      <c r="F9" s="9"/>
      <c r="J9" s="6"/>
      <c r="L9" s="29" t="s">
        <v>7</v>
      </c>
      <c r="M9" s="29"/>
      <c r="N9" s="87">
        <f>G20</f>
        <v>2041917.1783850316</v>
      </c>
      <c r="O9" s="29"/>
      <c r="P9" s="87">
        <f>F20</f>
        <v>67598865.770969853</v>
      </c>
      <c r="Q9" s="29"/>
      <c r="R9" s="87">
        <f>N9+P9</f>
        <v>69640782.949354887</v>
      </c>
      <c r="S9" s="29"/>
      <c r="T9" s="85">
        <v>69640782.949354887</v>
      </c>
    </row>
    <row r="10" spans="2:20" x14ac:dyDescent="0.2">
      <c r="B10" s="5" t="s">
        <v>8</v>
      </c>
      <c r="D10" s="10">
        <v>180570376.43981192</v>
      </c>
      <c r="F10" s="11">
        <f>D10-G10</f>
        <v>166999429.13989884</v>
      </c>
      <c r="G10" s="12">
        <f>+Sheet2!X12</f>
        <v>13570947.299913079</v>
      </c>
      <c r="J10" s="6"/>
      <c r="L10" s="29" t="s">
        <v>9</v>
      </c>
      <c r="M10" s="29"/>
      <c r="N10" s="87">
        <f>G10/D10*T10</f>
        <v>-288981.38254318218</v>
      </c>
      <c r="O10" s="29"/>
      <c r="P10" s="87">
        <f>F10/D10*T10</f>
        <v>-3556105.9114185232</v>
      </c>
      <c r="Q10" s="29"/>
      <c r="R10" s="87">
        <f t="shared" ref="R10:R14" si="0">N10+P10</f>
        <v>-3845087.2939617052</v>
      </c>
      <c r="S10" s="29"/>
      <c r="T10" s="85">
        <v>-3845087.2939617056</v>
      </c>
    </row>
    <row r="11" spans="2:20" ht="15.75" x14ac:dyDescent="0.25">
      <c r="B11" s="8"/>
      <c r="F11" s="9"/>
      <c r="J11" s="6"/>
      <c r="L11" s="29" t="s">
        <v>10</v>
      </c>
      <c r="M11" s="29"/>
      <c r="N11" s="87">
        <f>-G15</f>
        <v>0</v>
      </c>
      <c r="O11" s="29"/>
      <c r="P11" s="87">
        <f>-F15</f>
        <v>-16227683</v>
      </c>
      <c r="Q11" s="29"/>
      <c r="R11" s="87">
        <f t="shared" si="0"/>
        <v>-16227683</v>
      </c>
      <c r="S11" s="29"/>
      <c r="T11" s="85">
        <v>-16227683</v>
      </c>
    </row>
    <row r="12" spans="2:20" x14ac:dyDescent="0.2">
      <c r="B12" s="5" t="s">
        <v>11</v>
      </c>
      <c r="D12" s="13">
        <v>7.9078899677111125E-2</v>
      </c>
      <c r="F12" s="13">
        <f>D12</f>
        <v>7.9078899677111125E-2</v>
      </c>
      <c r="G12" s="13">
        <f>D12</f>
        <v>7.9078899677111125E-2</v>
      </c>
      <c r="J12" s="6"/>
      <c r="L12" s="29" t="s">
        <v>12</v>
      </c>
      <c r="M12" s="29"/>
      <c r="N12" s="87">
        <f>-G16</f>
        <v>24496</v>
      </c>
      <c r="O12" s="29"/>
      <c r="P12" s="87">
        <f>-F16</f>
        <v>-20160666.040349986</v>
      </c>
      <c r="Q12" s="29"/>
      <c r="R12" s="87">
        <f t="shared" si="0"/>
        <v>-20136170.040349986</v>
      </c>
      <c r="S12" s="29"/>
      <c r="T12" s="85">
        <v>-20136170.040349986</v>
      </c>
    </row>
    <row r="13" spans="2:20" ht="15.75" x14ac:dyDescent="0.25">
      <c r="B13" s="8"/>
      <c r="F13" s="9"/>
      <c r="J13" s="6"/>
      <c r="L13" s="29" t="s">
        <v>13</v>
      </c>
      <c r="M13" s="29"/>
      <c r="N13" s="87">
        <f>-G17</f>
        <v>-586119.5</v>
      </c>
      <c r="O13" s="29"/>
      <c r="P13" s="87">
        <f>-F17</f>
        <v>-12585665.5</v>
      </c>
      <c r="Q13" s="29"/>
      <c r="R13" s="87">
        <f t="shared" si="0"/>
        <v>-13171785</v>
      </c>
      <c r="S13" s="29"/>
      <c r="T13" s="85">
        <v>-13171785</v>
      </c>
    </row>
    <row r="14" spans="2:20" ht="15" x14ac:dyDescent="0.35">
      <c r="B14" s="5" t="s">
        <v>14</v>
      </c>
      <c r="D14" s="11">
        <v>14279306.683142077</v>
      </c>
      <c r="F14" s="11">
        <f>F10*F12</f>
        <v>13206131.103088889</v>
      </c>
      <c r="G14" s="11">
        <f>G10*G12</f>
        <v>1073175.5800531884</v>
      </c>
      <c r="J14" s="6"/>
      <c r="L14" s="29" t="s">
        <v>15</v>
      </c>
      <c r="M14" s="29"/>
      <c r="N14" s="88">
        <f>-G18</f>
        <v>-144930.06138086627</v>
      </c>
      <c r="O14" s="29"/>
      <c r="P14" s="88">
        <f>-F18</f>
        <v>-3199849.8526191334</v>
      </c>
      <c r="Q14" s="29"/>
      <c r="R14" s="88">
        <f t="shared" si="0"/>
        <v>-3344779.9139999999</v>
      </c>
      <c r="S14" s="29"/>
      <c r="T14" s="61">
        <v>-3344779.9139999999</v>
      </c>
    </row>
    <row r="15" spans="2:20" x14ac:dyDescent="0.2">
      <c r="B15" s="5" t="s">
        <v>10</v>
      </c>
      <c r="D15" s="12">
        <v>16227683</v>
      </c>
      <c r="F15" s="11">
        <f>D15-G15</f>
        <v>16227683</v>
      </c>
      <c r="G15" s="12">
        <v>0</v>
      </c>
      <c r="J15" s="6"/>
      <c r="L15" s="29" t="s">
        <v>16</v>
      </c>
      <c r="M15" s="29"/>
      <c r="N15" s="87">
        <f>SUM(N9:N14)</f>
        <v>1046382.2344609832</v>
      </c>
      <c r="O15" s="29"/>
      <c r="P15" s="87">
        <f>SUM(P9:P14)</f>
        <v>11868895.466582213</v>
      </c>
      <c r="Q15" s="29"/>
      <c r="R15" s="87">
        <f>SUM(R9:R14)</f>
        <v>12915277.701043196</v>
      </c>
      <c r="S15" s="29"/>
      <c r="T15" s="87">
        <f>SUM(T9:T14)</f>
        <v>12915277.701043196</v>
      </c>
    </row>
    <row r="16" spans="2:20" x14ac:dyDescent="0.2">
      <c r="B16" s="5" t="s">
        <v>12</v>
      </c>
      <c r="D16" s="12">
        <v>20136170.040349986</v>
      </c>
      <c r="F16" s="11">
        <f>D16-G16</f>
        <v>20160666.040349986</v>
      </c>
      <c r="G16" s="12">
        <f>+Sheet2!X15</f>
        <v>-24496</v>
      </c>
      <c r="J16" s="6"/>
      <c r="L16" s="29" t="s">
        <v>17</v>
      </c>
      <c r="M16" s="29"/>
      <c r="N16" s="89">
        <f>'[1]Sch 7.1 - Fed &amp; St tax rate'!H4</f>
        <v>0.05</v>
      </c>
      <c r="O16" s="29"/>
      <c r="P16" s="89">
        <f>N16</f>
        <v>0.05</v>
      </c>
      <c r="Q16" s="29"/>
      <c r="R16" s="89">
        <f>P16</f>
        <v>0.05</v>
      </c>
      <c r="S16" s="29"/>
      <c r="T16" s="89">
        <f>R16</f>
        <v>0.05</v>
      </c>
    </row>
    <row r="17" spans="2:20" x14ac:dyDescent="0.2">
      <c r="B17" s="5" t="s">
        <v>13</v>
      </c>
      <c r="D17" s="12">
        <v>13171785</v>
      </c>
      <c r="F17" s="11">
        <f t="shared" ref="F17:F18" si="1">D17-G17</f>
        <v>12585665.5</v>
      </c>
      <c r="G17" s="12">
        <f>+Sheet2!X18</f>
        <v>586119.5</v>
      </c>
      <c r="J17" s="6"/>
      <c r="L17" s="29" t="s">
        <v>18</v>
      </c>
      <c r="M17" s="29"/>
      <c r="N17" s="87">
        <f>N15*N16</f>
        <v>52319.111723049165</v>
      </c>
      <c r="O17" s="29"/>
      <c r="P17" s="87">
        <f>P15*P16</f>
        <v>593444.7733291107</v>
      </c>
      <c r="Q17" s="29"/>
      <c r="R17" s="87">
        <f>R15*R16</f>
        <v>645763.88505215989</v>
      </c>
      <c r="S17" s="29"/>
      <c r="T17" s="87">
        <f>T15*T16</f>
        <v>645763.88505215989</v>
      </c>
    </row>
    <row r="18" spans="2:20" x14ac:dyDescent="0.2">
      <c r="B18" s="5" t="s">
        <v>15</v>
      </c>
      <c r="D18" s="12">
        <v>3344779.9139999999</v>
      </c>
      <c r="F18" s="11">
        <f t="shared" si="1"/>
        <v>3199849.8526191334</v>
      </c>
      <c r="G18" s="12">
        <f>+Sheet2!X21</f>
        <v>144930.06138086627</v>
      </c>
      <c r="J18" s="6"/>
      <c r="L18" s="29"/>
      <c r="M18" s="29"/>
      <c r="N18" s="29"/>
      <c r="O18" s="29"/>
      <c r="P18" s="29"/>
      <c r="Q18" s="29"/>
      <c r="R18" s="29"/>
      <c r="S18" s="29"/>
      <c r="T18" s="29"/>
    </row>
    <row r="19" spans="2:20" ht="15" x14ac:dyDescent="0.35">
      <c r="B19" s="5" t="s">
        <v>19</v>
      </c>
      <c r="D19" s="14">
        <v>2481058.3118628268</v>
      </c>
      <c r="F19" s="15">
        <f>+P40+2218870-2218758</f>
        <v>2218870.2749118498</v>
      </c>
      <c r="G19" s="61">
        <f>+D19-F19</f>
        <v>262188.03695097705</v>
      </c>
      <c r="J19" s="6"/>
      <c r="L19" s="29" t="s">
        <v>20</v>
      </c>
      <c r="M19" s="29"/>
      <c r="N19" s="87">
        <f>N15-N17</f>
        <v>994063.122737934</v>
      </c>
      <c r="O19" s="29"/>
      <c r="P19" s="87">
        <f>P15-P17</f>
        <v>11275450.693253102</v>
      </c>
      <c r="Q19" s="29"/>
      <c r="R19" s="87">
        <f>R15-R17</f>
        <v>12269513.815991037</v>
      </c>
      <c r="S19" s="29"/>
      <c r="T19" s="87">
        <f>T15-T17</f>
        <v>12269513.815991037</v>
      </c>
    </row>
    <row r="20" spans="2:20" x14ac:dyDescent="0.2">
      <c r="B20" s="5" t="s">
        <v>7</v>
      </c>
      <c r="D20" s="11">
        <f>SUM(D14:D19)</f>
        <v>69640782.949354887</v>
      </c>
      <c r="F20" s="11">
        <f>SUM(F14:F19)</f>
        <v>67598865.770969853</v>
      </c>
      <c r="G20" s="11">
        <f>SUM(G14:G19)</f>
        <v>2041917.1783850316</v>
      </c>
      <c r="J20" s="6"/>
      <c r="L20" s="29" t="s">
        <v>21</v>
      </c>
      <c r="M20" s="29"/>
      <c r="N20" s="89">
        <f>'[1]Sch 7.1 - Fed &amp; St tax rate'!H7</f>
        <v>0.21</v>
      </c>
      <c r="O20" s="29"/>
      <c r="P20" s="89">
        <f>N20</f>
        <v>0.21</v>
      </c>
      <c r="Q20" s="29"/>
      <c r="R20" s="89">
        <f>P20</f>
        <v>0.21</v>
      </c>
      <c r="S20" s="29"/>
      <c r="T20" s="89">
        <f>R20</f>
        <v>0.21</v>
      </c>
    </row>
    <row r="21" spans="2:20" ht="15.75" x14ac:dyDescent="0.25">
      <c r="B21" s="8"/>
      <c r="F21" s="9"/>
      <c r="J21" s="6"/>
      <c r="L21" s="29" t="s">
        <v>22</v>
      </c>
      <c r="M21" s="29"/>
      <c r="N21" s="87">
        <f>N19*N20</f>
        <v>208753.25577496612</v>
      </c>
      <c r="O21" s="29"/>
      <c r="P21" s="87">
        <f>P19*P20</f>
        <v>2367844.6455831514</v>
      </c>
      <c r="Q21" s="29"/>
      <c r="R21" s="87">
        <f>R19*R20</f>
        <v>2576597.9013581178</v>
      </c>
      <c r="S21" s="29"/>
      <c r="T21" s="87">
        <f>T19*T20</f>
        <v>2576597.9013581178</v>
      </c>
    </row>
    <row r="22" spans="2:20" x14ac:dyDescent="0.2">
      <c r="B22" s="5"/>
      <c r="J22" s="6"/>
      <c r="L22" s="29"/>
      <c r="M22" s="29"/>
      <c r="N22" s="29"/>
      <c r="O22" s="29"/>
      <c r="P22" s="29"/>
      <c r="Q22" s="29"/>
      <c r="R22" s="29"/>
      <c r="S22" s="29"/>
      <c r="T22" s="29"/>
    </row>
    <row r="23" spans="2:20" ht="15" x14ac:dyDescent="0.25">
      <c r="B23" s="26" t="s">
        <v>24</v>
      </c>
      <c r="D23" s="17">
        <v>57360378.341788165</v>
      </c>
      <c r="F23" s="12">
        <v>56689352.341788165</v>
      </c>
      <c r="G23" s="12">
        <v>671026</v>
      </c>
      <c r="J23" s="6"/>
      <c r="L23" s="29" t="s">
        <v>19</v>
      </c>
      <c r="M23" s="29"/>
      <c r="N23" s="87">
        <f>N17+N21</f>
        <v>261072.36749801529</v>
      </c>
      <c r="O23" s="29"/>
      <c r="P23" s="87">
        <f>P17+P21</f>
        <v>2961289.4189122622</v>
      </c>
      <c r="Q23" s="29"/>
      <c r="R23" s="87">
        <f>R17+R21</f>
        <v>3222361.7864102777</v>
      </c>
      <c r="S23" s="29"/>
      <c r="T23" s="87">
        <f>T17+T21</f>
        <v>3222361.7864102777</v>
      </c>
    </row>
    <row r="24" spans="2:20" ht="15" x14ac:dyDescent="0.35">
      <c r="B24" s="5"/>
      <c r="J24" s="6"/>
      <c r="L24" s="29" t="s">
        <v>25</v>
      </c>
      <c r="M24" s="29"/>
      <c r="N24" s="61">
        <v>0</v>
      </c>
      <c r="O24" s="29"/>
      <c r="P24" s="61">
        <f>'[1]Sch 7 - Inc Tax Adj'!H7</f>
        <v>-752651.505</v>
      </c>
      <c r="Q24" s="29"/>
      <c r="R24" s="88">
        <f t="shared" ref="R24" si="2">N24+P24</f>
        <v>-752651.505</v>
      </c>
      <c r="S24" s="29"/>
      <c r="T24" s="88">
        <f>R24</f>
        <v>-752651.505</v>
      </c>
    </row>
    <row r="25" spans="2:20" x14ac:dyDescent="0.2">
      <c r="B25" s="5"/>
      <c r="J25" s="6"/>
      <c r="L25" s="29"/>
      <c r="M25" s="29"/>
      <c r="N25" s="29"/>
      <c r="O25" s="29"/>
      <c r="P25" s="29"/>
      <c r="Q25" s="29"/>
      <c r="R25" s="29"/>
      <c r="S25" s="29"/>
      <c r="T25" s="29"/>
    </row>
    <row r="26" spans="2:20" x14ac:dyDescent="0.2">
      <c r="B26" s="5" t="s">
        <v>23</v>
      </c>
      <c r="D26" s="16">
        <f>+D20-D23</f>
        <v>12280404.607566722</v>
      </c>
      <c r="F26" s="11">
        <f>F20-F23</f>
        <v>10909513.429181688</v>
      </c>
      <c r="G26" s="11">
        <f>G20-G23</f>
        <v>1370891.1783850316</v>
      </c>
      <c r="J26" s="6"/>
      <c r="L26" s="29"/>
      <c r="M26" s="29"/>
      <c r="N26" s="87">
        <f>N23+N24</f>
        <v>261072.36749801529</v>
      </c>
      <c r="O26" s="29"/>
      <c r="P26" s="87">
        <f>P23+P24</f>
        <v>2208637.9139122623</v>
      </c>
      <c r="Q26" s="29"/>
      <c r="R26" s="87">
        <f>R23+R24</f>
        <v>2469710.2814102778</v>
      </c>
      <c r="S26" s="29"/>
      <c r="T26" s="87">
        <f>T23+T24</f>
        <v>2469710.2814102778</v>
      </c>
    </row>
    <row r="27" spans="2:20" x14ac:dyDescent="0.2">
      <c r="B27" s="28"/>
      <c r="C27" s="29"/>
      <c r="D27" s="29"/>
      <c r="E27" s="29"/>
      <c r="F27" s="30"/>
      <c r="J27" s="6"/>
      <c r="L27" s="29"/>
      <c r="M27" s="29"/>
      <c r="N27" s="29"/>
      <c r="O27" s="29"/>
      <c r="P27" s="29"/>
      <c r="Q27" s="29"/>
      <c r="R27" s="29"/>
      <c r="S27" s="29"/>
      <c r="T27" s="29"/>
    </row>
    <row r="28" spans="2:20" x14ac:dyDescent="0.2">
      <c r="B28" s="5"/>
      <c r="D28" s="12"/>
      <c r="J28" s="6"/>
      <c r="L28" s="29"/>
      <c r="M28" s="29"/>
      <c r="N28" s="29"/>
      <c r="O28" s="29"/>
      <c r="P28" s="29"/>
      <c r="Q28" s="29"/>
      <c r="R28" s="29"/>
      <c r="S28" s="29"/>
      <c r="T28" s="29"/>
    </row>
    <row r="29" spans="2:20" x14ac:dyDescent="0.2">
      <c r="B29" s="5"/>
      <c r="D29" s="18"/>
      <c r="J29" s="6"/>
      <c r="L29" s="29"/>
      <c r="M29" s="29"/>
      <c r="N29" s="29"/>
      <c r="O29" s="29"/>
      <c r="P29" s="29"/>
      <c r="Q29" s="29"/>
      <c r="R29" s="29"/>
      <c r="S29" s="29"/>
      <c r="T29" s="29"/>
    </row>
    <row r="30" spans="2:20" x14ac:dyDescent="0.2">
      <c r="B30" s="5"/>
      <c r="D30" s="18"/>
      <c r="J30" s="6"/>
      <c r="L30" s="90" t="s">
        <v>26</v>
      </c>
      <c r="M30" s="29"/>
      <c r="N30" s="29"/>
      <c r="O30" s="29"/>
      <c r="P30" s="29"/>
      <c r="Q30" s="29"/>
      <c r="R30" s="29"/>
      <c r="S30" s="29"/>
      <c r="T30" s="29"/>
    </row>
    <row r="31" spans="2:20" x14ac:dyDescent="0.2">
      <c r="B31" s="19"/>
      <c r="D31" s="18"/>
      <c r="J31" s="6"/>
      <c r="L31" s="29" t="s">
        <v>27</v>
      </c>
      <c r="M31" s="29"/>
      <c r="N31" s="87">
        <f>G14</f>
        <v>1073175.5800531884</v>
      </c>
      <c r="O31" s="29"/>
      <c r="P31" s="87">
        <f>F14</f>
        <v>13206131.103088889</v>
      </c>
      <c r="Q31" s="29"/>
      <c r="R31" s="87">
        <f>N31+P31</f>
        <v>14279306.683142077</v>
      </c>
      <c r="S31" s="29"/>
      <c r="T31" s="29"/>
    </row>
    <row r="32" spans="2:20" ht="15" x14ac:dyDescent="0.35">
      <c r="B32" s="19"/>
      <c r="D32" s="18"/>
      <c r="J32" s="6"/>
      <c r="L32" s="29" t="s">
        <v>9</v>
      </c>
      <c r="M32" s="29"/>
      <c r="N32" s="88">
        <f>N10</f>
        <v>-288981.38254318218</v>
      </c>
      <c r="O32" s="29"/>
      <c r="P32" s="88">
        <f>P10</f>
        <v>-3556105.9114185232</v>
      </c>
      <c r="Q32" s="29"/>
      <c r="R32" s="88">
        <f>N32+P32</f>
        <v>-3845087.2939617052</v>
      </c>
      <c r="S32" s="29"/>
      <c r="T32" s="29"/>
    </row>
    <row r="33" spans="2:20" x14ac:dyDescent="0.2">
      <c r="B33" s="5"/>
      <c r="J33" s="6"/>
      <c r="L33" s="29" t="s">
        <v>28</v>
      </c>
      <c r="M33" s="29"/>
      <c r="N33" s="87">
        <f>N31+N32</f>
        <v>784194.19751000614</v>
      </c>
      <c r="O33" s="29"/>
      <c r="P33" s="87">
        <f>P31+P32</f>
        <v>9650025.1916703656</v>
      </c>
      <c r="Q33" s="29"/>
      <c r="R33" s="87">
        <f>R31+R32</f>
        <v>10434219.389180372</v>
      </c>
      <c r="S33" s="29"/>
      <c r="T33" s="29"/>
    </row>
    <row r="34" spans="2:20" x14ac:dyDescent="0.2">
      <c r="B34" s="5"/>
      <c r="J34" s="6"/>
      <c r="L34" s="29" t="s">
        <v>29</v>
      </c>
      <c r="M34" s="29"/>
      <c r="N34" s="85">
        <f>'[1]Sch 7.1 - Fed &amp; St tax rate'!H10*N33</f>
        <v>195656.45227874652</v>
      </c>
      <c r="O34" s="29"/>
      <c r="P34" s="85">
        <f>'[1]Sch 7.1 - Fed &amp; St tax rate'!H10*P33</f>
        <v>2407681.2853217563</v>
      </c>
      <c r="Q34" s="29"/>
      <c r="R34" s="85">
        <f>'[1]Sch 7.1 - Fed &amp; St tax rate'!H10*R33</f>
        <v>2603337.7376005026</v>
      </c>
      <c r="S34" s="29"/>
      <c r="T34" s="29"/>
    </row>
    <row r="35" spans="2:20" ht="15" x14ac:dyDescent="0.35">
      <c r="B35" s="5"/>
      <c r="J35" s="6"/>
      <c r="L35" s="29" t="s">
        <v>25</v>
      </c>
      <c r="M35" s="29"/>
      <c r="N35" s="88">
        <v>0</v>
      </c>
      <c r="O35" s="29"/>
      <c r="P35" s="88">
        <f>P24</f>
        <v>-752651.505</v>
      </c>
      <c r="Q35" s="29"/>
      <c r="R35" s="88">
        <f>N35+P35</f>
        <v>-752651.505</v>
      </c>
      <c r="S35" s="29"/>
      <c r="T35" s="29"/>
    </row>
    <row r="36" spans="2:20" x14ac:dyDescent="0.2">
      <c r="B36" s="5"/>
      <c r="J36" s="6"/>
      <c r="L36" s="29"/>
      <c r="M36" s="29"/>
      <c r="N36" s="87">
        <f>N34+N35</f>
        <v>195656.45227874652</v>
      </c>
      <c r="O36" s="29"/>
      <c r="P36" s="87">
        <f>P34+P35</f>
        <v>1655029.7803217564</v>
      </c>
      <c r="Q36" s="29"/>
      <c r="R36" s="87">
        <f>R34+R35</f>
        <v>1850686.2326005027</v>
      </c>
      <c r="S36" s="29"/>
      <c r="T36" s="29"/>
    </row>
    <row r="37" spans="2:20" ht="13.5" thickBot="1" x14ac:dyDescent="0.25">
      <c r="B37" s="20"/>
      <c r="C37" s="21"/>
      <c r="D37" s="22"/>
      <c r="E37" s="22"/>
      <c r="F37" s="22"/>
      <c r="G37" s="22"/>
      <c r="H37" s="22"/>
      <c r="I37" s="22"/>
      <c r="J37" s="23"/>
      <c r="L37" s="29" t="s">
        <v>30</v>
      </c>
      <c r="M37" s="29"/>
      <c r="N37" s="91">
        <f>'[1]Sch 7 - Inc Tax Adj'!H9</f>
        <v>1.3324450366422387</v>
      </c>
      <c r="O37" s="29"/>
      <c r="P37" s="91">
        <f>N37</f>
        <v>1.3324450366422387</v>
      </c>
      <c r="Q37" s="29"/>
      <c r="R37" s="91">
        <f>P37</f>
        <v>1.3324450366422387</v>
      </c>
      <c r="S37" s="29"/>
      <c r="T37" s="29"/>
    </row>
    <row r="38" spans="2:20" x14ac:dyDescent="0.2">
      <c r="L38" s="29" t="s">
        <v>31</v>
      </c>
      <c r="M38" s="29"/>
      <c r="N38" s="87">
        <f>N36*N37</f>
        <v>260701.46872584484</v>
      </c>
      <c r="O38" s="29"/>
      <c r="P38" s="87">
        <f>P36*P37</f>
        <v>2205236.2162848189</v>
      </c>
      <c r="Q38" s="29"/>
      <c r="R38" s="87">
        <f>R36*R37</f>
        <v>2465937.6850106632</v>
      </c>
      <c r="S38" s="29"/>
      <c r="T38" s="87">
        <f>+D19-F19</f>
        <v>262188.03695097705</v>
      </c>
    </row>
    <row r="39" spans="2:20" x14ac:dyDescent="0.2">
      <c r="L39" s="29" t="s">
        <v>32</v>
      </c>
      <c r="M39" s="29"/>
      <c r="N39" s="91">
        <f>'[1]Sch 7 - Inc Tax Adj'!H11</f>
        <v>1.3406153177983893</v>
      </c>
      <c r="O39" s="29"/>
      <c r="P39" s="91">
        <f>N39</f>
        <v>1.3406153177983893</v>
      </c>
      <c r="Q39" s="29"/>
      <c r="R39" s="91">
        <f>P39</f>
        <v>1.3406153177983893</v>
      </c>
      <c r="S39" s="29"/>
      <c r="T39" s="29"/>
    </row>
    <row r="40" spans="2:20" x14ac:dyDescent="0.2">
      <c r="L40" s="29" t="s">
        <v>33</v>
      </c>
      <c r="M40" s="29"/>
      <c r="N40" s="87">
        <f>N36*N39</f>
        <v>262300.03695097717</v>
      </c>
      <c r="O40" s="29"/>
      <c r="P40" s="87">
        <f>P36*P39</f>
        <v>2218758.2749118498</v>
      </c>
      <c r="Q40" s="29"/>
      <c r="R40" s="87">
        <f>R36*R39</f>
        <v>2481058.3118628268</v>
      </c>
      <c r="S40" s="29"/>
      <c r="T40" s="29"/>
    </row>
    <row r="41" spans="2:20" hidden="1" x14ac:dyDescent="0.2">
      <c r="B41" s="24" t="s">
        <v>34</v>
      </c>
      <c r="D41" s="1" t="s">
        <v>35</v>
      </c>
      <c r="L41" s="29" t="s">
        <v>36</v>
      </c>
      <c r="M41" s="29"/>
      <c r="N41" s="29" t="s">
        <v>37</v>
      </c>
      <c r="O41" s="29"/>
      <c r="P41" s="29"/>
      <c r="Q41" s="29"/>
      <c r="R41" s="29"/>
      <c r="S41" s="29"/>
      <c r="T41" s="29"/>
    </row>
    <row r="42" spans="2:20" x14ac:dyDescent="0.2">
      <c r="B42" s="25"/>
      <c r="L42" s="90"/>
      <c r="M42" s="29"/>
      <c r="N42" s="87">
        <f>G19-N40</f>
        <v>-112.00000000011642</v>
      </c>
      <c r="O42" s="29"/>
      <c r="P42" s="87">
        <f>F19-P40</f>
        <v>112</v>
      </c>
      <c r="Q42" s="29"/>
      <c r="R42" s="87">
        <f>R26-R38</f>
        <v>3772.5963996145874</v>
      </c>
      <c r="S42" s="29"/>
      <c r="T42" s="29"/>
    </row>
    <row r="43" spans="2:20" hidden="1" x14ac:dyDescent="0.2">
      <c r="B43" s="24" t="s">
        <v>38</v>
      </c>
      <c r="D43" s="1" t="s">
        <v>39</v>
      </c>
      <c r="L43" s="90"/>
      <c r="M43" s="29"/>
      <c r="N43" s="29"/>
      <c r="O43" s="29"/>
      <c r="P43" s="29"/>
      <c r="Q43" s="29"/>
      <c r="R43" s="29"/>
      <c r="S43" s="29"/>
      <c r="T43" s="29"/>
    </row>
    <row r="44" spans="2:20" hidden="1" x14ac:dyDescent="0.2">
      <c r="B44" s="24"/>
      <c r="D44" s="1" t="s">
        <v>40</v>
      </c>
      <c r="L44" s="90"/>
      <c r="M44" s="29"/>
      <c r="N44" s="29"/>
      <c r="O44" s="29"/>
      <c r="P44" s="29"/>
      <c r="Q44" s="29"/>
      <c r="R44" s="29"/>
      <c r="S44" s="29"/>
      <c r="T44" s="29"/>
    </row>
    <row r="45" spans="2:20" hidden="1" x14ac:dyDescent="0.2">
      <c r="B45" s="24"/>
      <c r="D45" s="1" t="s">
        <v>41</v>
      </c>
      <c r="L45" s="2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A217-52C2-4C2D-86C4-F525D9AD4F4C}">
  <dimension ref="A1:AH37"/>
  <sheetViews>
    <sheetView workbookViewId="0">
      <selection activeCell="P31" sqref="P31"/>
    </sheetView>
  </sheetViews>
  <sheetFormatPr defaultColWidth="9.140625" defaultRowHeight="15" x14ac:dyDescent="0.25"/>
  <cols>
    <col min="1" max="1" width="4.140625" style="32" customWidth="1"/>
    <col min="2" max="2" width="33.7109375" style="32" customWidth="1"/>
    <col min="3" max="3" width="24.140625" style="32" bestFit="1" customWidth="1"/>
    <col min="4" max="4" width="10.85546875" style="32" customWidth="1"/>
    <col min="5" max="5" width="12.5703125" style="32" bestFit="1" customWidth="1"/>
    <col min="6" max="6" width="13.42578125" style="32" customWidth="1"/>
    <col min="7" max="8" width="11.5703125" style="32" bestFit="1" customWidth="1"/>
    <col min="9" max="9" width="13.28515625" style="32" bestFit="1" customWidth="1"/>
    <col min="10" max="10" width="10.5703125" style="34" bestFit="1" customWidth="1"/>
    <col min="11" max="24" width="11.5703125" style="34" bestFit="1" customWidth="1"/>
    <col min="25" max="34" width="9.140625" style="34"/>
    <col min="35" max="16384" width="9.140625" style="32"/>
  </cols>
  <sheetData>
    <row r="1" spans="1:24" x14ac:dyDescent="0.25">
      <c r="A1" s="31" t="s">
        <v>43</v>
      </c>
      <c r="I1" s="33" t="s">
        <v>44</v>
      </c>
    </row>
    <row r="2" spans="1:24" x14ac:dyDescent="0.25">
      <c r="A2" s="31" t="s">
        <v>45</v>
      </c>
    </row>
    <row r="3" spans="1:24" x14ac:dyDescent="0.25">
      <c r="A3" s="31" t="s">
        <v>46</v>
      </c>
    </row>
    <row r="4" spans="1:24" x14ac:dyDescent="0.25">
      <c r="A4" s="31" t="s">
        <v>47</v>
      </c>
    </row>
    <row r="7" spans="1:24" x14ac:dyDescent="0.25">
      <c r="E7" s="35">
        <v>2023</v>
      </c>
      <c r="F7" s="35">
        <v>2024</v>
      </c>
      <c r="G7" s="35">
        <v>2025</v>
      </c>
      <c r="H7" s="35">
        <v>2026</v>
      </c>
      <c r="I7" s="36" t="s">
        <v>4</v>
      </c>
    </row>
    <row r="8" spans="1:24" x14ac:dyDescent="0.25">
      <c r="A8" s="32">
        <v>1</v>
      </c>
      <c r="B8" s="32" t="s">
        <v>48</v>
      </c>
      <c r="E8" s="37">
        <f>+'[2]Sch II 2023 Yr 4'!C12</f>
        <v>6691501.563000001</v>
      </c>
      <c r="F8" s="37">
        <f>+'[2]Sch II 2024 Yr 3'!C12</f>
        <v>7733404.3999899998</v>
      </c>
      <c r="G8" s="37">
        <f>+'[2]Sch II 2025 Yr 2'!C12</f>
        <v>4932322.6400000015</v>
      </c>
      <c r="H8" s="37">
        <f>'[2]Sch II 2026 Yr 1'!C12</f>
        <v>2783862.05</v>
      </c>
      <c r="I8" s="38">
        <f>SUM(E8:H8)</f>
        <v>22141090.652990002</v>
      </c>
      <c r="X8" s="39"/>
    </row>
    <row r="9" spans="1:24" x14ac:dyDescent="0.25">
      <c r="A9" s="32">
        <v>2</v>
      </c>
      <c r="B9" s="32" t="s">
        <v>49</v>
      </c>
      <c r="F9" s="39"/>
      <c r="G9" s="39"/>
      <c r="H9" s="39"/>
      <c r="X9" s="39"/>
    </row>
    <row r="10" spans="1:24" x14ac:dyDescent="0.25">
      <c r="A10" s="32">
        <v>3</v>
      </c>
      <c r="B10" s="40" t="s">
        <v>50</v>
      </c>
      <c r="E10" s="39">
        <f>'[2]Sch II 2023 Yr 4'!H12</f>
        <v>-702023</v>
      </c>
      <c r="F10" s="39">
        <f>'[2]Sch II 2024 Yr 3'!H12</f>
        <v>-586923</v>
      </c>
      <c r="G10" s="39">
        <f>+'[2]Sch II 2025 Yr 2'!H12</f>
        <v>-216034</v>
      </c>
      <c r="H10" s="39">
        <f>'[2]Sch II 2026 Yr 1'!H12</f>
        <v>-82876</v>
      </c>
      <c r="I10" s="38">
        <f>SUM(E10:H10)</f>
        <v>-1587856</v>
      </c>
      <c r="K10" s="41" t="s">
        <v>51</v>
      </c>
      <c r="L10" s="41" t="s">
        <v>52</v>
      </c>
      <c r="M10" s="41" t="s">
        <v>53</v>
      </c>
      <c r="N10" s="41" t="s">
        <v>54</v>
      </c>
      <c r="O10" s="41" t="s">
        <v>55</v>
      </c>
      <c r="P10" s="41" t="s">
        <v>56</v>
      </c>
      <c r="Q10" s="41" t="s">
        <v>57</v>
      </c>
      <c r="R10" s="41" t="s">
        <v>58</v>
      </c>
      <c r="S10" s="41" t="s">
        <v>59</v>
      </c>
      <c r="T10" s="41" t="s">
        <v>60</v>
      </c>
      <c r="U10" s="41" t="s">
        <v>61</v>
      </c>
      <c r="V10" s="41" t="s">
        <v>62</v>
      </c>
      <c r="W10" s="41" t="s">
        <v>63</v>
      </c>
      <c r="X10" s="39"/>
    </row>
    <row r="11" spans="1:24" x14ac:dyDescent="0.25">
      <c r="A11" s="32">
        <v>4</v>
      </c>
      <c r="B11" s="40" t="s">
        <v>64</v>
      </c>
      <c r="E11" s="42">
        <f>'[2]Sch II 2023 Yr 4'!H37</f>
        <v>-1494376</v>
      </c>
      <c r="F11" s="42">
        <f>'[2]Sch II 2024 Yr 3'!H37</f>
        <v>-1783048</v>
      </c>
      <c r="G11" s="42">
        <f>+'[2]Sch II 2025 Yr 2'!H37</f>
        <v>-1176714</v>
      </c>
      <c r="H11" s="42">
        <f>'[2]Sch II 2026 Yr 1'!H37</f>
        <v>-673896</v>
      </c>
      <c r="I11" s="43">
        <f>SUM(E11:H11)</f>
        <v>-5128034</v>
      </c>
      <c r="K11" s="41" t="s">
        <v>65</v>
      </c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39" t="s">
        <v>66</v>
      </c>
    </row>
    <row r="12" spans="1:24" x14ac:dyDescent="0.25">
      <c r="A12" s="32">
        <v>5</v>
      </c>
      <c r="B12" s="32" t="s">
        <v>67</v>
      </c>
      <c r="E12" s="44">
        <f>SUM(E8:E11)</f>
        <v>4495102.563000001</v>
      </c>
      <c r="F12" s="39">
        <f t="shared" ref="F12:H12" si="0">SUM(F8:F11)</f>
        <v>5363433.3999899998</v>
      </c>
      <c r="G12" s="39">
        <f t="shared" si="0"/>
        <v>3539574.6400000015</v>
      </c>
      <c r="H12" s="39">
        <f t="shared" si="0"/>
        <v>2027090.0499999998</v>
      </c>
      <c r="I12" s="38">
        <f>SUM(E12:H12)</f>
        <v>15425200.652990002</v>
      </c>
      <c r="K12" s="34">
        <f>+'[2]Sch I Sum and Sch III O&amp;M 2025'!$R12</f>
        <v>11981587.282990001</v>
      </c>
      <c r="L12" s="34">
        <f>+'[2]Sch I Sum and Sch III O&amp;M 2025'!$R12</f>
        <v>11981587.282990001</v>
      </c>
      <c r="M12" s="34">
        <f>+'[2]Sch I Sum and Sch III O&amp;M 2025'!$R12</f>
        <v>11981587.282990001</v>
      </c>
      <c r="N12" s="34">
        <f>+'[2]Sch I Sum and Sch III O&amp;M 2025'!$R12</f>
        <v>11981587.282990001</v>
      </c>
      <c r="O12" s="34">
        <f>+'[2]Sch I Sum and Sch III O&amp;M 2025'!$R12</f>
        <v>11981587.282990001</v>
      </c>
      <c r="P12" s="34">
        <f>+'[2]Sch I Sum and Sch III O&amp;M 2025'!$R12</f>
        <v>11981587.282990001</v>
      </c>
      <c r="Q12" s="34">
        <f>+'[2]Sch I Sum and Sch III O&amp;M 2025'!$R12</f>
        <v>11981587.282990001</v>
      </c>
      <c r="R12" s="34">
        <f t="shared" ref="R12:W12" si="1">+$I12</f>
        <v>15425200.652990002</v>
      </c>
      <c r="S12" s="34">
        <f t="shared" si="1"/>
        <v>15425200.652990002</v>
      </c>
      <c r="T12" s="34">
        <f t="shared" si="1"/>
        <v>15425200.652990002</v>
      </c>
      <c r="U12" s="34">
        <f t="shared" si="1"/>
        <v>15425200.652990002</v>
      </c>
      <c r="V12" s="34">
        <f t="shared" si="1"/>
        <v>15425200.652990002</v>
      </c>
      <c r="W12" s="34">
        <f t="shared" si="1"/>
        <v>15425200.652990002</v>
      </c>
      <c r="X12" s="39">
        <f>AVERAGE(K12:W12)</f>
        <v>13570947.299913079</v>
      </c>
    </row>
    <row r="13" spans="1:24" x14ac:dyDescent="0.25">
      <c r="F13" s="39"/>
      <c r="G13" s="39"/>
      <c r="H13" s="39"/>
      <c r="X13" s="39"/>
    </row>
    <row r="14" spans="1:24" x14ac:dyDescent="0.25">
      <c r="E14" s="45"/>
      <c r="F14" s="45"/>
      <c r="G14" s="45"/>
      <c r="H14" s="45"/>
      <c r="K14" s="34" t="s">
        <v>12</v>
      </c>
      <c r="X14" s="39" t="s">
        <v>4</v>
      </c>
    </row>
    <row r="15" spans="1:24" x14ac:dyDescent="0.25">
      <c r="E15" s="45"/>
      <c r="F15" s="45"/>
      <c r="G15" s="45"/>
      <c r="H15" s="45"/>
      <c r="L15" s="34">
        <f>+'[2]Sch I Sum and Sch III O&amp;M 2025'!Z25</f>
        <v>0</v>
      </c>
      <c r="M15" s="34">
        <f>+'[2]Sch I Sum and Sch III O&amp;M 2025'!AA25</f>
        <v>0</v>
      </c>
      <c r="N15" s="34">
        <f>+'[2]Sch I Sum and Sch III O&amp;M 2025'!AB25</f>
        <v>0</v>
      </c>
      <c r="O15" s="34">
        <f>+'[2]Sch I Sum and Sch III O&amp;M 2025'!AC25</f>
        <v>0</v>
      </c>
      <c r="P15" s="34">
        <f>+'[2]Sch I Sum and Sch III O&amp;M 2025'!AD25</f>
        <v>0</v>
      </c>
      <c r="Q15" s="34">
        <f>+'[2]Sch I Sum and Sch III O&amp;M 2025'!AE25</f>
        <v>0</v>
      </c>
      <c r="R15" s="34">
        <f>+'[2]Schedule III'!$C22/12</f>
        <v>-4082.6666666666665</v>
      </c>
      <c r="S15" s="34">
        <f>+'[2]Schedule III'!$C22/12</f>
        <v>-4082.6666666666665</v>
      </c>
      <c r="T15" s="34">
        <f>+'[2]Schedule III'!$C22/12</f>
        <v>-4082.6666666666665</v>
      </c>
      <c r="U15" s="34">
        <f>+'[2]Schedule III'!$C22/12</f>
        <v>-4082.6666666666665</v>
      </c>
      <c r="V15" s="34">
        <f>+'[2]Schedule III'!$C22/12</f>
        <v>-4082.6666666666665</v>
      </c>
      <c r="W15" s="34">
        <f>+'[2]Schedule III'!$C22/12</f>
        <v>-4082.6666666666665</v>
      </c>
      <c r="X15" s="39">
        <f>SUM(L15:W15)</f>
        <v>-24496</v>
      </c>
    </row>
    <row r="16" spans="1:24" x14ac:dyDescent="0.25">
      <c r="A16" s="46"/>
      <c r="E16" s="47"/>
      <c r="F16" s="47"/>
      <c r="G16" s="47"/>
      <c r="H16" s="47"/>
      <c r="X16" s="39"/>
    </row>
    <row r="17" spans="1:24" x14ac:dyDescent="0.25">
      <c r="E17" s="39"/>
      <c r="F17" s="39"/>
      <c r="G17" s="39"/>
      <c r="H17" s="39"/>
      <c r="I17" s="37"/>
      <c r="K17" s="34" t="s">
        <v>68</v>
      </c>
      <c r="X17" s="39"/>
    </row>
    <row r="18" spans="1:24" x14ac:dyDescent="0.25">
      <c r="F18" s="38"/>
      <c r="G18" s="38"/>
      <c r="H18" s="38"/>
      <c r="I18" s="92"/>
      <c r="L18" s="34">
        <f>+'[2]Sch I Sum and Sch III O&amp;M 2025'!$Y15/12</f>
        <v>42553.666666666664</v>
      </c>
      <c r="M18" s="34">
        <f>+'[2]Sch I Sum and Sch III O&amp;M 2025'!$Y15/12</f>
        <v>42553.666666666664</v>
      </c>
      <c r="N18" s="34">
        <f>+'[2]Sch I Sum and Sch III O&amp;M 2025'!$Y15/12</f>
        <v>42553.666666666664</v>
      </c>
      <c r="O18" s="34">
        <f>+'[2]Sch I Sum and Sch III O&amp;M 2025'!$Y15/12</f>
        <v>42553.666666666664</v>
      </c>
      <c r="P18" s="34">
        <f>+'[2]Sch I Sum and Sch III O&amp;M 2025'!$Y15/12</f>
        <v>42553.666666666664</v>
      </c>
      <c r="Q18" s="34">
        <f>+'[2]Sch I Sum and Sch III O&amp;M 2025'!$Y15/12</f>
        <v>42553.666666666664</v>
      </c>
      <c r="R18" s="34">
        <f>+'[2]Schedule III'!$C12/12</f>
        <v>55132.916666666664</v>
      </c>
      <c r="S18" s="34">
        <f>+'[2]Schedule III'!$C12/12</f>
        <v>55132.916666666664</v>
      </c>
      <c r="T18" s="34">
        <f>+'[2]Schedule III'!$C12/12</f>
        <v>55132.916666666664</v>
      </c>
      <c r="U18" s="34">
        <f>+'[2]Schedule III'!$C12/12</f>
        <v>55132.916666666664</v>
      </c>
      <c r="V18" s="34">
        <f>+'[2]Schedule III'!$C12/12</f>
        <v>55132.916666666664</v>
      </c>
      <c r="W18" s="34">
        <f>+'[2]Schedule III'!$C12/12</f>
        <v>55132.916666666664</v>
      </c>
      <c r="X18" s="39">
        <f>SUM(L18:W18)</f>
        <v>586119.5</v>
      </c>
    </row>
    <row r="19" spans="1:24" x14ac:dyDescent="0.25">
      <c r="F19" s="48"/>
      <c r="G19" s="48"/>
      <c r="H19" s="48"/>
      <c r="I19" s="93"/>
      <c r="J19" s="50"/>
      <c r="X19" s="39"/>
    </row>
    <row r="20" spans="1:24" ht="17.25" x14ac:dyDescent="0.25">
      <c r="E20" s="48"/>
      <c r="F20" s="48"/>
      <c r="G20" s="49"/>
      <c r="I20" s="51"/>
      <c r="J20" s="50"/>
      <c r="K20" s="34" t="s">
        <v>15</v>
      </c>
      <c r="X20" s="39"/>
    </row>
    <row r="21" spans="1:24" ht="17.25" x14ac:dyDescent="0.25">
      <c r="I21" s="52"/>
      <c r="J21" s="50"/>
      <c r="L21" s="34">
        <f>+'[2]Sch I Sum and Sch III O&amp;M 2025'!$Y38/12</f>
        <v>10720.454186653622</v>
      </c>
      <c r="M21" s="34">
        <f>+'[2]Sch I Sum and Sch III O&amp;M 2025'!$Y38/12</f>
        <v>10720.454186653622</v>
      </c>
      <c r="N21" s="34">
        <f>+'[2]Sch I Sum and Sch III O&amp;M 2025'!$Y38/12</f>
        <v>10720.454186653622</v>
      </c>
      <c r="O21" s="34">
        <f>+'[2]Sch I Sum and Sch III O&amp;M 2025'!$Y38/12</f>
        <v>10720.454186653622</v>
      </c>
      <c r="P21" s="34">
        <f>+'[2]Sch I Sum and Sch III O&amp;M 2025'!$Y38/12</f>
        <v>10720.454186653622</v>
      </c>
      <c r="Q21" s="34">
        <f>+'[2]Sch I Sum and Sch III O&amp;M 2025'!$Y38/12</f>
        <v>10720.454186653622</v>
      </c>
      <c r="R21" s="34">
        <f>+'[2]Schedule III'!$C35/12</f>
        <v>13434.556043490758</v>
      </c>
      <c r="S21" s="34">
        <f>+'[2]Schedule III'!$C35/12</f>
        <v>13434.556043490758</v>
      </c>
      <c r="T21" s="34">
        <f>+'[2]Schedule III'!$C35/12</f>
        <v>13434.556043490758</v>
      </c>
      <c r="U21" s="34">
        <f>+'[2]Schedule III'!$C35/12</f>
        <v>13434.556043490758</v>
      </c>
      <c r="V21" s="34">
        <f>+'[2]Schedule III'!$C35/12</f>
        <v>13434.556043490758</v>
      </c>
      <c r="W21" s="34">
        <f>+'[2]Schedule III'!$C35/12</f>
        <v>13434.556043490758</v>
      </c>
      <c r="X21" s="39">
        <f>SUM(L21:W21)</f>
        <v>144930.06138086627</v>
      </c>
    </row>
    <row r="22" spans="1:24" x14ac:dyDescent="0.25">
      <c r="F22" s="53"/>
      <c r="I22" s="54"/>
      <c r="X22" s="39"/>
    </row>
    <row r="23" spans="1:24" x14ac:dyDescent="0.25">
      <c r="C23" s="53"/>
      <c r="D23" s="53"/>
      <c r="E23" s="53"/>
      <c r="F23" s="55"/>
      <c r="G23" s="55"/>
      <c r="I23" s="54"/>
      <c r="X23" s="39"/>
    </row>
    <row r="24" spans="1:24" x14ac:dyDescent="0.25">
      <c r="A24" s="68"/>
      <c r="B24" s="68"/>
      <c r="C24" s="69"/>
      <c r="D24" s="70"/>
      <c r="E24" s="70"/>
      <c r="F24" s="53"/>
      <c r="G24" s="70"/>
      <c r="H24" s="68"/>
      <c r="I24" s="71"/>
      <c r="J24" s="64"/>
      <c r="K24" s="64"/>
      <c r="L24" s="64"/>
      <c r="M24" s="64"/>
      <c r="X24" s="39"/>
    </row>
    <row r="25" spans="1:24" x14ac:dyDescent="0.25">
      <c r="A25" s="68"/>
      <c r="B25" s="68"/>
      <c r="C25" s="70"/>
      <c r="D25" s="70"/>
      <c r="E25" s="70"/>
      <c r="F25" s="72"/>
      <c r="G25" s="70"/>
      <c r="H25" s="68"/>
      <c r="I25" s="73"/>
      <c r="J25" s="64"/>
      <c r="K25" s="64"/>
      <c r="L25" s="64"/>
      <c r="M25" s="64"/>
      <c r="X25" s="39"/>
    </row>
    <row r="26" spans="1:24" x14ac:dyDescent="0.25">
      <c r="A26" s="68"/>
      <c r="B26" s="74"/>
      <c r="C26" s="62"/>
      <c r="D26" s="57"/>
      <c r="E26" s="75"/>
      <c r="F26" s="56"/>
      <c r="G26" s="76"/>
      <c r="H26" s="68"/>
      <c r="I26" s="56"/>
      <c r="J26" s="64"/>
      <c r="K26" s="64"/>
      <c r="L26" s="64"/>
      <c r="M26" s="64"/>
      <c r="V26" s="34" t="s">
        <v>6</v>
      </c>
      <c r="X26" s="39">
        <f>+X12</f>
        <v>13570947.299913079</v>
      </c>
    </row>
    <row r="27" spans="1:24" x14ac:dyDescent="0.25">
      <c r="A27" s="68"/>
      <c r="B27" s="74"/>
      <c r="C27" s="56"/>
      <c r="D27" s="57"/>
      <c r="E27" s="75"/>
      <c r="F27" s="56"/>
      <c r="G27" s="76"/>
      <c r="H27" s="68"/>
      <c r="I27" s="56"/>
      <c r="J27" s="64"/>
      <c r="K27" s="64"/>
      <c r="L27" s="64"/>
      <c r="M27" s="64"/>
      <c r="V27" s="34" t="s">
        <v>11</v>
      </c>
      <c r="X27" s="84">
        <v>7.9078999999999997E-2</v>
      </c>
    </row>
    <row r="28" spans="1:24" x14ac:dyDescent="0.25">
      <c r="A28" s="68"/>
      <c r="B28" s="74"/>
      <c r="C28" s="56"/>
      <c r="D28" s="57"/>
      <c r="E28" s="75"/>
      <c r="F28" s="56"/>
      <c r="G28" s="76"/>
      <c r="H28" s="68"/>
      <c r="I28" s="56"/>
      <c r="J28" s="64"/>
      <c r="K28" s="64"/>
      <c r="L28" s="64"/>
      <c r="M28" s="64"/>
      <c r="X28" s="39">
        <f>+X26*X27</f>
        <v>1073176.9415298263</v>
      </c>
    </row>
    <row r="29" spans="1:24" x14ac:dyDescent="0.25">
      <c r="A29" s="68"/>
      <c r="B29" s="74"/>
      <c r="C29" s="56"/>
      <c r="D29" s="57"/>
      <c r="E29" s="75"/>
      <c r="F29" s="56"/>
      <c r="G29" s="76"/>
      <c r="H29" s="68"/>
      <c r="I29" s="56"/>
      <c r="J29" s="64"/>
      <c r="K29" s="64"/>
      <c r="L29" s="64"/>
      <c r="M29" s="64"/>
      <c r="V29" s="34" t="s">
        <v>12</v>
      </c>
      <c r="X29" s="39">
        <f>+X15</f>
        <v>-24496</v>
      </c>
    </row>
    <row r="30" spans="1:24" x14ac:dyDescent="0.25">
      <c r="A30" s="68"/>
      <c r="B30" s="68"/>
      <c r="C30" s="63"/>
      <c r="D30" s="57"/>
      <c r="E30" s="75"/>
      <c r="F30" s="64"/>
      <c r="G30" s="77"/>
      <c r="H30" s="68"/>
      <c r="I30" s="64"/>
      <c r="J30" s="64"/>
      <c r="K30" s="64"/>
      <c r="L30" s="64"/>
      <c r="M30" s="64"/>
      <c r="V30" s="34" t="s">
        <v>69</v>
      </c>
      <c r="X30" s="39">
        <f>+X18</f>
        <v>586119.5</v>
      </c>
    </row>
    <row r="31" spans="1:24" ht="17.25" x14ac:dyDescent="0.25">
      <c r="A31" s="68"/>
      <c r="B31" s="68"/>
      <c r="C31" s="68"/>
      <c r="D31" s="68"/>
      <c r="E31" s="68"/>
      <c r="F31" s="68"/>
      <c r="G31" s="68"/>
      <c r="H31" s="68"/>
      <c r="I31" s="64"/>
      <c r="J31" s="78"/>
      <c r="K31" s="79"/>
      <c r="L31" s="64"/>
      <c r="M31" s="64"/>
      <c r="V31" s="34" t="s">
        <v>15</v>
      </c>
      <c r="X31" s="39">
        <f>+X21</f>
        <v>144930.06138086627</v>
      </c>
    </row>
    <row r="32" spans="1:24" ht="17.25" x14ac:dyDescent="0.25">
      <c r="A32" s="68"/>
      <c r="B32" s="68"/>
      <c r="C32" s="68"/>
      <c r="D32" s="68"/>
      <c r="E32" s="68"/>
      <c r="F32" s="68"/>
      <c r="G32" s="68"/>
      <c r="H32" s="68"/>
      <c r="I32" s="80"/>
      <c r="J32" s="81"/>
      <c r="K32" s="81"/>
      <c r="L32" s="64"/>
      <c r="M32" s="64"/>
      <c r="V32" s="34" t="s">
        <v>70</v>
      </c>
      <c r="X32" s="39">
        <f>SUM(X28:X31)</f>
        <v>1779730.5029106925</v>
      </c>
    </row>
    <row r="33" spans="1:24" x14ac:dyDescent="0.25">
      <c r="A33" s="82"/>
      <c r="B33" s="82"/>
      <c r="C33" s="83"/>
      <c r="D33" s="83"/>
      <c r="E33" s="83"/>
      <c r="F33" s="68"/>
      <c r="G33" s="68"/>
      <c r="H33" s="68"/>
      <c r="I33" s="68"/>
      <c r="J33" s="64"/>
      <c r="K33" s="64"/>
      <c r="L33" s="64"/>
      <c r="M33" s="64"/>
      <c r="V33" s="34" t="s">
        <v>19</v>
      </c>
      <c r="X33" s="39">
        <f>+Sheet1!G19</f>
        <v>262188.03695097705</v>
      </c>
    </row>
    <row r="34" spans="1:24" x14ac:dyDescent="0.25">
      <c r="A34" s="82"/>
      <c r="B34" s="82"/>
      <c r="C34" s="65"/>
      <c r="D34" s="66"/>
      <c r="E34" s="65"/>
      <c r="F34" s="68"/>
      <c r="G34" s="68"/>
      <c r="H34" s="68"/>
      <c r="I34" s="68"/>
      <c r="J34" s="64"/>
      <c r="K34" s="64"/>
      <c r="L34" s="64"/>
      <c r="M34" s="64"/>
      <c r="V34" s="34" t="s">
        <v>7</v>
      </c>
      <c r="X34" s="39">
        <f>+X32+X33</f>
        <v>2041918.5398616695</v>
      </c>
    </row>
    <row r="35" spans="1:24" x14ac:dyDescent="0.25">
      <c r="A35" s="82"/>
      <c r="B35" s="82"/>
      <c r="C35" s="65"/>
      <c r="D35" s="66"/>
      <c r="E35" s="65"/>
      <c r="F35" s="68"/>
      <c r="G35" s="68"/>
      <c r="H35" s="68"/>
      <c r="I35" s="68"/>
      <c r="J35" s="64"/>
      <c r="K35" s="64"/>
      <c r="L35" s="64"/>
      <c r="M35" s="64"/>
      <c r="X35" s="39"/>
    </row>
    <row r="36" spans="1:24" x14ac:dyDescent="0.25">
      <c r="A36" s="82"/>
      <c r="B36" s="82"/>
      <c r="C36" s="67"/>
      <c r="D36" s="66"/>
      <c r="E36" s="67"/>
      <c r="F36" s="68"/>
      <c r="G36" s="68"/>
      <c r="H36" s="68"/>
      <c r="I36" s="68"/>
      <c r="J36" s="64"/>
      <c r="K36" s="64"/>
      <c r="L36" s="64"/>
      <c r="M36" s="64"/>
    </row>
    <row r="37" spans="1:24" x14ac:dyDescent="0.25">
      <c r="A37" s="58"/>
      <c r="B37" s="58"/>
      <c r="C37" s="60"/>
      <c r="D37" s="59"/>
      <c r="E37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Danny E</dc:creator>
  <cp:lastModifiedBy>Brown, John B</cp:lastModifiedBy>
  <dcterms:created xsi:type="dcterms:W3CDTF">2024-12-17T21:08:43Z</dcterms:created>
  <dcterms:modified xsi:type="dcterms:W3CDTF">2024-12-26T20:08:25Z</dcterms:modified>
</cp:coreProperties>
</file>